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0640" windowHeight="9990"/>
  </bookViews>
  <sheets>
    <sheet name="Master Data" sheetId="2" r:id="rId1"/>
    <sheet name="GA55 Check &amp; Edit" sheetId="3" r:id="rId2"/>
    <sheet name="Extra Ded. " sheetId="4" r:id="rId3"/>
    <sheet name="GA55 Only Print" sheetId="5" r:id="rId4"/>
    <sheet name="COMPUTATION" sheetId="6" r:id="rId5"/>
  </sheets>
  <externalReferences>
    <externalReference r:id="rId6"/>
    <externalReference r:id="rId7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4" xml:space="preserve">                                     COMPUTATION!$A$1:$O$69</definedName>
    <definedName name="_xlnm.Print_Area" localSheetId="3" xml:space="preserve">                            'GA55 Only Print'!$A$1:$AC$30</definedName>
    <definedName name="ram">'GA55 Check &amp; Edit'!$AX$10:$BJ$30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AZ18" i="3"/>
  <c r="BU16" l="1"/>
  <c r="BD4"/>
  <c r="BF4"/>
  <c r="BF3"/>
  <c r="BM30" s="1"/>
  <c r="BF2"/>
  <c r="BM29" s="1"/>
  <c r="AX24"/>
  <c r="BC32"/>
  <c r="BC31"/>
  <c r="AB28"/>
  <c r="AA28"/>
  <c r="Y28"/>
  <c r="X28"/>
  <c r="V28"/>
  <c r="U28"/>
  <c r="T28"/>
  <c r="S28"/>
  <c r="R28"/>
  <c r="Q28"/>
  <c r="O28"/>
  <c r="N28"/>
  <c r="L28"/>
  <c r="K28"/>
  <c r="J28"/>
  <c r="I28"/>
  <c r="H28"/>
  <c r="G28"/>
  <c r="F28"/>
  <c r="E28"/>
  <c r="BA27"/>
  <c r="BC27" s="1"/>
  <c r="BD27" s="1"/>
  <c r="AB27"/>
  <c r="AA27"/>
  <c r="Y27"/>
  <c r="X27"/>
  <c r="V27"/>
  <c r="U27"/>
  <c r="T27"/>
  <c r="S27"/>
  <c r="R27"/>
  <c r="Q27"/>
  <c r="O27"/>
  <c r="N27"/>
  <c r="L27"/>
  <c r="K27"/>
  <c r="J27"/>
  <c r="I27"/>
  <c r="H27"/>
  <c r="G27"/>
  <c r="F27"/>
  <c r="E27"/>
  <c r="J26"/>
  <c r="J25"/>
  <c r="BA24"/>
  <c r="AS24"/>
  <c r="J24"/>
  <c r="BH23"/>
  <c r="BF23"/>
  <c r="AR23"/>
  <c r="J23"/>
  <c r="BH22"/>
  <c r="BF22"/>
  <c r="J22"/>
  <c r="BH21"/>
  <c r="BF21"/>
  <c r="J21"/>
  <c r="BH20"/>
  <c r="BF20"/>
  <c r="J20"/>
  <c r="BH19"/>
  <c r="BF19"/>
  <c r="J19"/>
  <c r="BH18"/>
  <c r="BF18"/>
  <c r="J18"/>
  <c r="BH17"/>
  <c r="BF17"/>
  <c r="AZ17"/>
  <c r="J17"/>
  <c r="BH16"/>
  <c r="BF16"/>
  <c r="AZ16"/>
  <c r="BL12" s="1"/>
  <c r="BL13" s="1"/>
  <c r="BL14" s="1"/>
  <c r="BL15" s="1"/>
  <c r="BL16" s="1"/>
  <c r="J16"/>
  <c r="BH15"/>
  <c r="BF15"/>
  <c r="AZ15"/>
  <c r="BA32" s="1"/>
  <c r="J15"/>
  <c r="BH14"/>
  <c r="BF14"/>
  <c r="J14"/>
  <c r="BU13"/>
  <c r="BU14" s="1"/>
  <c r="BH13"/>
  <c r="BF13"/>
  <c r="J13"/>
  <c r="BI12"/>
  <c r="BH12"/>
  <c r="BF12"/>
  <c r="BE12"/>
  <c r="J12"/>
  <c r="BH11"/>
  <c r="BA11"/>
  <c r="BC11" s="1"/>
  <c r="J11"/>
  <c r="BH10"/>
  <c r="BA10"/>
  <c r="BC10" s="1"/>
  <c r="J10"/>
  <c r="BC9"/>
  <c r="J9"/>
  <c r="J8"/>
  <c r="V6"/>
  <c r="U6"/>
  <c r="T6"/>
  <c r="S6"/>
  <c r="R6"/>
  <c r="Q6"/>
  <c r="P6"/>
  <c r="L6"/>
  <c r="K6"/>
  <c r="J6"/>
  <c r="I6"/>
  <c r="H6"/>
  <c r="AM5"/>
  <c r="F3"/>
  <c r="BX29"/>
  <c r="BX28"/>
  <c r="BN28"/>
  <c r="BD28"/>
  <c r="AX28"/>
  <c r="B28"/>
  <c r="A28" s="1"/>
  <c r="BX27"/>
  <c r="BN27"/>
  <c r="AX27"/>
  <c r="W28" s="1"/>
  <c r="B27"/>
  <c r="C27" s="1"/>
  <c r="BX26"/>
  <c r="BN26"/>
  <c r="AX26"/>
  <c r="BX25"/>
  <c r="BN25"/>
  <c r="AX25"/>
  <c r="BX24"/>
  <c r="BN24"/>
  <c r="BD24"/>
  <c r="BB11"/>
  <c r="BD11" s="1"/>
  <c r="BL10"/>
  <c r="BB10"/>
  <c r="BD10" s="1"/>
  <c r="B5" i="6"/>
  <c r="J4"/>
  <c r="C31"/>
  <c r="E31"/>
  <c r="I19" i="4"/>
  <c r="T14" i="6"/>
  <c r="M30" s="1"/>
  <c r="BA13" i="3" l="1"/>
  <c r="O34" i="6"/>
  <c r="M28"/>
  <c r="BG15" i="3"/>
  <c r="BG13"/>
  <c r="BG12"/>
  <c r="BG10"/>
  <c r="BG14"/>
  <c r="BG11"/>
  <c r="BN30"/>
  <c r="AX30"/>
  <c r="AX29"/>
  <c r="BN29"/>
  <c r="BA30"/>
  <c r="BC30" s="1"/>
  <c r="BM12"/>
  <c r="BM13" s="1"/>
  <c r="BM14" s="1"/>
  <c r="BM15" s="1"/>
  <c r="BM16" s="1"/>
  <c r="BM17" s="1"/>
  <c r="BM18" s="1"/>
  <c r="BM19" s="1"/>
  <c r="BM20" s="1"/>
  <c r="BM21" s="1"/>
  <c r="BM22" s="1"/>
  <c r="W27"/>
  <c r="U25" i="5" s="1"/>
  <c r="AC27" i="3"/>
  <c r="BB30"/>
  <c r="BA14"/>
  <c r="BJ14" s="1"/>
  <c r="BU15"/>
  <c r="BG16"/>
  <c r="BA12"/>
  <c r="BJ12" s="1"/>
  <c r="BB31"/>
  <c r="BA31"/>
  <c r="BB32"/>
  <c r="BC25" s="1"/>
  <c r="BD25" s="1"/>
  <c r="BI25" s="1"/>
  <c r="BL17"/>
  <c r="BL18" s="1"/>
  <c r="BL19" s="1"/>
  <c r="BL20" s="1"/>
  <c r="BL21" s="1"/>
  <c r="AC28"/>
  <c r="BX30"/>
  <c r="BJ10"/>
  <c r="A27"/>
  <c r="C28"/>
  <c r="BJ11"/>
  <c r="AS25"/>
  <c r="N57" i="6"/>
  <c r="N56"/>
  <c r="N55"/>
  <c r="AB7" i="5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K19"/>
  <c r="X19"/>
  <c r="AB19"/>
  <c r="AC19"/>
  <c r="K20"/>
  <c r="X20"/>
  <c r="AB20"/>
  <c r="AC20"/>
  <c r="K21"/>
  <c r="X21"/>
  <c r="AB21"/>
  <c r="AC21"/>
  <c r="K22"/>
  <c r="X22"/>
  <c r="AB22"/>
  <c r="AC22"/>
  <c r="K23"/>
  <c r="X23"/>
  <c r="AB23"/>
  <c r="AC23"/>
  <c r="K24"/>
  <c r="X24"/>
  <c r="AB24"/>
  <c r="AC24"/>
  <c r="B25"/>
  <c r="K25"/>
  <c r="N25"/>
  <c r="X25"/>
  <c r="AB25"/>
  <c r="AC25"/>
  <c r="B26"/>
  <c r="K26"/>
  <c r="N26"/>
  <c r="X26"/>
  <c r="AB26"/>
  <c r="AC26"/>
  <c r="Z25"/>
  <c r="Z26"/>
  <c r="C25"/>
  <c r="D25"/>
  <c r="E25"/>
  <c r="F25"/>
  <c r="G25"/>
  <c r="H25"/>
  <c r="I25"/>
  <c r="J25"/>
  <c r="C26"/>
  <c r="D26"/>
  <c r="E26"/>
  <c r="F26"/>
  <c r="G26"/>
  <c r="H26"/>
  <c r="I26"/>
  <c r="J26"/>
  <c r="L25"/>
  <c r="M25"/>
  <c r="L26"/>
  <c r="M26"/>
  <c r="V25"/>
  <c r="W25"/>
  <c r="Y25"/>
  <c r="U26"/>
  <c r="V26"/>
  <c r="W26"/>
  <c r="Y26"/>
  <c r="P25"/>
  <c r="Q25"/>
  <c r="R25"/>
  <c r="S25"/>
  <c r="P26"/>
  <c r="Q26"/>
  <c r="R26"/>
  <c r="S26"/>
  <c r="BA15" i="3" l="1"/>
  <c r="BJ15" s="1"/>
  <c r="BC13"/>
  <c r="BJ13"/>
  <c r="BB13"/>
  <c r="BD30"/>
  <c r="BM23"/>
  <c r="BL22"/>
  <c r="BL23" s="1"/>
  <c r="BL24" s="1"/>
  <c r="BO24" s="1"/>
  <c r="BG23"/>
  <c r="BG22"/>
  <c r="BG20"/>
  <c r="BG21"/>
  <c r="BG19"/>
  <c r="BG18"/>
  <c r="BG17"/>
  <c r="BB12"/>
  <c r="BC12"/>
  <c r="BC14"/>
  <c r="BB14"/>
  <c r="BB15"/>
  <c r="BC15"/>
  <c r="AZ20"/>
  <c r="AZ21" s="1"/>
  <c r="BC26"/>
  <c r="BD26" s="1"/>
  <c r="BI26" s="1"/>
  <c r="BN12"/>
  <c r="BO12" s="1"/>
  <c r="AA26" i="5"/>
  <c r="AA25"/>
  <c r="G30" i="6"/>
  <c r="T25" i="5"/>
  <c r="T26"/>
  <c r="O25"/>
  <c r="O26"/>
  <c r="AA24" i="6"/>
  <c r="BX13" i="3" l="1"/>
  <c r="BD13"/>
  <c r="BL25"/>
  <c r="BL26" s="1"/>
  <c r="BE23"/>
  <c r="BE22"/>
  <c r="BE20"/>
  <c r="BE21"/>
  <c r="BX15"/>
  <c r="BD15"/>
  <c r="BX12"/>
  <c r="BD12"/>
  <c r="BA16"/>
  <c r="BJ16" s="1"/>
  <c r="BJ17" s="1"/>
  <c r="BJ18" s="1"/>
  <c r="BJ19" s="1"/>
  <c r="BJ20" s="1"/>
  <c r="BJ21" s="1"/>
  <c r="BJ22" s="1"/>
  <c r="BJ23" s="1"/>
  <c r="BU17"/>
  <c r="BE19"/>
  <c r="BE18"/>
  <c r="BD14"/>
  <c r="BX14"/>
  <c r="D8"/>
  <c r="BN13"/>
  <c r="BO13" s="1"/>
  <c r="H7" i="5"/>
  <c r="BO25" i="3" l="1"/>
  <c r="BB16"/>
  <c r="BC16"/>
  <c r="BL27"/>
  <c r="BO26"/>
  <c r="V8"/>
  <c r="M8"/>
  <c r="BU18"/>
  <c r="BA17"/>
  <c r="BC17" s="1"/>
  <c r="D9"/>
  <c r="BS10"/>
  <c r="B8"/>
  <c r="A8" s="1"/>
  <c r="BQ12"/>
  <c r="E8" s="1"/>
  <c r="S8" s="1"/>
  <c r="BN14"/>
  <c r="BO14" s="1"/>
  <c r="W8" l="1"/>
  <c r="Y8"/>
  <c r="BD16"/>
  <c r="BL28"/>
  <c r="BO27"/>
  <c r="I8"/>
  <c r="X8"/>
  <c r="H8"/>
  <c r="Z8"/>
  <c r="L8"/>
  <c r="G8"/>
  <c r="P8"/>
  <c r="U8"/>
  <c r="R8"/>
  <c r="AA8"/>
  <c r="K8"/>
  <c r="T8"/>
  <c r="BB17"/>
  <c r="BD17" s="1"/>
  <c r="F8" s="1"/>
  <c r="BA18"/>
  <c r="BC18" s="1"/>
  <c r="BU19"/>
  <c r="BX16"/>
  <c r="V9"/>
  <c r="M9"/>
  <c r="BS12"/>
  <c r="B9"/>
  <c r="A9" s="1"/>
  <c r="BQ13"/>
  <c r="E9" s="1"/>
  <c r="D10"/>
  <c r="BN15"/>
  <c r="BO15" s="1"/>
  <c r="BB18" l="1"/>
  <c r="BI30"/>
  <c r="S9"/>
  <c r="Y9"/>
  <c r="W9"/>
  <c r="BL29"/>
  <c r="BO28"/>
  <c r="BX17"/>
  <c r="N8"/>
  <c r="O8"/>
  <c r="BI13"/>
  <c r="BI10"/>
  <c r="BI11"/>
  <c r="Z9"/>
  <c r="X9"/>
  <c r="H9"/>
  <c r="L9"/>
  <c r="R9"/>
  <c r="G9"/>
  <c r="P9"/>
  <c r="U9"/>
  <c r="AA9"/>
  <c r="K9"/>
  <c r="T9"/>
  <c r="I9"/>
  <c r="M10"/>
  <c r="V10"/>
  <c r="BU20"/>
  <c r="BA19"/>
  <c r="BC19" s="1"/>
  <c r="D11"/>
  <c r="BN16"/>
  <c r="BO16" s="1"/>
  <c r="B10"/>
  <c r="BQ14"/>
  <c r="E10" s="1"/>
  <c r="S10" s="1"/>
  <c r="BX18"/>
  <c r="BD18"/>
  <c r="F9" s="1"/>
  <c r="N9" s="1"/>
  <c r="H24" i="5"/>
  <c r="Z5"/>
  <c r="AC4"/>
  <c r="AB4"/>
  <c r="AA4"/>
  <c r="AA3"/>
  <c r="D43" i="2"/>
  <c r="O37" i="6"/>
  <c r="O63"/>
  <c r="W10" i="3" l="1"/>
  <c r="Y10"/>
  <c r="BB19"/>
  <c r="BL30"/>
  <c r="BO30" s="1"/>
  <c r="BO29"/>
  <c r="E66" i="6"/>
  <c r="O9" i="3"/>
  <c r="BI14"/>
  <c r="U10"/>
  <c r="L10"/>
  <c r="I10"/>
  <c r="R10"/>
  <c r="G10"/>
  <c r="P10"/>
  <c r="AA10"/>
  <c r="K10"/>
  <c r="T10"/>
  <c r="Z10"/>
  <c r="X10"/>
  <c r="H10"/>
  <c r="M11"/>
  <c r="V11"/>
  <c r="BA20"/>
  <c r="BC20" s="1"/>
  <c r="BU21"/>
  <c r="BS13"/>
  <c r="C10"/>
  <c r="A10"/>
  <c r="BN17"/>
  <c r="BO17" s="1"/>
  <c r="BD19"/>
  <c r="F10" s="1"/>
  <c r="BX19"/>
  <c r="BB20"/>
  <c r="D12"/>
  <c r="B11"/>
  <c r="BQ15"/>
  <c r="E11" s="1"/>
  <c r="S11" s="1"/>
  <c r="L2" i="6"/>
  <c r="M22"/>
  <c r="Y11" i="3" l="1"/>
  <c r="W11"/>
  <c r="O10"/>
  <c r="N10"/>
  <c r="BI15"/>
  <c r="L11"/>
  <c r="Z11"/>
  <c r="P11"/>
  <c r="U11"/>
  <c r="T11"/>
  <c r="I11"/>
  <c r="R11"/>
  <c r="G11"/>
  <c r="X11"/>
  <c r="H11"/>
  <c r="AA11"/>
  <c r="K11"/>
  <c r="M12"/>
  <c r="V12"/>
  <c r="BA21"/>
  <c r="BC21" s="1"/>
  <c r="BU22"/>
  <c r="B12"/>
  <c r="BQ16"/>
  <c r="E12" s="1"/>
  <c r="A11"/>
  <c r="C11"/>
  <c r="D13"/>
  <c r="BD20"/>
  <c r="F11" s="1"/>
  <c r="N11" s="1"/>
  <c r="BX20"/>
  <c r="BN18"/>
  <c r="BO18" s="1"/>
  <c r="O44" i="6"/>
  <c r="O42"/>
  <c r="O40"/>
  <c r="O39"/>
  <c r="O38"/>
  <c r="M29"/>
  <c r="M27"/>
  <c r="M26"/>
  <c r="M25"/>
  <c r="M24"/>
  <c r="M23"/>
  <c r="G29"/>
  <c r="G28"/>
  <c r="G25"/>
  <c r="G24"/>
  <c r="G23"/>
  <c r="J51"/>
  <c r="AA54"/>
  <c r="AA55"/>
  <c r="AA56"/>
  <c r="Y60"/>
  <c r="M52"/>
  <c r="M53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AA31"/>
  <c r="E17"/>
  <c r="I16"/>
  <c r="I17"/>
  <c r="BB21" i="3" l="1"/>
  <c r="Y12"/>
  <c r="S12"/>
  <c r="W12"/>
  <c r="O11"/>
  <c r="BI16"/>
  <c r="AA12"/>
  <c r="K12"/>
  <c r="T12"/>
  <c r="I12"/>
  <c r="R12"/>
  <c r="X12"/>
  <c r="H12"/>
  <c r="L12"/>
  <c r="Z12"/>
  <c r="G12"/>
  <c r="P12"/>
  <c r="U12"/>
  <c r="V13"/>
  <c r="M13"/>
  <c r="BA22"/>
  <c r="BC22" s="1"/>
  <c r="BU23"/>
  <c r="BA23" s="1"/>
  <c r="BC23" s="1"/>
  <c r="BS14"/>
  <c r="BD21"/>
  <c r="F12" s="1"/>
  <c r="N12" s="1"/>
  <c r="BX21"/>
  <c r="H66" i="6" s="1"/>
  <c r="D14" i="3"/>
  <c r="C12"/>
  <c r="A12"/>
  <c r="BN19"/>
  <c r="B13"/>
  <c r="BQ17"/>
  <c r="E13" s="1"/>
  <c r="AA32" i="6"/>
  <c r="AA33" s="1"/>
  <c r="O43" s="1"/>
  <c r="AB32"/>
  <c r="BB23" i="3" l="1"/>
  <c r="Y13"/>
  <c r="S13"/>
  <c r="W13"/>
  <c r="BB22"/>
  <c r="BO19"/>
  <c r="D15" s="1"/>
  <c r="O12"/>
  <c r="BI17"/>
  <c r="Q8" s="1"/>
  <c r="AB8" s="1"/>
  <c r="AC8" s="1"/>
  <c r="Z13"/>
  <c r="X13"/>
  <c r="H13"/>
  <c r="L13"/>
  <c r="R13"/>
  <c r="G13"/>
  <c r="P13"/>
  <c r="U13"/>
  <c r="AA13"/>
  <c r="K13"/>
  <c r="T13"/>
  <c r="I13"/>
  <c r="M14"/>
  <c r="V14"/>
  <c r="BX23"/>
  <c r="K66" i="6" s="1"/>
  <c r="BD23" i="3"/>
  <c r="BN20"/>
  <c r="A13"/>
  <c r="C13"/>
  <c r="B14"/>
  <c r="BQ18"/>
  <c r="E14" s="1"/>
  <c r="BX22"/>
  <c r="J66" i="6" s="1"/>
  <c r="BD22" i="3"/>
  <c r="F13" s="1"/>
  <c r="N13" s="1"/>
  <c r="I14" i="6"/>
  <c r="F14"/>
  <c r="K10"/>
  <c r="K9"/>
  <c r="K8"/>
  <c r="BE9" i="3" l="1"/>
  <c r="S14"/>
  <c r="W14"/>
  <c r="Y14"/>
  <c r="F14"/>
  <c r="N14" s="1"/>
  <c r="M15"/>
  <c r="V15" s="1"/>
  <c r="BQ19"/>
  <c r="E15" s="1"/>
  <c r="U15" s="1"/>
  <c r="F15"/>
  <c r="BO20"/>
  <c r="D16" s="1"/>
  <c r="B15"/>
  <c r="A15" s="1"/>
  <c r="O13"/>
  <c r="BI18"/>
  <c r="Q9" s="1"/>
  <c r="U14"/>
  <c r="L14"/>
  <c r="I14"/>
  <c r="R14"/>
  <c r="G14"/>
  <c r="P14"/>
  <c r="Z14"/>
  <c r="AA14"/>
  <c r="K14"/>
  <c r="T14"/>
  <c r="X14"/>
  <c r="H14"/>
  <c r="BS15"/>
  <c r="BN21"/>
  <c r="BO21" s="1"/>
  <c r="C14"/>
  <c r="A14"/>
  <c r="E16" i="6"/>
  <c r="K12"/>
  <c r="A1"/>
  <c r="N3"/>
  <c r="J3"/>
  <c r="D3"/>
  <c r="S29" i="5"/>
  <c r="C29"/>
  <c r="AC6"/>
  <c r="AB6"/>
  <c r="O5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B1"/>
  <c r="P15" i="3" l="1"/>
  <c r="S15"/>
  <c r="N15"/>
  <c r="BI19"/>
  <c r="L15"/>
  <c r="AB9"/>
  <c r="AC9" s="1"/>
  <c r="W15"/>
  <c r="X15"/>
  <c r="Y15"/>
  <c r="C15"/>
  <c r="Z15"/>
  <c r="AA15"/>
  <c r="Q10"/>
  <c r="AB10" s="1"/>
  <c r="AC10" s="1"/>
  <c r="K15"/>
  <c r="H15"/>
  <c r="G15"/>
  <c r="BD7" s="1"/>
  <c r="R15"/>
  <c r="V16"/>
  <c r="M16"/>
  <c r="BQ20"/>
  <c r="E16" s="1"/>
  <c r="BI20" s="1"/>
  <c r="Q11" s="1"/>
  <c r="AB11" s="1"/>
  <c r="AC11" s="1"/>
  <c r="F16"/>
  <c r="B16"/>
  <c r="A16" s="1"/>
  <c r="D17"/>
  <c r="I15"/>
  <c r="T15"/>
  <c r="O14"/>
  <c r="BN22"/>
  <c r="D14" i="6"/>
  <c r="O17"/>
  <c r="O10"/>
  <c r="N16" i="3" l="1"/>
  <c r="L16"/>
  <c r="S16"/>
  <c r="Y16"/>
  <c r="W16"/>
  <c r="U16"/>
  <c r="BS16"/>
  <c r="O15"/>
  <c r="K16"/>
  <c r="X16"/>
  <c r="R16"/>
  <c r="T16"/>
  <c r="C16"/>
  <c r="G16"/>
  <c r="I16"/>
  <c r="AA16"/>
  <c r="P16"/>
  <c r="H16"/>
  <c r="Z16"/>
  <c r="M17"/>
  <c r="F17"/>
  <c r="B17"/>
  <c r="C17" s="1"/>
  <c r="V17"/>
  <c r="BQ21"/>
  <c r="E17" s="1"/>
  <c r="R17" s="1"/>
  <c r="BO22"/>
  <c r="D18" s="1"/>
  <c r="BQ22" s="1"/>
  <c r="BI21"/>
  <c r="Q12" s="1"/>
  <c r="AB12" s="1"/>
  <c r="AC12" s="1"/>
  <c r="N17"/>
  <c r="D20"/>
  <c r="BQ24" s="1"/>
  <c r="BN23"/>
  <c r="K14" i="6"/>
  <c r="O15" s="1"/>
  <c r="P17" i="3" l="1"/>
  <c r="S17"/>
  <c r="Y17"/>
  <c r="W17"/>
  <c r="K17"/>
  <c r="H17"/>
  <c r="U17"/>
  <c r="O16"/>
  <c r="G17"/>
  <c r="AA17"/>
  <c r="X17"/>
  <c r="I17"/>
  <c r="T17"/>
  <c r="Z17"/>
  <c r="L17"/>
  <c r="A17"/>
  <c r="B18"/>
  <c r="F18"/>
  <c r="E18"/>
  <c r="V18"/>
  <c r="M18"/>
  <c r="BO23"/>
  <c r="D19" s="1"/>
  <c r="BQ23" s="1"/>
  <c r="M20"/>
  <c r="V20" s="1"/>
  <c r="F20"/>
  <c r="E20"/>
  <c r="D21"/>
  <c r="BQ25" s="1"/>
  <c r="X18" l="1"/>
  <c r="S18"/>
  <c r="BI22"/>
  <c r="N18"/>
  <c r="Y18"/>
  <c r="W18"/>
  <c r="Q13"/>
  <c r="AB13" s="1"/>
  <c r="AC13" s="1"/>
  <c r="Q16"/>
  <c r="AB16" s="1"/>
  <c r="AC16" s="1"/>
  <c r="O17"/>
  <c r="K18"/>
  <c r="I18"/>
  <c r="G18"/>
  <c r="H18"/>
  <c r="BS17"/>
  <c r="U18"/>
  <c r="R18"/>
  <c r="L18"/>
  <c r="Z18"/>
  <c r="V19"/>
  <c r="F19"/>
  <c r="M19"/>
  <c r="E19"/>
  <c r="P19" s="1"/>
  <c r="T18"/>
  <c r="AA18"/>
  <c r="P18"/>
  <c r="B19"/>
  <c r="A18"/>
  <c r="C18"/>
  <c r="Q18"/>
  <c r="Q20"/>
  <c r="U20"/>
  <c r="N20"/>
  <c r="S20"/>
  <c r="X20"/>
  <c r="H20"/>
  <c r="Y20"/>
  <c r="I20"/>
  <c r="R20"/>
  <c r="W20"/>
  <c r="G20"/>
  <c r="L20"/>
  <c r="AA20"/>
  <c r="K20"/>
  <c r="P20"/>
  <c r="T20"/>
  <c r="BI23"/>
  <c r="Q17" s="1"/>
  <c r="N19"/>
  <c r="V21"/>
  <c r="F21"/>
  <c r="N21" s="1"/>
  <c r="BS18"/>
  <c r="E21"/>
  <c r="D22"/>
  <c r="BQ26" s="1"/>
  <c r="R19" l="1"/>
  <c r="X19"/>
  <c r="S19"/>
  <c r="Y19"/>
  <c r="W19"/>
  <c r="AB17"/>
  <c r="AC17" s="1"/>
  <c r="K19"/>
  <c r="L19"/>
  <c r="O18"/>
  <c r="AB18" s="1"/>
  <c r="AC18" s="1"/>
  <c r="H19"/>
  <c r="Q14"/>
  <c r="AB14" s="1"/>
  <c r="AC14" s="1"/>
  <c r="Q15"/>
  <c r="AB15" s="1"/>
  <c r="AC15" s="1"/>
  <c r="I19"/>
  <c r="T19"/>
  <c r="AA19"/>
  <c r="U19"/>
  <c r="G19"/>
  <c r="Z19"/>
  <c r="C19"/>
  <c r="B20"/>
  <c r="A19"/>
  <c r="Q19"/>
  <c r="O20"/>
  <c r="AB20" s="1"/>
  <c r="AC20" s="1"/>
  <c r="T21"/>
  <c r="Y21"/>
  <c r="H21"/>
  <c r="W21"/>
  <c r="L21"/>
  <c r="X21"/>
  <c r="G21"/>
  <c r="R21"/>
  <c r="K21"/>
  <c r="P21"/>
  <c r="U21"/>
  <c r="AA21"/>
  <c r="I21"/>
  <c r="S21"/>
  <c r="Q21"/>
  <c r="V22"/>
  <c r="F22"/>
  <c r="Q22" s="1"/>
  <c r="E22"/>
  <c r="K22" s="1"/>
  <c r="D23"/>
  <c r="BQ27" s="1"/>
  <c r="T5" i="5"/>
  <c r="P5"/>
  <c r="Q5"/>
  <c r="R5"/>
  <c r="S5"/>
  <c r="N5"/>
  <c r="J5"/>
  <c r="G5"/>
  <c r="H5"/>
  <c r="I5"/>
  <c r="F5"/>
  <c r="O19" i="3" l="1"/>
  <c r="A20"/>
  <c r="C20"/>
  <c r="B21"/>
  <c r="AB19"/>
  <c r="AC19" s="1"/>
  <c r="O21"/>
  <c r="AB21" s="1"/>
  <c r="R22"/>
  <c r="L22"/>
  <c r="G22"/>
  <c r="X22"/>
  <c r="W22"/>
  <c r="N22"/>
  <c r="H22"/>
  <c r="Y22"/>
  <c r="T22"/>
  <c r="S22"/>
  <c r="I22"/>
  <c r="AA22"/>
  <c r="U22"/>
  <c r="P22"/>
  <c r="T23"/>
  <c r="P23"/>
  <c r="G23"/>
  <c r="U23"/>
  <c r="V23"/>
  <c r="R23"/>
  <c r="AX41"/>
  <c r="W23"/>
  <c r="F23"/>
  <c r="BS19"/>
  <c r="E23"/>
  <c r="D24"/>
  <c r="K6" i="5"/>
  <c r="B6"/>
  <c r="AC21" i="3" l="1"/>
  <c r="A21"/>
  <c r="B22"/>
  <c r="C21"/>
  <c r="Y23"/>
  <c r="S23"/>
  <c r="I23"/>
  <c r="AA23"/>
  <c r="Q23"/>
  <c r="K23"/>
  <c r="L23"/>
  <c r="O22"/>
  <c r="F24"/>
  <c r="N24" s="1"/>
  <c r="V24"/>
  <c r="X23"/>
  <c r="N23"/>
  <c r="H23"/>
  <c r="BQ28"/>
  <c r="E24" s="1"/>
  <c r="W24" s="1"/>
  <c r="D25"/>
  <c r="BQ29" s="1"/>
  <c r="D26"/>
  <c r="K7" i="5"/>
  <c r="B7"/>
  <c r="V6"/>
  <c r="T7"/>
  <c r="L6"/>
  <c r="U6"/>
  <c r="H6"/>
  <c r="G6"/>
  <c r="D6"/>
  <c r="E6"/>
  <c r="I6"/>
  <c r="S6"/>
  <c r="J6"/>
  <c r="T6"/>
  <c r="R6"/>
  <c r="W6"/>
  <c r="P6"/>
  <c r="F6"/>
  <c r="Q6"/>
  <c r="N6"/>
  <c r="D7"/>
  <c r="C6"/>
  <c r="X6"/>
  <c r="Y6"/>
  <c r="Q24" i="3" l="1"/>
  <c r="B23"/>
  <c r="A22"/>
  <c r="C22"/>
  <c r="O23"/>
  <c r="AB23" s="1"/>
  <c r="AC23" s="1"/>
  <c r="V25"/>
  <c r="F25"/>
  <c r="H24"/>
  <c r="Y24"/>
  <c r="T24"/>
  <c r="S24"/>
  <c r="V26"/>
  <c r="T24" i="5" s="1"/>
  <c r="R26" i="3"/>
  <c r="P24" i="5" s="1"/>
  <c r="F26" i="3"/>
  <c r="D24" i="5" s="1"/>
  <c r="AB22" i="3"/>
  <c r="AC22" s="1"/>
  <c r="I24"/>
  <c r="AA24"/>
  <c r="U24"/>
  <c r="P24"/>
  <c r="K24"/>
  <c r="R24"/>
  <c r="L24"/>
  <c r="G24"/>
  <c r="X24"/>
  <c r="BQ30"/>
  <c r="E26" s="1"/>
  <c r="E25"/>
  <c r="BS20"/>
  <c r="B24" i="5"/>
  <c r="K8"/>
  <c r="B8"/>
  <c r="T8"/>
  <c r="D8"/>
  <c r="A23" i="3" l="1"/>
  <c r="B24"/>
  <c r="C23"/>
  <c r="O24"/>
  <c r="P25"/>
  <c r="U25"/>
  <c r="AA25"/>
  <c r="I25"/>
  <c r="S25"/>
  <c r="T25"/>
  <c r="Y25"/>
  <c r="H25"/>
  <c r="N25"/>
  <c r="W25"/>
  <c r="X25"/>
  <c r="G25"/>
  <c r="L25"/>
  <c r="R25"/>
  <c r="K25"/>
  <c r="Q25"/>
  <c r="AA26"/>
  <c r="Y24" i="5" s="1"/>
  <c r="I26" i="3"/>
  <c r="G24" i="5" s="1"/>
  <c r="S26" i="3"/>
  <c r="Q24" i="5" s="1"/>
  <c r="T26" i="3"/>
  <c r="R24" i="5" s="1"/>
  <c r="Y26" i="3"/>
  <c r="W24" i="5" s="1"/>
  <c r="H26" i="3"/>
  <c r="F24" i="5" s="1"/>
  <c r="N26" i="3"/>
  <c r="L24" i="5" s="1"/>
  <c r="W26" i="3"/>
  <c r="U24" i="5" s="1"/>
  <c r="X26" i="3"/>
  <c r="V24" i="5" s="1"/>
  <c r="G26" i="3"/>
  <c r="E24" i="5" s="1"/>
  <c r="L26" i="3"/>
  <c r="J24" i="5" s="1"/>
  <c r="K26" i="3"/>
  <c r="I24" i="5" s="1"/>
  <c r="Q26" i="3"/>
  <c r="O24" i="5" s="1"/>
  <c r="P26" i="3"/>
  <c r="N24" i="5" s="1"/>
  <c r="U26" i="3"/>
  <c r="S24" i="5" s="1"/>
  <c r="AB24" i="3"/>
  <c r="AC24" s="1"/>
  <c r="C24" i="5"/>
  <c r="K9"/>
  <c r="B9"/>
  <c r="V8"/>
  <c r="C8"/>
  <c r="U7"/>
  <c r="C7"/>
  <c r="M6"/>
  <c r="Q7"/>
  <c r="J7"/>
  <c r="R7"/>
  <c r="S7"/>
  <c r="I7"/>
  <c r="P7"/>
  <c r="F7"/>
  <c r="W7"/>
  <c r="E7"/>
  <c r="N7"/>
  <c r="L7"/>
  <c r="G7"/>
  <c r="T9"/>
  <c r="Y7"/>
  <c r="V7"/>
  <c r="L8"/>
  <c r="P8"/>
  <c r="U8"/>
  <c r="H8"/>
  <c r="G8"/>
  <c r="D9"/>
  <c r="S8"/>
  <c r="W8"/>
  <c r="J8"/>
  <c r="N8"/>
  <c r="R8"/>
  <c r="F8"/>
  <c r="I8"/>
  <c r="Q8"/>
  <c r="E8"/>
  <c r="Y8"/>
  <c r="A24" i="3" l="1"/>
  <c r="C24"/>
  <c r="B25"/>
  <c r="O25"/>
  <c r="O26"/>
  <c r="K10" i="5"/>
  <c r="B10"/>
  <c r="X7"/>
  <c r="V9"/>
  <c r="C9"/>
  <c r="X8"/>
  <c r="T10"/>
  <c r="L9"/>
  <c r="P9"/>
  <c r="U9"/>
  <c r="H9"/>
  <c r="G9"/>
  <c r="D10"/>
  <c r="N9"/>
  <c r="R9"/>
  <c r="F9"/>
  <c r="I9"/>
  <c r="Q9"/>
  <c r="E9"/>
  <c r="S9"/>
  <c r="W9"/>
  <c r="J9"/>
  <c r="Y9"/>
  <c r="B26" i="3" l="1"/>
  <c r="C25"/>
  <c r="A25"/>
  <c r="AB25"/>
  <c r="AC25" s="1"/>
  <c r="M24" i="5"/>
  <c r="AB26" i="3"/>
  <c r="Z24" i="5" s="1"/>
  <c r="M7"/>
  <c r="M8"/>
  <c r="V10"/>
  <c r="C10"/>
  <c r="K11"/>
  <c r="B11"/>
  <c r="X9"/>
  <c r="T11"/>
  <c r="L10"/>
  <c r="P10"/>
  <c r="U10"/>
  <c r="H10"/>
  <c r="G10"/>
  <c r="D11"/>
  <c r="S10"/>
  <c r="W10"/>
  <c r="J10"/>
  <c r="E10"/>
  <c r="N10"/>
  <c r="R10"/>
  <c r="F10"/>
  <c r="I10"/>
  <c r="Q10"/>
  <c r="Y10"/>
  <c r="A26" i="3" l="1"/>
  <c r="C26"/>
  <c r="AC26"/>
  <c r="AA24" i="5" s="1"/>
  <c r="M9"/>
  <c r="V11"/>
  <c r="C11"/>
  <c r="K12"/>
  <c r="B12"/>
  <c r="X10"/>
  <c r="L11"/>
  <c r="P11"/>
  <c r="U11"/>
  <c r="H11"/>
  <c r="G11"/>
  <c r="D12"/>
  <c r="N11"/>
  <c r="R11"/>
  <c r="F11"/>
  <c r="I11"/>
  <c r="E11"/>
  <c r="Q11"/>
  <c r="S11"/>
  <c r="W11"/>
  <c r="J11"/>
  <c r="Y11"/>
  <c r="M10" l="1"/>
  <c r="K13"/>
  <c r="B13"/>
  <c r="X11"/>
  <c r="V12"/>
  <c r="C12"/>
  <c r="T13"/>
  <c r="T12"/>
  <c r="L12"/>
  <c r="P12"/>
  <c r="U12"/>
  <c r="H12"/>
  <c r="G12"/>
  <c r="D13"/>
  <c r="S12"/>
  <c r="W12"/>
  <c r="J12"/>
  <c r="N12"/>
  <c r="R12"/>
  <c r="F12"/>
  <c r="I12"/>
  <c r="Q12"/>
  <c r="E12"/>
  <c r="Y12"/>
  <c r="M11" l="1"/>
  <c r="O7"/>
  <c r="K15"/>
  <c r="B15"/>
  <c r="K14"/>
  <c r="B14"/>
  <c r="X12"/>
  <c r="V13"/>
  <c r="C13"/>
  <c r="T15"/>
  <c r="L13"/>
  <c r="P13"/>
  <c r="U13"/>
  <c r="H13"/>
  <c r="G13"/>
  <c r="D14"/>
  <c r="N13"/>
  <c r="R13"/>
  <c r="F13"/>
  <c r="I13"/>
  <c r="Q13"/>
  <c r="S13"/>
  <c r="W13"/>
  <c r="J13"/>
  <c r="Y13"/>
  <c r="M12" l="1"/>
  <c r="AA7"/>
  <c r="Z7"/>
  <c r="X13"/>
  <c r="E13"/>
  <c r="V14"/>
  <c r="C14"/>
  <c r="O8"/>
  <c r="T14"/>
  <c r="L14"/>
  <c r="P14"/>
  <c r="U14"/>
  <c r="H14"/>
  <c r="G14"/>
  <c r="D15"/>
  <c r="S14"/>
  <c r="W14"/>
  <c r="J14"/>
  <c r="E14"/>
  <c r="N14"/>
  <c r="R14"/>
  <c r="F14"/>
  <c r="I14"/>
  <c r="Q14"/>
  <c r="Y14"/>
  <c r="M13" l="1"/>
  <c r="AA8"/>
  <c r="Z8"/>
  <c r="X14"/>
  <c r="K16"/>
  <c r="B16"/>
  <c r="V15"/>
  <c r="C15"/>
  <c r="O9"/>
  <c r="T16"/>
  <c r="O14"/>
  <c r="L15"/>
  <c r="P15"/>
  <c r="U15"/>
  <c r="H15"/>
  <c r="G15"/>
  <c r="D16"/>
  <c r="N15"/>
  <c r="R15"/>
  <c r="F15"/>
  <c r="I15"/>
  <c r="E15"/>
  <c r="Q15"/>
  <c r="S15"/>
  <c r="W15"/>
  <c r="J15"/>
  <c r="Y15"/>
  <c r="M14" l="1"/>
  <c r="O10"/>
  <c r="AA9"/>
  <c r="Z9"/>
  <c r="K17"/>
  <c r="B17"/>
  <c r="X15"/>
  <c r="V16"/>
  <c r="C16"/>
  <c r="T17"/>
  <c r="O15"/>
  <c r="L16"/>
  <c r="P16"/>
  <c r="U16"/>
  <c r="H16"/>
  <c r="G16"/>
  <c r="D17"/>
  <c r="S16"/>
  <c r="W16"/>
  <c r="J16"/>
  <c r="N16"/>
  <c r="R16"/>
  <c r="F16"/>
  <c r="I16"/>
  <c r="Q16"/>
  <c r="E16"/>
  <c r="Y16"/>
  <c r="M15" l="1"/>
  <c r="K18"/>
  <c r="B18"/>
  <c r="V17"/>
  <c r="C17"/>
  <c r="AA10"/>
  <c r="Z10"/>
  <c r="O11"/>
  <c r="X16"/>
  <c r="AA14"/>
  <c r="Z14"/>
  <c r="T18"/>
  <c r="O16"/>
  <c r="L17"/>
  <c r="P17"/>
  <c r="U17"/>
  <c r="H17"/>
  <c r="G17"/>
  <c r="D18"/>
  <c r="N17"/>
  <c r="R17"/>
  <c r="F17"/>
  <c r="I17"/>
  <c r="Q17"/>
  <c r="E17"/>
  <c r="S17"/>
  <c r="W17"/>
  <c r="J17"/>
  <c r="O6"/>
  <c r="Y17"/>
  <c r="X17"/>
  <c r="K27"/>
  <c r="M16" l="1"/>
  <c r="T19"/>
  <c r="B19"/>
  <c r="AA15"/>
  <c r="Z15"/>
  <c r="V18"/>
  <c r="C18"/>
  <c r="AA11"/>
  <c r="Z11"/>
  <c r="O12"/>
  <c r="O18"/>
  <c r="O17"/>
  <c r="L18"/>
  <c r="X27"/>
  <c r="P18"/>
  <c r="U18"/>
  <c r="H18"/>
  <c r="G18"/>
  <c r="E18"/>
  <c r="W18"/>
  <c r="R18"/>
  <c r="F18"/>
  <c r="N18"/>
  <c r="Q18"/>
  <c r="I18"/>
  <c r="J18"/>
  <c r="S18"/>
  <c r="C19"/>
  <c r="AA6"/>
  <c r="Z6"/>
  <c r="Y18"/>
  <c r="M17" l="1"/>
  <c r="AA12"/>
  <c r="Z12"/>
  <c r="O13"/>
  <c r="T20"/>
  <c r="B20"/>
  <c r="O19"/>
  <c r="D19"/>
  <c r="AA16"/>
  <c r="Z16"/>
  <c r="P19"/>
  <c r="V19"/>
  <c r="M66" i="6"/>
  <c r="O66" s="1"/>
  <c r="L19" i="5"/>
  <c r="U19"/>
  <c r="N19"/>
  <c r="H19"/>
  <c r="G19"/>
  <c r="R19"/>
  <c r="F19"/>
  <c r="I19"/>
  <c r="E19"/>
  <c r="Q19"/>
  <c r="S19"/>
  <c r="W19"/>
  <c r="J19"/>
  <c r="Y19"/>
  <c r="M18" l="1"/>
  <c r="T21"/>
  <c r="B21"/>
  <c r="V20"/>
  <c r="C20"/>
  <c r="O20"/>
  <c r="D20"/>
  <c r="T22"/>
  <c r="B22"/>
  <c r="AA17"/>
  <c r="Z17"/>
  <c r="AA13"/>
  <c r="Z13"/>
  <c r="T23"/>
  <c r="B23"/>
  <c r="L20"/>
  <c r="P20"/>
  <c r="U20"/>
  <c r="H20"/>
  <c r="G20"/>
  <c r="D21"/>
  <c r="C23"/>
  <c r="D23"/>
  <c r="S20"/>
  <c r="W20"/>
  <c r="J20"/>
  <c r="N20"/>
  <c r="R20"/>
  <c r="F20"/>
  <c r="I20"/>
  <c r="Q20"/>
  <c r="E20"/>
  <c r="Y20"/>
  <c r="M19" l="1"/>
  <c r="O22"/>
  <c r="D22"/>
  <c r="D27" s="1"/>
  <c r="V22"/>
  <c r="C22"/>
  <c r="V21"/>
  <c r="C21"/>
  <c r="AA18"/>
  <c r="Z18"/>
  <c r="O23"/>
  <c r="V23"/>
  <c r="O21"/>
  <c r="L22"/>
  <c r="L21"/>
  <c r="L23"/>
  <c r="P21"/>
  <c r="U21"/>
  <c r="R22"/>
  <c r="P22"/>
  <c r="U22"/>
  <c r="H21"/>
  <c r="U23"/>
  <c r="H22"/>
  <c r="H23"/>
  <c r="G21"/>
  <c r="G23"/>
  <c r="G22"/>
  <c r="R21"/>
  <c r="N21"/>
  <c r="S21"/>
  <c r="J21"/>
  <c r="E21"/>
  <c r="W21"/>
  <c r="F21"/>
  <c r="Q21"/>
  <c r="I21"/>
  <c r="N23"/>
  <c r="R23"/>
  <c r="F23"/>
  <c r="I23"/>
  <c r="E23"/>
  <c r="Q23"/>
  <c r="P23"/>
  <c r="S23"/>
  <c r="W23"/>
  <c r="J23"/>
  <c r="S22"/>
  <c r="W22"/>
  <c r="J22"/>
  <c r="E22"/>
  <c r="N22"/>
  <c r="F22"/>
  <c r="I22"/>
  <c r="Q22"/>
  <c r="Y23"/>
  <c r="Y21"/>
  <c r="Y22"/>
  <c r="M20" l="1"/>
  <c r="AA19"/>
  <c r="Z19"/>
  <c r="H27"/>
  <c r="W27"/>
  <c r="J27"/>
  <c r="O27"/>
  <c r="G27"/>
  <c r="O6" i="6" s="1"/>
  <c r="R27" i="5"/>
  <c r="P27"/>
  <c r="N27"/>
  <c r="V27"/>
  <c r="Y27"/>
  <c r="G27" i="6" s="1"/>
  <c r="E27" i="5"/>
  <c r="I27"/>
  <c r="F27"/>
  <c r="L27"/>
  <c r="S27"/>
  <c r="U27"/>
  <c r="O41" i="6" s="1"/>
  <c r="T27" i="5"/>
  <c r="G31" i="6" s="1"/>
  <c r="Q27" i="5"/>
  <c r="C27"/>
  <c r="M23" l="1"/>
  <c r="M21"/>
  <c r="M22"/>
  <c r="AA20"/>
  <c r="Z20"/>
  <c r="O33" i="6"/>
  <c r="AB23"/>
  <c r="M21" s="1"/>
  <c r="G22"/>
  <c r="O5"/>
  <c r="G26"/>
  <c r="G21"/>
  <c r="AB38"/>
  <c r="AB40"/>
  <c r="AA22" i="5" l="1"/>
  <c r="Z22"/>
  <c r="AA21"/>
  <c r="Z21"/>
  <c r="AA23"/>
  <c r="Z23"/>
  <c r="M31" i="6"/>
  <c r="Z24"/>
  <c r="AB24" s="1"/>
  <c r="AC27" s="1"/>
  <c r="AA29" s="1"/>
  <c r="AB35" s="1"/>
  <c r="O45"/>
  <c r="M27" i="5"/>
  <c r="AA23" i="6" l="1"/>
  <c r="Z23" s="1"/>
  <c r="AA27" s="1"/>
  <c r="O4"/>
  <c r="Z27" i="5"/>
  <c r="AA27"/>
  <c r="O7" i="6" l="1"/>
  <c r="O11" s="1"/>
  <c r="O16" s="1"/>
  <c r="O18" s="1"/>
  <c r="O32"/>
  <c r="O35" s="1"/>
  <c r="O46" l="1"/>
  <c r="O47" s="1"/>
  <c r="O48" l="1"/>
  <c r="X59" l="1"/>
  <c r="AB55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AE54" l="1"/>
  <c r="O55" s="1"/>
  <c r="AA51"/>
  <c r="AE56"/>
  <c r="O57" s="1"/>
  <c r="AA52"/>
  <c r="O53" s="1"/>
  <c r="AE55"/>
  <c r="O56" s="1"/>
  <c r="Z57"/>
  <c r="AD57"/>
  <c r="AB57"/>
  <c r="AE51"/>
  <c r="Y57"/>
  <c r="X57"/>
  <c r="AC57"/>
  <c r="O54"/>
  <c r="O52" l="1"/>
  <c r="O58" s="1"/>
  <c r="O59" s="1"/>
  <c r="AA57"/>
  <c r="AE57"/>
  <c r="O60" l="1"/>
  <c r="O61" s="1"/>
  <c r="O62" s="1"/>
  <c r="O64" s="1"/>
  <c r="A67" s="1"/>
  <c r="O67" l="1"/>
</calcChain>
</file>

<file path=xl/sharedStrings.xml><?xml version="1.0" encoding="utf-8"?>
<sst xmlns="http://schemas.openxmlformats.org/spreadsheetml/2006/main" count="446" uniqueCount="329">
  <si>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</si>
  <si>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</si>
  <si>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</si>
  <si>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</si>
  <si>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</si>
  <si>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</si>
  <si>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</si>
  <si>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</si>
  <si>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</si>
  <si>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NPS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</si>
  <si>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</si>
  <si>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</si>
  <si>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</si>
  <si>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</si>
  <si>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</si>
  <si>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</si>
  <si>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</si>
  <si>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</si>
  <si>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</si>
  <si>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</si>
  <si>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</si>
  <si>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</si>
  <si>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</si>
  <si>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</si>
  <si>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</si>
  <si>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</si>
  <si>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</si>
  <si>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</si>
  <si>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</si>
  <si>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</si>
  <si>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</si>
  <si>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</si>
  <si>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</si>
  <si>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</si>
  <si>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</si>
  <si>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</si>
  <si>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</si>
  <si>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</si>
  <si>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</si>
  <si>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</si>
  <si>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</si>
  <si>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</si>
  <si>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</si>
  <si>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</si>
  <si>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</si>
  <si>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</si>
  <si>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</si>
  <si>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</si>
  <si>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</si>
  <si>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</si>
  <si>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</si>
  <si>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</si>
  <si>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</si>
  <si>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</si>
  <si>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</si>
  <si>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</si>
  <si>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</si>
  <si>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t>School Name :-</t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</si>
  <si>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</si>
  <si>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</si>
  <si>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</si>
  <si>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</si>
  <si>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</si>
  <si>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</si>
  <si>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</si>
  <si>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</si>
  <si>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</si>
  <si>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Income Tax</t>
  </si>
  <si>
    <t>G.I. + S. Tax</t>
  </si>
  <si>
    <t>Other 1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</si>
  <si>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</si>
  <si>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</si>
  <si>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</si>
  <si>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</si>
  <si>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</si>
  <si>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</si>
  <si>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</si>
  <si>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</si>
  <si>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</si>
  <si>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</si>
  <si>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</si>
  <si>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</si>
  <si>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</si>
  <si>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</si>
  <si>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</si>
  <si>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</si>
  <si>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</si>
  <si>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</si>
  <si>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</si>
  <si>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</si>
  <si>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</si>
  <si>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</si>
  <si>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</si>
  <si>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</si>
  <si>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</si>
  <si>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</si>
  <si>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</si>
  <si>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</si>
  <si>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</si>
  <si>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</si>
  <si>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</si>
  <si>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 xml:space="preserve">Ministerial Staff  Yes/No :- </t>
  </si>
  <si>
    <t>Other Arrear</t>
  </si>
  <si>
    <t>GPF Loan</t>
  </si>
  <si>
    <t>SI Loan</t>
  </si>
  <si>
    <t>PD Head Select Yes/No :-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</si>
  <si>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</si>
  <si>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</si>
  <si>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</si>
  <si>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</si>
  <si>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</si>
  <si>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</si>
  <si>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</si>
  <si>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</si>
  <si>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</si>
  <si>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</si>
  <si>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</si>
  <si>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</si>
  <si>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</si>
  <si>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</si>
  <si>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</si>
  <si>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</si>
  <si>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</si>
  <si>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</si>
  <si>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</si>
  <si>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</si>
  <si>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</si>
  <si>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</si>
  <si>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</si>
  <si>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</si>
  <si>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</si>
  <si>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</si>
  <si>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</si>
  <si>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</si>
  <si>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</si>
  <si>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</si>
  <si>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</si>
  <si>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</si>
  <si>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</si>
  <si>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</si>
  <si>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</si>
  <si>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t>2,50,001  to  5,00,000</t>
  </si>
  <si>
    <t>old</t>
  </si>
  <si>
    <t>New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</si>
  <si>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</si>
  <si>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</si>
  <si>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</si>
  <si>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</si>
  <si>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</si>
  <si>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t>Above 80</t>
  </si>
  <si>
    <t>SI Arrear</t>
  </si>
  <si>
    <r>
      <rPr>
        <b/>
        <sz val="14"/>
        <color rgb="FF400E3C"/>
        <rFont val="Calibri"/>
        <family val="2"/>
        <scheme val="minor"/>
      </rPr>
      <t xml:space="preserve">Master Sheet </t>
    </r>
    <r>
      <rPr>
        <b/>
        <sz val="12"/>
        <color rgb="FF400E3C"/>
        <rFont val="Calibri"/>
        <family val="2"/>
        <scheme val="minor"/>
      </rPr>
      <t>की अधिक जानकारी के लिए नीचे दिए लिंक पर युटुब विडियो जरूर देखें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</si>
  <si>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</si>
  <si>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</si>
  <si>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</si>
  <si>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</si>
  <si>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</si>
  <si>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</si>
  <si>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t xml:space="preserve">विकलांग भत्ता  :- </t>
  </si>
  <si>
    <t xml:space="preserve">आप किस आयु वर्ग श्रेणी में आते है ? </t>
  </si>
  <si>
    <t xml:space="preserve">क्या आपने समर्पित वेतन उठाया है ? </t>
  </si>
  <si>
    <t xml:space="preserve">यदि हा तो माह सलेक्ट करे  :- </t>
  </si>
  <si>
    <t xml:space="preserve">क्या आपको बोनस मिला है :- </t>
  </si>
  <si>
    <t xml:space="preserve">आपको अभी कोनसा वेतन मिल रहा है :- </t>
  </si>
  <si>
    <t xml:space="preserve">पे मेट्रिक्स के अनुसार पे लेवल लिखे  :- </t>
  </si>
  <si>
    <r>
      <rPr>
        <b/>
        <sz val="11"/>
        <color rgb="FFFF0000"/>
        <rFont val="Kruti Dev 010"/>
      </rPr>
      <t xml:space="preserve">यदि मूल वेतन में कोई परिवर्तन हुआ है जैसे एसीपी या अन्य कारणों से तो </t>
    </r>
    <r>
      <rPr>
        <b/>
        <sz val="14"/>
        <color rgb="FFFF0000"/>
        <rFont val="Kruti Dev 010"/>
      </rPr>
      <t xml:space="preserve"> </t>
    </r>
    <r>
      <rPr>
        <b/>
        <sz val="11"/>
        <color rgb="FF0000FF"/>
        <rFont val="Calibri"/>
        <family val="2"/>
        <scheme val="minor"/>
      </rPr>
      <t>(इन्क्रीमेंट के अलावा )</t>
    </r>
    <r>
      <rPr>
        <b/>
        <sz val="14"/>
        <color rgb="FFFF0000"/>
        <rFont val="Kruti Dev 010"/>
      </rPr>
      <t xml:space="preserve"> </t>
    </r>
    <r>
      <rPr>
        <b/>
        <sz val="11"/>
        <color rgb="FFFF0000"/>
        <rFont val="Calibri"/>
        <family val="2"/>
        <scheme val="minor"/>
      </rPr>
      <t>( माह सलेक्ट करे )</t>
    </r>
  </si>
  <si>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</si>
  <si>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</si>
  <si>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</si>
  <si>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</si>
  <si>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आय : वर्ष  2020-21  में प्राप्त कुल आय ( कर योग्य मूल्यों सहित )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</si>
  <si>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</si>
  <si>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</si>
  <si>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</si>
  <si>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</si>
  <si>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</si>
  <si>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किराये का 30%</t>
  </si>
  <si>
    <t xml:space="preserve">गृह ऋण पर ब्याज </t>
  </si>
  <si>
    <t xml:space="preserve">गृह कर </t>
  </si>
  <si>
    <t>योग 7 (ब)</t>
  </si>
  <si>
    <t>(2) प्राप्त किराया रु .</t>
  </si>
  <si>
    <t xml:space="preserve">शेष -/+  (7 (अ)  एवं योग 7 (ब) का ) :- </t>
  </si>
  <si>
    <t xml:space="preserve">बचत खाते पर ब्याज : </t>
  </si>
  <si>
    <t>अन्य आय :</t>
  </si>
  <si>
    <t xml:space="preserve">एफडी व अन्य आय पर प्राप्त ब्याज राशि </t>
  </si>
  <si>
    <r>
      <rPr>
        <sz val="11"/>
        <rFont val="Calibri"/>
        <family val="2"/>
        <scheme val="minor"/>
      </rPr>
      <t xml:space="preserve">Bonds </t>
    </r>
    <r>
      <rPr>
        <sz val="10"/>
        <rFont val="Calibri"/>
        <family val="2"/>
        <scheme val="minor"/>
      </rPr>
      <t xml:space="preserve">से प्राप्त ब्याज </t>
    </r>
  </si>
  <si>
    <t xml:space="preserve">कुल शेष - / + (6 एवं 7) :- </t>
  </si>
  <si>
    <t xml:space="preserve">योग (8 + 9)  </t>
  </si>
  <si>
    <t xml:space="preserve">सकल आय </t>
  </si>
  <si>
    <t>रु.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</si>
  <si>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</si>
  <si>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</si>
  <si>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</si>
  <si>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t>जीवन बीमा प्रीमियम (LIC)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</si>
  <si>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</si>
  <si>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</si>
  <si>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</si>
  <si>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सामान्य प्रावधायी निधि  (GPF)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</si>
  <si>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</si>
  <si>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</si>
  <si>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</si>
  <si>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वेतन के अतिरिक्त जीवन बीमा  (Extra LIC)</t>
  </si>
  <si>
    <t>पेंशन प्लान हेतु योगदान  (धारा 80ccc)</t>
  </si>
  <si>
    <r>
      <t xml:space="preserve">पेंशन योजना में योगदान  </t>
    </r>
    <r>
      <rPr>
        <b/>
        <sz val="10"/>
        <rFont val="Calibri"/>
        <family val="2"/>
        <scheme val="minor"/>
      </rPr>
      <t>ECPF धारा  80ccd(1)</t>
    </r>
    <r>
      <rPr>
        <sz val="10"/>
        <rFont val="Calibri"/>
        <family val="2"/>
        <scheme val="minor"/>
      </rPr>
      <t xml:space="preserve">
</t>
    </r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</si>
  <si>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</si>
  <si>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</si>
  <si>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</si>
  <si>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</si>
  <si>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</si>
  <si>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>अन्य जमाराशि (धारा 80 C के अंतर्गत) म्यूच्यूअल फण्ड</t>
  </si>
  <si>
    <t>सुकन्या समृद्धि योजना में जमा राशि</t>
  </si>
  <si>
    <t>अन्य व फिक्स डिपोजिट  (5 वर्ष हेतु )</t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</si>
  <si>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</si>
  <si>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</si>
  <si>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(ब) घटाइये</t>
  </si>
  <si>
    <t>(C) घटाइये - धारा  80CCD (1B) नवीन पेंशन योजना में अतिरिक्त अंशदान  (अधिकतम 50,000 रु. )</t>
  </si>
  <si>
    <t xml:space="preserve">योग 11(A+B+C)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</si>
  <si>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</si>
  <si>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</si>
  <si>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</si>
  <si>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</si>
  <si>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</si>
  <si>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</si>
  <si>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</si>
  <si>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</si>
  <si>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</si>
  <si>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</si>
  <si>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</si>
  <si>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</si>
  <si>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</si>
  <si>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</si>
  <si>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</si>
  <si>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</si>
  <si>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</si>
  <si>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</si>
  <si>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</si>
  <si>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</si>
  <si>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</si>
  <si>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घटाइये :-   राहत धारा  89 के तहत  </t>
  </si>
  <si>
    <t xml:space="preserve">                                                             कुल आयकर  (3-4)</t>
  </si>
  <si>
    <t xml:space="preserve">कुल शेष आयकर </t>
  </si>
  <si>
    <t xml:space="preserve">आयकर कटौती 
 का विवरण </t>
  </si>
  <si>
    <t xml:space="preserve">हस्ताक्षर कार्मिक </t>
  </si>
  <si>
    <t xml:space="preserve">कुलयोग कॉलम 19 </t>
  </si>
  <si>
    <t>Pay received</t>
  </si>
  <si>
    <t>Deducations</t>
  </si>
  <si>
    <t xml:space="preserve">वेतन ड्रा मानचित्र </t>
  </si>
  <si>
    <r>
      <t>योग  (</t>
    </r>
    <r>
      <rPr>
        <b/>
        <sz val="12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2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</si>
  <si>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>शिक्षा एवं चिकित्सा उपकर  4%  ¼आयकर पर ½</t>
  </si>
  <si>
    <t xml:space="preserve">सितम्बर  2020
तक कुल राशि </t>
  </si>
  <si>
    <t xml:space="preserve">अक्टूम्बर 20 से दिसम्बर 20
तक कुल राशि </t>
  </si>
  <si>
    <t xml:space="preserve">जनवरी 2021
राशि </t>
  </si>
  <si>
    <t xml:space="preserve">फरवरी 2021
राशि </t>
  </si>
  <si>
    <t xml:space="preserve">टी.डी.एस. 
की राशि </t>
  </si>
  <si>
    <t>Old Tax Regime</t>
  </si>
  <si>
    <r>
      <t xml:space="preserve">2.  स्टैण्डर्ड डीडेक्सन </t>
    </r>
    <r>
      <rPr>
        <b/>
        <sz val="12"/>
        <color rgb="FFFFC000"/>
        <rFont val="Calibri"/>
        <family val="2"/>
        <scheme val="minor"/>
      </rPr>
      <t>(Standard Deduction</t>
    </r>
    <r>
      <rPr>
        <b/>
        <sz val="11"/>
        <color rgb="FFFFC000"/>
        <rFont val="Calibri"/>
        <family val="2"/>
        <scheme val="minor"/>
      </rPr>
      <t>)  50,000 (अधिकतम )</t>
    </r>
  </si>
  <si>
    <t xml:space="preserve">3. मनोरंजन भत्ता धारा  16  (ii) के अंतर्गत </t>
  </si>
  <si>
    <r>
      <t xml:space="preserve"> (</t>
    </r>
    <r>
      <rPr>
        <sz val="12"/>
        <rFont val="Calibri"/>
        <family val="2"/>
        <scheme val="minor"/>
      </rPr>
      <t xml:space="preserve">ii) </t>
    </r>
    <r>
      <rPr>
        <sz val="10"/>
        <rFont val="Calibri"/>
        <family val="2"/>
        <scheme val="minor"/>
      </rPr>
      <t>व्यवसाय कर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धारा  16  (iii) के अंतर्गत </t>
    </r>
  </si>
  <si>
    <r>
      <t xml:space="preserve"> (</t>
    </r>
    <r>
      <rPr>
        <sz val="12"/>
        <rFont val="Calibri"/>
        <family val="2"/>
        <scheme val="minor"/>
      </rPr>
      <t xml:space="preserve">iii) </t>
    </r>
    <r>
      <rPr>
        <sz val="10"/>
        <rFont val="Calibri"/>
        <family val="2"/>
        <scheme val="minor"/>
      </rPr>
      <t>स्टैण्डर्ड डीडेक्सन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  50,000  (अधिकतम )</t>
    </r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</si>
  <si>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</si>
  <si>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</si>
  <si>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</si>
  <si>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</si>
  <si>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</si>
  <si>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</si>
  <si>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</si>
  <si>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</si>
  <si>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</si>
  <si>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</si>
  <si>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</si>
  <si>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</si>
  <si>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 xml:space="preserve">18.   Bonds से ब्याज </t>
  </si>
  <si>
    <t>19.   अन्य आय :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</si>
  <si>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</si>
  <si>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</si>
  <si>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color rgb="FF002060"/>
        <rFont val="Calibri"/>
        <family val="2"/>
        <scheme val="minor"/>
      </rPr>
      <t>9. जीवन बीमा प्रीमियम  (जो वेतन से नहीं काटा गया है )</t>
    </r>
    <r>
      <rPr>
        <b/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rgb="FF33CC33"/>
        <rFont val="Calibri"/>
        <family val="2"/>
        <scheme val="minor"/>
      </rPr>
      <t>LIC</t>
    </r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</si>
  <si>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</si>
  <si>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</si>
  <si>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</si>
  <si>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</si>
  <si>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</si>
  <si>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</si>
  <si>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धारा 80CCC पेंशन प्लान हेतु अंशदान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</si>
  <si>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अन्य जमा राशि  (धारा 80 सी के अंतर्गत) व   म्यूच्यूअल फण्ड </t>
    </r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</si>
  <si>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</si>
  <si>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</si>
  <si>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</si>
  <si>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</si>
  <si>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</si>
  <si>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</si>
  <si>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r>
      <rPr>
        <b/>
        <sz val="11"/>
        <color rgb="FF400E3C"/>
        <rFont val="Calibri"/>
        <family val="2"/>
        <scheme val="minor"/>
      </rPr>
      <t xml:space="preserve">35. </t>
    </r>
    <r>
      <rPr>
        <b/>
        <sz val="10"/>
        <color rgb="FF400E3C"/>
        <rFont val="Calibri"/>
        <family val="2"/>
        <scheme val="minor"/>
      </rPr>
      <t xml:space="preserve">  धारा </t>
    </r>
    <r>
      <rPr>
        <b/>
        <sz val="12"/>
        <color rgb="FF400E3C"/>
        <rFont val="Calibri"/>
        <family val="2"/>
        <scheme val="minor"/>
      </rPr>
      <t>80 TTA</t>
    </r>
    <r>
      <rPr>
        <b/>
        <sz val="10"/>
        <color rgb="FF400E3C"/>
        <rFont val="Calibri"/>
        <family val="2"/>
        <scheme val="minor"/>
      </rPr>
      <t xml:space="preserve"> बचत खाते पर अधिकतम ब्याज पर 10,000 तक छुट  </t>
    </r>
    <r>
      <rPr>
        <b/>
        <sz val="12"/>
        <color rgb="FF400E3C"/>
        <rFont val="Calibri"/>
        <family val="2"/>
        <scheme val="minor"/>
      </rPr>
      <t>194(IA)</t>
    </r>
    <r>
      <rPr>
        <b/>
        <sz val="10"/>
        <color rgb="FF400E3C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</si>
  <si>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</si>
  <si>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</si>
  <si>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38. राहत धारा  89 के तहत  (अगर छुट लेनी है तो राशि लिखे )</t>
  </si>
  <si>
    <t>Section US 80CCD (1B)
Yes/No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</si>
  <si>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</si>
  <si>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>RGHS</t>
  </si>
  <si>
    <t>To Month  :-</t>
  </si>
  <si>
    <t>Tax Calculate From Month  :-</t>
  </si>
  <si>
    <r>
      <t xml:space="preserve">BASIC On 01 March 2021   </t>
    </r>
    <r>
      <rPr>
        <b/>
        <sz val="12"/>
        <color rgb="FFFF0000"/>
        <rFont val="Wingdings"/>
        <charset val="2"/>
      </rPr>
      <t>F</t>
    </r>
  </si>
  <si>
    <r>
      <rPr>
        <b/>
        <sz val="12"/>
        <color theme="2"/>
        <rFont val="Calibri"/>
        <family val="2"/>
        <scheme val="minor"/>
      </rPr>
      <t>यदि आपको बोनस मिला है तो जितने माह का बोनस मिला है वो माह सलेक्ट करे</t>
    </r>
    <r>
      <rPr>
        <b/>
        <sz val="12"/>
        <color theme="2"/>
        <rFont val="Kruti Dev 010"/>
      </rPr>
      <t xml:space="preserve">     </t>
    </r>
    <r>
      <rPr>
        <b/>
        <sz val="12"/>
        <color theme="2"/>
        <rFont val="Wingdings"/>
        <charset val="2"/>
      </rPr>
      <t>F</t>
    </r>
  </si>
  <si>
    <r>
      <t xml:space="preserve">    7th PAY  HRA </t>
    </r>
    <r>
      <rPr>
        <b/>
        <sz val="12"/>
        <color rgb="FFFFFF00"/>
        <rFont val="Calibri"/>
        <family val="2"/>
        <scheme val="minor"/>
      </rPr>
      <t>प्रतिशत में सलेक्ट करे :-</t>
    </r>
    <r>
      <rPr>
        <b/>
        <sz val="14"/>
        <color rgb="FFFFFF00"/>
        <rFont val="Calibri"/>
        <family val="2"/>
        <scheme val="minor"/>
      </rPr>
      <t xml:space="preserve"> </t>
    </r>
  </si>
  <si>
    <r>
      <rPr>
        <b/>
        <sz val="16"/>
        <color rgb="FFFFFF00"/>
        <rFont val="Calibri"/>
        <family val="2"/>
        <scheme val="minor"/>
      </rPr>
      <t>CCA</t>
    </r>
    <r>
      <rPr>
        <sz val="12"/>
        <color rgb="FFFFFF00"/>
        <rFont val="Calibri"/>
        <family val="2"/>
      </rPr>
      <t xml:space="preserve"> </t>
    </r>
    <r>
      <rPr>
        <b/>
        <sz val="12"/>
        <color rgb="FFFFFF00"/>
        <rFont val="Calibri"/>
        <family val="2"/>
      </rPr>
      <t>लागु हो तो</t>
    </r>
    <r>
      <rPr>
        <sz val="12"/>
        <color rgb="FFFFFF00"/>
        <rFont val="Calibri"/>
        <family val="2"/>
      </rPr>
      <t xml:space="preserve"> </t>
    </r>
    <r>
      <rPr>
        <b/>
        <sz val="16"/>
        <color rgb="FFFFFF00"/>
        <rFont val="Kruti Dev 010"/>
      </rPr>
      <t xml:space="preserve"> </t>
    </r>
    <r>
      <rPr>
        <b/>
        <sz val="16"/>
        <color rgb="FFFFFF00"/>
        <rFont val="Calibri"/>
        <family val="2"/>
        <scheme val="minor"/>
      </rPr>
      <t xml:space="preserve">select Yes / No   </t>
    </r>
    <r>
      <rPr>
        <b/>
        <sz val="16"/>
        <color rgb="FFFFFF00"/>
        <rFont val="Kruti Dev 010"/>
      </rPr>
      <t>%&amp;</t>
    </r>
  </si>
  <si>
    <r>
      <rPr>
        <b/>
        <sz val="16"/>
        <color rgb="FFFFFF00"/>
        <rFont val="Calibri"/>
        <family val="2"/>
        <scheme val="minor"/>
      </rPr>
      <t>%</t>
    </r>
    <r>
      <rPr>
        <b/>
        <sz val="16"/>
        <color rgb="FFFFFF00"/>
        <rFont val="Kruti Dev 010"/>
      </rPr>
      <t xml:space="preserve">                            </t>
    </r>
    <r>
      <rPr>
        <b/>
        <sz val="16"/>
        <color rgb="FFFFFF00"/>
        <rFont val="Calibri"/>
        <family val="2"/>
        <scheme val="minor"/>
      </rPr>
      <t>GPF / NPS :-</t>
    </r>
    <r>
      <rPr>
        <b/>
        <sz val="16"/>
        <color rgb="FFFFFF00"/>
        <rFont val="Kruti Dev 010"/>
      </rPr>
      <t xml:space="preserve"> </t>
    </r>
  </si>
  <si>
    <r>
      <t xml:space="preserve">राजपत्रिक अधिकारी के लिए </t>
    </r>
    <r>
      <rPr>
        <b/>
        <sz val="12"/>
        <color rgb="FFFFFF00"/>
        <rFont val="Calibri"/>
        <family val="2"/>
        <scheme val="minor"/>
      </rPr>
      <t>select Yes / No</t>
    </r>
    <r>
      <rPr>
        <b/>
        <sz val="12"/>
        <color rgb="FFFFFF00"/>
        <rFont val="Kruti Dev 010"/>
      </rPr>
      <t xml:space="preserve"> %&amp;</t>
    </r>
  </si>
  <si>
    <r>
      <t xml:space="preserve"> </t>
    </r>
    <r>
      <rPr>
        <b/>
        <sz val="16"/>
        <color rgb="FFFFFF00"/>
        <rFont val="Calibri"/>
        <family val="2"/>
        <scheme val="minor"/>
      </rPr>
      <t xml:space="preserve">CCA </t>
    </r>
    <r>
      <rPr>
        <b/>
        <sz val="12"/>
        <color rgb="FFFFFF00"/>
        <rFont val="Calibri"/>
        <family val="2"/>
        <scheme val="minor"/>
      </rPr>
      <t>लागू हो तो</t>
    </r>
    <r>
      <rPr>
        <b/>
        <sz val="16"/>
        <color rgb="FFFFFF00"/>
        <rFont val="Calibri"/>
        <family val="2"/>
        <scheme val="minor"/>
      </rPr>
      <t xml:space="preserve"> CITY</t>
    </r>
    <r>
      <rPr>
        <b/>
        <sz val="16"/>
        <color rgb="FFFFFF00"/>
        <rFont val="Kruti Dev 010"/>
      </rPr>
      <t xml:space="preserve"> </t>
    </r>
    <r>
      <rPr>
        <b/>
        <sz val="12"/>
        <color rgb="FFFFFF00"/>
        <rFont val="Calibri"/>
        <family val="2"/>
        <scheme val="minor"/>
      </rPr>
      <t>सलेक्ट करे :-</t>
    </r>
    <r>
      <rPr>
        <b/>
        <sz val="16"/>
        <color rgb="FFFFFF00"/>
        <rFont val="Kruti Dev 010"/>
      </rPr>
      <t xml:space="preserve">    </t>
    </r>
  </si>
  <si>
    <t xml:space="preserve">DA Arrear </t>
  </si>
  <si>
    <t>Fixation arear</t>
  </si>
  <si>
    <t xml:space="preserve">Increase DA from July 2021  </t>
  </si>
  <si>
    <t>पिछले सेशन 2020-21 में यदि जनवरी 2021 या फरवरी 2021 का वेतन उस वित्तिय वर्ष नहीं मिलकर यदि वर्तमान वित्तीय वर्ष में मिला हो तो माह सलेक्ट करें।</t>
  </si>
  <si>
    <t xml:space="preserve">जनवरी 2021 </t>
  </si>
  <si>
    <t xml:space="preserve">फरवरी 2021 </t>
  </si>
  <si>
    <t>यदि आपको सम्पूर्ण वित्तीय वर्ष 2021 - 22 का Estimate GA55 चाहिए तो सामने जो month दे रखे हैं उस option में से मार्च 2021 से फरवरी 2022 सेलेक्ट करें।</t>
  </si>
  <si>
    <t>Other 2</t>
  </si>
  <si>
    <r>
      <rPr>
        <b/>
        <sz val="14"/>
        <color rgb="FF400E3C"/>
        <rFont val="Calibri"/>
        <family val="2"/>
        <scheme val="minor"/>
      </rPr>
      <t>GA 55 Check &amp; Edit sheet</t>
    </r>
    <r>
      <rPr>
        <sz val="14"/>
        <color rgb="FF400E3C"/>
        <rFont val="Calibri"/>
        <family val="2"/>
        <scheme val="minor"/>
      </rPr>
      <t xml:space="preserve"> पर कार्य करने में मदद हेतु नीचे </t>
    </r>
    <r>
      <rPr>
        <b/>
        <sz val="14"/>
        <color rgb="FF400E3C"/>
        <rFont val="Calibri"/>
        <family val="2"/>
        <scheme val="minor"/>
      </rPr>
      <t>Youtube Video</t>
    </r>
    <r>
      <rPr>
        <sz val="14"/>
        <color rgb="FF400E3C"/>
        <rFont val="Calibri"/>
        <family val="2"/>
        <scheme val="minor"/>
      </rPr>
      <t xml:space="preserve"> का लिंक दिया गया है।  </t>
    </r>
    <r>
      <rPr>
        <b/>
        <sz val="20"/>
        <color rgb="FF400E3C"/>
        <rFont val="Wingdings"/>
        <charset val="2"/>
      </rPr>
      <t>H</t>
    </r>
  </si>
  <si>
    <t>will be made available soon</t>
  </si>
  <si>
    <t>NPS कार्मिक ने यदि RGHS का ऑप्शन दिया हो तो Yes सेलेक्ट करें :-</t>
  </si>
  <si>
    <r>
      <t xml:space="preserve">नई व पुराणी आयकर दर  सलेक्ट करे  </t>
    </r>
    <r>
      <rPr>
        <b/>
        <sz val="11"/>
        <color rgb="FFCC00FF"/>
        <rFont val="Wingdings"/>
        <charset val="2"/>
      </rPr>
      <t>H</t>
    </r>
  </si>
  <si>
    <t xml:space="preserve">यदि वितीय वर्ष 2021-22 में मूल वेतन में परिवर्तन हुआ है तो लिखे : - </t>
  </si>
  <si>
    <r>
      <rPr>
        <b/>
        <sz val="16"/>
        <color rgb="FFFFFF00"/>
        <rFont val="Calibri"/>
        <family val="2"/>
        <scheme val="minor"/>
      </rPr>
      <t>Office Name</t>
    </r>
    <r>
      <rPr>
        <b/>
        <sz val="16"/>
        <color rgb="FFFFFF00"/>
        <rFont val="Kruti Dev 010"/>
      </rPr>
      <t xml:space="preserve"> </t>
    </r>
    <r>
      <rPr>
        <b/>
        <sz val="16"/>
        <color rgb="FFFFFF00"/>
        <rFont val="Calibri"/>
        <family val="2"/>
        <scheme val="minor"/>
      </rPr>
      <t>:-</t>
    </r>
  </si>
  <si>
    <r>
      <rPr>
        <b/>
        <sz val="16"/>
        <color rgb="FFFFFF00"/>
        <rFont val="Calibri"/>
        <family val="2"/>
        <scheme val="minor"/>
      </rPr>
      <t>Employee Name</t>
    </r>
    <r>
      <rPr>
        <b/>
        <sz val="16"/>
        <color rgb="FFFFFF00"/>
        <rFont val="Kruti Dev 010"/>
      </rPr>
      <t xml:space="preserve"> </t>
    </r>
    <r>
      <rPr>
        <b/>
        <sz val="16"/>
        <color rgb="FFFFFF00"/>
        <rFont val="Calibri"/>
        <family val="2"/>
        <scheme val="minor"/>
      </rPr>
      <t>:-</t>
    </r>
  </si>
  <si>
    <r>
      <rPr>
        <b/>
        <sz val="16"/>
        <color rgb="FFFFFF00"/>
        <rFont val="Calibri"/>
        <family val="2"/>
        <scheme val="minor"/>
      </rPr>
      <t>Personal Employee ID</t>
    </r>
    <r>
      <rPr>
        <b/>
        <sz val="16"/>
        <color rgb="FFFFFF00"/>
        <rFont val="Kruti Dev 010"/>
      </rPr>
      <t xml:space="preserve"> </t>
    </r>
    <r>
      <rPr>
        <b/>
        <sz val="16"/>
        <color rgb="FFFFFF00"/>
        <rFont val="Calibri"/>
        <family val="2"/>
        <scheme val="minor"/>
      </rPr>
      <t>:-</t>
    </r>
  </si>
  <si>
    <r>
      <rPr>
        <b/>
        <sz val="16"/>
        <color rgb="FFFFFF00"/>
        <rFont val="Calibri"/>
        <family val="2"/>
        <scheme val="minor"/>
      </rPr>
      <t>PAN No.</t>
    </r>
    <r>
      <rPr>
        <b/>
        <sz val="16"/>
        <color rgb="FFFFFF00"/>
        <rFont val="Kruti Dev 010"/>
      </rPr>
      <t xml:space="preserve"> </t>
    </r>
    <r>
      <rPr>
        <b/>
        <sz val="16"/>
        <color rgb="FFFFFF00"/>
        <rFont val="Calibri"/>
        <family val="2"/>
        <scheme val="minor"/>
      </rPr>
      <t>:-</t>
    </r>
  </si>
  <si>
    <r>
      <t xml:space="preserve">यदि कार्मिक के डीए 28 % हो गया हो तो नीचे ऑप्शन में यह सेलेक्ट करें </t>
    </r>
    <r>
      <rPr>
        <b/>
        <sz val="18"/>
        <color rgb="FFFFFF00"/>
        <rFont val="Wingdings"/>
        <charset val="2"/>
      </rPr>
      <t>H</t>
    </r>
  </si>
  <si>
    <t>33.  धारा 80G धर्मार्थ संस्थाओ आदि को दिए दान ( क श्रेणी में  100 प्रतिशत एव ख श्रेणी में 50 प्रतिशत)</t>
  </si>
  <si>
    <t xml:space="preserve"> धारा 80G धर्मार्थ संस्थाओ आदि को दिए दान ( 'ख' श्रेणी में 50 प्रतिशत)</t>
  </si>
  <si>
    <t xml:space="preserve"> धारा 80G धर्मार्थ संस्थाओ आदि को दिए दान ( 'क' श्रेणी में  100 प्रतिशत)</t>
  </si>
  <si>
    <t>2021-2022</t>
  </si>
  <si>
    <t>2022-2023)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</si>
</sst>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\ 0"/>
    <numFmt numFmtId="167" formatCode="0000\ 0000\ 0000\ "/>
  </numFmts>
  <fonts count="1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0"/>
      <name val="DevLys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b/>
      <sz val="14"/>
      <color rgb="FF400E3C"/>
      <name val="Calibri"/>
      <family val="2"/>
      <scheme val="minor"/>
    </font>
    <font>
      <b/>
      <sz val="13"/>
      <color rgb="FF002060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i/>
      <u/>
      <sz val="11"/>
      <color rgb="FF002060"/>
      <name val="Calibri"/>
      <family val="2"/>
      <scheme val="minor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b/>
      <sz val="11"/>
      <color rgb="FFFF0000"/>
      <name val="Kruti Dev 010"/>
    </font>
    <font>
      <b/>
      <sz val="10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400E3C"/>
      <name val="Calibri"/>
      <family val="2"/>
      <scheme val="minor"/>
    </font>
    <font>
      <b/>
      <sz val="10"/>
      <color rgb="FF400E3C"/>
      <name val="Calibri"/>
      <family val="2"/>
      <scheme val="minor"/>
    </font>
    <font>
      <sz val="18"/>
      <color theme="1"/>
      <name val="Times New Roman"/>
      <family val="1"/>
    </font>
    <font>
      <b/>
      <sz val="12"/>
      <color rgb="FFFFFF00"/>
      <name val="Calibri"/>
      <family val="2"/>
      <scheme val="minor"/>
    </font>
    <font>
      <b/>
      <sz val="16"/>
      <color rgb="FFFF0000"/>
      <name val="Cambria"/>
      <family val="1"/>
      <scheme val="major"/>
    </font>
    <font>
      <b/>
      <i/>
      <u/>
      <sz val="14"/>
      <color rgb="FF002060"/>
      <name val="Calibri"/>
      <family val="2"/>
      <scheme val="minor"/>
    </font>
    <font>
      <b/>
      <sz val="12"/>
      <color theme="2"/>
      <name val="Kruti Dev 010"/>
    </font>
    <font>
      <b/>
      <sz val="12"/>
      <color theme="2"/>
      <name val="Calibri"/>
      <family val="2"/>
      <scheme val="minor"/>
    </font>
    <font>
      <b/>
      <sz val="12"/>
      <color theme="2"/>
      <name val="Wingdings"/>
      <charset val="2"/>
    </font>
    <font>
      <b/>
      <sz val="14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2"/>
      <color rgb="FFFFFF00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Kruti Dev 010"/>
    </font>
    <font>
      <b/>
      <sz val="11"/>
      <color theme="0"/>
      <name val="Calibri"/>
      <family val="2"/>
      <scheme val="minor"/>
    </font>
    <font>
      <b/>
      <sz val="13"/>
      <color theme="0"/>
      <name val="Cambria"/>
      <family val="1"/>
      <scheme val="major"/>
    </font>
    <font>
      <b/>
      <sz val="14"/>
      <color rgb="FFFFFF00"/>
      <name val="Cambria"/>
      <family val="1"/>
      <scheme val="major"/>
    </font>
    <font>
      <b/>
      <sz val="13"/>
      <color rgb="FFFFFF00"/>
      <name val="Cambria"/>
      <family val="1"/>
      <scheme val="major"/>
    </font>
    <font>
      <b/>
      <sz val="14"/>
      <color rgb="FF92D050"/>
      <name val="Cambria"/>
      <family val="1"/>
      <scheme val="maj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Kruti Dev 010"/>
    </font>
    <font>
      <sz val="11"/>
      <color theme="0"/>
      <name val="Kruti Dev 010"/>
    </font>
    <font>
      <b/>
      <sz val="12"/>
      <color rgb="FF003300"/>
      <name val="Calibri"/>
      <family val="2"/>
      <scheme val="minor"/>
    </font>
    <font>
      <sz val="16"/>
      <color rgb="FF003300"/>
      <name val="Kruti Dev 010"/>
    </font>
    <font>
      <sz val="16"/>
      <color rgb="FF003300"/>
      <name val="DevLys 010"/>
    </font>
    <font>
      <sz val="14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1"/>
      <color rgb="FFCC00FF"/>
      <name val="Kruti Dev 010"/>
    </font>
    <font>
      <b/>
      <sz val="11"/>
      <color rgb="FFCC00FF"/>
      <name val="Wingdings"/>
      <charset val="2"/>
    </font>
    <font>
      <b/>
      <sz val="13"/>
      <color rgb="FFFF0000"/>
      <name val="Kruti Dev 010"/>
    </font>
    <font>
      <b/>
      <sz val="10"/>
      <color theme="2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i/>
      <u val="double"/>
      <sz val="16"/>
      <color theme="4" tint="0.79998168889431442"/>
      <name val="Calibri"/>
      <family val="2"/>
      <scheme val="minor"/>
    </font>
    <font>
      <b/>
      <sz val="10.5"/>
      <color rgb="FF33CC33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6" tint="0.59999389629810485"/>
        </stop>
        <stop position="1">
          <color theme="5" tint="0.59999389629810485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gradientFill degree="90">
        <stop position="0">
          <color theme="6" tint="-0.25098422193060094"/>
        </stop>
        <stop position="1">
          <color theme="4"/>
        </stop>
      </gradientFill>
    </fill>
    <fill>
      <patternFill patternType="solid">
        <fgColor theme="7" tint="-0.499984740745262"/>
        <bgColor auto="1"/>
      </patternFill>
    </fill>
    <fill>
      <patternFill patternType="solid">
        <fgColor theme="6" tint="-0.499984740745262"/>
        <bgColor auto="1"/>
      </patternFill>
    </fill>
    <fill>
      <patternFill patternType="solid">
        <fgColor rgb="FF6600FF"/>
        <bgColor theme="7" tint="-0.24994659260841701"/>
      </patternFill>
    </fill>
    <fill>
      <patternFill patternType="solid">
        <fgColor rgb="FFCC3300"/>
        <bgColor auto="1"/>
      </patternFill>
    </fill>
    <fill>
      <patternFill patternType="solid">
        <fgColor rgb="FF993366"/>
        <bgColor auto="1"/>
      </patternFill>
    </fill>
    <fill>
      <patternFill patternType="solid">
        <fgColor rgb="FF663300"/>
        <bgColor rgb="FF400E3C"/>
      </patternFill>
    </fill>
    <fill>
      <patternFill patternType="solid">
        <fgColor rgb="FF663300"/>
        <bgColor auto="1"/>
      </patternFill>
    </fill>
    <fill>
      <patternFill patternType="solid">
        <fgColor rgb="FF33CC33"/>
        <bgColor auto="1"/>
      </patternFill>
    </fill>
    <fill>
      <patternFill patternType="solid">
        <fgColor rgb="FF00330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0070C0"/>
        <bgColor auto="1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3" tint="0.39997558519241921"/>
        <bgColor auto="1"/>
      </patternFill>
    </fill>
  </fills>
  <borders count="93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3CC33"/>
      </left>
      <right/>
      <top style="medium">
        <color rgb="FF33CC33"/>
      </top>
      <bottom/>
      <diagonal/>
    </border>
    <border>
      <left/>
      <right/>
      <top style="medium">
        <color rgb="FF33CC33"/>
      </top>
      <bottom/>
      <diagonal/>
    </border>
    <border>
      <left/>
      <right style="medium">
        <color rgb="FF33CC33"/>
      </right>
      <top style="medium">
        <color rgb="FF33CC33"/>
      </top>
      <bottom/>
      <diagonal/>
    </border>
    <border>
      <left style="medium">
        <color rgb="FF33CC33"/>
      </left>
      <right/>
      <top/>
      <bottom/>
      <diagonal/>
    </border>
    <border>
      <left/>
      <right style="medium">
        <color rgb="FF33CC33"/>
      </right>
      <top/>
      <bottom/>
      <diagonal/>
    </border>
    <border>
      <left style="medium">
        <color rgb="FF993366"/>
      </left>
      <right/>
      <top style="medium">
        <color rgb="FF993366"/>
      </top>
      <bottom/>
      <diagonal/>
    </border>
    <border>
      <left/>
      <right/>
      <top style="medium">
        <color rgb="FF993366"/>
      </top>
      <bottom/>
      <diagonal/>
    </border>
    <border>
      <left/>
      <right style="medium">
        <color rgb="FF993366"/>
      </right>
      <top style="medium">
        <color rgb="FF993366"/>
      </top>
      <bottom/>
      <diagonal/>
    </border>
    <border>
      <left style="medium">
        <color rgb="FF993366"/>
      </left>
      <right/>
      <top/>
      <bottom/>
      <diagonal/>
    </border>
    <border>
      <left/>
      <right style="medium">
        <color rgb="FF993366"/>
      </right>
      <top/>
      <bottom/>
      <diagonal/>
    </border>
    <border>
      <left style="medium">
        <color rgb="FF993366"/>
      </left>
      <right/>
      <top/>
      <bottom style="medium">
        <color rgb="FF993366"/>
      </bottom>
      <diagonal/>
    </border>
    <border>
      <left/>
      <right/>
      <top/>
      <bottom style="medium">
        <color rgb="FF993366"/>
      </bottom>
      <diagonal/>
    </border>
    <border>
      <left/>
      <right style="medium">
        <color rgb="FF993366"/>
      </right>
      <top/>
      <bottom style="medium">
        <color rgb="FF993366"/>
      </bottom>
      <diagonal/>
    </border>
    <border>
      <left style="thin">
        <color rgb="FF993366"/>
      </left>
      <right/>
      <top/>
      <bottom style="thin">
        <color rgb="FF993366"/>
      </bottom>
      <diagonal/>
    </border>
    <border>
      <left/>
      <right style="thin">
        <color rgb="FF993366"/>
      </right>
      <top/>
      <bottom style="thin">
        <color rgb="FF993366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protection locked="0"/>
    </xf>
    <xf numFmtId="0" fontId="55" fillId="0" borderId="0">
      <alignment vertical="center"/>
    </xf>
    <xf numFmtId="0" fontId="55" fillId="0" borderId="0">
      <protection locked="0"/>
    </xf>
    <xf numFmtId="0" fontId="55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</cellStyleXfs>
  <cellXfs count="569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wrapText="1"/>
      <protection hidden="1"/>
    </xf>
    <xf numFmtId="0" fontId="34" fillId="0" borderId="0" xfId="0" applyFont="1" applyAlignment="1" applyProtection="1">
      <alignment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0" fillId="0" borderId="0" xfId="0" applyFont="1" applyAlignment="1" applyProtection="1">
      <alignment wrapText="1"/>
      <protection hidden="1"/>
    </xf>
    <xf numFmtId="0" fontId="41" fillId="0" borderId="0" xfId="0" applyFont="1" applyAlignment="1" applyProtection="1">
      <alignment wrapText="1"/>
      <protection hidden="1"/>
    </xf>
    <xf numFmtId="0" fontId="33" fillId="11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29" fillId="2" borderId="0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vertical="center"/>
      <protection locked="0"/>
    </xf>
    <xf numFmtId="0" fontId="18" fillId="21" borderId="0" xfId="0" applyFont="1" applyFill="1" applyAlignment="1" applyProtection="1">
      <alignment horizontal="center" vertical="center"/>
      <protection hidden="1"/>
    </xf>
    <xf numFmtId="0" fontId="35" fillId="8" borderId="22" xfId="0" applyFont="1" applyFill="1" applyBorder="1" applyAlignment="1" applyProtection="1">
      <alignment horizontal="center" vertical="center"/>
      <protection hidden="1"/>
    </xf>
    <xf numFmtId="0" fontId="11" fillId="8" borderId="27" xfId="0" applyFont="1" applyFill="1" applyBorder="1" applyAlignment="1" applyProtection="1">
      <alignment horizontal="center" vertical="center"/>
      <protection hidden="1"/>
    </xf>
    <xf numFmtId="0" fontId="11" fillId="8" borderId="29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4" fillId="0" borderId="0" xfId="0" applyNumberFormat="1" applyFont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3" fillId="0" borderId="40" xfId="0" applyFont="1" applyBorder="1" applyAlignment="1" applyProtection="1">
      <alignment horizontal="center" vertical="center" wrapText="1"/>
      <protection hidden="1"/>
    </xf>
    <xf numFmtId="0" fontId="63" fillId="0" borderId="10" xfId="0" applyFont="1" applyBorder="1" applyAlignment="1" applyProtection="1">
      <alignment horizontal="center" vertical="center" wrapText="1"/>
      <protection hidden="1"/>
    </xf>
    <xf numFmtId="0" fontId="64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horizontal="center" vertical="center" wrapText="1"/>
      <protection hidden="1"/>
    </xf>
    <xf numFmtId="0" fontId="65" fillId="0" borderId="40" xfId="0" applyFont="1" applyBorder="1" applyAlignment="1" applyProtection="1">
      <alignment horizontal="center" vertical="center"/>
      <protection hidden="1"/>
    </xf>
    <xf numFmtId="1" fontId="64" fillId="0" borderId="10" xfId="0" applyNumberFormat="1" applyFont="1" applyBorder="1" applyAlignment="1" applyProtection="1">
      <alignment horizontal="center" vertical="center" wrapText="1"/>
      <protection hidden="1"/>
    </xf>
    <xf numFmtId="0" fontId="54" fillId="0" borderId="0" xfId="0" applyFont="1" applyProtection="1">
      <protection hidden="1"/>
    </xf>
    <xf numFmtId="0" fontId="62" fillId="0" borderId="40" xfId="0" applyFont="1" applyBorder="1" applyAlignment="1" applyProtection="1">
      <alignment horizontal="center" vertical="center"/>
      <protection hidden="1"/>
    </xf>
    <xf numFmtId="0" fontId="65" fillId="0" borderId="22" xfId="0" applyFont="1" applyBorder="1" applyAlignment="1" applyProtection="1">
      <alignment horizontal="right" vertical="center"/>
      <protection hidden="1"/>
    </xf>
    <xf numFmtId="1" fontId="63" fillId="0" borderId="10" xfId="0" applyNumberFormat="1" applyFont="1" applyBorder="1" applyAlignment="1" applyProtection="1">
      <alignment horizontal="center" vertical="center"/>
      <protection hidden="1"/>
    </xf>
    <xf numFmtId="1" fontId="65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68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3" fillId="0" borderId="12" xfId="0" applyFont="1" applyBorder="1" applyAlignment="1" applyProtection="1">
      <alignment vertical="center"/>
      <protection hidden="1"/>
    </xf>
    <xf numFmtId="0" fontId="33" fillId="0" borderId="12" xfId="0" applyFont="1" applyBorder="1" applyAlignment="1" applyProtection="1">
      <alignment vertical="center" wrapText="1"/>
      <protection hidden="1"/>
    </xf>
    <xf numFmtId="0" fontId="33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69" fillId="0" borderId="0" xfId="0" applyFont="1" applyBorder="1" applyAlignment="1" applyProtection="1">
      <alignment horizontal="center" vertical="center" wrapText="1"/>
      <protection hidden="1"/>
    </xf>
    <xf numFmtId="0" fontId="75" fillId="0" borderId="0" xfId="0" applyFont="1" applyAlignment="1" applyProtection="1">
      <alignment horizontal="right" vertical="center"/>
      <protection hidden="1"/>
    </xf>
    <xf numFmtId="0" fontId="56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89" fillId="0" borderId="0" xfId="3" applyFont="1" applyBorder="1" applyAlignment="1" applyProtection="1">
      <protection hidden="1"/>
    </xf>
    <xf numFmtId="0" fontId="90" fillId="0" borderId="0" xfId="3" applyFont="1" applyBorder="1" applyAlignment="1" applyProtection="1">
      <protection hidden="1"/>
    </xf>
    <xf numFmtId="0" fontId="91" fillId="0" borderId="0" xfId="3" applyFont="1" applyBorder="1" applyAlignment="1" applyProtection="1">
      <alignment horizontal="center" vertical="center"/>
      <protection hidden="1"/>
    </xf>
    <xf numFmtId="0" fontId="90" fillId="0" borderId="0" xfId="6" applyFont="1" applyAlignment="1" applyProtection="1">
      <protection hidden="1"/>
    </xf>
    <xf numFmtId="0" fontId="79" fillId="0" borderId="0" xfId="6" applyFont="1" applyProtection="1">
      <alignment vertical="center"/>
      <protection hidden="1"/>
    </xf>
    <xf numFmtId="0" fontId="93" fillId="0" borderId="0" xfId="3" applyFont="1" applyBorder="1" applyAlignment="1" applyProtection="1">
      <alignment horizontal="right"/>
      <protection hidden="1"/>
    </xf>
    <xf numFmtId="0" fontId="90" fillId="0" borderId="0" xfId="3" applyFont="1" applyBorder="1" applyAlignment="1" applyProtection="1">
      <alignment horizontal="right"/>
      <protection hidden="1"/>
    </xf>
    <xf numFmtId="0" fontId="89" fillId="0" borderId="0" xfId="3" applyFont="1" applyFill="1" applyBorder="1" applyAlignment="1" applyProtection="1">
      <protection hidden="1"/>
    </xf>
    <xf numFmtId="0" fontId="92" fillId="0" borderId="0" xfId="3" applyFont="1" applyFill="1" applyAlignment="1" applyProtection="1">
      <alignment vertical="top"/>
      <protection hidden="1"/>
    </xf>
    <xf numFmtId="0" fontId="90" fillId="0" borderId="0" xfId="6" applyFont="1" applyFill="1" applyAlignment="1" applyProtection="1">
      <protection hidden="1"/>
    </xf>
    <xf numFmtId="0" fontId="89" fillId="0" borderId="0" xfId="3" applyFont="1" applyFill="1" applyAlignment="1" applyProtection="1">
      <protection hidden="1"/>
    </xf>
    <xf numFmtId="0" fontId="90" fillId="0" borderId="0" xfId="3" applyFont="1" applyFill="1" applyBorder="1" applyAlignment="1" applyProtection="1">
      <protection hidden="1"/>
    </xf>
    <xf numFmtId="0" fontId="94" fillId="0" borderId="0" xfId="3" applyFont="1" applyFill="1" applyBorder="1" applyAlignment="1" applyProtection="1">
      <alignment vertical="center"/>
      <protection hidden="1"/>
    </xf>
    <xf numFmtId="0" fontId="90" fillId="0" borderId="0" xfId="3" applyFont="1" applyFill="1" applyAlignment="1" applyProtection="1">
      <protection hidden="1"/>
    </xf>
    <xf numFmtId="0" fontId="93" fillId="0" borderId="0" xfId="3" applyFont="1" applyFill="1" applyAlignment="1" applyProtection="1">
      <protection hidden="1"/>
    </xf>
    <xf numFmtId="0" fontId="89" fillId="24" borderId="0" xfId="3" applyFont="1" applyFill="1" applyAlignment="1" applyProtection="1">
      <protection hidden="1"/>
    </xf>
    <xf numFmtId="0" fontId="90" fillId="24" borderId="0" xfId="3" applyFont="1" applyFill="1" applyAlignment="1" applyProtection="1">
      <protection hidden="1"/>
    </xf>
    <xf numFmtId="0" fontId="90" fillId="24" borderId="0" xfId="6" applyFont="1" applyFill="1" applyAlignment="1" applyProtection="1">
      <protection hidden="1"/>
    </xf>
    <xf numFmtId="0" fontId="0" fillId="24" borderId="0" xfId="0" applyFill="1" applyAlignment="1" applyProtection="1">
      <protection hidden="1"/>
    </xf>
    <xf numFmtId="0" fontId="0" fillId="24" borderId="0" xfId="0" applyFill="1" applyProtection="1">
      <protection hidden="1"/>
    </xf>
    <xf numFmtId="0" fontId="93" fillId="24" borderId="0" xfId="3" applyFont="1" applyFill="1" applyAlignment="1" applyProtection="1">
      <alignment horizontal="right"/>
      <protection hidden="1"/>
    </xf>
    <xf numFmtId="0" fontId="90" fillId="24" borderId="0" xfId="3" applyFont="1" applyFill="1" applyAlignment="1" applyProtection="1">
      <alignment horizontal="right"/>
      <protection hidden="1"/>
    </xf>
    <xf numFmtId="0" fontId="93" fillId="24" borderId="0" xfId="3" applyFont="1" applyFill="1" applyAlignment="1" applyProtection="1">
      <protection hidden="1"/>
    </xf>
    <xf numFmtId="2" fontId="90" fillId="24" borderId="0" xfId="3" applyNumberFormat="1" applyFont="1" applyFill="1" applyAlignment="1" applyProtection="1">
      <alignment horizontal="right"/>
      <protection hidden="1"/>
    </xf>
    <xf numFmtId="0" fontId="89" fillId="0" borderId="0" xfId="3" applyFont="1" applyAlignment="1" applyProtection="1">
      <protection hidden="1"/>
    </xf>
    <xf numFmtId="0" fontId="90" fillId="0" borderId="0" xfId="3" applyFont="1" applyAlignment="1" applyProtection="1">
      <protection hidden="1"/>
    </xf>
    <xf numFmtId="0" fontId="93" fillId="0" borderId="0" xfId="3" applyFont="1" applyAlignment="1" applyProtection="1">
      <alignment horizontal="right"/>
      <protection hidden="1"/>
    </xf>
    <xf numFmtId="0" fontId="90" fillId="0" borderId="0" xfId="3" applyFont="1" applyAlignment="1" applyProtection="1">
      <alignment horizontal="right"/>
      <protection hidden="1"/>
    </xf>
    <xf numFmtId="0" fontId="59" fillId="0" borderId="0" xfId="0" applyFont="1" applyProtection="1">
      <protection hidden="1"/>
    </xf>
    <xf numFmtId="0" fontId="59" fillId="0" borderId="0" xfId="0" applyFont="1" applyAlignment="1" applyProtection="1">
      <protection hidden="1"/>
    </xf>
    <xf numFmtId="164" fontId="63" fillId="0" borderId="10" xfId="0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41" fillId="0" borderId="0" xfId="0" applyFont="1" applyProtection="1">
      <protection hidden="1"/>
    </xf>
    <xf numFmtId="0" fontId="99" fillId="0" borderId="0" xfId="0" applyFont="1" applyAlignment="1" applyProtection="1">
      <protection hidden="1"/>
    </xf>
    <xf numFmtId="0" fontId="100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56" fillId="0" borderId="0" xfId="0" applyFont="1" applyBorder="1" applyAlignment="1" applyProtection="1">
      <alignment vertical="center" wrapText="1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56" fillId="0" borderId="0" xfId="0" applyFont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6" fillId="3" borderId="0" xfId="0" applyFont="1" applyFill="1" applyBorder="1" applyAlignment="1" applyProtection="1">
      <alignment horizontal="right" vertical="center"/>
      <protection hidden="1"/>
    </xf>
    <xf numFmtId="49" fontId="6" fillId="3" borderId="0" xfId="0" applyNumberFormat="1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167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0" fontId="26" fillId="3" borderId="0" xfId="0" applyFont="1" applyFill="1" applyBorder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7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5" fillId="3" borderId="0" xfId="0" applyFont="1" applyFill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46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4" fillId="3" borderId="0" xfId="0" applyFont="1" applyFill="1" applyBorder="1" applyAlignment="1" applyProtection="1">
      <alignment horizontal="right" vertical="center"/>
      <protection hidden="1"/>
    </xf>
    <xf numFmtId="164" fontId="13" fillId="3" borderId="0" xfId="0" applyNumberFormat="1" applyFont="1" applyFill="1" applyBorder="1" applyAlignment="1" applyProtection="1">
      <alignment horizontal="center" vertical="center"/>
      <protection hidden="1"/>
    </xf>
    <xf numFmtId="1" fontId="13" fillId="3" borderId="0" xfId="0" applyNumberFormat="1" applyFont="1" applyFill="1" applyBorder="1" applyAlignment="1" applyProtection="1">
      <alignment horizontal="center" vertical="center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21" fillId="12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1" fillId="16" borderId="1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2" fontId="22" fillId="0" borderId="0" xfId="0" applyNumberFormat="1" applyFont="1" applyFill="1" applyBorder="1" applyAlignment="1" applyProtection="1">
      <alignment vertical="center" wrapText="1"/>
      <protection hidden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0" fillId="23" borderId="0" xfId="0" applyFill="1" applyProtection="1">
      <protection hidden="1"/>
    </xf>
    <xf numFmtId="0" fontId="0" fillId="30" borderId="0" xfId="0" applyFill="1" applyProtection="1">
      <protection hidden="1"/>
    </xf>
    <xf numFmtId="0" fontId="0" fillId="27" borderId="0" xfId="0" applyFill="1" applyProtection="1">
      <protection hidden="1"/>
    </xf>
    <xf numFmtId="0" fontId="0" fillId="28" borderId="0" xfId="0" applyFill="1" applyAlignment="1" applyProtection="1">
      <protection hidden="1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73" fillId="0" borderId="0" xfId="4" applyFont="1" applyFill="1" applyBorder="1" applyAlignment="1" applyProtection="1">
      <alignment horizontal="center" vertical="center"/>
      <protection hidden="1"/>
    </xf>
    <xf numFmtId="1" fontId="5" fillId="0" borderId="51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76" fillId="0" borderId="0" xfId="4" applyNumberFormat="1" applyFont="1" applyBorder="1" applyAlignment="1" applyProtection="1">
      <alignment horizontal="right" vertical="center"/>
      <protection hidden="1"/>
    </xf>
    <xf numFmtId="0" fontId="78" fillId="0" borderId="0" xfId="4" applyFont="1" applyBorder="1" applyAlignment="1" applyProtection="1">
      <alignment horizontal="center" vertical="center"/>
      <protection hidden="1"/>
    </xf>
    <xf numFmtId="0" fontId="80" fillId="0" borderId="0" xfId="4" applyFont="1" applyBorder="1" applyAlignment="1" applyProtection="1">
      <alignment horizontal="center" vertical="center"/>
      <protection hidden="1"/>
    </xf>
    <xf numFmtId="0" fontId="81" fillId="0" borderId="0" xfId="4" applyFont="1" applyBorder="1" applyAlignment="1" applyProtection="1">
      <alignment horizontal="left" vertical="center"/>
      <protection hidden="1"/>
    </xf>
    <xf numFmtId="0" fontId="83" fillId="0" borderId="0" xfId="4" applyFont="1" applyBorder="1" applyAlignment="1" applyProtection="1">
      <alignment horizontal="left" vertical="center"/>
      <protection hidden="1"/>
    </xf>
    <xf numFmtId="1" fontId="84" fillId="0" borderId="43" xfId="4" applyNumberFormat="1" applyFont="1" applyBorder="1" applyAlignment="1" applyProtection="1">
      <alignment horizontal="right"/>
      <protection hidden="1"/>
    </xf>
    <xf numFmtId="0" fontId="76" fillId="0" borderId="0" xfId="4" applyFont="1" applyBorder="1" applyAlignment="1" applyProtection="1">
      <alignment horizontal="center" vertical="center"/>
      <protection hidden="1"/>
    </xf>
    <xf numFmtId="1" fontId="84" fillId="29" borderId="43" xfId="4" applyNumberFormat="1" applyFont="1" applyFill="1" applyBorder="1" applyAlignment="1" applyProtection="1">
      <alignment horizontal="right"/>
      <protection hidden="1"/>
    </xf>
    <xf numFmtId="1" fontId="85" fillId="0" borderId="43" xfId="4" applyNumberFormat="1" applyFont="1" applyBorder="1" applyAlignment="1" applyProtection="1">
      <alignment horizontal="right"/>
      <protection hidden="1"/>
    </xf>
    <xf numFmtId="1" fontId="76" fillId="0" borderId="51" xfId="4" applyNumberFormat="1" applyFont="1" applyBorder="1" applyAlignment="1" applyProtection="1">
      <alignment horizontal="right" vertical="center"/>
      <protection hidden="1"/>
    </xf>
    <xf numFmtId="1" fontId="71" fillId="0" borderId="51" xfId="4" applyNumberFormat="1" applyFont="1" applyBorder="1" applyAlignment="1" applyProtection="1">
      <alignment horizontal="right" vertical="center"/>
      <protection hidden="1"/>
    </xf>
    <xf numFmtId="2" fontId="86" fillId="0" borderId="0" xfId="4" applyNumberFormat="1" applyFont="1" applyBorder="1" applyAlignment="1" applyProtection="1">
      <alignment horizontal="right" vertical="center"/>
      <protection hidden="1"/>
    </xf>
    <xf numFmtId="0" fontId="78" fillId="0" borderId="0" xfId="4" applyFont="1" applyBorder="1" applyAlignment="1" applyProtection="1">
      <alignment horizontal="left" vertical="center"/>
      <protection hidden="1"/>
    </xf>
    <xf numFmtId="0" fontId="81" fillId="0" borderId="0" xfId="4" applyFont="1" applyBorder="1" applyAlignment="1" applyProtection="1">
      <alignment vertical="center"/>
      <protection hidden="1"/>
    </xf>
    <xf numFmtId="9" fontId="72" fillId="0" borderId="43" xfId="4" applyNumberFormat="1" applyFont="1" applyBorder="1" applyAlignment="1" applyProtection="1">
      <alignment horizontal="center" vertical="center"/>
      <protection hidden="1"/>
    </xf>
    <xf numFmtId="1" fontId="86" fillId="0" borderId="51" xfId="4" applyNumberFormat="1" applyFont="1" applyBorder="1" applyAlignment="1" applyProtection="1">
      <alignment vertical="center"/>
      <protection hidden="1"/>
    </xf>
    <xf numFmtId="2" fontId="76" fillId="0" borderId="0" xfId="4" applyNumberFormat="1" applyFont="1" applyBorder="1" applyAlignment="1" applyProtection="1">
      <alignment vertical="center"/>
      <protection hidden="1"/>
    </xf>
    <xf numFmtId="0" fontId="81" fillId="0" borderId="0" xfId="4" applyFont="1" applyBorder="1" applyAlignment="1" applyProtection="1">
      <alignment horizontal="center" vertical="center" wrapText="1"/>
      <protection hidden="1"/>
    </xf>
    <xf numFmtId="1" fontId="71" fillId="0" borderId="51" xfId="4" applyNumberFormat="1" applyFont="1" applyBorder="1" applyAlignment="1" applyProtection="1">
      <alignment vertical="center" wrapText="1"/>
      <protection hidden="1"/>
    </xf>
    <xf numFmtId="2" fontId="76" fillId="0" borderId="0" xfId="4" applyNumberFormat="1" applyFont="1" applyBorder="1" applyAlignment="1" applyProtection="1">
      <alignment horizontal="right" vertical="center" wrapText="1"/>
      <protection hidden="1"/>
    </xf>
    <xf numFmtId="1" fontId="87" fillId="0" borderId="56" xfId="4" applyNumberFormat="1" applyFont="1" applyBorder="1" applyAlignment="1" applyProtection="1">
      <alignment horizontal="right" vertical="center"/>
      <protection hidden="1"/>
    </xf>
    <xf numFmtId="0" fontId="88" fillId="0" borderId="0" xfId="4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41" fillId="0" borderId="0" xfId="0" applyFont="1" applyProtection="1">
      <protection locked="0"/>
    </xf>
    <xf numFmtId="1" fontId="36" fillId="14" borderId="10" xfId="0" applyNumberFormat="1" applyFont="1" applyFill="1" applyBorder="1" applyAlignment="1" applyProtection="1">
      <alignment horizontal="center" vertical="center"/>
      <protection locked="0"/>
    </xf>
    <xf numFmtId="1" fontId="36" fillId="8" borderId="10" xfId="0" applyNumberFormat="1" applyFont="1" applyFill="1" applyBorder="1" applyAlignment="1" applyProtection="1">
      <alignment horizontal="center" vertical="center"/>
      <protection locked="0"/>
    </xf>
    <xf numFmtId="1" fontId="37" fillId="8" borderId="10" xfId="0" applyNumberFormat="1" applyFont="1" applyFill="1" applyBorder="1" applyAlignment="1" applyProtection="1">
      <alignment horizontal="center" vertical="center"/>
      <protection locked="0"/>
    </xf>
    <xf numFmtId="1" fontId="43" fillId="8" borderId="10" xfId="0" applyNumberFormat="1" applyFont="1" applyFill="1" applyBorder="1" applyAlignment="1" applyProtection="1">
      <alignment horizontal="center" vertical="center"/>
      <protection locked="0"/>
    </xf>
    <xf numFmtId="1" fontId="36" fillId="9" borderId="10" xfId="0" applyNumberFormat="1" applyFont="1" applyFill="1" applyBorder="1" applyAlignment="1" applyProtection="1">
      <alignment horizontal="center" vertical="center"/>
      <protection locked="0"/>
    </xf>
    <xf numFmtId="1" fontId="36" fillId="9" borderId="30" xfId="0" applyNumberFormat="1" applyFont="1" applyFill="1" applyBorder="1" applyAlignment="1" applyProtection="1">
      <alignment horizontal="center" vertical="center"/>
      <protection locked="0"/>
    </xf>
    <xf numFmtId="1" fontId="11" fillId="8" borderId="10" xfId="0" applyNumberFormat="1" applyFont="1" applyFill="1" applyBorder="1" applyAlignment="1" applyProtection="1">
      <alignment horizontal="center" vertical="center"/>
      <protection locked="0"/>
    </xf>
    <xf numFmtId="1" fontId="11" fillId="8" borderId="30" xfId="0" applyNumberFormat="1" applyFont="1" applyFill="1" applyBorder="1" applyAlignment="1" applyProtection="1">
      <alignment horizontal="center" vertical="center"/>
      <protection locked="0"/>
    </xf>
    <xf numFmtId="0" fontId="36" fillId="19" borderId="24" xfId="0" applyFont="1" applyFill="1" applyBorder="1" applyAlignment="1" applyProtection="1">
      <alignment horizontal="center" vertical="center" wrapText="1"/>
      <protection locked="0"/>
    </xf>
    <xf numFmtId="0" fontId="33" fillId="11" borderId="0" xfId="0" applyFont="1" applyFill="1" applyAlignment="1" applyProtection="1">
      <alignment wrapText="1"/>
      <protection hidden="1"/>
    </xf>
    <xf numFmtId="0" fontId="33" fillId="0" borderId="0" xfId="0" applyFont="1" applyAlignment="1" applyProtection="1">
      <alignment wrapText="1"/>
      <protection hidden="1"/>
    </xf>
    <xf numFmtId="165" fontId="107" fillId="8" borderId="28" xfId="0" applyNumberFormat="1" applyFont="1" applyFill="1" applyBorder="1" applyAlignment="1" applyProtection="1">
      <alignment horizontal="center" vertical="center"/>
      <protection locked="0"/>
    </xf>
    <xf numFmtId="1" fontId="107" fillId="8" borderId="28" xfId="0" applyNumberFormat="1" applyFont="1" applyFill="1" applyBorder="1" applyAlignment="1" applyProtection="1">
      <alignment horizontal="center" vertical="center"/>
      <protection locked="0"/>
    </xf>
    <xf numFmtId="1" fontId="107" fillId="8" borderId="31" xfId="0" applyNumberFormat="1" applyFont="1" applyFill="1" applyBorder="1" applyAlignment="1" applyProtection="1">
      <alignment horizontal="center" vertical="center"/>
      <protection locked="0"/>
    </xf>
    <xf numFmtId="165" fontId="106" fillId="0" borderId="39" xfId="0" applyNumberFormat="1" applyFont="1" applyBorder="1" applyAlignment="1" applyProtection="1">
      <alignment horizontal="center" vertical="center" wrapText="1"/>
      <protection hidden="1"/>
    </xf>
    <xf numFmtId="165" fontId="106" fillId="0" borderId="39" xfId="0" applyNumberFormat="1" applyFont="1" applyBorder="1" applyAlignment="1" applyProtection="1">
      <alignment horizontal="center" vertical="center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164" fontId="110" fillId="7" borderId="3" xfId="0" applyNumberFormat="1" applyFont="1" applyFill="1" applyBorder="1" applyAlignment="1" applyProtection="1">
      <alignment horizontal="center" vertical="center"/>
      <protection locked="0"/>
    </xf>
    <xf numFmtId="164" fontId="110" fillId="7" borderId="1" xfId="0" applyNumberFormat="1" applyFont="1" applyFill="1" applyBorder="1" applyAlignment="1" applyProtection="1">
      <alignment horizontal="center" vertical="center"/>
      <protection locked="0"/>
    </xf>
    <xf numFmtId="0" fontId="41" fillId="11" borderId="0" xfId="0" applyFont="1" applyFill="1" applyAlignment="1" applyProtection="1">
      <alignment wrapText="1"/>
      <protection hidden="1"/>
    </xf>
    <xf numFmtId="0" fontId="98" fillId="0" borderId="0" xfId="0" applyFont="1" applyProtection="1">
      <protection hidden="1"/>
    </xf>
    <xf numFmtId="0" fontId="98" fillId="0" borderId="0" xfId="0" applyFont="1" applyProtection="1">
      <protection locked="0"/>
    </xf>
    <xf numFmtId="1" fontId="98" fillId="0" borderId="0" xfId="0" applyNumberFormat="1" applyFont="1" applyProtection="1">
      <protection hidden="1"/>
    </xf>
    <xf numFmtId="164" fontId="13" fillId="3" borderId="0" xfId="0" applyNumberFormat="1" applyFont="1" applyFill="1" applyBorder="1" applyAlignment="1" applyProtection="1">
      <alignment horizontal="center" vertical="center"/>
      <protection hidden="1"/>
    </xf>
    <xf numFmtId="1" fontId="7" fillId="7" borderId="3" xfId="0" applyNumberFormat="1" applyFont="1" applyFill="1" applyBorder="1" applyAlignment="1" applyProtection="1">
      <alignment horizontal="center" vertical="center"/>
      <protection locked="0"/>
    </xf>
    <xf numFmtId="0" fontId="72" fillId="0" borderId="48" xfId="4" applyFont="1" applyBorder="1" applyAlignment="1" applyProtection="1">
      <alignment horizontal="center" vertical="center"/>
      <protection hidden="1"/>
    </xf>
    <xf numFmtId="0" fontId="42" fillId="0" borderId="48" xfId="4" applyFont="1" applyBorder="1" applyAlignment="1" applyProtection="1">
      <alignment horizontal="right" vertical="center"/>
      <protection hidden="1"/>
    </xf>
    <xf numFmtId="1" fontId="72" fillId="0" borderId="43" xfId="4" applyNumberFormat="1" applyFont="1" applyBorder="1" applyAlignment="1" applyProtection="1">
      <alignment horizontal="right" vertical="center"/>
      <protection hidden="1"/>
    </xf>
    <xf numFmtId="0" fontId="72" fillId="0" borderId="43" xfId="4" applyFont="1" applyBorder="1" applyAlignment="1" applyProtection="1">
      <alignment horizontal="center"/>
      <protection hidden="1"/>
    </xf>
    <xf numFmtId="1" fontId="71" fillId="0" borderId="43" xfId="4" applyNumberFormat="1" applyFont="1" applyBorder="1" applyAlignment="1" applyProtection="1">
      <alignment horizontal="center"/>
      <protection hidden="1"/>
    </xf>
    <xf numFmtId="0" fontId="71" fillId="0" borderId="44" xfId="4" applyFont="1" applyBorder="1" applyAlignment="1" applyProtection="1">
      <alignment horizontal="center" vertical="center"/>
      <protection hidden="1"/>
    </xf>
    <xf numFmtId="0" fontId="72" fillId="0" borderId="43" xfId="4" applyFont="1" applyBorder="1" applyAlignment="1" applyProtection="1">
      <alignment horizontal="center" vertical="center"/>
      <protection hidden="1"/>
    </xf>
    <xf numFmtId="0" fontId="72" fillId="0" borderId="43" xfId="4" applyFont="1" applyBorder="1" applyAlignment="1" applyProtection="1">
      <alignment horizontal="right" vertical="center"/>
      <protection hidden="1"/>
    </xf>
    <xf numFmtId="0" fontId="71" fillId="0" borderId="43" xfId="4" applyFont="1" applyBorder="1" applyAlignment="1" applyProtection="1">
      <alignment horizontal="center" vertical="center"/>
      <protection hidden="1"/>
    </xf>
    <xf numFmtId="0" fontId="72" fillId="0" borderId="47" xfId="4" applyFont="1" applyBorder="1" applyAlignment="1" applyProtection="1">
      <alignment horizontal="center" vertical="center"/>
      <protection hidden="1"/>
    </xf>
    <xf numFmtId="0" fontId="72" fillId="0" borderId="53" xfId="4" applyFont="1" applyBorder="1" applyAlignment="1" applyProtection="1">
      <alignment horizontal="center" vertical="center"/>
      <protection hidden="1"/>
    </xf>
    <xf numFmtId="0" fontId="74" fillId="0" borderId="43" xfId="4" applyFont="1" applyBorder="1" applyAlignment="1" applyProtection="1">
      <alignment horizontal="right" vertical="center"/>
      <protection hidden="1"/>
    </xf>
    <xf numFmtId="1" fontId="74" fillId="0" borderId="43" xfId="6" applyNumberFormat="1" applyFont="1" applyBorder="1" applyAlignment="1" applyProtection="1">
      <alignment horizontal="left" vertical="center"/>
      <protection hidden="1"/>
    </xf>
    <xf numFmtId="0" fontId="74" fillId="0" borderId="51" xfId="4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22" fillId="0" borderId="0" xfId="3" applyFont="1" applyBorder="1" applyAlignment="1" applyProtection="1">
      <alignment vertical="center"/>
      <protection hidden="1"/>
    </xf>
    <xf numFmtId="0" fontId="77" fillId="0" borderId="43" xfId="4" applyFont="1" applyBorder="1" applyAlignment="1" applyProtection="1">
      <alignment horizontal="center"/>
      <protection hidden="1"/>
    </xf>
    <xf numFmtId="0" fontId="5" fillId="0" borderId="51" xfId="4" applyFont="1" applyBorder="1" applyAlignment="1" applyProtection="1">
      <alignment vertical="center"/>
      <protection hidden="1"/>
    </xf>
    <xf numFmtId="0" fontId="124" fillId="0" borderId="0" xfId="4" applyFont="1" applyBorder="1" applyAlignment="1" applyProtection="1">
      <alignment horizontal="right" vertical="center"/>
      <protection hidden="1"/>
    </xf>
    <xf numFmtId="0" fontId="76" fillId="0" borderId="0" xfId="4" applyFont="1" applyBorder="1" applyAlignment="1" applyProtection="1">
      <alignment horizontal="right" vertical="center"/>
      <protection hidden="1"/>
    </xf>
    <xf numFmtId="0" fontId="125" fillId="0" borderId="0" xfId="3" applyFont="1" applyBorder="1" applyAlignment="1" applyProtection="1">
      <protection hidden="1"/>
    </xf>
    <xf numFmtId="0" fontId="126" fillId="0" borderId="0" xfId="3" applyFont="1" applyBorder="1" applyAlignment="1" applyProtection="1">
      <alignment horizontal="center" vertical="center"/>
      <protection hidden="1"/>
    </xf>
    <xf numFmtId="0" fontId="125" fillId="0" borderId="0" xfId="6" applyFont="1" applyAlignment="1" applyProtection="1">
      <protection hidden="1"/>
    </xf>
    <xf numFmtId="0" fontId="124" fillId="0" borderId="43" xfId="4" applyFont="1" applyBorder="1" applyAlignment="1" applyProtection="1">
      <alignment horizontal="center" vertical="center" wrapText="1"/>
      <protection hidden="1"/>
    </xf>
    <xf numFmtId="0" fontId="54" fillId="0" borderId="0" xfId="0" applyFont="1" applyProtection="1">
      <protection locked="0"/>
    </xf>
    <xf numFmtId="2" fontId="76" fillId="24" borderId="0" xfId="4" applyNumberFormat="1" applyFont="1" applyFill="1" applyBorder="1" applyAlignment="1" applyProtection="1">
      <alignment vertical="center"/>
      <protection hidden="1"/>
    </xf>
    <xf numFmtId="0" fontId="0" fillId="24" borderId="0" xfId="0" applyFill="1" applyBorder="1" applyProtection="1">
      <protection hidden="1"/>
    </xf>
    <xf numFmtId="0" fontId="81" fillId="24" borderId="0" xfId="4" applyFont="1" applyFill="1" applyBorder="1" applyAlignment="1" applyProtection="1">
      <alignment vertical="center"/>
      <protection hidden="1"/>
    </xf>
    <xf numFmtId="2" fontId="5" fillId="24" borderId="0" xfId="4" applyNumberFormat="1" applyFont="1" applyFill="1" applyBorder="1" applyAlignment="1" applyProtection="1">
      <alignment horizontal="right" vertical="center"/>
      <protection hidden="1"/>
    </xf>
    <xf numFmtId="0" fontId="42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vertical="center" wrapText="1"/>
      <protection hidden="1"/>
    </xf>
    <xf numFmtId="0" fontId="42" fillId="0" borderId="0" xfId="0" applyFont="1" applyAlignment="1" applyProtection="1">
      <protection hidden="1"/>
    </xf>
    <xf numFmtId="0" fontId="101" fillId="0" borderId="0" xfId="0" applyFont="1" applyBorder="1" applyAlignment="1" applyProtection="1">
      <alignment horizontal="center" vertical="top" wrapText="1"/>
      <protection hidden="1"/>
    </xf>
    <xf numFmtId="1" fontId="84" fillId="0" borderId="43" xfId="4" applyNumberFormat="1" applyFont="1" applyBorder="1" applyAlignment="1" applyProtection="1">
      <alignment horizontal="right"/>
      <protection locked="0"/>
    </xf>
    <xf numFmtId="1" fontId="103" fillId="0" borderId="51" xfId="4" applyNumberFormat="1" applyFont="1" applyBorder="1" applyAlignment="1" applyProtection="1">
      <alignment horizontal="right" vertical="center"/>
      <protection locked="0"/>
    </xf>
    <xf numFmtId="1" fontId="5" fillId="0" borderId="51" xfId="4" applyNumberFormat="1" applyFont="1" applyBorder="1" applyAlignment="1" applyProtection="1">
      <alignment horizontal="right" vertical="center"/>
      <protection locked="0"/>
    </xf>
    <xf numFmtId="0" fontId="0" fillId="26" borderId="0" xfId="0" applyFill="1" applyBorder="1" applyAlignment="1" applyProtection="1">
      <alignment horizontal="center"/>
      <protection hidden="1"/>
    </xf>
    <xf numFmtId="0" fontId="0" fillId="28" borderId="0" xfId="0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5" borderId="10" xfId="0" applyFont="1" applyFill="1" applyBorder="1" applyAlignment="1" applyProtection="1">
      <alignment horizontal="center" vertical="center"/>
      <protection hidden="1"/>
    </xf>
    <xf numFmtId="0" fontId="72" fillId="0" borderId="46" xfId="4" applyFont="1" applyBorder="1" applyAlignment="1" applyProtection="1">
      <protection hidden="1"/>
    </xf>
    <xf numFmtId="1" fontId="44" fillId="10" borderId="10" xfId="0" applyNumberFormat="1" applyFont="1" applyFill="1" applyBorder="1" applyAlignment="1" applyProtection="1">
      <alignment horizontal="center" vertical="center"/>
      <protection hidden="1"/>
    </xf>
    <xf numFmtId="1" fontId="38" fillId="10" borderId="10" xfId="0" applyNumberFormat="1" applyFont="1" applyFill="1" applyBorder="1" applyAlignment="1" applyProtection="1">
      <alignment horizontal="center" vertical="center"/>
      <protection hidden="1"/>
    </xf>
    <xf numFmtId="1" fontId="39" fillId="10" borderId="10" xfId="0" applyNumberFormat="1" applyFont="1" applyFill="1" applyBorder="1" applyAlignment="1" applyProtection="1">
      <alignment horizontal="center" vertical="center"/>
      <protection hidden="1"/>
    </xf>
    <xf numFmtId="0" fontId="48" fillId="3" borderId="0" xfId="0" applyFont="1" applyFill="1" applyBorder="1" applyAlignment="1" applyProtection="1">
      <alignment vertical="center" wrapText="1"/>
      <protection hidden="1"/>
    </xf>
    <xf numFmtId="0" fontId="46" fillId="3" borderId="0" xfId="0" applyFont="1" applyFill="1" applyBorder="1" applyAlignment="1" applyProtection="1">
      <alignment vertical="center" wrapText="1"/>
      <protection hidden="1"/>
    </xf>
    <xf numFmtId="0" fontId="6" fillId="6" borderId="3" xfId="0" applyFont="1" applyFill="1" applyBorder="1" applyAlignment="1" applyProtection="1">
      <alignment horizontal="center" vertical="center"/>
      <protection locked="0"/>
    </xf>
    <xf numFmtId="166" fontId="3" fillId="6" borderId="3" xfId="0" applyNumberFormat="1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25" fillId="2" borderId="0" xfId="0" applyFont="1" applyFill="1" applyBorder="1" applyProtection="1">
      <protection hidden="1"/>
    </xf>
    <xf numFmtId="0" fontId="3" fillId="3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Protection="1">
      <protection hidden="1"/>
    </xf>
    <xf numFmtId="0" fontId="140" fillId="43" borderId="1" xfId="0" applyFont="1" applyFill="1" applyBorder="1" applyAlignment="1" applyProtection="1">
      <alignment horizontal="center" vertical="center" wrapText="1"/>
      <protection hidden="1"/>
    </xf>
    <xf numFmtId="0" fontId="154" fillId="0" borderId="0" xfId="0" applyFont="1" applyAlignment="1" applyProtection="1">
      <alignment wrapText="1"/>
      <protection hidden="1"/>
    </xf>
    <xf numFmtId="0" fontId="54" fillId="0" borderId="0" xfId="0" applyFont="1" applyFill="1" applyProtection="1">
      <protection hidden="1"/>
    </xf>
    <xf numFmtId="0" fontId="155" fillId="0" borderId="0" xfId="0" applyFont="1" applyAlignment="1" applyProtection="1">
      <alignment wrapText="1"/>
      <protection hidden="1"/>
    </xf>
    <xf numFmtId="0" fontId="155" fillId="0" borderId="0" xfId="0" applyFont="1" applyAlignment="1" applyProtection="1">
      <alignment horizontal="center" vertical="center" wrapText="1"/>
      <protection hidden="1"/>
    </xf>
    <xf numFmtId="0" fontId="155" fillId="0" borderId="0" xfId="0" applyFont="1" applyAlignment="1" applyProtection="1">
      <alignment horizontal="center" vertical="center"/>
      <protection hidden="1"/>
    </xf>
    <xf numFmtId="0" fontId="149" fillId="0" borderId="0" xfId="0" applyFont="1" applyFill="1" applyAlignment="1" applyProtection="1">
      <alignment wrapText="1"/>
      <protection hidden="1"/>
    </xf>
    <xf numFmtId="17" fontId="54" fillId="0" borderId="0" xfId="0" applyNumberFormat="1" applyFont="1" applyProtection="1">
      <protection hidden="1"/>
    </xf>
    <xf numFmtId="0" fontId="54" fillId="0" borderId="5" xfId="0" applyFont="1" applyFill="1" applyBorder="1" applyProtection="1">
      <protection hidden="1"/>
    </xf>
    <xf numFmtId="0" fontId="54" fillId="0" borderId="6" xfId="0" applyFont="1" applyFill="1" applyBorder="1" applyProtection="1">
      <protection hidden="1"/>
    </xf>
    <xf numFmtId="14" fontId="54" fillId="0" borderId="6" xfId="0" applyNumberFormat="1" applyFont="1" applyFill="1" applyBorder="1" applyProtection="1">
      <protection hidden="1"/>
    </xf>
    <xf numFmtId="0" fontId="54" fillId="0" borderId="7" xfId="0" applyFont="1" applyFill="1" applyBorder="1" applyProtection="1">
      <protection hidden="1"/>
    </xf>
    <xf numFmtId="0" fontId="54" fillId="0" borderId="0" xfId="0" applyFont="1" applyFill="1" applyBorder="1" applyProtection="1">
      <protection hidden="1"/>
    </xf>
    <xf numFmtId="0" fontId="54" fillId="0" borderId="8" xfId="0" applyFont="1" applyFill="1" applyBorder="1" applyProtection="1">
      <protection hidden="1"/>
    </xf>
    <xf numFmtId="17" fontId="54" fillId="0" borderId="0" xfId="0" applyNumberFormat="1" applyFont="1" applyFill="1" applyBorder="1" applyProtection="1">
      <protection hidden="1"/>
    </xf>
    <xf numFmtId="0" fontId="54" fillId="0" borderId="9" xfId="0" applyFont="1" applyFill="1" applyBorder="1" applyProtection="1">
      <protection hidden="1"/>
    </xf>
    <xf numFmtId="164" fontId="54" fillId="0" borderId="0" xfId="0" applyNumberFormat="1" applyFont="1" applyProtection="1">
      <protection hidden="1"/>
    </xf>
    <xf numFmtId="0" fontId="156" fillId="0" borderId="0" xfId="0" applyFont="1" applyFill="1" applyBorder="1" applyProtection="1">
      <protection hidden="1"/>
    </xf>
    <xf numFmtId="0" fontId="54" fillId="4" borderId="0" xfId="0" applyFont="1" applyFill="1" applyProtection="1">
      <protection hidden="1"/>
    </xf>
    <xf numFmtId="1" fontId="54" fillId="0" borderId="0" xfId="0" applyNumberFormat="1" applyFont="1" applyFill="1" applyBorder="1" applyProtection="1">
      <protection hidden="1"/>
    </xf>
    <xf numFmtId="0" fontId="54" fillId="0" borderId="0" xfId="0" applyFont="1" applyFill="1" applyBorder="1" applyAlignment="1" applyProtection="1">
      <alignment horizontal="center" vertical="center"/>
      <protection hidden="1"/>
    </xf>
    <xf numFmtId="1" fontId="54" fillId="0" borderId="9" xfId="0" applyNumberFormat="1" applyFont="1" applyFill="1" applyBorder="1" applyProtection="1">
      <protection hidden="1"/>
    </xf>
    <xf numFmtId="14" fontId="54" fillId="0" borderId="0" xfId="0" applyNumberFormat="1" applyFont="1" applyFill="1" applyBorder="1" applyProtection="1">
      <protection hidden="1"/>
    </xf>
    <xf numFmtId="14" fontId="54" fillId="0" borderId="0" xfId="0" applyNumberFormat="1" applyFont="1" applyProtection="1">
      <protection hidden="1"/>
    </xf>
    <xf numFmtId="1" fontId="54" fillId="0" borderId="0" xfId="0" applyNumberFormat="1" applyFont="1" applyProtection="1">
      <protection hidden="1"/>
    </xf>
    <xf numFmtId="164" fontId="54" fillId="0" borderId="0" xfId="0" applyNumberFormat="1" applyFont="1" applyFill="1" applyBorder="1" applyProtection="1">
      <protection hidden="1"/>
    </xf>
    <xf numFmtId="1" fontId="149" fillId="0" borderId="0" xfId="0" applyNumberFormat="1" applyFont="1" applyFill="1" applyBorder="1" applyProtection="1">
      <protection hidden="1"/>
    </xf>
    <xf numFmtId="0" fontId="54" fillId="0" borderId="0" xfId="0" applyFont="1" applyBorder="1" applyProtection="1">
      <protection hidden="1"/>
    </xf>
    <xf numFmtId="0" fontId="157" fillId="0" borderId="0" xfId="0" applyFont="1" applyAlignment="1" applyProtection="1">
      <alignment wrapText="1"/>
      <protection hidden="1"/>
    </xf>
    <xf numFmtId="0" fontId="158" fillId="0" borderId="11" xfId="0" applyFont="1" applyFill="1" applyBorder="1" applyProtection="1">
      <protection hidden="1"/>
    </xf>
    <xf numFmtId="14" fontId="158" fillId="0" borderId="0" xfId="0" applyNumberFormat="1" applyFont="1" applyBorder="1" applyProtection="1">
      <protection hidden="1"/>
    </xf>
    <xf numFmtId="0" fontId="158" fillId="0" borderId="12" xfId="0" applyFont="1" applyFill="1" applyBorder="1" applyProtection="1">
      <protection hidden="1"/>
    </xf>
    <xf numFmtId="0" fontId="158" fillId="0" borderId="13" xfId="0" applyFont="1" applyFill="1" applyBorder="1" applyProtection="1">
      <protection hidden="1"/>
    </xf>
    <xf numFmtId="0" fontId="158" fillId="0" borderId="0" xfId="0" applyFont="1" applyFill="1" applyProtection="1">
      <protection hidden="1"/>
    </xf>
    <xf numFmtId="14" fontId="158" fillId="0" borderId="0" xfId="0" applyNumberFormat="1" applyFont="1" applyFill="1" applyBorder="1" applyProtection="1">
      <protection hidden="1"/>
    </xf>
    <xf numFmtId="1" fontId="158" fillId="0" borderId="0" xfId="0" applyNumberFormat="1" applyFont="1" applyProtection="1">
      <protection hidden="1"/>
    </xf>
    <xf numFmtId="14" fontId="158" fillId="0" borderId="0" xfId="0" applyNumberFormat="1" applyFont="1" applyProtection="1">
      <protection hidden="1"/>
    </xf>
    <xf numFmtId="164" fontId="159" fillId="8" borderId="10" xfId="0" applyNumberFormat="1" applyFont="1" applyFill="1" applyBorder="1" applyAlignment="1" applyProtection="1">
      <alignment horizontal="center" vertical="center" wrapText="1"/>
      <protection locked="0"/>
    </xf>
    <xf numFmtId="165" fontId="159" fillId="8" borderId="10" xfId="0" applyNumberFormat="1" applyFont="1" applyFill="1" applyBorder="1" applyAlignment="1" applyProtection="1">
      <alignment horizontal="center" vertical="center" wrapText="1"/>
      <protection locked="0"/>
    </xf>
    <xf numFmtId="165" fontId="159" fillId="8" borderId="30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0" xfId="0" applyFont="1" applyAlignment="1" applyProtection="1">
      <alignment wrapText="1"/>
      <protection hidden="1"/>
    </xf>
    <xf numFmtId="0" fontId="161" fillId="0" borderId="0" xfId="0" applyFont="1" applyAlignment="1" applyProtection="1">
      <alignment wrapText="1"/>
      <protection hidden="1"/>
    </xf>
    <xf numFmtId="1" fontId="54" fillId="0" borderId="0" xfId="0" applyNumberFormat="1" applyFont="1" applyFill="1" applyProtection="1">
      <protection hidden="1"/>
    </xf>
    <xf numFmtId="0" fontId="35" fillId="20" borderId="14" xfId="0" applyFont="1" applyFill="1" applyBorder="1" applyAlignment="1" applyProtection="1">
      <alignment horizontal="center" vertical="center" wrapText="1"/>
      <protection locked="0"/>
    </xf>
    <xf numFmtId="0" fontId="150" fillId="3" borderId="0" xfId="0" applyFont="1" applyFill="1" applyBorder="1" applyAlignment="1" applyProtection="1">
      <alignment vertical="center" wrapText="1"/>
      <protection hidden="1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3" fillId="3" borderId="80" xfId="0" applyFont="1" applyFill="1" applyBorder="1" applyAlignment="1" applyProtection="1">
      <alignment horizontal="center" vertical="center"/>
      <protection locked="0"/>
    </xf>
    <xf numFmtId="0" fontId="0" fillId="2" borderId="79" xfId="0" applyFill="1" applyBorder="1" applyProtection="1">
      <protection hidden="1"/>
    </xf>
    <xf numFmtId="0" fontId="0" fillId="2" borderId="80" xfId="0" applyFill="1" applyBorder="1" applyProtection="1">
      <protection hidden="1"/>
    </xf>
    <xf numFmtId="0" fontId="3" fillId="3" borderId="80" xfId="0" applyFont="1" applyFill="1" applyBorder="1" applyAlignment="1" applyProtection="1">
      <alignment vertical="center"/>
      <protection locked="0"/>
    </xf>
    <xf numFmtId="0" fontId="48" fillId="3" borderId="79" xfId="0" applyFont="1" applyFill="1" applyBorder="1" applyAlignment="1" applyProtection="1">
      <alignment vertical="center" wrapText="1"/>
      <protection hidden="1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2" fontId="108" fillId="34" borderId="90" xfId="2" applyNumberFormat="1" applyFont="1" applyFill="1" applyBorder="1" applyAlignment="1" applyProtection="1">
      <alignment horizontal="left" vertical="center"/>
      <protection hidden="1"/>
    </xf>
    <xf numFmtId="2" fontId="20" fillId="34" borderId="89" xfId="2" applyNumberFormat="1" applyFont="1" applyFill="1" applyBorder="1" applyAlignment="1" applyProtection="1">
      <alignment horizontal="left" vertical="center"/>
      <protection hidden="1"/>
    </xf>
    <xf numFmtId="0" fontId="6" fillId="5" borderId="19" xfId="0" applyFont="1" applyFill="1" applyBorder="1" applyAlignment="1" applyProtection="1">
      <alignment horizontal="left" vertical="center"/>
      <protection locked="0"/>
    </xf>
    <xf numFmtId="0" fontId="30" fillId="37" borderId="58" xfId="0" applyFont="1" applyFill="1" applyBorder="1" applyAlignment="1" applyProtection="1">
      <alignment horizontal="center" vertical="center"/>
      <protection hidden="1"/>
    </xf>
    <xf numFmtId="0" fontId="30" fillId="37" borderId="59" xfId="0" applyFont="1" applyFill="1" applyBorder="1" applyAlignment="1" applyProtection="1">
      <alignment horizontal="center" vertical="center"/>
      <protection hidden="1"/>
    </xf>
    <xf numFmtId="0" fontId="30" fillId="37" borderId="60" xfId="0" applyFont="1" applyFill="1" applyBorder="1" applyAlignment="1" applyProtection="1">
      <alignment horizontal="center" vertical="center"/>
      <protection hidden="1"/>
    </xf>
    <xf numFmtId="0" fontId="52" fillId="2" borderId="0" xfId="0" applyFont="1" applyFill="1" applyAlignment="1" applyProtection="1">
      <alignment horizontal="center" vertical="center"/>
      <protection hidden="1"/>
    </xf>
    <xf numFmtId="0" fontId="144" fillId="36" borderId="19" xfId="0" applyFont="1" applyFill="1" applyBorder="1" applyAlignment="1" applyProtection="1">
      <alignment horizontal="right" vertical="center"/>
      <protection hidden="1"/>
    </xf>
    <xf numFmtId="0" fontId="138" fillId="38" borderId="1" xfId="0" applyFont="1" applyFill="1" applyBorder="1" applyAlignment="1" applyProtection="1">
      <alignment horizontal="right" vertical="center"/>
      <protection hidden="1"/>
    </xf>
    <xf numFmtId="0" fontId="138" fillId="39" borderId="15" xfId="0" applyFont="1" applyFill="1" applyBorder="1" applyAlignment="1" applyProtection="1">
      <alignment horizontal="right" vertical="center"/>
      <protection hidden="1"/>
    </xf>
    <xf numFmtId="0" fontId="138" fillId="39" borderId="16" xfId="0" applyFont="1" applyFill="1" applyBorder="1" applyAlignment="1" applyProtection="1">
      <alignment horizontal="right" vertical="center"/>
      <protection hidden="1"/>
    </xf>
    <xf numFmtId="0" fontId="138" fillId="39" borderId="17" xfId="0" applyFont="1" applyFill="1" applyBorder="1" applyAlignment="1" applyProtection="1">
      <alignment horizontal="right" vertical="center"/>
      <protection hidden="1"/>
    </xf>
    <xf numFmtId="0" fontId="138" fillId="39" borderId="3" xfId="0" applyFont="1" applyFill="1" applyBorder="1" applyAlignment="1" applyProtection="1">
      <alignment horizontal="right" vertical="center"/>
      <protection hidden="1"/>
    </xf>
    <xf numFmtId="0" fontId="138" fillId="39" borderId="63" xfId="0" applyFont="1" applyFill="1" applyBorder="1" applyAlignment="1" applyProtection="1">
      <alignment horizontal="right" vertical="center"/>
      <protection hidden="1"/>
    </xf>
    <xf numFmtId="0" fontId="138" fillId="39" borderId="4" xfId="0" applyFont="1" applyFill="1" applyBorder="1" applyAlignment="1" applyProtection="1">
      <alignment horizontal="right" vertical="center"/>
      <protection hidden="1"/>
    </xf>
    <xf numFmtId="0" fontId="6" fillId="36" borderId="19" xfId="0" applyFont="1" applyFill="1" applyBorder="1" applyAlignment="1" applyProtection="1">
      <alignment horizontal="right" vertical="center"/>
      <protection hidden="1"/>
    </xf>
    <xf numFmtId="1" fontId="6" fillId="5" borderId="19" xfId="0" applyNumberFormat="1" applyFont="1" applyFill="1" applyBorder="1" applyAlignment="1" applyProtection="1">
      <alignment horizontal="left" vertical="center"/>
      <protection locked="0"/>
    </xf>
    <xf numFmtId="0" fontId="8" fillId="39" borderId="1" xfId="0" applyFont="1" applyFill="1" applyBorder="1" applyAlignment="1" applyProtection="1">
      <alignment horizontal="right" vertical="center"/>
      <protection hidden="1"/>
    </xf>
    <xf numFmtId="0" fontId="4" fillId="13" borderId="2" xfId="0" applyFont="1" applyFill="1" applyBorder="1" applyAlignment="1" applyProtection="1">
      <alignment horizontal="center" vertical="center"/>
      <protection hidden="1"/>
    </xf>
    <xf numFmtId="0" fontId="168" fillId="36" borderId="19" xfId="0" applyFont="1" applyFill="1" applyBorder="1" applyAlignment="1" applyProtection="1">
      <alignment horizontal="right" vertical="center"/>
      <protection hidden="1"/>
    </xf>
    <xf numFmtId="0" fontId="169" fillId="35" borderId="64" xfId="0" applyFont="1" applyFill="1" applyBorder="1" applyAlignment="1" applyProtection="1">
      <alignment horizontal="center" vertical="center"/>
      <protection hidden="1"/>
    </xf>
    <xf numFmtId="0" fontId="169" fillId="35" borderId="20" xfId="0" applyFont="1" applyFill="1" applyBorder="1" applyAlignment="1" applyProtection="1">
      <alignment horizontal="center" vertical="center"/>
      <protection hidden="1"/>
    </xf>
    <xf numFmtId="0" fontId="50" fillId="17" borderId="0" xfId="0" applyFont="1" applyFill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49" fillId="43" borderId="21" xfId="0" applyFont="1" applyFill="1" applyBorder="1" applyAlignment="1" applyProtection="1">
      <alignment horizontal="center" vertical="center"/>
      <protection hidden="1"/>
    </xf>
    <xf numFmtId="0" fontId="48" fillId="44" borderId="21" xfId="0" applyFont="1" applyFill="1" applyBorder="1" applyAlignment="1" applyProtection="1">
      <alignment horizontal="center" vertical="center" wrapText="1"/>
      <protection hidden="1"/>
    </xf>
    <xf numFmtId="3" fontId="6" fillId="5" borderId="19" xfId="0" applyNumberFormat="1" applyFont="1" applyFill="1" applyBorder="1" applyAlignment="1" applyProtection="1">
      <alignment horizontal="left" vertical="center"/>
      <protection locked="0"/>
    </xf>
    <xf numFmtId="0" fontId="112" fillId="32" borderId="61" xfId="0" applyFont="1" applyFill="1" applyBorder="1" applyAlignment="1" applyProtection="1">
      <alignment horizontal="center" vertical="center" wrapText="1"/>
      <protection hidden="1"/>
    </xf>
    <xf numFmtId="0" fontId="112" fillId="32" borderId="0" xfId="0" applyFont="1" applyFill="1" applyBorder="1" applyAlignment="1" applyProtection="1">
      <alignment horizontal="center" vertical="center" wrapText="1"/>
      <protection hidden="1"/>
    </xf>
    <xf numFmtId="0" fontId="111" fillId="2" borderId="0" xfId="7" applyFont="1" applyFill="1" applyAlignment="1" applyProtection="1">
      <alignment horizontal="right" vertical="top"/>
      <protection hidden="1"/>
    </xf>
    <xf numFmtId="0" fontId="139" fillId="47" borderId="0" xfId="0" applyFont="1" applyFill="1" applyAlignment="1" applyProtection="1">
      <alignment horizontal="center" vertical="center" wrapText="1"/>
      <protection hidden="1"/>
    </xf>
    <xf numFmtId="0" fontId="6" fillId="5" borderId="19" xfId="0" applyNumberFormat="1" applyFont="1" applyFill="1" applyBorder="1" applyAlignment="1" applyProtection="1">
      <alignment horizontal="left" vertical="center"/>
      <protection locked="0"/>
    </xf>
    <xf numFmtId="167" fontId="6" fillId="5" borderId="19" xfId="0" applyNumberFormat="1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31" fillId="39" borderId="1" xfId="0" applyFont="1" applyFill="1" applyBorder="1" applyAlignment="1" applyProtection="1">
      <alignment horizontal="right" vertical="center"/>
      <protection hidden="1"/>
    </xf>
    <xf numFmtId="0" fontId="47" fillId="43" borderId="3" xfId="0" applyFont="1" applyFill="1" applyBorder="1" applyAlignment="1" applyProtection="1">
      <alignment horizontal="right" vertical="center" wrapText="1"/>
      <protection hidden="1"/>
    </xf>
    <xf numFmtId="0" fontId="47" fillId="43" borderId="63" xfId="0" applyFont="1" applyFill="1" applyBorder="1" applyAlignment="1" applyProtection="1">
      <alignment horizontal="right" vertical="center" wrapText="1"/>
      <protection hidden="1"/>
    </xf>
    <xf numFmtId="0" fontId="47" fillId="43" borderId="4" xfId="0" applyFont="1" applyFill="1" applyBorder="1" applyAlignment="1" applyProtection="1">
      <alignment horizontal="right" vertical="center" wrapText="1"/>
      <protection hidden="1"/>
    </xf>
    <xf numFmtId="0" fontId="144" fillId="39" borderId="1" xfId="0" applyFont="1" applyFill="1" applyBorder="1" applyAlignment="1" applyProtection="1">
      <alignment horizontal="right" vertical="center"/>
      <protection hidden="1"/>
    </xf>
    <xf numFmtId="0" fontId="56" fillId="42" borderId="0" xfId="0" applyFont="1" applyFill="1" applyBorder="1" applyAlignment="1" applyProtection="1">
      <alignment horizontal="center" vertical="center" wrapText="1"/>
      <protection hidden="1"/>
    </xf>
    <xf numFmtId="0" fontId="56" fillId="42" borderId="62" xfId="0" applyFont="1" applyFill="1" applyBorder="1" applyAlignment="1" applyProtection="1">
      <alignment horizontal="center" vertical="center" wrapText="1"/>
      <protection hidden="1"/>
    </xf>
    <xf numFmtId="0" fontId="167" fillId="37" borderId="61" xfId="0" applyFont="1" applyFill="1" applyBorder="1" applyAlignment="1" applyProtection="1">
      <alignment horizontal="center" vertical="center" wrapText="1"/>
      <protection hidden="1"/>
    </xf>
    <xf numFmtId="0" fontId="167" fillId="37" borderId="0" xfId="0" applyFont="1" applyFill="1" applyAlignment="1" applyProtection="1">
      <alignment horizontal="center" vertical="center" wrapText="1"/>
      <protection hidden="1"/>
    </xf>
    <xf numFmtId="0" fontId="167" fillId="37" borderId="62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18" borderId="19" xfId="0" applyFont="1" applyFill="1" applyBorder="1" applyAlignment="1" applyProtection="1">
      <alignment horizontal="left" vertical="center"/>
      <protection locked="0"/>
    </xf>
    <xf numFmtId="49" fontId="6" fillId="5" borderId="19" xfId="0" applyNumberFormat="1" applyFont="1" applyFill="1" applyBorder="1" applyAlignment="1" applyProtection="1">
      <alignment horizontal="left" vertical="center"/>
      <protection locked="0"/>
    </xf>
    <xf numFmtId="0" fontId="153" fillId="3" borderId="81" xfId="0" applyFont="1" applyFill="1" applyBorder="1" applyAlignment="1" applyProtection="1">
      <alignment horizontal="justify" vertical="center" wrapText="1"/>
      <protection hidden="1"/>
    </xf>
    <xf numFmtId="0" fontId="153" fillId="3" borderId="82" xfId="0" applyFont="1" applyFill="1" applyBorder="1" applyAlignment="1" applyProtection="1">
      <alignment horizontal="justify" vertical="center" wrapText="1"/>
      <protection hidden="1"/>
    </xf>
    <xf numFmtId="0" fontId="153" fillId="3" borderId="83" xfId="0" applyFont="1" applyFill="1" applyBorder="1" applyAlignment="1" applyProtection="1">
      <alignment horizontal="justify" vertical="center" wrapText="1"/>
      <protection hidden="1"/>
    </xf>
    <xf numFmtId="0" fontId="153" fillId="3" borderId="84" xfId="0" applyFont="1" applyFill="1" applyBorder="1" applyAlignment="1" applyProtection="1">
      <alignment horizontal="justify" vertical="center" wrapText="1"/>
      <protection hidden="1"/>
    </xf>
    <xf numFmtId="0" fontId="153" fillId="3" borderId="0" xfId="0" applyFont="1" applyFill="1" applyBorder="1" applyAlignment="1" applyProtection="1">
      <alignment horizontal="justify" vertical="center" wrapText="1"/>
      <protection hidden="1"/>
    </xf>
    <xf numFmtId="0" fontId="153" fillId="3" borderId="85" xfId="0" applyFont="1" applyFill="1" applyBorder="1" applyAlignment="1" applyProtection="1">
      <alignment horizontal="justify" vertical="center" wrapText="1"/>
      <protection hidden="1"/>
    </xf>
    <xf numFmtId="0" fontId="153" fillId="3" borderId="86" xfId="0" applyFont="1" applyFill="1" applyBorder="1" applyAlignment="1" applyProtection="1">
      <alignment horizontal="justify" vertical="center" wrapText="1"/>
      <protection hidden="1"/>
    </xf>
    <xf numFmtId="0" fontId="153" fillId="3" borderId="87" xfId="0" applyFont="1" applyFill="1" applyBorder="1" applyAlignment="1" applyProtection="1">
      <alignment horizontal="justify" vertical="center" wrapText="1"/>
      <protection hidden="1"/>
    </xf>
    <xf numFmtId="0" fontId="153" fillId="3" borderId="88" xfId="0" applyFont="1" applyFill="1" applyBorder="1" applyAlignment="1" applyProtection="1">
      <alignment horizontal="justify" vertical="center" wrapText="1"/>
      <protection hidden="1"/>
    </xf>
    <xf numFmtId="0" fontId="152" fillId="3" borderId="0" xfId="0" applyFont="1" applyFill="1" applyBorder="1" applyAlignment="1" applyProtection="1">
      <alignment horizontal="center" vertical="center" wrapText="1"/>
      <protection hidden="1"/>
    </xf>
    <xf numFmtId="0" fontId="150" fillId="3" borderId="76" xfId="0" applyFont="1" applyFill="1" applyBorder="1" applyAlignment="1" applyProtection="1">
      <alignment horizontal="center" vertical="center" wrapText="1"/>
      <protection hidden="1"/>
    </xf>
    <xf numFmtId="0" fontId="150" fillId="3" borderId="77" xfId="0" applyFont="1" applyFill="1" applyBorder="1" applyAlignment="1" applyProtection="1">
      <alignment horizontal="center" vertical="center" wrapText="1"/>
      <protection hidden="1"/>
    </xf>
    <xf numFmtId="0" fontId="150" fillId="3" borderId="78" xfId="0" applyFont="1" applyFill="1" applyBorder="1" applyAlignment="1" applyProtection="1">
      <alignment horizontal="center" vertical="center" wrapText="1"/>
      <protection hidden="1"/>
    </xf>
    <xf numFmtId="0" fontId="150" fillId="3" borderId="79" xfId="0" applyFont="1" applyFill="1" applyBorder="1" applyAlignment="1" applyProtection="1">
      <alignment horizontal="center" vertical="center" wrapText="1"/>
      <protection hidden="1"/>
    </xf>
    <xf numFmtId="0" fontId="150" fillId="3" borderId="0" xfId="0" applyFont="1" applyFill="1" applyBorder="1" applyAlignment="1" applyProtection="1">
      <alignment horizontal="center" vertical="center" wrapText="1"/>
      <protection hidden="1"/>
    </xf>
    <xf numFmtId="0" fontId="150" fillId="3" borderId="80" xfId="0" applyFont="1" applyFill="1" applyBorder="1" applyAlignment="1" applyProtection="1">
      <alignment horizontal="center" vertical="center" wrapText="1"/>
      <protection hidden="1"/>
    </xf>
    <xf numFmtId="0" fontId="141" fillId="41" borderId="0" xfId="0" applyFont="1" applyFill="1" applyBorder="1" applyAlignment="1" applyProtection="1">
      <alignment horizontal="center" vertical="center"/>
      <protection hidden="1"/>
    </xf>
    <xf numFmtId="0" fontId="141" fillId="41" borderId="62" xfId="0" applyFont="1" applyFill="1" applyBorder="1" applyAlignment="1" applyProtection="1">
      <alignment horizontal="center" vertical="center"/>
      <protection hidden="1"/>
    </xf>
    <xf numFmtId="0" fontId="151" fillId="3" borderId="79" xfId="0" applyFont="1" applyFill="1" applyBorder="1" applyAlignment="1" applyProtection="1">
      <alignment horizontal="center" vertical="center" wrapText="1"/>
      <protection hidden="1"/>
    </xf>
    <xf numFmtId="0" fontId="151" fillId="3" borderId="0" xfId="0" applyFont="1" applyFill="1" applyBorder="1" applyAlignment="1" applyProtection="1">
      <alignment horizontal="center" vertical="center" wrapText="1"/>
      <protection hidden="1"/>
    </xf>
    <xf numFmtId="0" fontId="6" fillId="40" borderId="1" xfId="0" applyFont="1" applyFill="1" applyBorder="1" applyAlignment="1" applyProtection="1">
      <alignment horizontal="right" vertical="center"/>
      <protection hidden="1"/>
    </xf>
    <xf numFmtId="0" fontId="138" fillId="39" borderId="1" xfId="0" applyFont="1" applyFill="1" applyBorder="1" applyAlignment="1" applyProtection="1">
      <alignment horizontal="right" vertical="center"/>
      <protection hidden="1"/>
    </xf>
    <xf numFmtId="0" fontId="35" fillId="48" borderId="24" xfId="0" applyFont="1" applyFill="1" applyBorder="1" applyAlignment="1" applyProtection="1">
      <alignment horizontal="center" vertical="center" wrapText="1"/>
      <protection hidden="1"/>
    </xf>
    <xf numFmtId="0" fontId="35" fillId="48" borderId="10" xfId="0" applyFont="1" applyFill="1" applyBorder="1" applyAlignment="1" applyProtection="1">
      <alignment horizontal="center" vertical="center" wrapText="1"/>
      <protection hidden="1"/>
    </xf>
    <xf numFmtId="0" fontId="137" fillId="46" borderId="0" xfId="0" applyFont="1" applyFill="1" applyAlignment="1" applyProtection="1">
      <alignment horizontal="right" vertical="center"/>
      <protection hidden="1"/>
    </xf>
    <xf numFmtId="0" fontId="51" fillId="22" borderId="0" xfId="0" applyFont="1" applyFill="1" applyAlignment="1" applyProtection="1">
      <alignment horizontal="left" vertical="center" wrapText="1"/>
      <protection hidden="1"/>
    </xf>
    <xf numFmtId="0" fontId="1" fillId="48" borderId="24" xfId="0" applyFont="1" applyFill="1" applyBorder="1" applyAlignment="1" applyProtection="1">
      <alignment horizontal="center" vertical="center" wrapText="1"/>
      <protection hidden="1"/>
    </xf>
    <xf numFmtId="0" fontId="1" fillId="48" borderId="10" xfId="0" applyFont="1" applyFill="1" applyBorder="1" applyAlignment="1" applyProtection="1">
      <alignment horizontal="center" vertical="center" wrapText="1"/>
      <protection hidden="1"/>
    </xf>
    <xf numFmtId="0" fontId="1" fillId="48" borderId="26" xfId="0" applyFont="1" applyFill="1" applyBorder="1" applyAlignment="1" applyProtection="1">
      <alignment horizontal="center" vertical="center" wrapText="1"/>
      <protection hidden="1"/>
    </xf>
    <xf numFmtId="0" fontId="1" fillId="48" borderId="28" xfId="0" applyFont="1" applyFill="1" applyBorder="1" applyAlignment="1" applyProtection="1">
      <alignment horizontal="center" vertical="center" wrapText="1"/>
      <protection hidden="1"/>
    </xf>
    <xf numFmtId="0" fontId="1" fillId="48" borderId="25" xfId="0" applyFont="1" applyFill="1" applyBorder="1" applyAlignment="1" applyProtection="1">
      <alignment horizontal="center" vertical="center" wrapText="1"/>
      <protection hidden="1"/>
    </xf>
    <xf numFmtId="0" fontId="1" fillId="48" borderId="14" xfId="0" applyFont="1" applyFill="1" applyBorder="1" applyAlignment="1" applyProtection="1">
      <alignment horizontal="center" vertical="center" wrapText="1"/>
      <protection hidden="1"/>
    </xf>
    <xf numFmtId="0" fontId="114" fillId="11" borderId="0" xfId="7" applyFont="1" applyFill="1" applyAlignment="1" applyProtection="1">
      <alignment horizontal="center" wrapText="1"/>
      <protection hidden="1"/>
    </xf>
    <xf numFmtId="0" fontId="104" fillId="11" borderId="0" xfId="0" applyFont="1" applyFill="1" applyAlignment="1" applyProtection="1">
      <alignment horizontal="center" wrapText="1"/>
      <protection hidden="1"/>
    </xf>
    <xf numFmtId="0" fontId="162" fillId="11" borderId="0" xfId="0" applyFont="1" applyFill="1" applyAlignment="1" applyProtection="1">
      <alignment horizontal="center" vertical="center" wrapText="1"/>
      <protection hidden="1"/>
    </xf>
    <xf numFmtId="0" fontId="35" fillId="48" borderId="23" xfId="0" applyFont="1" applyFill="1" applyBorder="1" applyAlignment="1" applyProtection="1">
      <alignment horizontal="center" vertical="center" wrapText="1"/>
      <protection hidden="1"/>
    </xf>
    <xf numFmtId="0" fontId="35" fillId="48" borderId="27" xfId="0" applyFont="1" applyFill="1" applyBorder="1" applyAlignment="1" applyProtection="1">
      <alignment horizontal="center" vertical="center" wrapText="1"/>
      <protection hidden="1"/>
    </xf>
    <xf numFmtId="0" fontId="35" fillId="48" borderId="25" xfId="0" applyFont="1" applyFill="1" applyBorder="1" applyAlignment="1" applyProtection="1">
      <alignment horizontal="center" vertical="center" wrapText="1"/>
      <protection hidden="1"/>
    </xf>
    <xf numFmtId="0" fontId="35" fillId="48" borderId="14" xfId="0" applyFont="1" applyFill="1" applyBorder="1" applyAlignment="1" applyProtection="1">
      <alignment horizontal="center" vertical="center" wrapText="1"/>
      <protection hidden="1"/>
    </xf>
    <xf numFmtId="2" fontId="21" fillId="33" borderId="22" xfId="1" applyNumberFormat="1" applyFont="1" applyFill="1" applyBorder="1" applyAlignment="1" applyProtection="1">
      <alignment horizontal="left" vertical="center" wrapText="1"/>
      <protection hidden="1"/>
    </xf>
    <xf numFmtId="2" fontId="21" fillId="33" borderId="38" xfId="1" applyNumberFormat="1" applyFont="1" applyFill="1" applyBorder="1" applyAlignment="1" applyProtection="1">
      <alignment horizontal="left" vertical="center" wrapText="1"/>
      <protection hidden="1"/>
    </xf>
    <xf numFmtId="2" fontId="74" fillId="34" borderId="41" xfId="2" applyNumberFormat="1" applyFont="1" applyFill="1" applyBorder="1" applyAlignment="1" applyProtection="1">
      <alignment horizontal="left" vertical="center"/>
      <protection hidden="1"/>
    </xf>
    <xf numFmtId="2" fontId="74" fillId="34" borderId="42" xfId="2" applyNumberFormat="1" applyFont="1" applyFill="1" applyBorder="1" applyAlignment="1" applyProtection="1">
      <alignment horizontal="left" vertical="center"/>
      <protection hidden="1"/>
    </xf>
    <xf numFmtId="2" fontId="74" fillId="34" borderId="10" xfId="2" applyNumberFormat="1" applyFont="1" applyFill="1" applyBorder="1" applyAlignment="1" applyProtection="1">
      <alignment horizontal="left" vertical="center"/>
      <protection hidden="1"/>
    </xf>
    <xf numFmtId="0" fontId="0" fillId="27" borderId="0" xfId="0" applyFill="1" applyAlignment="1" applyProtection="1">
      <alignment horizontal="center"/>
      <protection hidden="1"/>
    </xf>
    <xf numFmtId="0" fontId="0" fillId="28" borderId="32" xfId="0" applyFill="1" applyBorder="1" applyAlignment="1" applyProtection="1">
      <alignment horizontal="center" vertical="center"/>
      <protection hidden="1"/>
    </xf>
    <xf numFmtId="2" fontId="136" fillId="34" borderId="10" xfId="2" applyNumberFormat="1" applyFont="1" applyFill="1" applyBorder="1" applyAlignment="1" applyProtection="1">
      <alignment horizontal="left" vertical="center"/>
      <protection hidden="1"/>
    </xf>
    <xf numFmtId="2" fontId="129" fillId="33" borderId="22" xfId="1" applyNumberFormat="1" applyFont="1" applyFill="1" applyBorder="1" applyAlignment="1" applyProtection="1">
      <alignment horizontal="left" vertical="center" wrapText="1"/>
      <protection hidden="1"/>
    </xf>
    <xf numFmtId="2" fontId="129" fillId="33" borderId="38" xfId="1" applyNumberFormat="1" applyFont="1" applyFill="1" applyBorder="1" applyAlignment="1" applyProtection="1">
      <alignment horizontal="left" vertical="center" wrapText="1"/>
      <protection hidden="1"/>
    </xf>
    <xf numFmtId="2" fontId="134" fillId="33" borderId="22" xfId="1" applyNumberFormat="1" applyFont="1" applyFill="1" applyBorder="1" applyAlignment="1" applyProtection="1">
      <alignment horizontal="left" vertical="center" wrapText="1"/>
      <protection hidden="1"/>
    </xf>
    <xf numFmtId="2" fontId="134" fillId="33" borderId="38" xfId="1" applyNumberFormat="1" applyFont="1" applyFill="1" applyBorder="1" applyAlignment="1" applyProtection="1">
      <alignment horizontal="left" vertical="center" wrapText="1"/>
      <protection hidden="1"/>
    </xf>
    <xf numFmtId="2" fontId="130" fillId="33" borderId="22" xfId="1" applyNumberFormat="1" applyFont="1" applyFill="1" applyBorder="1" applyAlignment="1" applyProtection="1">
      <alignment horizontal="left" vertical="center" wrapText="1"/>
      <protection hidden="1"/>
    </xf>
    <xf numFmtId="2" fontId="130" fillId="33" borderId="38" xfId="1" applyNumberFormat="1" applyFont="1" applyFill="1" applyBorder="1" applyAlignment="1" applyProtection="1">
      <alignment horizontal="left" vertical="center" wrapText="1"/>
      <protection hidden="1"/>
    </xf>
    <xf numFmtId="2" fontId="132" fillId="33" borderId="22" xfId="1" applyNumberFormat="1" applyFont="1" applyFill="1" applyBorder="1" applyAlignment="1" applyProtection="1">
      <alignment horizontal="left" vertical="center" wrapText="1"/>
      <protection hidden="1"/>
    </xf>
    <xf numFmtId="2" fontId="132" fillId="33" borderId="38" xfId="1" applyNumberFormat="1" applyFont="1" applyFill="1" applyBorder="1" applyAlignment="1" applyProtection="1">
      <alignment horizontal="left" vertical="center" wrapText="1"/>
      <protection hidden="1"/>
    </xf>
    <xf numFmtId="2" fontId="170" fillId="33" borderId="41" xfId="1" applyNumberFormat="1" applyFont="1" applyFill="1" applyBorder="1" applyAlignment="1" applyProtection="1">
      <alignment horizontal="left" vertical="center" wrapText="1"/>
      <protection hidden="1"/>
    </xf>
    <xf numFmtId="2" fontId="129" fillId="33" borderId="69" xfId="1" applyNumberFormat="1" applyFont="1" applyFill="1" applyBorder="1" applyAlignment="1" applyProtection="1">
      <alignment horizontal="left" vertical="center" wrapText="1"/>
      <protection hidden="1"/>
    </xf>
    <xf numFmtId="2" fontId="129" fillId="33" borderId="70" xfId="1" applyNumberFormat="1" applyFont="1" applyFill="1" applyBorder="1" applyAlignment="1" applyProtection="1">
      <alignment horizontal="left" vertical="center" wrapText="1"/>
      <protection hidden="1"/>
    </xf>
    <xf numFmtId="2" fontId="108" fillId="34" borderId="91" xfId="2" applyNumberFormat="1" applyFont="1" applyFill="1" applyBorder="1" applyAlignment="1" applyProtection="1">
      <alignment horizontal="left" vertical="center"/>
      <protection hidden="1"/>
    </xf>
    <xf numFmtId="2" fontId="108" fillId="34" borderId="92" xfId="2" applyNumberFormat="1" applyFont="1" applyFill="1" applyBorder="1" applyAlignment="1" applyProtection="1">
      <alignment horizontal="left" vertical="center"/>
      <protection hidden="1"/>
    </xf>
    <xf numFmtId="0" fontId="115" fillId="23" borderId="0" xfId="7" applyFont="1" applyFill="1" applyAlignment="1" applyProtection="1">
      <alignment horizontal="center" vertical="center"/>
      <protection hidden="1"/>
    </xf>
    <xf numFmtId="0" fontId="57" fillId="23" borderId="0" xfId="0" applyFont="1" applyFill="1" applyAlignment="1" applyProtection="1">
      <alignment horizontal="center" vertical="center"/>
      <protection hidden="1"/>
    </xf>
    <xf numFmtId="0" fontId="116" fillId="23" borderId="0" xfId="0" applyFont="1" applyFill="1" applyAlignment="1" applyProtection="1">
      <alignment horizontal="center" vertical="top"/>
      <protection hidden="1"/>
    </xf>
    <xf numFmtId="0" fontId="58" fillId="25" borderId="0" xfId="0" applyFont="1" applyFill="1" applyAlignment="1" applyProtection="1">
      <alignment horizontal="center" vertical="center"/>
      <protection hidden="1"/>
    </xf>
    <xf numFmtId="0" fontId="0" fillId="26" borderId="32" xfId="0" applyFill="1" applyBorder="1" applyAlignment="1" applyProtection="1">
      <alignment horizontal="center"/>
      <protection hidden="1"/>
    </xf>
    <xf numFmtId="2" fontId="21" fillId="34" borderId="10" xfId="2" applyNumberFormat="1" applyFont="1" applyFill="1" applyBorder="1" applyAlignment="1" applyProtection="1">
      <alignment horizontal="left" vertical="center"/>
      <protection hidden="1"/>
    </xf>
    <xf numFmtId="2" fontId="74" fillId="34" borderId="10" xfId="2" applyNumberFormat="1" applyFont="1" applyFill="1" applyBorder="1" applyAlignment="1" applyProtection="1">
      <alignment horizontal="left" vertical="center" wrapText="1"/>
      <protection hidden="1"/>
    </xf>
    <xf numFmtId="0" fontId="34" fillId="0" borderId="34" xfId="0" applyFont="1" applyBorder="1" applyAlignment="1" applyProtection="1">
      <alignment horizontal="center" vertical="center" wrapText="1"/>
      <protection hidden="1"/>
    </xf>
    <xf numFmtId="1" fontId="6" fillId="0" borderId="34" xfId="0" applyNumberFormat="1" applyFont="1" applyBorder="1" applyAlignment="1" applyProtection="1">
      <alignment horizontal="left" vertical="center" wrapText="1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34" fillId="0" borderId="8" xfId="0" applyFont="1" applyBorder="1" applyAlignment="1" applyProtection="1">
      <alignment horizontal="right" vertical="center" wrapText="1"/>
      <protection hidden="1"/>
    </xf>
    <xf numFmtId="0" fontId="34" fillId="0" borderId="0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35" fillId="0" borderId="0" xfId="0" applyFont="1" applyBorder="1" applyAlignment="1" applyProtection="1">
      <alignment horizontal="left" vertical="center" wrapText="1"/>
      <protection hidden="1"/>
    </xf>
    <xf numFmtId="0" fontId="62" fillId="0" borderId="0" xfId="0" applyFont="1" applyBorder="1" applyAlignment="1" applyProtection="1">
      <alignment horizontal="center" vertical="center" wrapText="1"/>
      <protection hidden="1"/>
    </xf>
    <xf numFmtId="0" fontId="62" fillId="0" borderId="9" xfId="0" applyFont="1" applyBorder="1" applyAlignment="1" applyProtection="1">
      <alignment horizontal="center" vertical="center" wrapText="1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67" fillId="0" borderId="0" xfId="0" applyFont="1" applyBorder="1" applyAlignment="1" applyProtection="1">
      <alignment horizontal="center" vertical="center" wrapText="1"/>
      <protection hidden="1"/>
    </xf>
    <xf numFmtId="0" fontId="34" fillId="0" borderId="12" xfId="0" applyFont="1" applyBorder="1" applyAlignment="1" applyProtection="1">
      <alignment horizontal="center" vertical="center"/>
      <protection hidden="1"/>
    </xf>
    <xf numFmtId="0" fontId="34" fillId="0" borderId="12" xfId="0" applyFont="1" applyBorder="1" applyAlignment="1" applyProtection="1">
      <alignment horizontal="center" vertical="center" wrapText="1"/>
      <protection hidden="1"/>
    </xf>
    <xf numFmtId="0" fontId="60" fillId="0" borderId="6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1" fontId="35" fillId="0" borderId="34" xfId="0" applyNumberFormat="1" applyFont="1" applyBorder="1" applyAlignment="1" applyProtection="1">
      <alignment horizontal="left" vertical="center" wrapText="1"/>
      <protection hidden="1"/>
    </xf>
    <xf numFmtId="1" fontId="35" fillId="0" borderId="35" xfId="0" applyNumberFormat="1" applyFont="1" applyBorder="1" applyAlignment="1" applyProtection="1">
      <alignment horizontal="left" vertical="center" wrapText="1"/>
      <protection hidden="1"/>
    </xf>
    <xf numFmtId="0" fontId="34" fillId="0" borderId="36" xfId="0" applyFont="1" applyBorder="1" applyAlignment="1" applyProtection="1">
      <alignment horizontal="center" vertical="center"/>
      <protection hidden="1"/>
    </xf>
    <xf numFmtId="0" fontId="34" fillId="0" borderId="37" xfId="0" applyFont="1" applyBorder="1" applyAlignment="1" applyProtection="1">
      <alignment horizontal="center" vertical="center"/>
      <protection hidden="1"/>
    </xf>
    <xf numFmtId="0" fontId="34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9" xfId="0" applyFont="1" applyBorder="1" applyAlignment="1" applyProtection="1">
      <alignment horizontal="center" vertical="center" textRotation="90"/>
      <protection hidden="1"/>
    </xf>
    <xf numFmtId="0" fontId="34" fillId="0" borderId="33" xfId="0" applyFont="1" applyBorder="1" applyAlignment="1" applyProtection="1">
      <alignment horizontal="right" vertical="center" wrapText="1"/>
      <protection hidden="1"/>
    </xf>
    <xf numFmtId="0" fontId="34" fillId="0" borderId="34" xfId="0" applyFont="1" applyBorder="1" applyAlignment="1" applyProtection="1">
      <alignment horizontal="right" vertical="center" wrapText="1"/>
      <protection hidden="1"/>
    </xf>
    <xf numFmtId="0" fontId="6" fillId="0" borderId="34" xfId="0" applyFont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19" fillId="0" borderId="0" xfId="7" applyFont="1" applyBorder="1" applyAlignment="1" applyProtection="1">
      <alignment horizontal="center" vertical="center" wrapText="1"/>
      <protection hidden="1"/>
    </xf>
    <xf numFmtId="0" fontId="95" fillId="0" borderId="0" xfId="0" applyFont="1" applyAlignment="1" applyProtection="1">
      <alignment horizontal="center" vertical="center" wrapText="1"/>
      <protection hidden="1"/>
    </xf>
    <xf numFmtId="0" fontId="102" fillId="0" borderId="5" xfId="4" applyFont="1" applyBorder="1" applyAlignment="1" applyProtection="1">
      <alignment horizontal="justify" vertical="center" wrapText="1"/>
      <protection hidden="1"/>
    </xf>
    <xf numFmtId="0" fontId="102" fillId="0" borderId="6" xfId="4" applyFont="1" applyBorder="1" applyAlignment="1" applyProtection="1">
      <alignment horizontal="justify" vertical="center" wrapText="1"/>
      <protection hidden="1"/>
    </xf>
    <xf numFmtId="0" fontId="102" fillId="0" borderId="7" xfId="4" applyFont="1" applyBorder="1" applyAlignment="1" applyProtection="1">
      <alignment horizontal="justify" vertical="center" wrapText="1"/>
      <protection hidden="1"/>
    </xf>
    <xf numFmtId="0" fontId="102" fillId="0" borderId="8" xfId="4" applyFont="1" applyBorder="1" applyAlignment="1" applyProtection="1">
      <alignment horizontal="justify" vertical="center" wrapText="1"/>
      <protection hidden="1"/>
    </xf>
    <xf numFmtId="0" fontId="102" fillId="0" borderId="0" xfId="4" applyFont="1" applyBorder="1" applyAlignment="1" applyProtection="1">
      <alignment horizontal="justify" vertical="center" wrapText="1"/>
      <protection hidden="1"/>
    </xf>
    <xf numFmtId="0" fontId="102" fillId="0" borderId="9" xfId="4" applyFont="1" applyBorder="1" applyAlignment="1" applyProtection="1">
      <alignment horizontal="justify" vertical="center" wrapText="1"/>
      <protection hidden="1"/>
    </xf>
    <xf numFmtId="0" fontId="102" fillId="0" borderId="11" xfId="4" applyFont="1" applyBorder="1" applyAlignment="1" applyProtection="1">
      <alignment horizontal="justify" vertical="center" wrapText="1"/>
      <protection hidden="1"/>
    </xf>
    <xf numFmtId="0" fontId="102" fillId="0" borderId="12" xfId="4" applyFont="1" applyBorder="1" applyAlignment="1" applyProtection="1">
      <alignment horizontal="justify" vertical="center" wrapText="1"/>
      <protection hidden="1"/>
    </xf>
    <xf numFmtId="0" fontId="102" fillId="0" borderId="13" xfId="4" applyFont="1" applyBorder="1" applyAlignment="1" applyProtection="1">
      <alignment horizontal="justify" vertical="center" wrapText="1"/>
      <protection hidden="1"/>
    </xf>
    <xf numFmtId="0" fontId="70" fillId="0" borderId="0" xfId="3" applyFont="1" applyAlignment="1" applyProtection="1">
      <alignment horizontal="center" vertical="center"/>
      <protection hidden="1"/>
    </xf>
    <xf numFmtId="0" fontId="72" fillId="0" borderId="48" xfId="4" applyFont="1" applyBorder="1" applyAlignment="1" applyProtection="1">
      <alignment horizontal="left" vertical="center"/>
      <protection hidden="1"/>
    </xf>
    <xf numFmtId="0" fontId="71" fillId="0" borderId="48" xfId="5" applyFont="1" applyFill="1" applyBorder="1" applyAlignment="1" applyProtection="1">
      <alignment horizontal="left" vertical="center"/>
      <protection hidden="1"/>
    </xf>
    <xf numFmtId="0" fontId="71" fillId="0" borderId="48" xfId="4" applyFont="1" applyFill="1" applyBorder="1" applyAlignment="1" applyProtection="1">
      <alignment horizontal="left" vertical="center"/>
      <protection hidden="1"/>
    </xf>
    <xf numFmtId="0" fontId="71" fillId="0" borderId="48" xfId="4" applyFont="1" applyFill="1" applyBorder="1" applyAlignment="1" applyProtection="1">
      <alignment horizontal="center" vertical="center"/>
      <protection hidden="1"/>
    </xf>
    <xf numFmtId="0" fontId="71" fillId="0" borderId="49" xfId="4" applyFont="1" applyFill="1" applyBorder="1" applyAlignment="1" applyProtection="1">
      <alignment horizontal="center" vertical="center"/>
      <protection hidden="1"/>
    </xf>
    <xf numFmtId="0" fontId="121" fillId="0" borderId="0" xfId="3" applyFont="1" applyBorder="1" applyAlignment="1" applyProtection="1">
      <alignment horizontal="right" vertical="center"/>
      <protection hidden="1"/>
    </xf>
    <xf numFmtId="0" fontId="43" fillId="0" borderId="0" xfId="3" applyFont="1" applyBorder="1" applyAlignment="1" applyProtection="1">
      <alignment horizontal="center" vertical="center"/>
      <protection locked="0"/>
    </xf>
    <xf numFmtId="0" fontId="97" fillId="31" borderId="0" xfId="3" applyFont="1" applyFill="1" applyBorder="1" applyAlignment="1" applyProtection="1">
      <alignment horizontal="center" vertical="center" wrapText="1"/>
      <protection hidden="1"/>
    </xf>
    <xf numFmtId="0" fontId="97" fillId="31" borderId="0" xfId="3" applyFont="1" applyFill="1" applyBorder="1" applyAlignment="1" applyProtection="1">
      <alignment horizontal="center" vertical="center"/>
      <protection hidden="1"/>
    </xf>
    <xf numFmtId="0" fontId="43" fillId="0" borderId="57" xfId="3" applyFont="1" applyBorder="1" applyAlignment="1" applyProtection="1">
      <alignment horizontal="left" vertical="center"/>
      <protection locked="0"/>
    </xf>
    <xf numFmtId="0" fontId="72" fillId="0" borderId="43" xfId="4" applyFont="1" applyBorder="1" applyAlignment="1" applyProtection="1">
      <alignment horizontal="left" vertical="center"/>
      <protection hidden="1"/>
    </xf>
    <xf numFmtId="1" fontId="76" fillId="0" borderId="43" xfId="4" applyNumberFormat="1" applyFont="1" applyFill="1" applyBorder="1" applyAlignment="1" applyProtection="1">
      <alignment horizontal="center" vertical="center"/>
      <protection hidden="1"/>
    </xf>
    <xf numFmtId="0" fontId="42" fillId="0" borderId="43" xfId="4" applyFont="1" applyBorder="1" applyAlignment="1" applyProtection="1">
      <alignment horizontal="right" vertical="center"/>
      <protection hidden="1"/>
    </xf>
    <xf numFmtId="0" fontId="72" fillId="0" borderId="53" xfId="4" applyFont="1" applyBorder="1" applyAlignment="1" applyProtection="1">
      <alignment horizontal="center" vertical="top"/>
      <protection hidden="1"/>
    </xf>
    <xf numFmtId="0" fontId="72" fillId="0" borderId="43" xfId="4" applyFont="1" applyBorder="1" applyAlignment="1" applyProtection="1">
      <alignment horizontal="center"/>
      <protection hidden="1"/>
    </xf>
    <xf numFmtId="2" fontId="76" fillId="0" borderId="43" xfId="4" applyNumberFormat="1" applyFont="1" applyBorder="1" applyAlignment="1" applyProtection="1">
      <alignment horizontal="center" vertical="center"/>
      <protection hidden="1"/>
    </xf>
    <xf numFmtId="0" fontId="166" fillId="0" borderId="5" xfId="0" applyFont="1" applyBorder="1" applyAlignment="1" applyProtection="1">
      <alignment horizontal="justify" vertical="center" wrapText="1"/>
      <protection hidden="1"/>
    </xf>
    <xf numFmtId="0" fontId="166" fillId="0" borderId="6" xfId="0" applyFont="1" applyBorder="1" applyAlignment="1" applyProtection="1">
      <alignment horizontal="justify" vertical="center" wrapText="1"/>
      <protection hidden="1"/>
    </xf>
    <xf numFmtId="0" fontId="166" fillId="0" borderId="7" xfId="0" applyFont="1" applyBorder="1" applyAlignment="1" applyProtection="1">
      <alignment horizontal="justify" vertical="center" wrapText="1"/>
      <protection hidden="1"/>
    </xf>
    <xf numFmtId="0" fontId="166" fillId="0" borderId="8" xfId="0" applyFont="1" applyBorder="1" applyAlignment="1" applyProtection="1">
      <alignment horizontal="justify" vertical="center" wrapText="1"/>
      <protection hidden="1"/>
    </xf>
    <xf numFmtId="0" fontId="166" fillId="0" borderId="0" xfId="0" applyFont="1" applyBorder="1" applyAlignment="1" applyProtection="1">
      <alignment horizontal="justify" vertical="center" wrapText="1"/>
      <protection hidden="1"/>
    </xf>
    <xf numFmtId="0" fontId="166" fillId="0" borderId="9" xfId="0" applyFont="1" applyBorder="1" applyAlignment="1" applyProtection="1">
      <alignment horizontal="justify" vertical="center" wrapText="1"/>
      <protection hidden="1"/>
    </xf>
    <xf numFmtId="0" fontId="166" fillId="0" borderId="12" xfId="0" applyFont="1" applyBorder="1" applyAlignment="1" applyProtection="1">
      <alignment horizontal="justify" vertical="center" wrapText="1"/>
      <protection hidden="1"/>
    </xf>
    <xf numFmtId="0" fontId="166" fillId="0" borderId="13" xfId="0" applyFont="1" applyBorder="1" applyAlignment="1" applyProtection="1">
      <alignment horizontal="justify" vertical="center" wrapText="1"/>
      <protection hidden="1"/>
    </xf>
    <xf numFmtId="0" fontId="72" fillId="0" borderId="43" xfId="4" applyFont="1" applyBorder="1" applyAlignment="1" applyProtection="1">
      <alignment horizontal="left"/>
      <protection hidden="1"/>
    </xf>
    <xf numFmtId="1" fontId="76" fillId="0" borderId="43" xfId="4" applyNumberFormat="1" applyFont="1" applyBorder="1" applyAlignment="1" applyProtection="1">
      <alignment horizontal="center" vertical="center"/>
      <protection hidden="1"/>
    </xf>
    <xf numFmtId="1" fontId="76" fillId="0" borderId="51" xfId="4" applyNumberFormat="1" applyFont="1" applyBorder="1" applyAlignment="1" applyProtection="1">
      <alignment horizontal="center" vertical="center"/>
      <protection hidden="1"/>
    </xf>
    <xf numFmtId="0" fontId="72" fillId="0" borderId="44" xfId="4" applyFont="1" applyBorder="1" applyAlignment="1" applyProtection="1">
      <alignment horizontal="right" vertical="center"/>
      <protection hidden="1"/>
    </xf>
    <xf numFmtId="0" fontId="72" fillId="0" borderId="45" xfId="4" applyFont="1" applyBorder="1" applyAlignment="1" applyProtection="1">
      <alignment horizontal="right" vertical="center"/>
      <protection hidden="1"/>
    </xf>
    <xf numFmtId="0" fontId="72" fillId="0" borderId="46" xfId="4" applyFont="1" applyBorder="1" applyAlignment="1" applyProtection="1">
      <alignment horizontal="right" vertical="center"/>
      <protection hidden="1"/>
    </xf>
    <xf numFmtId="0" fontId="72" fillId="0" borderId="50" xfId="4" applyFont="1" applyBorder="1" applyAlignment="1" applyProtection="1">
      <alignment horizontal="center" vertical="center"/>
      <protection hidden="1"/>
    </xf>
    <xf numFmtId="0" fontId="72" fillId="0" borderId="52" xfId="4" applyFont="1" applyBorder="1" applyAlignment="1" applyProtection="1">
      <alignment horizontal="center" vertical="center"/>
      <protection hidden="1"/>
    </xf>
    <xf numFmtId="0" fontId="72" fillId="0" borderId="44" xfId="4" applyFont="1" applyBorder="1" applyAlignment="1" applyProtection="1">
      <alignment horizontal="left" vertical="center"/>
      <protection hidden="1"/>
    </xf>
    <xf numFmtId="0" fontId="72" fillId="0" borderId="45" xfId="4" applyFont="1" applyBorder="1" applyAlignment="1" applyProtection="1">
      <alignment horizontal="left" vertical="center"/>
      <protection hidden="1"/>
    </xf>
    <xf numFmtId="0" fontId="72" fillId="0" borderId="43" xfId="4" applyFont="1" applyBorder="1" applyAlignment="1" applyProtection="1">
      <alignment horizontal="right" vertical="center"/>
      <protection hidden="1"/>
    </xf>
    <xf numFmtId="0" fontId="72" fillId="0" borderId="46" xfId="4" applyFont="1" applyBorder="1" applyAlignment="1" applyProtection="1">
      <alignment horizontal="left" vertical="center"/>
      <protection hidden="1"/>
    </xf>
    <xf numFmtId="1" fontId="72" fillId="0" borderId="43" xfId="4" applyNumberFormat="1" applyFont="1" applyBorder="1" applyAlignment="1" applyProtection="1">
      <alignment horizontal="center" vertical="center"/>
      <protection hidden="1"/>
    </xf>
    <xf numFmtId="1" fontId="72" fillId="0" borderId="51" xfId="4" applyNumberFormat="1" applyFont="1" applyBorder="1" applyAlignment="1" applyProtection="1">
      <alignment horizontal="center" vertical="center"/>
      <protection hidden="1"/>
    </xf>
    <xf numFmtId="0" fontId="72" fillId="0" borderId="65" xfId="4" applyFont="1" applyBorder="1" applyAlignment="1" applyProtection="1">
      <alignment horizontal="center" vertical="center"/>
      <protection hidden="1"/>
    </xf>
    <xf numFmtId="0" fontId="72" fillId="0" borderId="66" xfId="4" applyFont="1" applyBorder="1" applyAlignment="1" applyProtection="1">
      <alignment horizontal="center" vertical="center"/>
      <protection hidden="1"/>
    </xf>
    <xf numFmtId="0" fontId="72" fillId="0" borderId="67" xfId="4" applyFont="1" applyBorder="1" applyAlignment="1" applyProtection="1">
      <alignment horizontal="center" vertical="center"/>
      <protection hidden="1"/>
    </xf>
    <xf numFmtId="0" fontId="72" fillId="0" borderId="68" xfId="4" applyFont="1" applyBorder="1" applyAlignment="1" applyProtection="1">
      <alignment horizontal="center" vertical="center"/>
      <protection hidden="1"/>
    </xf>
    <xf numFmtId="0" fontId="72" fillId="0" borderId="44" xfId="4" applyFont="1" applyBorder="1" applyAlignment="1" applyProtection="1">
      <alignment horizontal="center" vertical="center"/>
      <protection hidden="1"/>
    </xf>
    <xf numFmtId="0" fontId="72" fillId="0" borderId="45" xfId="4" applyFont="1" applyBorder="1" applyAlignment="1" applyProtection="1">
      <alignment horizontal="center" vertical="center"/>
      <protection hidden="1"/>
    </xf>
    <xf numFmtId="0" fontId="72" fillId="0" borderId="46" xfId="4" applyFont="1" applyBorder="1" applyAlignment="1" applyProtection="1">
      <alignment horizontal="center" vertical="center"/>
      <protection hidden="1"/>
    </xf>
    <xf numFmtId="0" fontId="71" fillId="0" borderId="43" xfId="4" applyFont="1" applyBorder="1" applyAlignment="1" applyProtection="1">
      <alignment horizontal="center" vertical="center"/>
      <protection hidden="1"/>
    </xf>
    <xf numFmtId="0" fontId="74" fillId="0" borderId="43" xfId="4" applyFont="1" applyBorder="1" applyAlignment="1" applyProtection="1">
      <alignment horizontal="left"/>
      <protection hidden="1"/>
    </xf>
    <xf numFmtId="0" fontId="74" fillId="0" borderId="43" xfId="4" applyFont="1" applyBorder="1" applyAlignment="1" applyProtection="1">
      <alignment horizontal="left" vertical="center"/>
      <protection hidden="1"/>
    </xf>
    <xf numFmtId="0" fontId="74" fillId="0" borderId="51" xfId="4" applyFont="1" applyBorder="1" applyAlignment="1" applyProtection="1">
      <alignment horizontal="left" vertical="center"/>
      <protection hidden="1"/>
    </xf>
    <xf numFmtId="0" fontId="72" fillId="0" borderId="43" xfId="4" applyFont="1" applyBorder="1" applyAlignment="1" applyProtection="1">
      <alignment horizontal="left" vertical="top" wrapText="1"/>
      <protection hidden="1"/>
    </xf>
    <xf numFmtId="0" fontId="72" fillId="0" borderId="51" xfId="4" applyFont="1" applyBorder="1" applyAlignment="1" applyProtection="1">
      <alignment horizontal="left"/>
      <protection hidden="1"/>
    </xf>
    <xf numFmtId="0" fontId="72" fillId="0" borderId="44" xfId="4" applyFont="1" applyFill="1" applyBorder="1" applyAlignment="1" applyProtection="1">
      <alignment horizontal="left" vertical="center" wrapText="1"/>
      <protection hidden="1"/>
    </xf>
    <xf numFmtId="0" fontId="72" fillId="0" borderId="45" xfId="4" applyFont="1" applyFill="1" applyBorder="1" applyAlignment="1" applyProtection="1">
      <alignment horizontal="left" vertical="center" wrapText="1"/>
      <protection hidden="1"/>
    </xf>
    <xf numFmtId="0" fontId="72" fillId="0" borderId="46" xfId="4" applyFont="1" applyFill="1" applyBorder="1" applyAlignment="1" applyProtection="1">
      <alignment horizontal="left" vertical="center" wrapText="1"/>
      <protection hidden="1"/>
    </xf>
    <xf numFmtId="0" fontId="76" fillId="0" borderId="43" xfId="4" applyFont="1" applyBorder="1" applyAlignment="1" applyProtection="1">
      <alignment horizontal="center"/>
      <protection hidden="1"/>
    </xf>
    <xf numFmtId="0" fontId="76" fillId="0" borderId="51" xfId="4" applyFont="1" applyBorder="1" applyAlignment="1" applyProtection="1">
      <alignment horizontal="center"/>
      <protection hidden="1"/>
    </xf>
    <xf numFmtId="0" fontId="72" fillId="0" borderId="43" xfId="4" applyFont="1" applyFill="1" applyBorder="1" applyAlignment="1" applyProtection="1">
      <protection hidden="1"/>
    </xf>
    <xf numFmtId="0" fontId="72" fillId="0" borderId="43" xfId="4" applyFont="1" applyFill="1" applyBorder="1" applyAlignment="1" applyProtection="1">
      <alignment horizontal="left"/>
      <protection hidden="1"/>
    </xf>
    <xf numFmtId="0" fontId="77" fillId="0" borderId="43" xfId="4" applyFont="1" applyFill="1" applyBorder="1" applyAlignment="1" applyProtection="1">
      <alignment horizontal="left"/>
      <protection hidden="1"/>
    </xf>
    <xf numFmtId="0" fontId="72" fillId="0" borderId="43" xfId="4" applyFont="1" applyBorder="1" applyAlignment="1" applyProtection="1">
      <alignment horizontal="left" vertical="center" wrapText="1"/>
      <protection hidden="1"/>
    </xf>
    <xf numFmtId="0" fontId="71" fillId="0" borderId="44" xfId="4" applyFont="1" applyBorder="1" applyAlignment="1" applyProtection="1">
      <alignment horizontal="center" vertical="center"/>
      <protection hidden="1"/>
    </xf>
    <xf numFmtId="0" fontId="71" fillId="0" borderId="46" xfId="4" applyFont="1" applyBorder="1" applyAlignment="1" applyProtection="1">
      <alignment horizontal="center" vertical="center"/>
      <protection hidden="1"/>
    </xf>
    <xf numFmtId="0" fontId="72" fillId="0" borderId="43" xfId="4" applyFont="1" applyBorder="1" applyAlignment="1" applyProtection="1">
      <alignment horizontal="center" vertical="center"/>
      <protection hidden="1"/>
    </xf>
    <xf numFmtId="0" fontId="74" fillId="0" borderId="44" xfId="4" applyFont="1" applyBorder="1" applyAlignment="1" applyProtection="1">
      <alignment horizontal="left" vertical="center"/>
      <protection hidden="1"/>
    </xf>
    <xf numFmtId="0" fontId="74" fillId="0" borderId="45" xfId="4" applyFont="1" applyBorder="1" applyAlignment="1" applyProtection="1">
      <alignment horizontal="left" vertical="center"/>
      <protection hidden="1"/>
    </xf>
    <xf numFmtId="0" fontId="74" fillId="0" borderId="46" xfId="4" applyFont="1" applyBorder="1" applyAlignment="1" applyProtection="1">
      <alignment horizontal="left" vertical="center"/>
      <protection hidden="1"/>
    </xf>
    <xf numFmtId="0" fontId="72" fillId="0" borderId="44" xfId="4" applyFont="1" applyBorder="1" applyAlignment="1" applyProtection="1">
      <alignment horizontal="left"/>
      <protection hidden="1"/>
    </xf>
    <xf numFmtId="0" fontId="72" fillId="0" borderId="45" xfId="4" applyFont="1" applyBorder="1" applyAlignment="1" applyProtection="1">
      <alignment horizontal="left"/>
      <protection hidden="1"/>
    </xf>
    <xf numFmtId="0" fontId="123" fillId="0" borderId="0" xfId="3" applyFont="1" applyBorder="1" applyAlignment="1" applyProtection="1">
      <alignment horizontal="center" vertical="center"/>
      <protection hidden="1"/>
    </xf>
    <xf numFmtId="2" fontId="72" fillId="0" borderId="43" xfId="0" applyNumberFormat="1" applyFont="1" applyBorder="1" applyAlignment="1" applyProtection="1">
      <alignment horizontal="left"/>
      <protection hidden="1"/>
    </xf>
    <xf numFmtId="2" fontId="21" fillId="0" borderId="44" xfId="0" applyNumberFormat="1" applyFont="1" applyBorder="1" applyAlignment="1" applyProtection="1">
      <alignment horizontal="right" vertical="center"/>
      <protection hidden="1"/>
    </xf>
    <xf numFmtId="2" fontId="21" fillId="0" borderId="45" xfId="0" applyNumberFormat="1" applyFont="1" applyBorder="1" applyAlignment="1" applyProtection="1">
      <alignment horizontal="right" vertical="center"/>
      <protection hidden="1"/>
    </xf>
    <xf numFmtId="2" fontId="21" fillId="0" borderId="46" xfId="0" applyNumberFormat="1" applyFont="1" applyBorder="1" applyAlignment="1" applyProtection="1">
      <alignment horizontal="right" vertical="center"/>
      <protection hidden="1"/>
    </xf>
    <xf numFmtId="0" fontId="82" fillId="0" borderId="54" xfId="4" applyFont="1" applyBorder="1" applyAlignment="1" applyProtection="1">
      <alignment horizontal="right" vertical="center"/>
      <protection hidden="1"/>
    </xf>
    <xf numFmtId="0" fontId="82" fillId="0" borderId="55" xfId="4" applyFont="1" applyBorder="1" applyAlignment="1" applyProtection="1">
      <alignment horizontal="right" vertical="center"/>
      <protection hidden="1"/>
    </xf>
    <xf numFmtId="0" fontId="74" fillId="0" borderId="43" xfId="4" applyFont="1" applyBorder="1" applyAlignment="1" applyProtection="1">
      <alignment horizontal="center" vertical="center"/>
      <protection hidden="1"/>
    </xf>
    <xf numFmtId="0" fontId="98" fillId="0" borderId="43" xfId="4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4" fillId="0" borderId="43" xfId="4" applyFont="1" applyBorder="1" applyAlignment="1" applyProtection="1">
      <alignment horizontal="center" vertical="center" wrapText="1"/>
      <protection hidden="1"/>
    </xf>
    <xf numFmtId="0" fontId="124" fillId="0" borderId="44" xfId="4" applyFont="1" applyBorder="1" applyAlignment="1" applyProtection="1">
      <alignment horizontal="center" vertical="center" wrapText="1"/>
      <protection hidden="1"/>
    </xf>
    <xf numFmtId="0" fontId="124" fillId="0" borderId="46" xfId="4" applyFont="1" applyBorder="1" applyAlignment="1" applyProtection="1">
      <alignment horizontal="center" vertical="center" wrapText="1"/>
      <protection hidden="1"/>
    </xf>
    <xf numFmtId="1" fontId="71" fillId="0" borderId="43" xfId="4" applyNumberFormat="1" applyFont="1" applyBorder="1" applyAlignment="1" applyProtection="1">
      <alignment horizontal="center"/>
      <protection hidden="1"/>
    </xf>
    <xf numFmtId="2" fontId="76" fillId="24" borderId="0" xfId="4" applyNumberFormat="1" applyFont="1" applyFill="1" applyBorder="1" applyAlignment="1" applyProtection="1">
      <alignment horizontal="center" vertical="center"/>
      <protection hidden="1"/>
    </xf>
    <xf numFmtId="0" fontId="108" fillId="24" borderId="0" xfId="0" applyFont="1" applyFill="1" applyBorder="1" applyAlignment="1" applyProtection="1">
      <alignment horizontal="center" vertical="center" wrapText="1"/>
      <protection hidden="1"/>
    </xf>
    <xf numFmtId="2" fontId="74" fillId="0" borderId="43" xfId="0" applyNumberFormat="1" applyFont="1" applyBorder="1" applyAlignment="1" applyProtection="1">
      <alignment horizontal="left"/>
      <protection hidden="1"/>
    </xf>
    <xf numFmtId="0" fontId="127" fillId="4" borderId="73" xfId="0" applyFont="1" applyFill="1" applyBorder="1" applyAlignment="1" applyProtection="1">
      <alignment horizontal="center"/>
      <protection locked="0"/>
    </xf>
    <xf numFmtId="0" fontId="127" fillId="4" borderId="74" xfId="0" applyFont="1" applyFill="1" applyBorder="1" applyAlignment="1" applyProtection="1">
      <alignment horizontal="center"/>
      <protection locked="0"/>
    </xf>
    <xf numFmtId="0" fontId="164" fillId="0" borderId="71" xfId="0" applyFont="1" applyBorder="1" applyAlignment="1" applyProtection="1">
      <alignment horizontal="center" vertical="center" wrapText="1"/>
      <protection hidden="1"/>
    </xf>
    <xf numFmtId="0" fontId="164" fillId="0" borderId="72" xfId="0" applyFont="1" applyBorder="1" applyAlignment="1" applyProtection="1">
      <alignment horizontal="center" vertical="center" wrapText="1"/>
      <protection hidden="1"/>
    </xf>
    <xf numFmtId="0" fontId="164" fillId="0" borderId="40" xfId="0" applyFont="1" applyBorder="1" applyAlignment="1" applyProtection="1">
      <alignment horizontal="center" vertical="center" wrapText="1"/>
      <protection hidden="1"/>
    </xf>
    <xf numFmtId="0" fontId="164" fillId="0" borderId="39" xfId="0" applyFont="1" applyBorder="1" applyAlignment="1" applyProtection="1">
      <alignment horizontal="center" vertical="center" wrapText="1"/>
      <protection hidden="1"/>
    </xf>
    <xf numFmtId="0" fontId="74" fillId="0" borderId="44" xfId="4" applyFont="1" applyBorder="1" applyAlignment="1" applyProtection="1">
      <alignment horizontal="right"/>
      <protection hidden="1"/>
    </xf>
    <xf numFmtId="0" fontId="74" fillId="0" borderId="45" xfId="4" applyFont="1" applyBorder="1" applyAlignment="1" applyProtection="1">
      <alignment horizontal="right"/>
      <protection hidden="1"/>
    </xf>
    <xf numFmtId="0" fontId="74" fillId="0" borderId="46" xfId="4" applyFont="1" applyBorder="1" applyAlignment="1" applyProtection="1">
      <alignment horizontal="right"/>
      <protection hidden="1"/>
    </xf>
    <xf numFmtId="0" fontId="113" fillId="0" borderId="0" xfId="0" applyFont="1" applyAlignment="1" applyProtection="1">
      <alignment horizontal="center"/>
      <protection hidden="1"/>
    </xf>
    <xf numFmtId="0" fontId="22" fillId="0" borderId="75" xfId="0" applyFont="1" applyBorder="1" applyAlignment="1" applyProtection="1">
      <alignment horizontal="center" vertical="center" wrapText="1"/>
      <protection hidden="1"/>
    </xf>
    <xf numFmtId="0" fontId="22" fillId="0" borderId="14" xfId="0" applyFont="1" applyBorder="1" applyAlignment="1" applyProtection="1">
      <alignment horizontal="center" vertical="center" wrapText="1"/>
      <protection hidden="1"/>
    </xf>
    <xf numFmtId="0" fontId="108" fillId="24" borderId="0" xfId="0" applyFont="1" applyFill="1" applyBorder="1" applyAlignment="1" applyProtection="1">
      <alignment horizontal="center" wrapText="1"/>
      <protection hidden="1"/>
    </xf>
    <xf numFmtId="2" fontId="109" fillId="24" borderId="0" xfId="4" applyNumberFormat="1" applyFont="1" applyFill="1" applyBorder="1" applyAlignment="1" applyProtection="1">
      <alignment horizontal="center" vertical="center"/>
      <protection hidden="1"/>
    </xf>
    <xf numFmtId="0" fontId="74" fillId="0" borderId="43" xfId="4" applyFont="1" applyBorder="1" applyAlignment="1" applyProtection="1">
      <alignment horizontal="right" vertical="center"/>
      <protection hidden="1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24"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33CC33"/>
      <color rgb="FF993366"/>
      <color rgb="FF400E3C"/>
      <color rgb="FF003300"/>
      <color rgb="FF663300"/>
      <color rgb="FF000000"/>
      <color rgb="FFCC3300"/>
      <color rgb="FF6600FF"/>
      <color rgb="FFCC00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1.jpeg"/><Relationship Id="rId6" Type="http://schemas.openxmlformats.org/officeDocument/2006/relationships/hyperlink" Target="#'GA55 Check &amp; Edit'!A1"/><Relationship Id="rId5" Type="http://schemas.openxmlformats.org/officeDocument/2006/relationships/hyperlink" Target="#Sheet1!A1"/><Relationship Id="rId4" Type="http://schemas.openxmlformats.org/officeDocument/2006/relationships/hyperlink" Target="#'GA55 Only Prin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ster Data'!A1"/><Relationship Id="rId2" Type="http://schemas.openxmlformats.org/officeDocument/2006/relationships/hyperlink" Target="#'Extra Ded. '!A1"/><Relationship Id="rId1" Type="http://schemas.openxmlformats.org/officeDocument/2006/relationships/hyperlink" Target="#'Master Data'!A1"/><Relationship Id="rId6" Type="http://schemas.openxmlformats.org/officeDocument/2006/relationships/hyperlink" Target="#'Extra Ded. '!A1"/><Relationship Id="rId5" Type="http://schemas.openxmlformats.org/officeDocument/2006/relationships/hyperlink" Target="#'Master Data'!A1"/><Relationship Id="rId4" Type="http://schemas.openxmlformats.org/officeDocument/2006/relationships/hyperlink" Target="#'Extra Ded. 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GA55 Check &amp; Edit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866776</xdr:colOff>
      <xdr:row>16</xdr:row>
      <xdr:rowOff>9525</xdr:rowOff>
    </xdr:from>
    <xdr:to>
      <xdr:col>14</xdr:col>
      <xdr:colOff>57151</xdr:colOff>
      <xdr:row>18</xdr:row>
      <xdr:rowOff>66676</xdr:rowOff>
    </xdr:to>
    <xdr:sp macro="" textlink="">
      <xdr:nvSpPr>
        <xdr:cNvPr id="9" name="Frame 8"/>
        <xdr:cNvSpPr/>
      </xdr:nvSpPr>
      <xdr:spPr>
        <a:xfrm>
          <a:off x="9267826" y="3219450"/>
          <a:ext cx="4324350" cy="428626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57398</xdr:colOff>
      <xdr:row>0</xdr:row>
      <xdr:rowOff>0</xdr:rowOff>
    </xdr:from>
    <xdr:to>
      <xdr:col>13</xdr:col>
      <xdr:colOff>242024</xdr:colOff>
      <xdr:row>15</xdr:row>
      <xdr:rowOff>52602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68223" y="0"/>
          <a:ext cx="2137251" cy="297677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glow rad="139700">
            <a:schemeClr val="accent3">
              <a:satMod val="175000"/>
              <a:alpha val="40000"/>
            </a:schemeClr>
          </a:glow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18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2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2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109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9</xdr:col>
      <xdr:colOff>228600</xdr:colOff>
      <xdr:row>39</xdr:row>
      <xdr:rowOff>57150</xdr:rowOff>
    </xdr:from>
    <xdr:to>
      <xdr:col>9</xdr:col>
      <xdr:colOff>885825</xdr:colOff>
      <xdr:row>39</xdr:row>
      <xdr:rowOff>342900</xdr:rowOff>
    </xdr:to>
    <xdr:sp macro="" textlink="">
      <xdr:nvSpPr>
        <xdr:cNvPr id="16" name="Left Arrow 15"/>
        <xdr:cNvSpPr/>
      </xdr:nvSpPr>
      <xdr:spPr>
        <a:xfrm>
          <a:off x="8629650" y="7953375"/>
          <a:ext cx="657225" cy="28575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77399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6" name="Rounded Rectangle 5"/>
        <xdr:cNvSpPr/>
      </xdr:nvSpPr>
      <xdr:spPr>
        <a:xfrm>
          <a:off x="33813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8" name="Group 7"/>
        <xdr:cNvGrpSpPr/>
      </xdr:nvGrpSpPr>
      <xdr:grpSpPr>
        <a:xfrm>
          <a:off x="9677399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3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4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11" name="Rounded Rectangle 10"/>
        <xdr:cNvSpPr/>
      </xdr:nvSpPr>
      <xdr:spPr>
        <a:xfrm>
          <a:off x="33813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12" name="Group 11"/>
        <xdr:cNvGrpSpPr/>
      </xdr:nvGrpSpPr>
      <xdr:grpSpPr>
        <a:xfrm>
          <a:off x="9677399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3" name="Left Arrow 12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4" name="Right Arrow 13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3028950</xdr:colOff>
      <xdr:row>0</xdr:row>
      <xdr:rowOff>0</xdr:rowOff>
    </xdr:from>
    <xdr:to>
      <xdr:col>7</xdr:col>
      <xdr:colOff>438151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677525" y="0"/>
          <a:ext cx="3114676" cy="571500"/>
          <a:chOff x="8971920" y="85725"/>
          <a:chExt cx="2822563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8971920" y="85725"/>
            <a:ext cx="1381757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230492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6</xdr:col>
      <xdr:colOff>4457701</xdr:colOff>
      <xdr:row>19</xdr:row>
      <xdr:rowOff>152400</xdr:rowOff>
    </xdr:from>
    <xdr:to>
      <xdr:col>7</xdr:col>
      <xdr:colOff>438151</xdr:colOff>
      <xdr:row>24</xdr:row>
      <xdr:rowOff>38100</xdr:rowOff>
    </xdr:to>
    <xdr:cxnSp macro="">
      <xdr:nvCxnSpPr>
        <xdr:cNvPr id="7" name="Straight Arrow Connector 6"/>
        <xdr:cNvCxnSpPr/>
      </xdr:nvCxnSpPr>
      <xdr:spPr>
        <a:xfrm rot="5400000" flipH="1" flipV="1">
          <a:off x="10910888" y="6357938"/>
          <a:ext cx="1457325" cy="97155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30475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9</xdr:row>
      <xdr:rowOff>0</xdr:rowOff>
    </xdr:from>
    <xdr:to>
      <xdr:col>21</xdr:col>
      <xdr:colOff>431353</xdr:colOff>
      <xdr:row>11</xdr:row>
      <xdr:rowOff>95250</xdr:rowOff>
    </xdr:to>
    <xdr:sp macro="" textlink="">
      <xdr:nvSpPr>
        <xdr:cNvPr id="6" name="Left Arrow 5"/>
        <xdr:cNvSpPr/>
      </xdr:nvSpPr>
      <xdr:spPr>
        <a:xfrm>
          <a:off x="12230100" y="2085975"/>
          <a:ext cx="1155253" cy="571500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salect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cro-Income-Tax-Excel-Software-FY-2019-20-Updated-03122019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youtube.com/watch?v=NWwIhkhEU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TJ5dWmZplA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abSelected="1" workbookViewId="0">
      <selection activeCell="M36" sqref="M36"/>
    </sheetView>
  </sheetViews>
  <sheetFormatPr defaultColWidth="0" defaultRowHeight="0" customHeight="1" zeroHeight="1"/>
  <cols>
    <col min="1" max="1" width="4.125" style="33" customWidth="1"/>
    <col min="2" max="2" width="17" style="33" customWidth="1"/>
    <col min="3" max="3" width="14.25" style="33" customWidth="1"/>
    <col min="4" max="4" width="15" style="33" customWidth="1"/>
    <col min="5" max="5" width="12" style="33" customWidth="1"/>
    <col min="6" max="6" width="16.375" style="33" customWidth="1"/>
    <col min="7" max="7" width="15.625" style="33" customWidth="1"/>
    <col min="8" max="8" width="17.125" style="33" customWidth="1"/>
    <col min="9" max="10" width="14.375" style="33" customWidth="1"/>
    <col min="11" max="11" width="15.75" style="33" customWidth="1"/>
    <col min="12" max="12" width="15.125" style="33" customWidth="1"/>
    <col min="13" max="13" width="14.125" style="33" customWidth="1"/>
    <col min="14" max="14" width="17.625" style="33" customWidth="1"/>
    <col min="15" max="15" width="11.125" style="33" customWidth="1"/>
    <col min="16" max="16384" width="9.125" style="33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180">
        <v>1</v>
      </c>
      <c r="AD1" s="122">
        <v>43922</v>
      </c>
    </row>
    <row r="2" spans="1:30" ht="24.75" thickTop="1" thickBot="1">
      <c r="A2" s="1"/>
      <c r="B2" s="1"/>
      <c r="C2" s="1"/>
      <c r="D2" s="1"/>
      <c r="E2" s="333" t="s">
        <v>0</v>
      </c>
      <c r="F2" s="334"/>
      <c r="G2" s="334"/>
      <c r="H2" s="334"/>
      <c r="I2" s="22"/>
      <c r="J2" s="121"/>
      <c r="K2" s="121"/>
      <c r="L2" s="121"/>
      <c r="M2" s="1"/>
      <c r="N2" s="1"/>
      <c r="O2" s="1"/>
      <c r="T2" s="33" t="s">
        <v>19</v>
      </c>
      <c r="U2" s="33">
        <v>20</v>
      </c>
      <c r="AA2" s="122">
        <v>43678</v>
      </c>
      <c r="AC2" s="180">
        <v>2</v>
      </c>
      <c r="AD2" s="122">
        <v>43952</v>
      </c>
    </row>
    <row r="3" spans="1:30" ht="14.25" customHeight="1" thickTop="1" thickBot="1">
      <c r="A3" s="1"/>
      <c r="B3" s="3"/>
      <c r="C3" s="3"/>
      <c r="D3" s="22"/>
      <c r="E3" s="22"/>
      <c r="F3" s="40"/>
      <c r="G3" s="40"/>
      <c r="H3" s="40"/>
      <c r="I3" s="22"/>
      <c r="J3" s="121"/>
      <c r="K3" s="121"/>
      <c r="L3" s="121"/>
      <c r="M3" s="1"/>
      <c r="N3" s="1"/>
      <c r="O3" s="1"/>
      <c r="AA3" s="122"/>
      <c r="AC3" s="180">
        <v>3</v>
      </c>
      <c r="AD3" s="122">
        <v>43983</v>
      </c>
    </row>
    <row r="4" spans="1:30" ht="22.5" thickTop="1" thickBot="1">
      <c r="A4" s="1"/>
      <c r="B4" s="320" t="s">
        <v>319</v>
      </c>
      <c r="C4" s="320"/>
      <c r="D4" s="359" t="s">
        <v>115</v>
      </c>
      <c r="E4" s="359"/>
      <c r="F4" s="359"/>
      <c r="G4" s="359"/>
      <c r="H4" s="359"/>
      <c r="I4" s="359"/>
      <c r="J4" s="2"/>
      <c r="K4" s="357"/>
      <c r="L4" s="357"/>
      <c r="M4" s="357"/>
      <c r="N4" s="357"/>
      <c r="O4" s="1"/>
      <c r="T4" s="33" t="s">
        <v>21</v>
      </c>
      <c r="X4" s="33">
        <v>1000</v>
      </c>
      <c r="AA4" s="122">
        <v>43709</v>
      </c>
      <c r="AC4" s="180">
        <v>4</v>
      </c>
      <c r="AD4" s="122">
        <v>44013</v>
      </c>
    </row>
    <row r="5" spans="1:30" ht="8.1" customHeight="1" thickTop="1" thickBot="1">
      <c r="A5" s="123"/>
      <c r="B5" s="124"/>
      <c r="C5" s="124"/>
      <c r="D5" s="125"/>
      <c r="E5" s="125"/>
      <c r="F5" s="125"/>
      <c r="G5" s="125"/>
      <c r="H5" s="125"/>
      <c r="I5" s="125"/>
      <c r="J5" s="6"/>
      <c r="K5" s="119"/>
      <c r="L5" s="119"/>
      <c r="M5" s="119"/>
      <c r="N5" s="119"/>
      <c r="O5" s="1"/>
      <c r="AA5" s="122"/>
      <c r="AC5" s="180">
        <v>5</v>
      </c>
      <c r="AD5" s="122">
        <v>44044</v>
      </c>
    </row>
    <row r="6" spans="1:30" ht="22.5" thickTop="1" thickBot="1">
      <c r="A6" s="1"/>
      <c r="B6" s="320" t="s">
        <v>320</v>
      </c>
      <c r="C6" s="320"/>
      <c r="D6" s="358" t="s">
        <v>22</v>
      </c>
      <c r="E6" s="358"/>
      <c r="F6" s="328" t="s">
        <v>23</v>
      </c>
      <c r="G6" s="328"/>
      <c r="H6" s="315" t="s">
        <v>24</v>
      </c>
      <c r="I6" s="315"/>
      <c r="J6" s="2"/>
      <c r="K6" s="1"/>
      <c r="L6" s="1"/>
      <c r="M6" s="1"/>
      <c r="N6" s="1"/>
      <c r="O6" s="1"/>
      <c r="T6" s="33" t="s">
        <v>25</v>
      </c>
      <c r="X6" s="33">
        <v>620</v>
      </c>
      <c r="AA6" s="122">
        <v>43739</v>
      </c>
      <c r="AC6" s="180">
        <v>6</v>
      </c>
      <c r="AD6" s="122">
        <v>44075</v>
      </c>
    </row>
    <row r="7" spans="1:30" ht="8.1" customHeight="1" thickTop="1" thickBot="1">
      <c r="A7" s="123"/>
      <c r="B7" s="124"/>
      <c r="C7" s="124"/>
      <c r="D7" s="126"/>
      <c r="E7" s="126"/>
      <c r="F7" s="124"/>
      <c r="G7" s="124"/>
      <c r="H7" s="126"/>
      <c r="I7" s="126"/>
      <c r="J7" s="6"/>
      <c r="K7" s="1"/>
      <c r="L7" s="1"/>
      <c r="M7" s="1"/>
      <c r="N7" s="1"/>
      <c r="O7" s="1"/>
      <c r="AA7" s="122"/>
      <c r="AC7" s="180">
        <v>7</v>
      </c>
      <c r="AD7" s="122">
        <v>44105</v>
      </c>
    </row>
    <row r="8" spans="1:30" ht="20.25" thickTop="1" thickBot="1">
      <c r="A8" s="1"/>
      <c r="B8" s="320" t="s">
        <v>57</v>
      </c>
      <c r="C8" s="320" t="s">
        <v>26</v>
      </c>
      <c r="D8" s="315" t="s">
        <v>116</v>
      </c>
      <c r="E8" s="315"/>
      <c r="F8" s="328" t="s">
        <v>27</v>
      </c>
      <c r="G8" s="328"/>
      <c r="H8" s="315" t="s">
        <v>114</v>
      </c>
      <c r="I8" s="315"/>
      <c r="J8" s="2"/>
      <c r="K8" s="1"/>
      <c r="L8" s="1"/>
      <c r="M8" s="1"/>
      <c r="N8" s="1"/>
      <c r="O8" s="1"/>
      <c r="T8" s="33" t="s">
        <v>28</v>
      </c>
      <c r="AA8" s="122">
        <v>43770</v>
      </c>
      <c r="AC8" s="180">
        <v>8</v>
      </c>
      <c r="AD8" s="122">
        <v>44136</v>
      </c>
    </row>
    <row r="9" spans="1:30" ht="8.1" customHeight="1" thickTop="1" thickBot="1">
      <c r="A9" s="123"/>
      <c r="B9" s="124"/>
      <c r="C9" s="124"/>
      <c r="D9" s="126"/>
      <c r="E9" s="126"/>
      <c r="F9" s="124"/>
      <c r="G9" s="124"/>
      <c r="H9" s="126"/>
      <c r="I9" s="126"/>
      <c r="J9" s="6"/>
      <c r="K9" s="1"/>
      <c r="L9" s="1"/>
      <c r="M9" s="1"/>
      <c r="N9" s="1"/>
      <c r="O9" s="1"/>
      <c r="AA9" s="122"/>
      <c r="AC9" s="180">
        <v>9</v>
      </c>
      <c r="AD9" s="122">
        <v>44166</v>
      </c>
    </row>
    <row r="10" spans="1:30" ht="22.5" thickTop="1" thickBot="1">
      <c r="A10" s="1"/>
      <c r="B10" s="320" t="s">
        <v>321</v>
      </c>
      <c r="C10" s="320"/>
      <c r="D10" s="344" t="s">
        <v>147</v>
      </c>
      <c r="E10" s="344"/>
      <c r="F10" s="328" t="s">
        <v>29</v>
      </c>
      <c r="G10" s="328"/>
      <c r="H10" s="345">
        <v>123465471475</v>
      </c>
      <c r="I10" s="345"/>
      <c r="J10" s="2"/>
      <c r="K10" s="18"/>
      <c r="L10" s="18"/>
      <c r="M10" s="18"/>
      <c r="N10" s="1"/>
      <c r="O10" s="1"/>
      <c r="T10" s="33" t="s">
        <v>2</v>
      </c>
      <c r="AA10" s="122">
        <v>43800</v>
      </c>
      <c r="AC10" s="180">
        <v>10</v>
      </c>
      <c r="AD10" s="122">
        <v>44197</v>
      </c>
    </row>
    <row r="11" spans="1:30" ht="8.1" customHeight="1" thickTop="1" thickBot="1">
      <c r="A11" s="123"/>
      <c r="B11" s="124"/>
      <c r="C11" s="124"/>
      <c r="D11" s="126"/>
      <c r="E11" s="126"/>
      <c r="F11" s="124"/>
      <c r="G11" s="124"/>
      <c r="H11" s="127"/>
      <c r="I11" s="127"/>
      <c r="J11" s="6"/>
      <c r="K11" s="18"/>
      <c r="L11" s="18"/>
      <c r="M11" s="18"/>
      <c r="N11" s="1"/>
      <c r="O11" s="1"/>
      <c r="AA11" s="122"/>
      <c r="AC11" s="180">
        <v>11</v>
      </c>
      <c r="AD11" s="122">
        <v>44228</v>
      </c>
    </row>
    <row r="12" spans="1:30" ht="22.5" thickTop="1" thickBot="1">
      <c r="A12" s="1"/>
      <c r="B12" s="320" t="s">
        <v>322</v>
      </c>
      <c r="C12" s="320"/>
      <c r="D12" s="339" t="s">
        <v>146</v>
      </c>
      <c r="E12" s="339"/>
      <c r="F12" s="328" t="s">
        <v>30</v>
      </c>
      <c r="G12" s="328"/>
      <c r="H12" s="315"/>
      <c r="I12" s="315"/>
      <c r="J12" s="2"/>
      <c r="K12" s="336"/>
      <c r="L12" s="336"/>
      <c r="M12" s="336"/>
      <c r="N12" s="336"/>
      <c r="O12" s="1"/>
      <c r="T12" s="33" t="s">
        <v>31</v>
      </c>
      <c r="AA12" s="122">
        <v>43831</v>
      </c>
      <c r="AC12" s="180">
        <v>12</v>
      </c>
      <c r="AD12" s="122"/>
    </row>
    <row r="13" spans="1:30" ht="8.1" customHeight="1" thickTop="1" thickBot="1">
      <c r="A13" s="123"/>
      <c r="B13" s="124"/>
      <c r="C13" s="124"/>
      <c r="D13" s="128"/>
      <c r="E13" s="128"/>
      <c r="F13" s="124"/>
      <c r="G13" s="124"/>
      <c r="H13" s="126"/>
      <c r="I13" s="126"/>
      <c r="J13" s="6"/>
      <c r="K13" s="117"/>
      <c r="L13" s="117"/>
      <c r="M13" s="117"/>
      <c r="N13" s="117"/>
      <c r="O13" s="1"/>
      <c r="AA13" s="122"/>
      <c r="AC13" s="180"/>
    </row>
    <row r="14" spans="1:30" ht="22.5" thickTop="1" thickBot="1">
      <c r="A14" s="1"/>
      <c r="B14" s="320" t="s">
        <v>32</v>
      </c>
      <c r="C14" s="320"/>
      <c r="D14" s="315">
        <v>11</v>
      </c>
      <c r="E14" s="315"/>
      <c r="F14" s="328" t="s">
        <v>33</v>
      </c>
      <c r="G14" s="328"/>
      <c r="H14" s="315">
        <v>123456</v>
      </c>
      <c r="I14" s="315"/>
      <c r="J14" s="2"/>
      <c r="K14" s="18"/>
      <c r="L14" s="18"/>
      <c r="M14" s="18"/>
      <c r="N14" s="1"/>
      <c r="O14" s="1"/>
      <c r="T14" s="33" t="s">
        <v>34</v>
      </c>
      <c r="AA14" s="122">
        <v>43862</v>
      </c>
    </row>
    <row r="15" spans="1:30" ht="8.1" customHeight="1" thickTop="1" thickBot="1">
      <c r="A15" s="123"/>
      <c r="B15" s="124"/>
      <c r="C15" s="124"/>
      <c r="D15" s="126"/>
      <c r="E15" s="126"/>
      <c r="F15" s="124"/>
      <c r="G15" s="124"/>
      <c r="H15" s="126"/>
      <c r="I15" s="126"/>
      <c r="J15" s="6"/>
      <c r="K15" s="18"/>
      <c r="L15" s="18"/>
      <c r="M15" s="18"/>
      <c r="N15" s="1"/>
      <c r="O15" s="1"/>
      <c r="AA15" s="122"/>
    </row>
    <row r="16" spans="1:30" ht="22.5" thickTop="1" thickBot="1">
      <c r="A16" s="1"/>
      <c r="B16" s="320" t="s">
        <v>35</v>
      </c>
      <c r="C16" s="320"/>
      <c r="D16" s="329">
        <v>12134545454541</v>
      </c>
      <c r="E16" s="329"/>
      <c r="F16" s="328" t="s">
        <v>36</v>
      </c>
      <c r="G16" s="328"/>
      <c r="H16" s="329">
        <v>121212121212121</v>
      </c>
      <c r="I16" s="329"/>
      <c r="J16" s="19"/>
      <c r="K16" s="19"/>
      <c r="L16" s="19"/>
      <c r="M16" s="19"/>
      <c r="N16" s="19"/>
      <c r="O16" s="1"/>
    </row>
    <row r="17" spans="1:29" ht="8.1" customHeight="1" thickTop="1" thickBot="1">
      <c r="A17" s="123"/>
      <c r="B17" s="124"/>
      <c r="C17" s="124"/>
      <c r="D17" s="126"/>
      <c r="E17" s="126"/>
      <c r="F17" s="124"/>
      <c r="G17" s="124"/>
      <c r="H17" s="125"/>
      <c r="I17" s="125"/>
      <c r="J17" s="19"/>
      <c r="K17" s="19"/>
      <c r="L17" s="19"/>
      <c r="M17" s="19"/>
      <c r="N17" s="19"/>
      <c r="O17" s="1"/>
    </row>
    <row r="18" spans="1:29" ht="21.75" customHeight="1" thickTop="1" thickBot="1">
      <c r="A18" s="1"/>
      <c r="B18" s="332" t="s">
        <v>101</v>
      </c>
      <c r="C18" s="332"/>
      <c r="D18" s="315" t="s">
        <v>74</v>
      </c>
      <c r="E18" s="315"/>
      <c r="F18" s="328" t="s">
        <v>105</v>
      </c>
      <c r="G18" s="328"/>
      <c r="H18" s="315" t="s">
        <v>74</v>
      </c>
      <c r="I18" s="315"/>
      <c r="J18" s="2"/>
      <c r="K18" s="337" t="s">
        <v>20</v>
      </c>
      <c r="L18" s="337"/>
      <c r="M18" s="337"/>
      <c r="N18" s="337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23"/>
      <c r="N19" s="123"/>
      <c r="O19" s="123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ht="26.25" customHeight="1">
      <c r="A20" s="1"/>
      <c r="B20" s="1"/>
      <c r="C20" s="1"/>
      <c r="D20" s="1"/>
      <c r="E20" s="316" t="s">
        <v>148</v>
      </c>
      <c r="F20" s="317"/>
      <c r="G20" s="317"/>
      <c r="H20" s="318"/>
      <c r="I20" s="1"/>
      <c r="J20" s="1"/>
      <c r="K20" s="1"/>
      <c r="L20" s="1"/>
      <c r="M20" s="123"/>
      <c r="N20" s="123"/>
      <c r="O20" s="123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23"/>
      <c r="N21" s="123"/>
      <c r="O21" s="123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1:29" ht="22.5" thickTop="1" thickBot="1">
      <c r="A22" s="1"/>
      <c r="B22" s="321" t="s">
        <v>160</v>
      </c>
      <c r="C22" s="321"/>
      <c r="D22" s="321"/>
      <c r="E22" s="118" t="s">
        <v>74</v>
      </c>
      <c r="F22" s="322" t="s">
        <v>161</v>
      </c>
      <c r="G22" s="323"/>
      <c r="H22" s="324"/>
      <c r="I22" s="118" t="s">
        <v>28</v>
      </c>
      <c r="J22" s="2"/>
      <c r="K22" s="338" t="s">
        <v>323</v>
      </c>
      <c r="L22" s="338"/>
      <c r="M22" s="338"/>
      <c r="N22" s="338"/>
      <c r="O22" s="1"/>
      <c r="S22" s="33" t="s">
        <v>1</v>
      </c>
      <c r="T22" s="33" t="s">
        <v>3</v>
      </c>
      <c r="U22" s="33">
        <v>8</v>
      </c>
      <c r="V22" s="33" t="s">
        <v>4</v>
      </c>
      <c r="W22" s="33" t="s">
        <v>5</v>
      </c>
      <c r="Y22" s="33" t="s">
        <v>6</v>
      </c>
      <c r="AA22" s="122">
        <v>43525</v>
      </c>
    </row>
    <row r="23" spans="1:29" ht="8.1" customHeight="1" thickTop="1" thickBot="1">
      <c r="A23" s="123"/>
      <c r="B23" s="129"/>
      <c r="C23" s="129"/>
      <c r="D23" s="129"/>
      <c r="E23" s="130"/>
      <c r="F23" s="131"/>
      <c r="G23" s="131"/>
      <c r="H23" s="131"/>
      <c r="I23" s="130"/>
      <c r="J23" s="6"/>
      <c r="K23" s="338"/>
      <c r="L23" s="338"/>
      <c r="M23" s="338"/>
      <c r="N23" s="338"/>
      <c r="O23" s="1"/>
      <c r="AA23" s="122"/>
    </row>
    <row r="24" spans="1:29" ht="22.5" thickTop="1" thickBot="1">
      <c r="A24" s="1"/>
      <c r="B24" s="325" t="s">
        <v>159</v>
      </c>
      <c r="C24" s="326"/>
      <c r="D24" s="327"/>
      <c r="E24" s="21" t="s">
        <v>7</v>
      </c>
      <c r="F24" s="322" t="s">
        <v>162</v>
      </c>
      <c r="G24" s="323"/>
      <c r="H24" s="324"/>
      <c r="I24" s="20" t="s">
        <v>75</v>
      </c>
      <c r="J24" s="132"/>
      <c r="K24" s="338"/>
      <c r="L24" s="338"/>
      <c r="M24" s="338"/>
      <c r="N24" s="338"/>
      <c r="O24" s="1"/>
      <c r="S24" s="33" t="s">
        <v>8</v>
      </c>
      <c r="U24" s="33">
        <v>9</v>
      </c>
      <c r="V24" s="33" t="s">
        <v>9</v>
      </c>
      <c r="W24" s="33" t="s">
        <v>10</v>
      </c>
      <c r="Y24" s="33" t="s">
        <v>11</v>
      </c>
      <c r="AA24" s="122">
        <v>43556</v>
      </c>
    </row>
    <row r="25" spans="1:29" ht="8.1" customHeight="1" thickTop="1" thickBot="1">
      <c r="A25" s="123"/>
      <c r="B25" s="129"/>
      <c r="C25" s="129"/>
      <c r="D25" s="129"/>
      <c r="E25" s="133"/>
      <c r="F25" s="131"/>
      <c r="G25" s="131"/>
      <c r="H25" s="131"/>
      <c r="I25" s="130"/>
      <c r="J25" s="132"/>
      <c r="K25" s="134"/>
      <c r="L25" s="134"/>
      <c r="M25" s="134"/>
      <c r="N25" s="134"/>
      <c r="O25" s="1"/>
      <c r="AA25" s="122"/>
    </row>
    <row r="26" spans="1:29" ht="23.25" customHeight="1" thickTop="1" thickBot="1">
      <c r="A26" s="123"/>
      <c r="B26" s="129"/>
      <c r="C26" s="376" t="s">
        <v>300</v>
      </c>
      <c r="D26" s="376"/>
      <c r="E26" s="376"/>
      <c r="F26" s="376"/>
      <c r="G26" s="376"/>
      <c r="H26" s="377"/>
      <c r="I26" s="207">
        <v>12</v>
      </c>
      <c r="J26" s="132"/>
      <c r="K26" s="343" t="s">
        <v>308</v>
      </c>
      <c r="L26" s="343"/>
      <c r="M26" s="343"/>
      <c r="N26" s="20" t="s">
        <v>75</v>
      </c>
      <c r="O26" s="1"/>
      <c r="AA26" s="122"/>
    </row>
    <row r="27" spans="1:29" ht="8.1" customHeight="1" thickTop="1" thickBot="1">
      <c r="A27" s="123"/>
      <c r="B27" s="129"/>
      <c r="C27" s="129"/>
      <c r="D27" s="129"/>
      <c r="E27" s="133"/>
      <c r="F27" s="131"/>
      <c r="G27" s="131"/>
      <c r="H27" s="131"/>
      <c r="I27" s="130"/>
      <c r="J27" s="132"/>
      <c r="K27" s="369" t="s">
        <v>316</v>
      </c>
      <c r="L27" s="369"/>
      <c r="M27" s="369"/>
      <c r="N27" s="134"/>
      <c r="O27" s="1"/>
      <c r="AA27" s="122"/>
    </row>
    <row r="28" spans="1:29" ht="22.5" thickTop="1" thickBot="1">
      <c r="A28" s="1"/>
      <c r="B28" s="381" t="s">
        <v>158</v>
      </c>
      <c r="C28" s="381" t="s">
        <v>12</v>
      </c>
      <c r="D28" s="381"/>
      <c r="E28" s="20">
        <v>0</v>
      </c>
      <c r="F28" s="322" t="s">
        <v>163</v>
      </c>
      <c r="G28" s="323"/>
      <c r="H28" s="324"/>
      <c r="I28" s="255" t="s">
        <v>6</v>
      </c>
      <c r="J28" s="258"/>
      <c r="K28" s="369"/>
      <c r="L28" s="369"/>
      <c r="M28" s="369"/>
      <c r="N28" s="20" t="s">
        <v>74</v>
      </c>
      <c r="O28" s="1"/>
      <c r="T28" s="33" t="s">
        <v>13</v>
      </c>
      <c r="U28" s="33">
        <v>10</v>
      </c>
      <c r="W28" s="33" t="s">
        <v>14</v>
      </c>
      <c r="AA28" s="122">
        <v>43586</v>
      </c>
    </row>
    <row r="29" spans="1:29" ht="8.1" customHeight="1" thickTop="1" thickBot="1">
      <c r="A29" s="123"/>
      <c r="B29" s="131"/>
      <c r="C29" s="131"/>
      <c r="D29" s="131"/>
      <c r="E29" s="130"/>
      <c r="F29" s="131"/>
      <c r="G29" s="131"/>
      <c r="H29" s="131"/>
      <c r="I29" s="135"/>
      <c r="J29" s="6"/>
      <c r="K29" s="369"/>
      <c r="L29" s="369"/>
      <c r="M29" s="369"/>
      <c r="N29" s="259"/>
      <c r="O29" s="1"/>
      <c r="AA29" s="122"/>
    </row>
    <row r="30" spans="1:29" ht="22.5" customHeight="1" thickTop="1" thickBot="1">
      <c r="A30" s="1"/>
      <c r="B30" s="351" t="s">
        <v>301</v>
      </c>
      <c r="C30" s="347"/>
      <c r="D30" s="347"/>
      <c r="E30" s="20">
        <v>8</v>
      </c>
      <c r="F30" s="347" t="s">
        <v>303</v>
      </c>
      <c r="G30" s="347"/>
      <c r="H30" s="347"/>
      <c r="I30" s="255" t="s">
        <v>4</v>
      </c>
      <c r="J30" s="6"/>
      <c r="K30" s="370" t="s">
        <v>309</v>
      </c>
      <c r="L30" s="371"/>
      <c r="M30" s="371"/>
      <c r="N30" s="372"/>
      <c r="O30" s="305"/>
      <c r="T30" s="33" t="s">
        <v>15</v>
      </c>
      <c r="U30" s="33">
        <v>12</v>
      </c>
      <c r="W30" s="33" t="s">
        <v>16</v>
      </c>
      <c r="AA30" s="122">
        <v>43617</v>
      </c>
    </row>
    <row r="31" spans="1:29" ht="8.1" customHeight="1" thickTop="1" thickBot="1">
      <c r="A31" s="123"/>
      <c r="B31" s="131"/>
      <c r="C31" s="131"/>
      <c r="D31" s="131"/>
      <c r="E31" s="137"/>
      <c r="F31" s="138"/>
      <c r="G31" s="131"/>
      <c r="H31" s="131"/>
      <c r="I31" s="135"/>
      <c r="J31" s="6"/>
      <c r="K31" s="373"/>
      <c r="L31" s="374"/>
      <c r="M31" s="374"/>
      <c r="N31" s="375"/>
      <c r="O31" s="305"/>
      <c r="AA31" s="122"/>
    </row>
    <row r="32" spans="1:29" ht="22.5" thickTop="1" thickBot="1">
      <c r="A32" s="1"/>
      <c r="B32" s="347" t="s">
        <v>302</v>
      </c>
      <c r="C32" s="347"/>
      <c r="D32" s="347"/>
      <c r="E32" s="20" t="s">
        <v>74</v>
      </c>
      <c r="F32" s="347" t="s">
        <v>305</v>
      </c>
      <c r="G32" s="347"/>
      <c r="H32" s="347"/>
      <c r="I32" s="255" t="s">
        <v>16</v>
      </c>
      <c r="J32" s="6"/>
      <c r="K32" s="373"/>
      <c r="L32" s="374"/>
      <c r="M32" s="374"/>
      <c r="N32" s="375"/>
      <c r="O32" s="305"/>
      <c r="T32" s="33" t="s">
        <v>17</v>
      </c>
      <c r="U32" s="33">
        <v>16</v>
      </c>
      <c r="W32" s="33" t="s">
        <v>18</v>
      </c>
      <c r="AA32" s="122">
        <v>43647</v>
      </c>
    </row>
    <row r="33" spans="1:29" ht="8.1" customHeight="1" thickTop="1" thickBot="1">
      <c r="A33" s="123"/>
      <c r="B33" s="131"/>
      <c r="C33" s="131"/>
      <c r="D33" s="131"/>
      <c r="E33" s="130"/>
      <c r="F33" s="131"/>
      <c r="G33" s="131"/>
      <c r="H33" s="131"/>
      <c r="I33" s="135"/>
      <c r="J33" s="6"/>
      <c r="K33" s="373"/>
      <c r="L33" s="374"/>
      <c r="M33" s="374"/>
      <c r="N33" s="375"/>
      <c r="O33" s="123"/>
      <c r="AA33" s="122"/>
    </row>
    <row r="34" spans="1:29" ht="30" customHeight="1" thickTop="1" thickBot="1">
      <c r="A34" s="1"/>
      <c r="B34" s="330" t="s">
        <v>304</v>
      </c>
      <c r="C34" s="330"/>
      <c r="D34" s="330"/>
      <c r="E34" s="20" t="s">
        <v>74</v>
      </c>
      <c r="F34" s="322" t="s">
        <v>164</v>
      </c>
      <c r="G34" s="323"/>
      <c r="H34" s="324"/>
      <c r="I34" s="256">
        <v>11</v>
      </c>
      <c r="J34" s="136"/>
      <c r="K34" s="378" t="s">
        <v>310</v>
      </c>
      <c r="L34" s="379"/>
      <c r="M34" s="306" t="s">
        <v>74</v>
      </c>
      <c r="N34" s="307"/>
      <c r="O34" s="123"/>
      <c r="AA34" s="122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23"/>
      <c r="K35" s="308"/>
      <c r="L35" s="260"/>
      <c r="M35" s="123"/>
      <c r="N35" s="309"/>
      <c r="O35" s="12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29" ht="24.75" customHeight="1" thickTop="1" thickBot="1">
      <c r="A36" s="23"/>
      <c r="B36" s="380" t="s">
        <v>299</v>
      </c>
      <c r="C36" s="380"/>
      <c r="D36" s="380"/>
      <c r="E36" s="41">
        <v>50800</v>
      </c>
      <c r="F36" s="354" t="s">
        <v>318</v>
      </c>
      <c r="G36" s="355"/>
      <c r="H36" s="356"/>
      <c r="I36" s="257">
        <v>53900</v>
      </c>
      <c r="J36" s="206"/>
      <c r="K36" s="378" t="s">
        <v>311</v>
      </c>
      <c r="L36" s="379"/>
      <c r="M36" s="306" t="s">
        <v>74</v>
      </c>
      <c r="N36" s="310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39"/>
    </row>
    <row r="37" spans="1:29" ht="12.75" customHeight="1" thickTop="1" thickBot="1">
      <c r="A37" s="23"/>
      <c r="B37" s="27"/>
      <c r="C37" s="28"/>
      <c r="D37" s="140"/>
      <c r="E37" s="140"/>
      <c r="F37" s="4"/>
      <c r="G37" s="5"/>
      <c r="H37" s="139"/>
      <c r="I37" s="139"/>
      <c r="J37" s="6"/>
      <c r="K37" s="311"/>
      <c r="L37" s="253"/>
      <c r="M37" s="253"/>
      <c r="N37" s="310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39"/>
    </row>
    <row r="38" spans="1:29" ht="21" customHeight="1" thickTop="1" thickBot="1">
      <c r="A38" s="23"/>
      <c r="B38" s="352" t="s">
        <v>165</v>
      </c>
      <c r="C38" s="352"/>
      <c r="D38" s="352"/>
      <c r="E38" s="352"/>
      <c r="F38" s="352"/>
      <c r="G38" s="352"/>
      <c r="H38" s="353"/>
      <c r="I38" s="201">
        <v>44440</v>
      </c>
      <c r="J38" s="6"/>
      <c r="K38" s="360" t="s">
        <v>312</v>
      </c>
      <c r="L38" s="361"/>
      <c r="M38" s="361"/>
      <c r="N38" s="362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39"/>
    </row>
    <row r="39" spans="1:29" ht="12.75" customHeight="1" thickTop="1" thickBot="1">
      <c r="A39" s="23"/>
      <c r="B39" s="27"/>
      <c r="C39" s="28"/>
      <c r="D39" s="140"/>
      <c r="E39" s="140"/>
      <c r="F39" s="4"/>
      <c r="G39" s="5"/>
      <c r="H39" s="206"/>
      <c r="I39" s="206"/>
      <c r="J39" s="6"/>
      <c r="K39" s="363"/>
      <c r="L39" s="364"/>
      <c r="M39" s="364"/>
      <c r="N39" s="365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39"/>
    </row>
    <row r="40" spans="1:29" ht="36.75" customHeight="1" thickTop="1" thickBot="1">
      <c r="A40" s="24"/>
      <c r="B40" s="26"/>
      <c r="C40" s="348" t="s">
        <v>298</v>
      </c>
      <c r="D40" s="349"/>
      <c r="E40" s="350"/>
      <c r="F40" s="200">
        <v>44256</v>
      </c>
      <c r="G40" s="261" t="s">
        <v>297</v>
      </c>
      <c r="H40" s="201">
        <v>44593</v>
      </c>
      <c r="I40" s="8"/>
      <c r="J40" s="254"/>
      <c r="K40" s="366"/>
      <c r="L40" s="367"/>
      <c r="M40" s="367"/>
      <c r="N40" s="368"/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39"/>
    </row>
    <row r="41" spans="1:29" ht="16.5" thickTop="1" thickBot="1">
      <c r="A41" s="2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39"/>
    </row>
    <row r="42" spans="1:29" ht="39" customHeight="1" thickTop="1" thickBot="1">
      <c r="A42" s="346"/>
      <c r="B42" s="141" t="s">
        <v>37</v>
      </c>
      <c r="C42" s="141" t="s">
        <v>38</v>
      </c>
      <c r="D42" s="141" t="s">
        <v>39</v>
      </c>
      <c r="E42" s="198" t="s">
        <v>55</v>
      </c>
      <c r="F42" s="198" t="s">
        <v>56</v>
      </c>
      <c r="G42" s="142" t="s">
        <v>40</v>
      </c>
      <c r="H42" s="142" t="s">
        <v>113</v>
      </c>
      <c r="I42" s="142" t="s">
        <v>41</v>
      </c>
      <c r="J42" s="143" t="s">
        <v>296</v>
      </c>
      <c r="K42" s="143" t="s">
        <v>104</v>
      </c>
      <c r="L42" s="143" t="s">
        <v>103</v>
      </c>
      <c r="M42" s="199" t="s">
        <v>156</v>
      </c>
      <c r="N42" s="340" t="s">
        <v>151</v>
      </c>
      <c r="O42" s="341"/>
      <c r="P42" s="14"/>
      <c r="Q42" s="15"/>
      <c r="R42" s="144"/>
      <c r="S42" s="144"/>
      <c r="T42" s="144"/>
      <c r="U42" s="15"/>
      <c r="V42" s="14"/>
      <c r="W42" s="144"/>
      <c r="X42" s="14"/>
      <c r="Y42" s="14"/>
      <c r="Z42" s="13"/>
      <c r="AA42" s="13"/>
      <c r="AB42" s="13"/>
      <c r="AC42" s="39"/>
    </row>
    <row r="43" spans="1:29" ht="25.5" customHeight="1" thickTop="1" thickBot="1">
      <c r="A43" s="346"/>
      <c r="B43" s="16"/>
      <c r="C43" s="16"/>
      <c r="D43" s="145">
        <f>IF(AND('Master Data'!$I$28='GA55 Check &amp; Edit'!$AP$6,'Master Data'!$E$32=$AO$6),"",IF(AND('Master Data'!$I$32=$AR$14),'GA55 Check &amp; Edit'!$AS$8,IF(AND('Master Data'!$I$32=$AR$16),'GA55 Check &amp; Edit'!$AS$8,IF(AND('Master Data'!$I$32=$AR$18),'GA55 Check &amp; Edit'!$AS$8,IF(AND('Master Data'!$I$32=$AR$19),'GA55 Check &amp; Edit'!$AS$8,'GA55 Check &amp; Edit'!$AS$6)))))</f>
        <v>620</v>
      </c>
      <c r="E43" s="17"/>
      <c r="F43" s="17"/>
      <c r="G43" s="17">
        <v>7000</v>
      </c>
      <c r="H43" s="17">
        <v>3575</v>
      </c>
      <c r="I43" s="17">
        <v>1880</v>
      </c>
      <c r="J43" s="17">
        <v>330</v>
      </c>
      <c r="K43" s="17"/>
      <c r="L43" s="17"/>
      <c r="M43" s="20" t="s">
        <v>74</v>
      </c>
      <c r="N43" s="340"/>
      <c r="O43" s="341"/>
      <c r="P43" s="14"/>
      <c r="Q43" s="146"/>
      <c r="R43" s="146"/>
      <c r="S43" s="146"/>
      <c r="T43" s="146"/>
      <c r="U43" s="147"/>
      <c r="V43" s="148"/>
      <c r="W43" s="146"/>
      <c r="X43" s="14"/>
      <c r="Y43" s="14"/>
      <c r="Z43" s="13"/>
      <c r="AA43" s="13"/>
      <c r="AB43" s="13"/>
      <c r="AC43" s="39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42" t="s">
        <v>315</v>
      </c>
      <c r="M44" s="342"/>
      <c r="N44" s="342"/>
      <c r="O44" s="342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ht="26.25" customHeight="1" thickBot="1">
      <c r="A45" s="1"/>
      <c r="B45" s="1"/>
      <c r="C45" s="1"/>
      <c r="D45" s="1"/>
      <c r="E45" s="331" t="s">
        <v>42</v>
      </c>
      <c r="F45" s="331"/>
      <c r="G45" s="331"/>
      <c r="H45" s="331"/>
      <c r="I45" s="1"/>
      <c r="J45" s="1"/>
      <c r="K45" s="1"/>
      <c r="L45" s="342"/>
      <c r="M45" s="342"/>
      <c r="N45" s="342"/>
      <c r="O45" s="342"/>
    </row>
    <row r="46" spans="1:29" ht="28.5" customHeight="1" thickTop="1" thickBot="1">
      <c r="A46" s="1"/>
      <c r="B46" s="149" t="s">
        <v>43</v>
      </c>
      <c r="C46" s="149" t="s">
        <v>44</v>
      </c>
      <c r="D46" s="149" t="s">
        <v>45</v>
      </c>
      <c r="E46" s="149" t="s">
        <v>46</v>
      </c>
      <c r="F46" s="149" t="s">
        <v>47</v>
      </c>
      <c r="G46" s="149" t="s">
        <v>48</v>
      </c>
      <c r="H46" s="149" t="s">
        <v>49</v>
      </c>
      <c r="I46" s="149" t="s">
        <v>50</v>
      </c>
      <c r="J46" s="149" t="s">
        <v>51</v>
      </c>
      <c r="K46" s="149" t="s">
        <v>52</v>
      </c>
      <c r="L46" s="149" t="s">
        <v>53</v>
      </c>
      <c r="M46" s="149" t="s">
        <v>54</v>
      </c>
      <c r="N46" s="1"/>
      <c r="O46" s="1"/>
    </row>
    <row r="47" spans="1:29" ht="27.75" customHeight="1" thickTop="1" thickBot="1">
      <c r="A47" s="1"/>
      <c r="B47" s="17">
        <v>0</v>
      </c>
      <c r="C47" s="17">
        <v>1500</v>
      </c>
      <c r="D47" s="17">
        <v>1500</v>
      </c>
      <c r="E47" s="17">
        <v>1500</v>
      </c>
      <c r="F47" s="17">
        <v>1500</v>
      </c>
      <c r="G47" s="17"/>
      <c r="H47" s="17"/>
      <c r="I47" s="17"/>
      <c r="J47" s="17"/>
      <c r="K47" s="17"/>
      <c r="L47" s="17"/>
      <c r="M47" s="17"/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335" t="s">
        <v>58</v>
      </c>
      <c r="D49" s="335"/>
      <c r="E49" s="335"/>
      <c r="F49" s="335"/>
      <c r="G49" s="335"/>
      <c r="H49" s="335"/>
      <c r="I49" s="335"/>
      <c r="J49" s="335"/>
      <c r="K49" s="335"/>
      <c r="L49" s="1"/>
      <c r="M49" s="1"/>
      <c r="N49" s="1"/>
      <c r="O49" s="1"/>
    </row>
    <row r="50" spans="1:15" ht="25.5" customHeight="1">
      <c r="A50" s="1"/>
      <c r="B50" s="1"/>
      <c r="C50" s="1"/>
      <c r="D50" s="1"/>
      <c r="E50" s="1"/>
      <c r="F50" s="319" t="s">
        <v>106</v>
      </c>
      <c r="G50" s="319"/>
      <c r="H50" s="319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N43:W43" name="Range3_1"/>
    <protectedRange sqref="B47:M47" name="Range2_1_1"/>
    <protectedRange sqref="B43:C43" name="Range2_1"/>
    <protectedRange sqref="E43:L43" name="Range2_1_3"/>
  </protectedRanges>
  <mergeCells count="65">
    <mergeCell ref="K34:L34"/>
    <mergeCell ref="K36:L36"/>
    <mergeCell ref="B36:D36"/>
    <mergeCell ref="B28:D28"/>
    <mergeCell ref="F34:H34"/>
    <mergeCell ref="K4:N4"/>
    <mergeCell ref="B6:C6"/>
    <mergeCell ref="D6:E6"/>
    <mergeCell ref="F6:G6"/>
    <mergeCell ref="H6:I6"/>
    <mergeCell ref="B4:C4"/>
    <mergeCell ref="D4:I4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38:H38"/>
    <mergeCell ref="F36:H36"/>
    <mergeCell ref="C26:H26"/>
    <mergeCell ref="C49:K49"/>
    <mergeCell ref="K12:N12"/>
    <mergeCell ref="K18:N18"/>
    <mergeCell ref="K22:N24"/>
    <mergeCell ref="D12:E12"/>
    <mergeCell ref="F12:G12"/>
    <mergeCell ref="H12:I12"/>
    <mergeCell ref="N42:O43"/>
    <mergeCell ref="L44:O45"/>
    <mergeCell ref="F18:G18"/>
    <mergeCell ref="H18:I18"/>
    <mergeCell ref="K26:M26"/>
    <mergeCell ref="B12:C12"/>
    <mergeCell ref="K38:N40"/>
    <mergeCell ref="K27:M29"/>
    <mergeCell ref="K30:N33"/>
    <mergeCell ref="B18:C18"/>
    <mergeCell ref="E2:H2"/>
    <mergeCell ref="D8:E8"/>
    <mergeCell ref="F8:G8"/>
    <mergeCell ref="H8:I8"/>
    <mergeCell ref="B10:C10"/>
    <mergeCell ref="D10:E10"/>
    <mergeCell ref="F10:G10"/>
    <mergeCell ref="H10:I10"/>
    <mergeCell ref="D18:E18"/>
    <mergeCell ref="E20:H20"/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</mergeCells>
  <dataValidations count="34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 I38">
      <formula1>Month</formula1>
    </dataValidation>
    <dataValidation type="list" allowBlank="1" showInputMessage="1" showErrorMessage="1" sqref="I32:I33">
      <formula1>CCA</formula1>
    </dataValidation>
    <dataValidation type="list" allowBlank="1" showInputMessage="1" showErrorMessage="1" sqref="E34 M43">
      <formula1>ye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Yes or No" error="केवल हाँ अथवा ना सलेक्ट करें।" sqref="D18:E18">
      <formula1>ye</formula1>
    </dataValidation>
    <dataValidation type="list" allowBlank="1" showInputMessage="1" showErrorMessage="1" error="केवल हाँ अथवा ना सलेक्ट करें।" sqref="E32:E33 N26 E22:E23 I24:I25 M34 M36 I27 N28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:C43 E43:L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</dataValidations>
  <pageMargins left="0.7" right="0.7" top="0.75" bottom="0.75" header="0.3" footer="0.3"/>
  <pageSetup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CY41"/>
  <sheetViews>
    <sheetView showGridLines="0" topLeftCell="C1" workbookViewId="0">
      <selection activeCell="M3" sqref="M3"/>
    </sheetView>
  </sheetViews>
  <sheetFormatPr defaultColWidth="0" defaultRowHeight="21" zeroHeight="1"/>
  <cols>
    <col min="1" max="1" width="6.375" style="34" hidden="1" customWidth="1"/>
    <col min="2" max="2" width="8.375" style="34" hidden="1" customWidth="1"/>
    <col min="3" max="3" width="5.75" style="34" bestFit="1" customWidth="1"/>
    <col min="4" max="4" width="20.25" style="34" customWidth="1"/>
    <col min="5" max="5" width="14.375" style="34" customWidth="1"/>
    <col min="6" max="6" width="11" style="34" customWidth="1"/>
    <col min="7" max="7" width="11.25" style="34" customWidth="1"/>
    <col min="8" max="13" width="10.75" style="34" customWidth="1"/>
    <col min="14" max="14" width="9.125" style="34" customWidth="1"/>
    <col min="15" max="15" width="13" style="34" customWidth="1"/>
    <col min="16" max="24" width="8.75" style="34" customWidth="1"/>
    <col min="25" max="25" width="10.375" style="34" customWidth="1"/>
    <col min="26" max="27" width="8.75" style="34" customWidth="1"/>
    <col min="28" max="28" width="9.875" style="34" customWidth="1"/>
    <col min="29" max="29" width="10.125" style="34" customWidth="1"/>
    <col min="30" max="30" width="10.75" style="34" customWidth="1"/>
    <col min="31" max="31" width="12.125" style="34" customWidth="1"/>
    <col min="32" max="32" width="11.375" style="35" customWidth="1"/>
    <col min="33" max="41" width="9.125" style="262" hidden="1"/>
    <col min="42" max="42" width="12.75" style="262" hidden="1"/>
    <col min="43" max="43" width="10.25" style="262" hidden="1"/>
    <col min="44" max="44" width="9.875" style="262" hidden="1"/>
    <col min="45" max="47" width="9.125" style="262" hidden="1"/>
    <col min="48" max="48" width="10.125" style="262" hidden="1"/>
    <col min="49" max="49" width="5.625" style="263" hidden="1"/>
    <col min="50" max="50" width="8.75" style="263" hidden="1"/>
    <col min="51" max="51" width="7.25" style="263" hidden="1"/>
    <col min="52" max="52" width="9" style="263" hidden="1"/>
    <col min="53" max="53" width="6.25" style="263" hidden="1"/>
    <col min="54" max="54" width="6.75" style="263" hidden="1"/>
    <col min="55" max="57" width="6.375" style="263" hidden="1"/>
    <col min="58" max="62" width="5.625" style="263" hidden="1"/>
    <col min="63" max="64" width="9.375" style="262" hidden="1"/>
    <col min="65" max="89" width="9.125" style="262" hidden="1"/>
    <col min="90" max="103" width="9.125" style="35" hidden="1"/>
    <col min="104" max="16384" width="9.125" style="34" hidden="1"/>
  </cols>
  <sheetData>
    <row r="1" spans="1:103" ht="26.25" customHeight="1"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394" t="s">
        <v>314</v>
      </c>
      <c r="U1" s="394"/>
      <c r="V1" s="394"/>
      <c r="W1" s="394"/>
      <c r="X1" s="394"/>
      <c r="Y1" s="394"/>
      <c r="Z1" s="394"/>
      <c r="AA1" s="191"/>
      <c r="AB1" s="191"/>
      <c r="AC1" s="191"/>
      <c r="AD1" s="191"/>
      <c r="AE1" s="191"/>
    </row>
    <row r="2" spans="1:103" ht="24.75" customHeight="1"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394"/>
      <c r="U2" s="394"/>
      <c r="V2" s="394"/>
      <c r="W2" s="394"/>
      <c r="X2" s="394"/>
      <c r="Y2" s="394"/>
      <c r="Z2" s="394"/>
      <c r="AA2" s="202"/>
      <c r="AB2" s="202"/>
      <c r="AC2" s="191"/>
      <c r="AD2" s="191"/>
      <c r="AE2" s="191"/>
      <c r="BF2" s="263" t="str">
        <f>'Master Data'!M34</f>
        <v>No</v>
      </c>
    </row>
    <row r="3" spans="1:103" s="29" customFormat="1" ht="27.75" customHeight="1">
      <c r="C3" s="36"/>
      <c r="D3" s="384" t="s">
        <v>100</v>
      </c>
      <c r="E3" s="384"/>
      <c r="F3" s="385" t="str">
        <f>IF('Master Data'!D6="","",CONCATENATE('Master Data'!D6," ,  ",'Master Data'!H6))</f>
        <v>Heeralal jat ,  Sr Teacher</v>
      </c>
      <c r="G3" s="385"/>
      <c r="H3" s="385"/>
      <c r="I3" s="385"/>
      <c r="J3" s="36"/>
      <c r="K3" s="36"/>
      <c r="L3" s="36"/>
      <c r="M3" s="36"/>
      <c r="N3" s="36"/>
      <c r="O3" s="36"/>
      <c r="P3" s="36"/>
      <c r="Q3" s="36"/>
      <c r="R3" s="36"/>
      <c r="S3" s="392" t="s">
        <v>315</v>
      </c>
      <c r="T3" s="393"/>
      <c r="U3" s="393"/>
      <c r="V3" s="393"/>
      <c r="W3" s="393"/>
      <c r="X3" s="393"/>
      <c r="Y3" s="393"/>
      <c r="Z3" s="393"/>
      <c r="AA3" s="36"/>
      <c r="AB3" s="36"/>
      <c r="AC3" s="36"/>
      <c r="AD3" s="36"/>
      <c r="AE3" s="36"/>
      <c r="AF3" s="30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3"/>
      <c r="AX3" s="263"/>
      <c r="AY3" s="263"/>
      <c r="AZ3" s="263"/>
      <c r="BA3" s="263"/>
      <c r="BB3" s="263"/>
      <c r="BC3" s="263"/>
      <c r="BD3" s="263"/>
      <c r="BE3" s="263"/>
      <c r="BF3" s="263" t="str">
        <f>'Master Data'!M36</f>
        <v>No</v>
      </c>
      <c r="BG3" s="263"/>
      <c r="BH3" s="263"/>
      <c r="BI3" s="263"/>
      <c r="BJ3" s="263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4"/>
      <c r="CG3" s="264"/>
      <c r="CH3" s="264"/>
      <c r="CI3" s="264"/>
      <c r="CJ3" s="264"/>
      <c r="CK3" s="264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 s="29" customFormat="1" ht="20.25"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0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3"/>
      <c r="AX4" s="263"/>
      <c r="AY4" s="263"/>
      <c r="AZ4" s="263"/>
      <c r="BA4" s="263"/>
      <c r="BB4" s="263"/>
      <c r="BC4" s="263"/>
      <c r="BD4" s="303">
        <f>'Master Data'!J43</f>
        <v>330</v>
      </c>
      <c r="BE4" s="263"/>
      <c r="BF4" s="263" t="str">
        <f>'Master Data'!N28</f>
        <v>No</v>
      </c>
      <c r="BG4" s="263"/>
      <c r="BH4" s="263"/>
      <c r="BI4" s="263"/>
      <c r="BJ4" s="263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</row>
    <row r="5" spans="1:103" s="29" customFormat="1" ht="18" customHeight="1" thickBot="1">
      <c r="C5" s="42">
        <v>1</v>
      </c>
      <c r="D5" s="42">
        <v>2</v>
      </c>
      <c r="E5" s="42">
        <v>3</v>
      </c>
      <c r="F5" s="42">
        <v>4</v>
      </c>
      <c r="G5" s="42">
        <v>5</v>
      </c>
      <c r="H5" s="42">
        <v>6</v>
      </c>
      <c r="I5" s="42">
        <v>7</v>
      </c>
      <c r="J5" s="42">
        <v>8</v>
      </c>
      <c r="K5" s="42">
        <v>9</v>
      </c>
      <c r="L5" s="42">
        <v>10</v>
      </c>
      <c r="M5" s="42">
        <v>11</v>
      </c>
      <c r="N5" s="42">
        <v>12</v>
      </c>
      <c r="O5" s="42">
        <v>13</v>
      </c>
      <c r="P5" s="42">
        <v>14</v>
      </c>
      <c r="Q5" s="42">
        <v>15</v>
      </c>
      <c r="R5" s="42">
        <v>16</v>
      </c>
      <c r="S5" s="42">
        <v>17</v>
      </c>
      <c r="T5" s="42">
        <v>18</v>
      </c>
      <c r="U5" s="42">
        <v>19</v>
      </c>
      <c r="V5" s="42">
        <v>20</v>
      </c>
      <c r="W5" s="42">
        <v>21</v>
      </c>
      <c r="X5" s="42">
        <v>22</v>
      </c>
      <c r="Y5" s="42">
        <v>23</v>
      </c>
      <c r="Z5" s="42">
        <v>24</v>
      </c>
      <c r="AA5" s="42">
        <v>25</v>
      </c>
      <c r="AB5" s="42">
        <v>26</v>
      </c>
      <c r="AC5" s="42">
        <v>27</v>
      </c>
      <c r="AD5" s="42">
        <v>28</v>
      </c>
      <c r="AE5" s="42">
        <v>29</v>
      </c>
      <c r="AF5" s="30"/>
      <c r="AG5" s="264"/>
      <c r="AH5" s="264"/>
      <c r="AI5" s="264"/>
      <c r="AJ5" s="264"/>
      <c r="AK5" s="264"/>
      <c r="AL5" s="264"/>
      <c r="AM5" s="264" t="str">
        <f>'Master Data'!N26</f>
        <v>Yes</v>
      </c>
      <c r="AN5" s="265" t="s">
        <v>4</v>
      </c>
      <c r="AO5" s="265" t="s">
        <v>75</v>
      </c>
      <c r="AP5" s="266" t="s">
        <v>6</v>
      </c>
      <c r="AQ5" s="264" t="s">
        <v>7</v>
      </c>
      <c r="AR5" s="264"/>
      <c r="AS5" s="264">
        <v>1000</v>
      </c>
      <c r="AT5" s="264"/>
      <c r="AU5" s="264"/>
      <c r="AV5" s="264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</row>
    <row r="6" spans="1:103" s="31" customFormat="1" ht="36.75" customHeight="1">
      <c r="C6" s="395" t="s">
        <v>59</v>
      </c>
      <c r="D6" s="382" t="s">
        <v>60</v>
      </c>
      <c r="E6" s="397" t="s">
        <v>61</v>
      </c>
      <c r="F6" s="382" t="s">
        <v>62</v>
      </c>
      <c r="G6" s="382" t="s">
        <v>63</v>
      </c>
      <c r="H6" s="382" t="str">
        <f>IF('Master Data'!B42="","",'Master Data'!B42)</f>
        <v>Wash All.</v>
      </c>
      <c r="I6" s="382" t="str">
        <f>IF('Master Data'!C42="","",'Master Data'!C42)</f>
        <v>Handi. All.</v>
      </c>
      <c r="J6" s="382" t="str">
        <f>IF('Master Data'!D42="","",'Master Data'!D42)</f>
        <v>CCA</v>
      </c>
      <c r="K6" s="382" t="str">
        <f>IF('Master Data'!E42="","",'Master Data'!E42)</f>
        <v>other-1</v>
      </c>
      <c r="L6" s="382" t="str">
        <f>IF('Master Data'!F42="","",'Master Data'!F42)</f>
        <v>other-2</v>
      </c>
      <c r="M6" s="382" t="s">
        <v>64</v>
      </c>
      <c r="N6" s="382" t="s">
        <v>65</v>
      </c>
      <c r="O6" s="382" t="s">
        <v>66</v>
      </c>
      <c r="P6" s="382" t="str">
        <f>IF('Master Data'!G42="","",'Master Data'!G42)</f>
        <v>SI</v>
      </c>
      <c r="Q6" s="382" t="str">
        <f>IF('Master Data'!H42="","",'Master Data'!H42)</f>
        <v>GPF / NPS</v>
      </c>
      <c r="R6" s="382" t="str">
        <f>IF('Master Data'!I42="","",'Master Data'!I42)</f>
        <v>L.I.C.</v>
      </c>
      <c r="S6" s="382" t="str">
        <f>IF('Master Data'!J42="","",'Master Data'!J42)</f>
        <v>RGHS</v>
      </c>
      <c r="T6" s="382" t="str">
        <f>IF('Master Data'!K42="","",'Master Data'!K42)</f>
        <v>SI Loan</v>
      </c>
      <c r="U6" s="382" t="str">
        <f>IF('Master Data'!L42="","",'Master Data'!L42)</f>
        <v>GPF Loan</v>
      </c>
      <c r="V6" s="382" t="str">
        <f>IF('Master Data'!M42="","",'Master Data'!M42)</f>
        <v>GPF 2004 (NPS)</v>
      </c>
      <c r="W6" s="190" t="s">
        <v>69</v>
      </c>
      <c r="X6" s="382" t="s">
        <v>150</v>
      </c>
      <c r="Y6" s="190" t="s">
        <v>313</v>
      </c>
      <c r="Z6" s="390" t="s">
        <v>67</v>
      </c>
      <c r="AA6" s="390" t="s">
        <v>68</v>
      </c>
      <c r="AB6" s="386" t="s">
        <v>70</v>
      </c>
      <c r="AC6" s="386" t="s">
        <v>71</v>
      </c>
      <c r="AD6" s="386" t="s">
        <v>72</v>
      </c>
      <c r="AE6" s="388" t="s">
        <v>73</v>
      </c>
      <c r="AF6" s="32"/>
      <c r="AG6" s="265"/>
      <c r="AH6" s="265"/>
      <c r="AI6" s="265"/>
      <c r="AJ6" s="265"/>
      <c r="AK6" s="265"/>
      <c r="AL6" s="265"/>
      <c r="AM6" s="265"/>
      <c r="AN6" s="265" t="s">
        <v>9</v>
      </c>
      <c r="AO6" s="265" t="s">
        <v>74</v>
      </c>
      <c r="AP6" s="265" t="s">
        <v>11</v>
      </c>
      <c r="AQ6" s="265" t="s">
        <v>76</v>
      </c>
      <c r="AR6" s="265"/>
      <c r="AS6" s="265">
        <v>620</v>
      </c>
      <c r="AT6" s="268"/>
      <c r="AU6" s="265"/>
      <c r="AV6" s="265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 s="31" customFormat="1" ht="30" customHeight="1">
      <c r="C7" s="396"/>
      <c r="D7" s="383"/>
      <c r="E7" s="398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04"/>
      <c r="X7" s="383"/>
      <c r="Y7" s="304"/>
      <c r="Z7" s="391"/>
      <c r="AA7" s="391"/>
      <c r="AB7" s="387"/>
      <c r="AC7" s="387"/>
      <c r="AD7" s="387"/>
      <c r="AE7" s="389"/>
      <c r="AF7" s="32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 t="s">
        <v>149</v>
      </c>
      <c r="AR7" s="265"/>
      <c r="AS7" s="265"/>
      <c r="AT7" s="268"/>
      <c r="AU7" s="265"/>
      <c r="AV7" s="265"/>
      <c r="AW7" s="263"/>
      <c r="AX7" s="263"/>
      <c r="AY7" s="263"/>
      <c r="AZ7" s="263"/>
      <c r="BA7" s="263"/>
      <c r="BB7" s="263"/>
      <c r="BC7" s="263"/>
      <c r="BD7" s="263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263"/>
      <c r="BF7" s="263"/>
      <c r="BG7" s="263"/>
      <c r="BH7" s="263"/>
      <c r="BI7" s="263"/>
      <c r="BJ7" s="263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 s="33" customFormat="1" ht="21" customHeight="1" thickBot="1">
      <c r="A8" s="33">
        <f>MOD(B8,2)</f>
        <v>1</v>
      </c>
      <c r="B8" s="43">
        <f>IF(LEN(D8)&gt;=3,1,0)</f>
        <v>1</v>
      </c>
      <c r="C8" s="44">
        <v>1</v>
      </c>
      <c r="D8" s="298">
        <f>IFERROR(IF(BO12="","",BO12),"")</f>
        <v>44256</v>
      </c>
      <c r="E8" s="182">
        <f>IFERROR(IF(D8="","",IF(AND(BQ12=""),"",IF(AND('Master Data'!$I$28='GA55 Check &amp; Edit'!$AP$6),VLOOKUP(D8,ram,13,0),VLOOKUP(D8,ram,4,0)))),"")</f>
        <v>50800</v>
      </c>
      <c r="F8" s="183">
        <f>IFERROR(IF(D8="","",IF(D8=$AX$24,"",IF(AND(D8=$AX$25),$BC$25,IF(AND(D8=$AX$26),$BC$26,IF(AND(D8=$AX$27),$BC$27,IF(AND(D8=$AX$28),"",IF(AND(D8=$AX$29),"",IF(AND('Master Data'!$I$28='GA55 Check &amp; Edit'!$AP$6),"",VLOOKUP(D8,ram,7,0))))))))),"")</f>
        <v>8636</v>
      </c>
      <c r="G8" s="183">
        <f>IF(AND('Master Data'!$I$28='GA55 Check &amp; Edit'!$AP$6),"",IF(AND(D8=""),"",IF(AND(D8=$AX$27),"",IF(AND(E8=""),"",ROUND('Master Data'!$E$30%*E8,0)))))</f>
        <v>4064</v>
      </c>
      <c r="H8" s="184">
        <f>IFERROR(IF(D8="","",IF(AND(E8=""),"",IF(AND(D8=$AX$27),"",IF(AND('Master Data'!$I$28='GA55 Check &amp; Edit'!$AP$6),"",'Master Data'!$B$43)))),"")</f>
        <v>0</v>
      </c>
      <c r="I8" s="184">
        <f>IFERROR(IF(D8="","",IF(AND(E8=""),"",IF(AND(D8=$AX$27),"",IF(AND('Master Data'!$I$28='GA55 Check &amp; Edit'!$AP$6),"",'Master Data'!$E$28)))),"")</f>
        <v>0</v>
      </c>
      <c r="J8" s="184" t="str">
        <f>IFERROR(IF(OR('Master Data'!$E$32=$AO$6,'Master Data'!$E$32=""),"",IF(D8="","",IF(AND(E8=""),"",IF(AND(D8=$AX$27),"",IF(AND('Master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184">
        <f>IFERROR(IF(D8="","",IF(AND(E8=""),"",IF(AND(D8=$AX$27),"",IF(AND('Master Data'!$I$28='GA55 Check &amp; Edit'!$AP$6),"",'Master Data'!$E$43)))),"")</f>
        <v>0</v>
      </c>
      <c r="L8" s="184">
        <f>IFERROR(IF(D8="","",IF(AND(E8=""),"",IF(AND(D8=$AX$27),"",IF(AND('Master Data'!$I$28='GA55 Check &amp; Edit'!$AP$6),"",'Master Data'!$F$43)))),"")</f>
        <v>0</v>
      </c>
      <c r="M8" s="185" t="str">
        <f>IFERROR(IF(D8="","",IF(AND('Master Data'!$I$28='GA55 Check &amp; Edit'!$AP$6),"",IF(AND('Master Data'!$I$24='GA55 Check &amp; Edit'!$AO$6),"0",IF(AND(D8="Bonus"),VLOOKUP(D8,ram,4,0),"")))),"")</f>
        <v/>
      </c>
      <c r="N8" s="184" t="str">
        <f>IFERROR(IF(AND(D8=""),"",IF(AND(D8=$AX$25,'Master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Edit'!$AN$5),"",IF(AND('Master Data'!$I$30='GA55 Check &amp; Edit'!$AN$6,'Master Data'!$I$28='GA55 Check &amp; Edit'!$AP$6),ROUND((E8)*0.1,0),ROUND((E8+F8)*0.1,0))))))),"")</f>
        <v/>
      </c>
      <c r="O8" s="250">
        <f>IF(D8="","",IF('Master Data'!$H$18='GA55 Check &amp; Edit'!$AO$5,SUM(E8:N8),SUM(E8:M8)))</f>
        <v>63500</v>
      </c>
      <c r="P8" s="186">
        <f>IFERROR(IF(OR('Master Data'!$I$28='GA55 Check &amp; Edit'!$AP$6,D8=""),"",IF(AND(D8=$AX$27),"",IF(AND(E8=""),"",VLOOKUP(D8,ram,11,0)))),"")</f>
        <v>7000</v>
      </c>
      <c r="Q8" s="186">
        <f>IFERROR(IF(AND(D8=""),"",IF(AND(D8=$AX$24,'Master Data'!$I$30='GA55 Check &amp; Edit'!$AN$5),ROUND((M8)*0.75,0),IF(AND(D8=$AX$25,'Master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Edit'!$AN$6,'Master Data'!$I$28='GA55 Check &amp; Edit'!$AP$6),ROUND((E8)*0.1,0),IF(AND('Master Data'!$I$30='GA55 Check &amp; Edit'!$AN$6,'Master Data'!$I$28='GA55 Check &amp; Edit'!$AP$5),ROUND((E8+F8)*0.1,0),IF(AND('Master Data'!$I$30='GA55 Check &amp; Edit'!$AN$5,'Master Data'!$I$28='GA55 Check &amp; Edit'!$AP$5),VLOOKUP(D8,ram,12,0))))))))),"")</f>
        <v>3575</v>
      </c>
      <c r="R8" s="186">
        <f>IFERROR(IF(OR('Master Data'!$I$28='GA55 Check &amp; Edit'!$AP$6,D8=""),"",IF(AND(D8=$AX$27),"",IF(AND(D8=$AX$30),"",IF(AND(E8=""),"",'Master Data'!$I$43)))),"")</f>
        <v>1880</v>
      </c>
      <c r="S8" s="186">
        <f>IFERROR(IF(OR('Master Data'!$I$28='GA55 Check &amp; Edit'!$AP$6),"",IF(D8="","",IF(E8="","",IF(AND(D8=$AX$27),"",IF(AND('Master Data'!$I$30='GA55 Check &amp; Edit'!$AN$5),VLOOKUP(D8,ram,10,0),IF(AND('Master Data'!$I$30='GA55 Check &amp; Edit'!$AN$6,$BF$4=$AO$5),$BD$4,0)))))),"")</f>
        <v>658</v>
      </c>
      <c r="T8" s="186">
        <f>IFERROR(IF(OR('Master Data'!$I$28='GA55 Check &amp; Edit'!$AP$6,D8=""),"",IF(AND(D8=$AX$27),"",IF(AND(E8=""),"",'Master Data'!$K$43))),"")</f>
        <v>0</v>
      </c>
      <c r="U8" s="186">
        <f>IFERROR(IF(OR('Master Data'!$I$28='GA55 Check &amp; Edit'!$AP$6,D8=""),"",IF(AND(D8=$AX$27),"",IF(AND(E8=""),"",'Master Data'!$L$43))),"")</f>
        <v>0</v>
      </c>
      <c r="V8" s="186" t="str">
        <f>IFERROR(IF(D8="","",IF(AND('Master Data'!$I$28='GA55 Check &amp; Edit'!$AP$6),"",IF(AND('Master Data'!$I$24='GA55 Check &amp; Edit'!$AO$6),"0",IF(AND(D8="Bonus",'Master Data'!$I$30='GA55 Check &amp; Edit'!$AN$6),ROUND((M8)*0.75,0),"")))),"")</f>
        <v/>
      </c>
      <c r="W8" s="186">
        <f>IFERROR(IF(D8="","",IF(AND(E8=""),"",IF(AND(D8=$AX$27),"",IF(OR('Master Data'!$I$28='GA55 Check &amp; Edit'!$AP$6,D8=""),"",$W$7)))),"")</f>
        <v>0</v>
      </c>
      <c r="X8" s="186">
        <f>IFERROR(IF(D8="","",IF(AND(E8=""),"",IF(AND(D8=$AX$27),"",IF(OR('Master Data'!$I$28='GA55 Check &amp; Edit'!$AP$6,D8=""),"",IF('Master Data'!$N$36="NO",0,IF(D8='Master Data'!$N$40,'Master Data'!$G$43,0)))))),"")</f>
        <v>0</v>
      </c>
      <c r="Y8" s="186">
        <f>IFERROR(IF(D8="","",IF(AND(E8=""),"",IF(AND(D8=$AX$27),"",IF(OR('Master Data'!$I$28='GA55 Check &amp; Edit'!$AP$6,D8=""),"",$Y$7)))),"")</f>
        <v>0</v>
      </c>
      <c r="Z8" s="186">
        <f>IFERROR(IF(OR('Master Data'!$I$28='GA55 Check &amp; Edit'!$AP$6),"",IF(D8="","",IF(E8="","",VLOOKUP(D8,ram,9,0)))),"")</f>
        <v>0</v>
      </c>
      <c r="AA8" s="186" t="str">
        <f>IFERROR(IF(OR('Master Data'!$I$28='GA55 Check &amp; Edit'!$AP$6,D8=""),"",IF(AND(E8=""),"",IF('GA55 Check &amp; Edit'!D8='GA55 Check &amp; Edit'!$AT$9,220,""))),"")</f>
        <v/>
      </c>
      <c r="AB8" s="251">
        <f>IFERROR(IF(D8="","",IF(AND(O8=""),"",IF(AND('Master Data'!$H$18='GA55 Check &amp; Edit'!$AO$5,'Master Data'!$I$30='GA55 Check &amp; Edit'!$AN$6),SUM(P8:AA8)+N8,SUM(P8:AA8)))),"")</f>
        <v>13113</v>
      </c>
      <c r="AC8" s="252">
        <f>IFERROR(IF(AND(E8="",O8="",AB8=""),"",SUM(O8-AB8)),"")</f>
        <v>50387</v>
      </c>
      <c r="AD8" s="188"/>
      <c r="AE8" s="193"/>
      <c r="AF8" s="37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 t="s">
        <v>5</v>
      </c>
      <c r="AS8" s="58" t="s">
        <v>3</v>
      </c>
      <c r="AT8" s="268">
        <v>44256</v>
      </c>
      <c r="AU8" s="58" t="s">
        <v>78</v>
      </c>
      <c r="AV8" s="58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</row>
    <row r="9" spans="1:103" s="33" customFormat="1" ht="21" customHeight="1">
      <c r="A9" s="33">
        <f t="shared" ref="A9:A28" si="0">MOD(B9,2)</f>
        <v>0</v>
      </c>
      <c r="B9" s="43">
        <f>IF(LEN(D9)&gt;=3,B8+1,0)</f>
        <v>2</v>
      </c>
      <c r="C9" s="44">
        <v>2</v>
      </c>
      <c r="D9" s="298">
        <f t="shared" ref="D9:D24" si="1">IFERROR(IF(BO13="","",BO13),"")</f>
        <v>44287</v>
      </c>
      <c r="E9" s="182">
        <f>IFERROR(IF(D9="","",IF(AND(BQ13=""),"",IF(AND('Master Data'!$I$28='GA55 Check &amp; Edit'!$AP$6),VLOOKUP(D9,ram,13,0),VLOOKUP(D9,ram,4,0)))),"")</f>
        <v>50800</v>
      </c>
      <c r="F9" s="183">
        <f>IFERROR(IF(D9="","",IF(D9=$AX$24,"",IF(AND(D9=$AX$25),$BC$25,IF(AND(D9=$AX$26),$BC$26,IF(AND(D9=$AX$27),$BC$27,IF(AND(D9=$AX$28),"",IF(AND(D9=$AX$29),"",IF(AND('Master Data'!$I$28='GA55 Check &amp; Edit'!$AP$6),"",VLOOKUP(D9,ram,7,0))))))))),"")</f>
        <v>8636</v>
      </c>
      <c r="G9" s="183">
        <f>IF(AND('Master Data'!$I$28='GA55 Check &amp; Edit'!$AP$6),"",IF(AND(D9=""),"",IF(AND(D9=$AX$27),"",IF(AND(E9=""),"",ROUND('Master Data'!$E$30%*E9,0)))))</f>
        <v>4064</v>
      </c>
      <c r="H9" s="184">
        <f>IFERROR(IF(D9="","",IF(AND(E9=""),"",IF(AND(D9=$AX$27),"",IF(AND('Master Data'!$I$28='GA55 Check &amp; Edit'!$AP$6),"",'Master Data'!$B$43)))),"")</f>
        <v>0</v>
      </c>
      <c r="I9" s="184">
        <f>IFERROR(IF(D9="","",IF(AND(E9=""),"",IF(AND(D9=$AX$27),"",IF(AND('Master Data'!$I$28='GA55 Check &amp; Edit'!$AP$6),"",'Master Data'!$E$28)))),"")</f>
        <v>0</v>
      </c>
      <c r="J9" s="184" t="str">
        <f>IFERROR(IF(OR('Master Data'!$E$32=$AO$6,'Master Data'!$E$32=""),"",IF(D9="","",IF(AND(E9=""),"",IF(AND(D9=$AX$27),"",IF(AND('Master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184">
        <f>IFERROR(IF(D9="","",IF(AND(E9=""),"",IF(AND(D9=$AX$27),"",IF(AND('Master Data'!$I$28='GA55 Check &amp; Edit'!$AP$6),"",'Master Data'!$E$43)))),"")</f>
        <v>0</v>
      </c>
      <c r="L9" s="184">
        <f>IFERROR(IF(D9="","",IF(AND(E9=""),"",IF(AND(D9=$AX$27),"",IF(AND('Master Data'!$I$28='GA55 Check &amp; Edit'!$AP$6),"",'Master Data'!$F$43)))),"")</f>
        <v>0</v>
      </c>
      <c r="M9" s="185" t="str">
        <f>IFERROR(IF(D9="","",IF(AND('Master Data'!$I$28='GA55 Check &amp; Edit'!$AP$6),"",IF(AND('Master Data'!$I$24='GA55 Check &amp; Edit'!$AO$6),"",IF(AND(D9="Bonus"),VLOOKUP(D9,ram,4,0),"")))),"")</f>
        <v/>
      </c>
      <c r="N9" s="184" t="str">
        <f>IFERROR(IF(AND(D9=""),"",IF(AND(D9=$AX$25,'Master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Edit'!$AN$5),"",IF(AND('Master Data'!$I$30='GA55 Check &amp; Edit'!$AN$6,'Master Data'!$I$28='GA55 Check &amp; Edit'!$AP$6),ROUND((E9)*0.1,0),ROUND((E9+F9)*0.1,0))))))),"")</f>
        <v/>
      </c>
      <c r="O9" s="250">
        <f>IF(D9="","",IF('Master Data'!$H$18='GA55 Check &amp; Edit'!$AO$5,SUM(E9:N9),SUM(E9:M9)))</f>
        <v>63500</v>
      </c>
      <c r="P9" s="186">
        <f>IFERROR(IF(OR('Master Data'!$I$28='GA55 Check &amp; Edit'!$AP$6,D9=""),"",IF(AND(D9=$AX$27),"",IF(AND(E9=""),"",VLOOKUP(D9,ram,11,0)))),"")</f>
        <v>7000</v>
      </c>
      <c r="Q9" s="186">
        <f>IFERROR(IF(AND(D9=""),"",IF(AND(D9=$AX$24,'Master Data'!$I$30='GA55 Check &amp; Edit'!$AN$5),ROUND((M9)*0.75,0),IF(AND(D9=$AX$25,'Master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Edit'!$AN$6,'Master Data'!$I$28='GA55 Check &amp; Edit'!$AP$6),ROUND((E9)*0.1,0),IF(AND('Master Data'!$I$30='GA55 Check &amp; Edit'!$AN$6,'Master Data'!$I$28='GA55 Check &amp; Edit'!$AP$5),ROUND((E9+F9)*0.1,0),IF(AND('Master Data'!$I$30='GA55 Check &amp; Edit'!$AN$5,'Master Data'!$I$28='GA55 Check &amp; Edit'!$AP$5),VLOOKUP(D9,ram,12,0))))))))),"")</f>
        <v>3575</v>
      </c>
      <c r="R9" s="186">
        <f>IFERROR(IF(OR('Master Data'!$I$28='GA55 Check &amp; Edit'!$AP$6,D9=""),"",IF(AND(D9=$AX$27),"",IF(AND(D9=$AX$30),"",IF(AND(E9=""),"",'Master Data'!$I$43)))),"")</f>
        <v>1880</v>
      </c>
      <c r="S9" s="186">
        <f>IFERROR(IF(OR('Master Data'!$I$28='GA55 Check &amp; Edit'!$AP$6),"",IF(D9="","",IF(E9="","",IF(AND(D9=$AX$27),"",IF(AND('Master Data'!$I$30='GA55 Check &amp; Edit'!$AN$5),VLOOKUP(D9,ram,10,0),IF(AND('Master Data'!$I$30='GA55 Check &amp; Edit'!$AN$6,$BF$4=$AO$5),$BD$4,0)))))),"")</f>
        <v>658</v>
      </c>
      <c r="T9" s="186">
        <f>IFERROR(IF(OR('Master Data'!$I$28='GA55 Check &amp; Edit'!$AP$6,D9=""),"",IF(AND(D9=$AX$27),"",IF(AND(E9=""),"",'Master Data'!$K$43))),"")</f>
        <v>0</v>
      </c>
      <c r="U9" s="186">
        <f>IFERROR(IF(OR('Master Data'!$I$28='GA55 Check &amp; Edit'!$AP$6,D9=""),"",IF(AND(D9=$AX$27),"",IF(AND(E9=""),"",'Master Data'!$L$43))),"")</f>
        <v>0</v>
      </c>
      <c r="V9" s="186" t="str">
        <f>IFERROR(IF(D9="","",IF(AND('Master Data'!$I$28='GA55 Check &amp; Edit'!$AP$6),"",IF(AND('Master Data'!$I$24='GA55 Check &amp; Edit'!$AO$6),"0",IF(AND(D9="Bonus",'Master Data'!$I$30='GA55 Check &amp; Edit'!$AN$6),ROUND((M9)*0.75,0),"")))),"")</f>
        <v/>
      </c>
      <c r="W9" s="186">
        <f>IFERROR(IF(D9="","",IF(AND(E9=""),"",IF(AND(D9=$AX$27),"",IF(OR('Master Data'!$I$28='GA55 Check &amp; Edit'!$AP$6,D9=""),"",W8)))),"")</f>
        <v>0</v>
      </c>
      <c r="X9" s="186">
        <f>IFERROR(IF(D9="","",IF(AND(E9=""),"",IF(AND(D9=$AX$27),"",IF(OR('Master Data'!$I$28='GA55 Check &amp; Edit'!$AP$6,D9=""),"",IF('Master Data'!$N$36="NO",0,IF(D9='Master Data'!$N$40,'Master Data'!$G$43,0)))))),"")</f>
        <v>0</v>
      </c>
      <c r="Y9" s="186">
        <f>IFERROR(IF(D9="","",IF(AND(E9=""),"",IF(AND(D9=$AX$27),"",IF(OR('Master Data'!$I$28='GA55 Check &amp; Edit'!$AP$6,D9=""),"",Y8)))),"")</f>
        <v>0</v>
      </c>
      <c r="Z9" s="186">
        <f>IFERROR(IF(OR('Master Data'!$I$28='GA55 Check &amp; Edit'!$AP$6),"",IF(D9="","",IF(E9="","",VLOOKUP(D9,ram,9,0)))),"")</f>
        <v>1500</v>
      </c>
      <c r="AA9" s="186">
        <f>IFERROR(IF(OR('Master Data'!$I$28='GA55 Check &amp; Edit'!$AP$6,D9=""),"",IF(AND(E9=""),"",IF('GA55 Check &amp; Edit'!D9='GA55 Check &amp; Edit'!$AT$9,220,""))),"")</f>
        <v>220</v>
      </c>
      <c r="AB9" s="251">
        <f>IFERROR(IF(D9="","",IF(AND(O9=""),"",IF(AND('Master Data'!$H$18='GA55 Check &amp; Edit'!$AO$5,'Master Data'!$I$30='GA55 Check &amp; Edit'!$AN$6),SUM(P9:AA9)+N9,SUM(P9:AA9)))),"")</f>
        <v>14833</v>
      </c>
      <c r="AC9" s="252">
        <f t="shared" ref="AC9:AC28" si="2">IFERROR(IF(AND(E9="",O9="",AB9=""),"",SUM(O9-AB9)),"")</f>
        <v>48667</v>
      </c>
      <c r="AD9" s="188"/>
      <c r="AE9" s="193"/>
      <c r="AF9" s="37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 t="s">
        <v>10</v>
      </c>
      <c r="AS9" s="58" t="s">
        <v>77</v>
      </c>
      <c r="AT9" s="268">
        <v>44287</v>
      </c>
      <c r="AU9" s="58" t="s">
        <v>79</v>
      </c>
      <c r="AV9" s="58"/>
      <c r="AW9" s="269"/>
      <c r="AX9" s="270"/>
      <c r="AY9" s="270"/>
      <c r="AZ9" s="271">
        <v>44620</v>
      </c>
      <c r="BA9" s="270"/>
      <c r="BB9" s="270"/>
      <c r="BC9" s="270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24581</v>
      </c>
      <c r="BD9" s="270"/>
      <c r="BE9" s="270">
        <f>IFERROR(IF(OR('Master Data'!$E$24='GA55 Check &amp; Edit'!$AQ$6,'Master Data'!$E$24='GA55 Check &amp; Edit'!$AQ$7),"",IF(AND(D14=$AX$27),"",IF(D14="","",IF(E14="","",VLOOKUP(D14,ram,8,0))))),"")</f>
        <v>2179</v>
      </c>
      <c r="BF9" s="270"/>
      <c r="BG9" s="270"/>
      <c r="BH9" s="270"/>
      <c r="BI9" s="272"/>
      <c r="BJ9" s="273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</row>
    <row r="10" spans="1:103" s="33" customFormat="1" ht="21" customHeight="1">
      <c r="A10" s="33">
        <f t="shared" si="0"/>
        <v>1</v>
      </c>
      <c r="B10" s="43">
        <f t="shared" ref="B10:B28" si="3">IF(LEN(D10)&gt;=3,B9+1,0)</f>
        <v>3</v>
      </c>
      <c r="C10" s="44">
        <f t="shared" ref="C10:C11" si="4">IF(B10=0,"",B10)</f>
        <v>3</v>
      </c>
      <c r="D10" s="298">
        <f t="shared" si="1"/>
        <v>44317</v>
      </c>
      <c r="E10" s="182">
        <f>IFERROR(IF(D10="","",IF(AND(BQ14=""),"",IF(AND('Master Data'!$I$28='GA55 Check &amp; Edit'!$AP$6),VLOOKUP(D10,ram,13,0),VLOOKUP(D10,ram,4,0)))),"")</f>
        <v>50800</v>
      </c>
      <c r="F10" s="183">
        <f>IFERROR(IF(D10="","",IF(D10=$AX$24,"",IF(AND(D10=$AX$25),$BC$25,IF(AND(D10=$AX$26),$BC$26,IF(AND(D10=$AX$27),$BC$27,IF(AND(D10=$AX$28),"",IF(AND(D10=$AX$29),"",IF(AND('Master Data'!$I$28='GA55 Check &amp; Edit'!$AP$6),"",VLOOKUP(D10,ram,7,0))))))))),"")</f>
        <v>8636</v>
      </c>
      <c r="G10" s="183">
        <f>IF(AND('Master Data'!$I$28='GA55 Check &amp; Edit'!$AP$6),"",IF(AND(D10=""),"",IF(AND(D10=$AX$27),"",IF(AND(E10=""),"",ROUND('Master Data'!$E$30%*E10,0)))))</f>
        <v>4064</v>
      </c>
      <c r="H10" s="184">
        <f>IFERROR(IF(D10="","",IF(AND(E10=""),"",IF(AND(D10=$AX$27),"",IF(AND('Master Data'!$I$28='GA55 Check &amp; Edit'!$AP$6),"",'Master Data'!$B$43)))),"")</f>
        <v>0</v>
      </c>
      <c r="I10" s="184">
        <f>IFERROR(IF(D10="","",IF(AND(E10=""),"",IF(AND(D10=$AX$27),"",IF(AND('Master Data'!$I$28='GA55 Check &amp; Edit'!$AP$6),"",'Master Data'!$E$28)))),"")</f>
        <v>0</v>
      </c>
      <c r="J10" s="184" t="str">
        <f>IFERROR(IF(OR('Master Data'!$E$32=$AO$6,'Master Data'!$E$32=""),"",IF(D10="","",IF(AND(E10=""),"",IF(AND(D10=$AX$27),"",IF(AND('Master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184">
        <f>IFERROR(IF(D10="","",IF(AND(E10=""),"",IF(AND(D10=$AX$27),"",IF(AND('Master Data'!$I$28='GA55 Check &amp; Edit'!$AP$6),"",'Master Data'!$E$43)))),"")</f>
        <v>0</v>
      </c>
      <c r="L10" s="184">
        <f>IFERROR(IF(D10="","",IF(AND(E10=""),"",IF(AND(D10=$AX$27),"",IF(AND('Master Data'!$I$28='GA55 Check &amp; Edit'!$AP$6),"",'Master Data'!$F$43)))),"")</f>
        <v>0</v>
      </c>
      <c r="M10" s="185" t="str">
        <f>IFERROR(IF(D10="","",IF(AND('Master Data'!$I$28='GA55 Check &amp; Edit'!$AP$6),"",IF(AND('Master Data'!$I$24='GA55 Check &amp; Edit'!$AO$6),"",IF(AND(D10="Bonus"),VLOOKUP(D10,ram,4,0),"")))),"")</f>
        <v/>
      </c>
      <c r="N10" s="184" t="str">
        <f>IFERROR(IF(AND(D10=""),"",IF(AND(D10=$AX$25,'Master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Edit'!$AN$5),"",IF(AND('Master Data'!$I$30='GA55 Check &amp; Edit'!$AN$6,'Master Data'!$I$28='GA55 Check &amp; Edit'!$AP$6),ROUND((E10)*0.1,0),ROUND((E10+F10)*0.1,0))))))),"")</f>
        <v/>
      </c>
      <c r="O10" s="250">
        <f>IF(D10="","",IF('Master Data'!$H$18='GA55 Check &amp; Edit'!$AO$5,SUM(E10:N10),SUM(E10:M10)))</f>
        <v>63500</v>
      </c>
      <c r="P10" s="186">
        <f>IFERROR(IF(OR('Master Data'!$I$28='GA55 Check &amp; Edit'!$AP$6,D10=""),"",IF(AND(D10=$AX$27),"",IF(AND(E10=""),"",VLOOKUP(D10,ram,11,0)))),"")</f>
        <v>7000</v>
      </c>
      <c r="Q10" s="186">
        <f>IFERROR(IF(AND(D10=""),"",IF(AND(D10=$AX$24,'Master Data'!$I$30='GA55 Check &amp; Edit'!$AN$5),ROUND((M10)*0.75,0),IF(AND(D10=$AX$25,'Master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Edit'!$AN$6,'Master Data'!$I$28='GA55 Check &amp; Edit'!$AP$6),ROUND((E10)*0.1,0),IF(AND('Master Data'!$I$30='GA55 Check &amp; Edit'!$AN$6,'Master Data'!$I$28='GA55 Check &amp; Edit'!$AP$5),ROUND((E10+F10)*0.1,0),IF(AND('Master Data'!$I$30='GA55 Check &amp; Edit'!$AN$5,'Master Data'!$I$28='GA55 Check &amp; Edit'!$AP$5),VLOOKUP(D10,ram,12,0))))))))),"")</f>
        <v>3575</v>
      </c>
      <c r="R10" s="186">
        <f>IFERROR(IF(OR('Master Data'!$I$28='GA55 Check &amp; Edit'!$AP$6,D10=""),"",IF(AND(D10=$AX$27),"",IF(AND(D10=$AX$30),"",IF(AND(E10=""),"",'Master Data'!$I$43)))),"")</f>
        <v>1880</v>
      </c>
      <c r="S10" s="186">
        <f>IFERROR(IF(OR('Master Data'!$I$28='GA55 Check &amp; Edit'!$AP$6),"",IF(D10="","",IF(E10="","",IF(AND(D10=$AX$27),"",IF(AND('Master Data'!$I$30='GA55 Check &amp; Edit'!$AN$5),VLOOKUP(D10,ram,10,0),IF(AND('Master Data'!$I$30='GA55 Check &amp; Edit'!$AN$6,$BF$4=$AO$5),$BD$4,0)))))),"")</f>
        <v>658</v>
      </c>
      <c r="T10" s="186">
        <f>IFERROR(IF(OR('Master Data'!$I$28='GA55 Check &amp; Edit'!$AP$6,D10=""),"",IF(AND(D10=$AX$27),"",IF(AND(E10=""),"",'Master Data'!$K$43))),"")</f>
        <v>0</v>
      </c>
      <c r="U10" s="186">
        <f>IFERROR(IF(OR('Master Data'!$I$28='GA55 Check &amp; Edit'!$AP$6,D10=""),"",IF(AND(D10=$AX$27),"",IF(AND(E10=""),"",'Master Data'!$L$43))),"")</f>
        <v>0</v>
      </c>
      <c r="V10" s="186" t="str">
        <f>IFERROR(IF(D10="","",IF(AND('Master Data'!$I$28='GA55 Check &amp; Edit'!$AP$6),"",IF(AND('Master Data'!$I$24='GA55 Check &amp; Edit'!$AO$6),"0",IF(AND(D10="Bonus",'Master Data'!$I$30='GA55 Check &amp; Edit'!$AN$6),ROUND((M10)*0.75,0),"")))),"")</f>
        <v/>
      </c>
      <c r="W10" s="186">
        <f>IFERROR(IF(D10="","",IF(AND(E10=""),"",IF(AND(D10=$AX$27),"",IF(OR('Master Data'!$I$28='GA55 Check &amp; Edit'!$AP$6,D10=""),"",W9)))),"")</f>
        <v>0</v>
      </c>
      <c r="X10" s="186">
        <f>IFERROR(IF(D10="","",IF(AND(E10=""),"",IF(AND(D10=$AX$27),"",IF(OR('Master Data'!$I$28='GA55 Check &amp; Edit'!$AP$6,D10=""),"",IF('Master Data'!$N$36="NO",0,IF(D10='Master Data'!$N$40,'Master Data'!$G$43,0)))))),"")</f>
        <v>0</v>
      </c>
      <c r="Y10" s="186">
        <f>IFERROR(IF(D10="","",IF(AND(E10=""),"",IF(AND(D10=$AX$27),"",IF(OR('Master Data'!$I$28='GA55 Check &amp; Edit'!$AP$6,D10=""),"",Y9)))),"")</f>
        <v>0</v>
      </c>
      <c r="Z10" s="186">
        <f>IFERROR(IF(OR('Master Data'!$I$28='GA55 Check &amp; Edit'!$AP$6),"",IF(D10="","",IF(E10="","",VLOOKUP(D10,ram,9,0)))),"")</f>
        <v>1500</v>
      </c>
      <c r="AA10" s="186" t="str">
        <f>IFERROR(IF(OR('Master Data'!$I$28='GA55 Check &amp; Edit'!$AP$6,D10=""),"",IF(AND(E10=""),"",IF('GA55 Check &amp; Edit'!D10='GA55 Check &amp; Edit'!$AT$9,220,""))),"")</f>
        <v/>
      </c>
      <c r="AB10" s="251">
        <f>IFERROR(IF(D10="","",IF(AND(O10=""),"",IF(AND('Master Data'!$H$18='GA55 Check &amp; Edit'!$AO$5,'Master Data'!$I$30='GA55 Check &amp; Edit'!$AN$6),SUM(P10:AA10)+N10,SUM(P10:AA10)))),"")</f>
        <v>14613</v>
      </c>
      <c r="AC10" s="252">
        <f t="shared" si="2"/>
        <v>48887</v>
      </c>
      <c r="AD10" s="188"/>
      <c r="AE10" s="193"/>
      <c r="AF10" s="37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 t="s">
        <v>14</v>
      </c>
      <c r="AS10" s="58" t="s">
        <v>13</v>
      </c>
      <c r="AT10" s="268">
        <v>44317</v>
      </c>
      <c r="AU10" s="58" t="s">
        <v>80</v>
      </c>
      <c r="AV10" s="58"/>
      <c r="AW10" s="274" t="s">
        <v>3</v>
      </c>
      <c r="AX10" s="275">
        <v>44197</v>
      </c>
      <c r="AY10" s="273"/>
      <c r="AZ10" s="273"/>
      <c r="BA10" s="273">
        <f>IF(AND('Master Data'!$E$36=""),"",'Master Data'!$E$36)</f>
        <v>50800</v>
      </c>
      <c r="BB10" s="273" t="str">
        <f>IF(AND(AX10&lt;$AZ$16),"",IF(AND(AX10&gt;$AZ$17),"",BA10))</f>
        <v/>
      </c>
      <c r="BC10" s="273">
        <f>IF(AND('Master Data'!$E$36=""),"",ROUND(17%*BA10,0))</f>
        <v>8636</v>
      </c>
      <c r="BD10" s="273" t="str">
        <f>IF(BB10="","",BC10)</f>
        <v/>
      </c>
      <c r="BE10" s="273"/>
      <c r="BF10" s="273"/>
      <c r="BG10" s="273">
        <f>IF(AND('Master Data'!$I$28='GA55 Check &amp; Edit'!$AP$6),"",IF(AND('Master Data'!$I$30='GA55 Check &amp; Edit'!$AN$5),IF($AZ$15&lt;18001,265,IF($AZ$15&lt;33501,440,IF($AZ$15&lt;54001,658,875)))))</f>
        <v>658</v>
      </c>
      <c r="BH10" s="273">
        <f>IFERROR(IF(OR('Master Data'!$I$28='GA55 Check &amp; Edit'!$AP$6),"",'Master Data'!$G$43),"")</f>
        <v>7000</v>
      </c>
      <c r="BI10" s="276">
        <f>IFERROR(IF(AND('Master Data'!$I$30='GA55 Check &amp; Edit'!$AN$6),ROUND((E9)*0.1,0),IF(AND('Master Data'!$I$28='GA55 Check &amp; Edit'!$AP$6),ROUND((E9+F9)*0.1,0),'Master Data'!$H$43)),"")</f>
        <v>3575</v>
      </c>
      <c r="BJ10" s="273">
        <f>BA10</f>
        <v>50800</v>
      </c>
      <c r="BK10" s="58"/>
      <c r="BL10" s="58">
        <f>MONTH(AZ17)</f>
        <v>2</v>
      </c>
      <c r="BM10" s="58"/>
      <c r="BN10" s="58"/>
      <c r="BO10" s="58"/>
      <c r="BP10" s="58"/>
      <c r="BQ10" s="58"/>
      <c r="BR10" s="58"/>
      <c r="BS10" s="277">
        <f>D8</f>
        <v>44256</v>
      </c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</row>
    <row r="11" spans="1:103" s="33" customFormat="1" ht="21" customHeight="1">
      <c r="A11" s="33">
        <f t="shared" si="0"/>
        <v>0</v>
      </c>
      <c r="B11" s="43">
        <f t="shared" si="3"/>
        <v>4</v>
      </c>
      <c r="C11" s="44">
        <f t="shared" si="4"/>
        <v>4</v>
      </c>
      <c r="D11" s="298">
        <f t="shared" si="1"/>
        <v>44348</v>
      </c>
      <c r="E11" s="182">
        <f>IFERROR(IF(D11="","",IF(AND(BQ15=""),"",IF(AND('Master Data'!$I$28='GA55 Check &amp; Edit'!$AP$6),VLOOKUP(D11,ram,13,0),VLOOKUP(D11,ram,4,0)))),"")</f>
        <v>50800</v>
      </c>
      <c r="F11" s="183">
        <f>IFERROR(IF(D11="","",IF(D11=$AX$24,"",IF(AND(D11=$AX$25),$BC$25,IF(AND(D11=$AX$26),$BC$26,IF(AND(D11=$AX$27),$BC$27,IF(AND(D11=$AX$28),"",IF(AND(D11=$AX$29),"",IF(AND('Master Data'!$I$28='GA55 Check &amp; Edit'!$AP$6),"",VLOOKUP(D11,ram,7,0))))))))),"")</f>
        <v>8636</v>
      </c>
      <c r="G11" s="183">
        <f>IF(AND('Master Data'!$I$28='GA55 Check &amp; Edit'!$AP$6),"",IF(AND(D11=""),"",IF(AND(D11=$AX$27),"",IF(AND(E11=""),"",ROUND('Master Data'!$E$30%*E11,0)))))</f>
        <v>4064</v>
      </c>
      <c r="H11" s="184">
        <f>IFERROR(IF(D11="","",IF(AND(E11=""),"",IF(AND(D11=$AX$27),"",IF(AND('Master Data'!$I$28='GA55 Check &amp; Edit'!$AP$6),"",'Master Data'!$B$43)))),"")</f>
        <v>0</v>
      </c>
      <c r="I11" s="184">
        <f>IFERROR(IF(D11="","",IF(AND(E11=""),"",IF(AND(D11=$AX$27),"",IF(AND('Master Data'!$I$28='GA55 Check &amp; Edit'!$AP$6),"",'Master Data'!$E$28)))),"")</f>
        <v>0</v>
      </c>
      <c r="J11" s="184" t="str">
        <f>IFERROR(IF(OR('Master Data'!$E$32=$AO$6,'Master Data'!$E$32=""),"",IF(D11="","",IF(AND(E11=""),"",IF(AND(D11=$AX$27),"",IF(AND('Master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184">
        <f>IFERROR(IF(D11="","",IF(AND(E11=""),"",IF(AND(D11=$AX$27),"",IF(AND('Master Data'!$I$28='GA55 Check &amp; Edit'!$AP$6),"",'Master Data'!$E$43)))),"")</f>
        <v>0</v>
      </c>
      <c r="L11" s="184">
        <f>IFERROR(IF(D11="","",IF(AND(E11=""),"",IF(AND(D11=$AX$27),"",IF(AND('Master Data'!$I$28='GA55 Check &amp; Edit'!$AP$6),"",'Master Data'!$F$43)))),"")</f>
        <v>0</v>
      </c>
      <c r="M11" s="185" t="str">
        <f>IFERROR(IF(D11="","",IF(AND('Master Data'!$I$28='GA55 Check &amp; Edit'!$AP$6),"",IF(AND('Master Data'!$I$24='GA55 Check &amp; Edit'!$AO$6),"",IF(AND(D11="Bonus"),VLOOKUP(D11,ram,4,0),"")))),"")</f>
        <v/>
      </c>
      <c r="N11" s="184" t="str">
        <f>IFERROR(IF(AND(D11=""),"",IF(AND(D11=$AX$25,'Master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Edit'!$AN$5),"",IF(AND('Master Data'!$I$30='GA55 Check &amp; Edit'!$AN$6,'Master Data'!$I$28='GA55 Check &amp; Edit'!$AP$6),ROUND((E11)*0.1,0),ROUND((E11+F11)*0.1,0))))))),"")</f>
        <v/>
      </c>
      <c r="O11" s="250">
        <f>IF(D11="","",IF('Master Data'!$H$18='GA55 Check &amp; Edit'!$AO$5,SUM(E11:N11),SUM(E11:M11)))</f>
        <v>63500</v>
      </c>
      <c r="P11" s="186">
        <f>IFERROR(IF(OR('Master Data'!$I$28='GA55 Check &amp; Edit'!$AP$6,D11=""),"",IF(AND(D11=$AX$27),"",IF(AND(E11=""),"",VLOOKUP(D11,ram,11,0)))),"")</f>
        <v>7000</v>
      </c>
      <c r="Q11" s="186">
        <f>IFERROR(IF(AND(D11=""),"",IF(AND(D11=$AX$24,'Master Data'!$I$30='GA55 Check &amp; Edit'!$AN$5),ROUND((M11)*0.75,0),IF(AND(D11=$AX$25,'Master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Edit'!$AN$6,'Master Data'!$I$28='GA55 Check &amp; Edit'!$AP$6),ROUND((E11)*0.1,0),IF(AND('Master Data'!$I$30='GA55 Check &amp; Edit'!$AN$6,'Master Data'!$I$28='GA55 Check &amp; Edit'!$AP$5),ROUND((E11+F11)*0.1,0),IF(AND('Master Data'!$I$30='GA55 Check &amp; Edit'!$AN$5,'Master Data'!$I$28='GA55 Check &amp; Edit'!$AP$5),VLOOKUP(D11,ram,12,0))))))))),"")</f>
        <v>3575</v>
      </c>
      <c r="R11" s="186">
        <f>IFERROR(IF(OR('Master Data'!$I$28='GA55 Check &amp; Edit'!$AP$6,D11=""),"",IF(AND(D11=$AX$27),"",IF(AND(D11=$AX$30),"",IF(AND(E11=""),"",'Master Data'!$I$43)))),"")</f>
        <v>1880</v>
      </c>
      <c r="S11" s="186">
        <f>IFERROR(IF(OR('Master Data'!$I$28='GA55 Check &amp; Edit'!$AP$6),"",IF(D11="","",IF(E11="","",IF(AND(D11=$AX$27),"",IF(AND('Master Data'!$I$30='GA55 Check &amp; Edit'!$AN$5),VLOOKUP(D11,ram,10,0),IF(AND('Master Data'!$I$30='GA55 Check &amp; Edit'!$AN$6,$BF$4=$AO$5),$BD$4,0)))))),"")</f>
        <v>658</v>
      </c>
      <c r="T11" s="186">
        <f>IFERROR(IF(OR('Master Data'!$I$28='GA55 Check &amp; Edit'!$AP$6,D11=""),"",IF(AND(D11=$AX$27),"",IF(AND(E11=""),"",'Master Data'!$K$43))),"")</f>
        <v>0</v>
      </c>
      <c r="U11" s="186">
        <f>IFERROR(IF(OR('Master Data'!$I$28='GA55 Check &amp; Edit'!$AP$6,D11=""),"",IF(AND(D11=$AX$27),"",IF(AND(E11=""),"",'Master Data'!$L$43))),"")</f>
        <v>0</v>
      </c>
      <c r="V11" s="186" t="str">
        <f>IFERROR(IF(D11="","",IF(AND('Master Data'!$I$28='GA55 Check &amp; Edit'!$AP$6),"",IF(AND('Master Data'!$I$24='GA55 Check &amp; Edit'!$AO$6),"0",IF(AND(D11="Bonus",'Master Data'!$I$30='GA55 Check &amp; Edit'!$AN$6),ROUND((M11)*0.75,0),"")))),"")</f>
        <v/>
      </c>
      <c r="W11" s="186">
        <f>IFERROR(IF(D11="","",IF(AND(E11=""),"",IF(AND(D11=$AX$27),"",IF(OR('Master Data'!$I$28='GA55 Check &amp; Edit'!$AP$6,D11=""),"",W10)))),"")</f>
        <v>0</v>
      </c>
      <c r="X11" s="186">
        <f>IFERROR(IF(D11="","",IF(AND(E11=""),"",IF(AND(D11=$AX$27),"",IF(OR('Master Data'!$I$28='GA55 Check &amp; Edit'!$AP$6,D11=""),"",IF('Master Data'!$N$36="NO",0,IF(D11='Master Data'!$N$40,'Master Data'!$G$43,0)))))),"")</f>
        <v>0</v>
      </c>
      <c r="Y11" s="186">
        <f>IFERROR(IF(D11="","",IF(AND(E11=""),"",IF(AND(D11=$AX$27),"",IF(OR('Master Data'!$I$28='GA55 Check &amp; Edit'!$AP$6,D11=""),"",Y10)))),"")</f>
        <v>0</v>
      </c>
      <c r="Z11" s="186">
        <f>IFERROR(IF(OR('Master Data'!$I$28='GA55 Check &amp; Edit'!$AP$6),"",IF(D11="","",IF(E11="","",VLOOKUP(D11,ram,9,0)))),"")</f>
        <v>1500</v>
      </c>
      <c r="AA11" s="186" t="str">
        <f>IFERROR(IF(OR('Master Data'!$I$28='GA55 Check &amp; Edit'!$AP$6,D11=""),"",IF(AND(E11=""),"",IF('GA55 Check &amp; Edit'!D11='GA55 Check &amp; Edit'!$AT$9,220,""))),"")</f>
        <v/>
      </c>
      <c r="AB11" s="251">
        <f>IFERROR(IF(D11="","",IF(AND(O11=""),"",IF(AND('Master Data'!$H$18='GA55 Check &amp; Edit'!$AO$5,'Master Data'!$I$30='GA55 Check &amp; Edit'!$AN$6),SUM(P11:AA11)+N11,SUM(P11:AA11)))),"")</f>
        <v>14613</v>
      </c>
      <c r="AC11" s="252">
        <f t="shared" si="2"/>
        <v>48887</v>
      </c>
      <c r="AD11" s="188"/>
      <c r="AE11" s="193"/>
      <c r="AF11" s="37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 t="s">
        <v>16</v>
      </c>
      <c r="AS11" s="58" t="s">
        <v>15</v>
      </c>
      <c r="AT11" s="268">
        <v>44348</v>
      </c>
      <c r="AU11" s="58" t="s">
        <v>81</v>
      </c>
      <c r="AV11" s="58"/>
      <c r="AW11" s="274" t="s">
        <v>77</v>
      </c>
      <c r="AX11" s="275">
        <v>44228</v>
      </c>
      <c r="AY11" s="273"/>
      <c r="AZ11" s="278"/>
      <c r="BA11" s="273">
        <f>IF(AND('Master Data'!$E$36=""),"",'Master Data'!$E$36)</f>
        <v>50800</v>
      </c>
      <c r="BB11" s="273" t="str">
        <f>IF(AND(AX11&lt;$AZ$16),"",IF(AND(AX11&gt;$AZ$17),"",BA11))</f>
        <v/>
      </c>
      <c r="BC11" s="273">
        <f>IF(AND('Master Data'!$E$36=""),"",ROUND(17%*BA11,0))</f>
        <v>8636</v>
      </c>
      <c r="BD11" s="273" t="str">
        <f>IF(BB11="","",BC11)</f>
        <v/>
      </c>
      <c r="BE11" s="273"/>
      <c r="BF11" s="273"/>
      <c r="BG11" s="273">
        <f>IF(AND('Master Data'!$I$28='GA55 Check &amp; Edit'!$AP$6),"",IF(AND('Master Data'!$I$30='GA55 Check &amp; Edit'!$AN$5),IF($AZ$15&lt;18001,265,IF($AZ$15&lt;33501,440,IF($AZ$15&lt;54001,658,875)))))</f>
        <v>658</v>
      </c>
      <c r="BH11" s="273">
        <f>IFERROR(IF(OR('Master Data'!$I$28='GA55 Check &amp; Edit'!$AP$6),"",'Master Data'!$G$43),"")</f>
        <v>7000</v>
      </c>
      <c r="BI11" s="276">
        <f>IFERROR(IF(AND('Master Data'!$I$30='GA55 Check &amp; Edit'!$AN$6),ROUND((E9)*0.1,0),IF(AND('Master Data'!$I$28='GA55 Check &amp; Edit'!$AP$6),ROUND((E9+F9)*0.1,0),'Master Data'!$H$43)),"")</f>
        <v>3575</v>
      </c>
      <c r="BJ11" s="273">
        <f>BA11</f>
        <v>50800</v>
      </c>
      <c r="BK11" s="58"/>
      <c r="BL11" s="58"/>
      <c r="BM11" s="58"/>
      <c r="BN11" s="58"/>
      <c r="BO11" s="58"/>
      <c r="BP11" s="279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</row>
    <row r="12" spans="1:103" s="33" customFormat="1" ht="21" customHeight="1">
      <c r="A12" s="33">
        <f t="shared" si="0"/>
        <v>1</v>
      </c>
      <c r="B12" s="43">
        <f>IF(LEN(D12)&gt;=3,B11+1,0)</f>
        <v>5</v>
      </c>
      <c r="C12" s="44">
        <f>IF(B12=0,"",B12)</f>
        <v>5</v>
      </c>
      <c r="D12" s="298">
        <f t="shared" si="1"/>
        <v>44378</v>
      </c>
      <c r="E12" s="182">
        <f>IFERROR(IF(D12="","",IF(AND(BQ16=""),"",IF(AND('Master Data'!$I$28='GA55 Check &amp; Edit'!$AP$6),VLOOKUP(D12,ram,13,0),VLOOKUP(D12,ram,4,0)))),"")</f>
        <v>52300</v>
      </c>
      <c r="F12" s="183">
        <f>IFERROR(IF(D12="","",IF(D12=$AX$24,"",IF(AND(D12=$AX$25),$BC$25,IF(AND(D12=$AX$26),$BC$26,IF(AND(D12=$AX$27),$BC$27,IF(AND(D12=$AX$28),"",IF(AND(D12=$AX$29),"",IF(AND('Master Data'!$I$28='GA55 Check &amp; Edit'!$AP$6),"",VLOOKUP(D12,ram,7,0))))))))),"")</f>
        <v>14644</v>
      </c>
      <c r="G12" s="183">
        <f>IF(AND('Master Data'!$I$28='GA55 Check &amp; Edit'!$AP$6),"",IF(AND(D12=""),"",IF(AND(D12=$AX$27),"",IF(AND(E12=""),"",ROUND('Master Data'!$E$30%*E12,0)))))</f>
        <v>4184</v>
      </c>
      <c r="H12" s="184">
        <f>IFERROR(IF(D12="","",IF(AND(E12=""),"",IF(AND(D12=$AX$27),"",IF(AND('Master Data'!$I$28='GA55 Check &amp; Edit'!$AP$6),"",'Master Data'!$B$43)))),"")</f>
        <v>0</v>
      </c>
      <c r="I12" s="184">
        <f>IFERROR(IF(D12="","",IF(AND(E12=""),"",IF(AND(D12=$AX$27),"",IF(AND('Master Data'!$I$28='GA55 Check &amp; Edit'!$AP$6),"",'Master Data'!$E$28)))),"")</f>
        <v>0</v>
      </c>
      <c r="J12" s="184" t="str">
        <f>IFERROR(IF(OR('Master Data'!$E$32=$AO$6,'Master Data'!$E$32=""),"",IF(D12="","",IF(AND(E12=""),"",IF(AND(D12=$AX$27),"",IF(AND('Master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184">
        <f>IFERROR(IF(D12="","",IF(AND(E12=""),"",IF(AND(D12=$AX$27),"",IF(AND('Master Data'!$I$28='GA55 Check &amp; Edit'!$AP$6),"",'Master Data'!$E$43)))),"")</f>
        <v>0</v>
      </c>
      <c r="L12" s="184">
        <f>IFERROR(IF(D12="","",IF(AND(E12=""),"",IF(AND(D12=$AX$27),"",IF(AND('Master Data'!$I$28='GA55 Check &amp; Edit'!$AP$6),"",'Master Data'!$F$43)))),"")</f>
        <v>0</v>
      </c>
      <c r="M12" s="185" t="str">
        <f>IFERROR(IF(D12="","",IF(AND('Master Data'!$I$28='GA55 Check &amp; Edit'!$AP$6),"",IF(AND('Master Data'!$I$24='GA55 Check &amp; Edit'!$AO$6),"",IF(AND(D12="Bonus"),VLOOKUP(D12,ram,4,0),"")))),"")</f>
        <v/>
      </c>
      <c r="N12" s="184" t="str">
        <f>IFERROR(IF(AND(D12=""),"",IF(AND(D12=$AX$25,'Master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Edit'!$AN$5),"",IF(AND('Master Data'!$I$30='GA55 Check &amp; Edit'!$AN$6,'Master Data'!$I$28='GA55 Check &amp; Edit'!$AP$6),ROUND((E12)*0.1,0),ROUND((E12+F12)*0.1,0))))))),"")</f>
        <v/>
      </c>
      <c r="O12" s="250">
        <f>IF(D12="","",IF('Master Data'!$H$18='GA55 Check &amp; Edit'!$AO$5,SUM(E12:N12),SUM(E12:M12)))</f>
        <v>71128</v>
      </c>
      <c r="P12" s="186">
        <f>IFERROR(IF(OR('Master Data'!$I$28='GA55 Check &amp; Edit'!$AP$6,D12=""),"",IF(AND(D12=$AX$27),"",IF(AND(E12=""),"",VLOOKUP(D12,ram,11,0)))),"")</f>
        <v>7000</v>
      </c>
      <c r="Q12" s="186">
        <f>IFERROR(IF(AND(D12=""),"",IF(AND(D12=$AX$24,'Master Data'!$I$30='GA55 Check &amp; Edit'!$AN$5),ROUND((M12)*0.75,0),IF(AND(D12=$AX$25,'Master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Edit'!$AN$6,'Master Data'!$I$28='GA55 Check &amp; Edit'!$AP$6),ROUND((E12)*0.1,0),IF(AND('Master Data'!$I$30='GA55 Check &amp; Edit'!$AN$6,'Master Data'!$I$28='GA55 Check &amp; Edit'!$AP$5),ROUND((E12+F12)*0.1,0),IF(AND('Master Data'!$I$30='GA55 Check &amp; Edit'!$AN$5,'Master Data'!$I$28='GA55 Check &amp; Edit'!$AP$5),VLOOKUP(D12,ram,12,0))))))))),"")</f>
        <v>3575</v>
      </c>
      <c r="R12" s="186">
        <f>IFERROR(IF(OR('Master Data'!$I$28='GA55 Check &amp; Edit'!$AP$6,D12=""),"",IF(AND(D12=$AX$27),"",IF(AND(D12=$AX$30),"",IF(AND(E12=""),"",'Master Data'!$I$43)))),"")</f>
        <v>1880</v>
      </c>
      <c r="S12" s="186">
        <f>IFERROR(IF(OR('Master Data'!$I$28='GA55 Check &amp; Edit'!$AP$6),"",IF(D12="","",IF(E12="","",IF(AND(D12=$AX$27),"",IF(AND('Master Data'!$I$30='GA55 Check &amp; Edit'!$AN$5),VLOOKUP(D12,ram,10,0),IF(AND('Master Data'!$I$30='GA55 Check &amp; Edit'!$AN$6,$BF$4=$AO$5),$BD$4,0)))))),"")</f>
        <v>658</v>
      </c>
      <c r="T12" s="186">
        <f>IFERROR(IF(OR('Master Data'!$I$28='GA55 Check &amp; Edit'!$AP$6,D12=""),"",IF(AND(D12=$AX$27),"",IF(AND(E12=""),"",'Master Data'!$K$43))),"")</f>
        <v>0</v>
      </c>
      <c r="U12" s="186">
        <f>IFERROR(IF(OR('Master Data'!$I$28='GA55 Check &amp; Edit'!$AP$6,D12=""),"",IF(AND(D12=$AX$27),"",IF(AND(E12=""),"",'Master Data'!$L$43))),"")</f>
        <v>0</v>
      </c>
      <c r="V12" s="186" t="str">
        <f>IFERROR(IF(D12="","",IF(AND('Master Data'!$I$28='GA55 Check &amp; Edit'!$AP$6),"",IF(AND('Master Data'!$I$24='GA55 Check &amp; Edit'!$AO$6),"0",IF(AND(D12="Bonus",'Master Data'!$I$30='GA55 Check &amp; Edit'!$AN$6),ROUND((M12)*0.75,0),"")))),"")</f>
        <v/>
      </c>
      <c r="W12" s="186">
        <f>IFERROR(IF(D12="","",IF(AND(E12=""),"",IF(AND(D12=$AX$27),"",IF(OR('Master Data'!$I$28='GA55 Check &amp; Edit'!$AP$6,D12=""),"",W11)))),"")</f>
        <v>0</v>
      </c>
      <c r="X12" s="186">
        <f>IFERROR(IF(D12="","",IF(AND(E12=""),"",IF(AND(D12=$AX$27),"",IF(OR('Master Data'!$I$28='GA55 Check &amp; Edit'!$AP$6,D12=""),"",IF('Master Data'!$N$36="NO",0,IF(D12='Master Data'!$N$40,'Master Data'!$G$43,0)))))),"")</f>
        <v>0</v>
      </c>
      <c r="Y12" s="186">
        <f>IFERROR(IF(D12="","",IF(AND(E12=""),"",IF(AND(D12=$AX$27),"",IF(OR('Master Data'!$I$28='GA55 Check &amp; Edit'!$AP$6,D12=""),"",Y11)))),"")</f>
        <v>0</v>
      </c>
      <c r="Z12" s="186">
        <f>IFERROR(IF(OR('Master Data'!$I$28='GA55 Check &amp; Edit'!$AP$6),"",IF(D12="","",IF(E12="","",VLOOKUP(D12,ram,9,0)))),"")</f>
        <v>1500</v>
      </c>
      <c r="AA12" s="186" t="str">
        <f>IFERROR(IF(OR('Master Data'!$I$28='GA55 Check &amp; Edit'!$AP$6,D12=""),"",IF(AND(E12=""),"",IF('GA55 Check &amp; Edit'!D12='GA55 Check &amp; Edit'!$AT$9,220,""))),"")</f>
        <v/>
      </c>
      <c r="AB12" s="251">
        <f>IFERROR(IF(D12="","",IF(AND(O12=""),"",IF(AND('Master Data'!$H$18='GA55 Check &amp; Edit'!$AO$5,'Master Data'!$I$30='GA55 Check &amp; Edit'!$AN$6),SUM(P12:AA12)+N12,SUM(P12:AA12)))),"")</f>
        <v>14613</v>
      </c>
      <c r="AC12" s="252">
        <f t="shared" si="2"/>
        <v>56515</v>
      </c>
      <c r="AD12" s="188"/>
      <c r="AE12" s="193"/>
      <c r="AF12" s="37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 t="s">
        <v>18</v>
      </c>
      <c r="AS12" s="58" t="s">
        <v>17</v>
      </c>
      <c r="AT12" s="268">
        <v>44378</v>
      </c>
      <c r="AU12" s="58" t="s">
        <v>82</v>
      </c>
      <c r="AV12" s="58"/>
      <c r="AW12" s="274" t="s">
        <v>13</v>
      </c>
      <c r="AX12" s="275">
        <v>44256</v>
      </c>
      <c r="AY12" s="273">
        <v>3</v>
      </c>
      <c r="AZ12" s="273"/>
      <c r="BA12" s="280">
        <f>IF(AND('Master Data'!$E$36=""),"",IF('Master Data'!N36='GA55 Check &amp; Edit'!AO5,BC9,'Master Data'!E36))</f>
        <v>50800</v>
      </c>
      <c r="BB12" s="273">
        <f>IF(AND(AX12&lt;$AZ$16),"",IF(AND(AX12&gt;$AZ$17),"",BA12))</f>
        <v>50800</v>
      </c>
      <c r="BC12" s="273">
        <f>IF(AND('Master Data'!$E$36=""),"",ROUND(17%*BA12,0))</f>
        <v>8636</v>
      </c>
      <c r="BD12" s="273">
        <f>IF(BB12="","",BC12)</f>
        <v>8636</v>
      </c>
      <c r="BE12" s="281">
        <f>IFERROR(IF(OR('Master Data'!I34&gt;11,'Master Data'!E34=AO5),ROUND('Master Data'!$E$36/31*5,0),IF(AND('Master Data'!I34&gt;=10,'Master Data'!E34=AO6),ROUND('Master Data'!$E$36/31*3,0),IF(AND('Master Data'!I34&gt;4,'Master Data'!D18=AO5),ROUND('Master Data'!$E$36/31*2,0),"0"))),"")</f>
        <v>4916</v>
      </c>
      <c r="BF12" s="280">
        <f>'Master Data'!B47</f>
        <v>0</v>
      </c>
      <c r="BG12" s="280">
        <f>IFERROR(IF(AND('Master Data'!$I$28='GA55 Check &amp; Edit'!$AP$6),"",IF(AND('Master Data'!$I$30='GA55 Check &amp; Edit'!$AN$5),IF($AZ$15&lt;18001,265,IF($AZ$15&lt;33501,440,IF($AZ$15&lt;54001,658,875))))),"")</f>
        <v>658</v>
      </c>
      <c r="BH12" s="280">
        <f>IF(AND('Master Data'!$E$36=""),"",IF('Master Data'!N36='GA55 Check &amp; Edit'!AO5,"0",'Master Data'!$G$43))</f>
        <v>7000</v>
      </c>
      <c r="BI12" s="282">
        <f>IF(AND('Master Data'!$E$36=""),"",IF('Master Data'!N36='GA55 Check &amp; Edit'!AO5,"0",'Master Data'!$H$43))</f>
        <v>3575</v>
      </c>
      <c r="BJ12" s="280">
        <f>BA12</f>
        <v>50800</v>
      </c>
      <c r="BK12" s="283">
        <v>44256</v>
      </c>
      <c r="BL12" s="283">
        <f>IFERROR(IF('Master Data'!$E$36="","",IF('Master Data'!$F$40="","",IF(AND($AZ$17&gt;$AZ$9),"",DATE(YEAR(AZ16),MONTH(AZ16),DAY(AZ16))))),"")</f>
        <v>44256</v>
      </c>
      <c r="BM12" s="284">
        <f>IFERROR(IF('Master Data'!$E$36="","",IF('Master Data'!$F$40="","",IF(AND($AZ$17&gt;$AZ$9),"",DATE(YEAR(AZ16),MONTH(AZ16),DAY(AZ16))))),"")</f>
        <v>44256</v>
      </c>
      <c r="BN12" s="284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""))))))))))))))))))))</f>
        <v>44256</v>
      </c>
      <c r="BO12" s="284">
        <f>IFERROR(IF(AND(BL12=$BK$24),$BM$24,IF(AND(BL12=$BK$25),$BM$25,IF(AND(BL12=$BK$26),$BM$26,IF(AND(BL12=$BK$27),$BM$27,IF(AND(BL12=$BK$28),$BM$28,IF(AND(BL12=$BK$29),$BM$29,IF(AND(BL12=$BK$30),$BM$30,BN12))))))),"")</f>
        <v>44256</v>
      </c>
      <c r="BP12" s="284"/>
      <c r="BQ12" s="284">
        <f>IFERROR(IF(BM12="","",IF(D8=$AX$27,$AX$27,IF(BM12&gt;$AZ$17,"",BM12))),"")</f>
        <v>44256</v>
      </c>
      <c r="BR12" s="284"/>
      <c r="BS12" s="285">
        <f ca="1">OFFSET(D6,MATCH(BO12,$D$8:$D$27,0)+1,MATCH(BO12,D8:N8,0))</f>
        <v>50800</v>
      </c>
      <c r="BT12" s="285"/>
      <c r="BU12" s="285"/>
      <c r="BV12" s="284"/>
      <c r="BW12" s="58"/>
      <c r="BX12" s="285">
        <f>IF(BB12="",0,BF12)</f>
        <v>0</v>
      </c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</row>
    <row r="13" spans="1:103" s="33" customFormat="1" ht="21" customHeight="1">
      <c r="A13" s="33">
        <f t="shared" si="0"/>
        <v>0</v>
      </c>
      <c r="B13" s="43">
        <f>IF(LEN(D13)&gt;=3,B12+1,0)</f>
        <v>6</v>
      </c>
      <c r="C13" s="44">
        <f t="shared" ref="C13:C28" si="5">IF(B13=0,"",B13)</f>
        <v>6</v>
      </c>
      <c r="D13" s="298">
        <f t="shared" si="1"/>
        <v>44409</v>
      </c>
      <c r="E13" s="182">
        <f>IFERROR(IF(D13="","",IF(AND(BQ17=""),"",IF(AND('Master Data'!$I$28='GA55 Check &amp; Edit'!$AP$6),VLOOKUP(D13,ram,13,0),VLOOKUP(D13,ram,4,0)))),"")</f>
        <v>52300</v>
      </c>
      <c r="F13" s="183">
        <f>IFERROR(IF(D13="","",IF(D13=$AX$24,"",IF(AND(D13=$AX$25),$BC$25,IF(AND(D13=$AX$26),$BC$26,IF(AND(D13=$AX$27),$BC$27,IF(AND(D13=$AX$28),"",IF(AND(D13=$AX$29),"",IF(AND('Master Data'!$I$28='GA55 Check &amp; Edit'!$AP$6),"",VLOOKUP(D13,ram,7,0))))))))),"")</f>
        <v>14644</v>
      </c>
      <c r="G13" s="183">
        <f>IF(AND('Master Data'!$I$28='GA55 Check &amp; Edit'!$AP$6),"",IF(AND(D13=""),"",IF(AND(D13=$AX$27),"",IF(AND(E13=""),"",ROUND('Master Data'!$E$30%*E13,0)))))</f>
        <v>4184</v>
      </c>
      <c r="H13" s="184">
        <f>IFERROR(IF(D13="","",IF(AND(E13=""),"",IF(AND(D13=$AX$27),"",IF(AND('Master Data'!$I$28='GA55 Check &amp; Edit'!$AP$6),"",'Master Data'!$B$43)))),"")</f>
        <v>0</v>
      </c>
      <c r="I13" s="184">
        <f>IFERROR(IF(D13="","",IF(AND(E13=""),"",IF(AND(D13=$AX$27),"",IF(AND('Master Data'!$I$28='GA55 Check &amp; Edit'!$AP$6),"",'Master Data'!$E$28)))),"")</f>
        <v>0</v>
      </c>
      <c r="J13" s="184" t="str">
        <f>IFERROR(IF(OR('Master Data'!$E$32=$AO$6,'Master Data'!$E$32=""),"",IF(D13="","",IF(AND(E13=""),"",IF(AND(D13=$AX$27),"",IF(AND('Master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184">
        <f>IFERROR(IF(D13="","",IF(AND(E13=""),"",IF(AND(D13=$AX$27),"",IF(AND('Master Data'!$I$28='GA55 Check &amp; Edit'!$AP$6),"",'Master Data'!$E$43)))),"")</f>
        <v>0</v>
      </c>
      <c r="L13" s="184">
        <f>IFERROR(IF(D13="","",IF(AND(E13=""),"",IF(AND(D13=$AX$27),"",IF(AND('Master Data'!$I$28='GA55 Check &amp; Edit'!$AP$6),"",'Master Data'!$F$43)))),"")</f>
        <v>0</v>
      </c>
      <c r="M13" s="185" t="str">
        <f>IFERROR(IF(D13="","",IF(AND('Master Data'!$I$28='GA55 Check &amp; Edit'!$AP$6),"",IF(AND('Master Data'!$I$24='GA55 Check &amp; Edit'!$AO$6),"",IF(AND(D13="Bonus"),VLOOKUP(D13,ram,4,0),"")))),"")</f>
        <v/>
      </c>
      <c r="N13" s="184" t="str">
        <f>IFERROR(IF(AND(D13=""),"",IF(AND(D13=$AX$25,'Master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Edit'!$AN$5),"",IF(AND('Master Data'!$I$30='GA55 Check &amp; Edit'!$AN$6,'Master Data'!$I$28='GA55 Check &amp; Edit'!$AP$6),ROUND((E13)*0.1,0),ROUND((E13+F13)*0.1,0))))))),"")</f>
        <v/>
      </c>
      <c r="O13" s="250">
        <f>IF(D13="","",IF('Master Data'!$H$18='GA55 Check &amp; Edit'!$AO$5,SUM(E13:N13),SUM(E13:M13)))</f>
        <v>71128</v>
      </c>
      <c r="P13" s="186">
        <f>IFERROR(IF(OR('Master Data'!$I$28='GA55 Check &amp; Edit'!$AP$6,D13=""),"",IF(AND(D13=$AX$27),"",IF(AND(E13=""),"",VLOOKUP(D13,ram,11,0)))),"")</f>
        <v>7000</v>
      </c>
      <c r="Q13" s="186">
        <f>IFERROR(IF(AND(D13=""),"",IF(AND(D13=$AX$24,'Master Data'!$I$30='GA55 Check &amp; Edit'!$AN$5),ROUND((M13)*0.75,0),IF(AND(D13=$AX$25,'Master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Edit'!$AN$6,'Master Data'!$I$28='GA55 Check &amp; Edit'!$AP$6),ROUND((E13)*0.1,0),IF(AND('Master Data'!$I$30='GA55 Check &amp; Edit'!$AN$6,'Master Data'!$I$28='GA55 Check &amp; Edit'!$AP$5),ROUND((E13+F13)*0.1,0),IF(AND('Master Data'!$I$30='GA55 Check &amp; Edit'!$AN$5,'Master Data'!$I$28='GA55 Check &amp; Edit'!$AP$5),VLOOKUP(D13,ram,12,0))))))))),"")</f>
        <v>3575</v>
      </c>
      <c r="R13" s="186">
        <f>IFERROR(IF(OR('Master Data'!$I$28='GA55 Check &amp; Edit'!$AP$6,D13=""),"",IF(AND(D13=$AX$27),"",IF(AND(D13=$AX$30),"",IF(AND(E13=""),"",'Master Data'!$I$43)))),"")</f>
        <v>1880</v>
      </c>
      <c r="S13" s="186">
        <f>IFERROR(IF(OR('Master Data'!$I$28='GA55 Check &amp; Edit'!$AP$6),"",IF(D13="","",IF(E13="","",IF(AND(D13=$AX$27),"",IF(AND('Master Data'!$I$30='GA55 Check &amp; Edit'!$AN$5),VLOOKUP(D13,ram,10,0),IF(AND('Master Data'!$I$30='GA55 Check &amp; Edit'!$AN$6,$BF$4=$AO$5),$BD$4,0)))))),"")</f>
        <v>658</v>
      </c>
      <c r="T13" s="186">
        <f>IFERROR(IF(OR('Master Data'!$I$28='GA55 Check &amp; Edit'!$AP$6,D13=""),"",IF(AND(D13=$AX$27),"",IF(AND(E13=""),"",'Master Data'!$K$43))),"")</f>
        <v>0</v>
      </c>
      <c r="U13" s="186">
        <f>IFERROR(IF(OR('Master Data'!$I$28='GA55 Check &amp; Edit'!$AP$6,D13=""),"",IF(AND(D13=$AX$27),"",IF(AND(E13=""),"",'Master Data'!$L$43))),"")</f>
        <v>0</v>
      </c>
      <c r="V13" s="186" t="str">
        <f>IFERROR(IF(D13="","",IF(AND('Master Data'!$I$28='GA55 Check &amp; Edit'!$AP$6),"",IF(AND('Master Data'!$I$24='GA55 Check &amp; Edit'!$AO$6),"0",IF(AND(D13="Bonus",'Master Data'!$I$30='GA55 Check &amp; Edit'!$AN$6),ROUND((M13)*0.75,0),"")))),"")</f>
        <v/>
      </c>
      <c r="W13" s="186">
        <f>IFERROR(IF(D13="","",IF(AND(E13=""),"",IF(AND(D13=$AX$27),"",IF(OR('Master Data'!$I$28='GA55 Check &amp; Edit'!$AP$6,D13=""),"",W12)))),"")</f>
        <v>0</v>
      </c>
      <c r="X13" s="186">
        <f>IFERROR(IF(D13="","",IF(AND(E13=""),"",IF(AND(D13=$AX$27),"",IF(OR('Master Data'!$I$28='GA55 Check &amp; Edit'!$AP$6,D13=""),"",IF('Master Data'!$N$36="NO",0,IF(D13='Master Data'!$N$40,'Master Data'!$G$43,0)))))),"")</f>
        <v>0</v>
      </c>
      <c r="Y13" s="186">
        <f>IFERROR(IF(D13="","",IF(AND(E13=""),"",IF(AND(D13=$AX$27),"",IF(OR('Master Data'!$I$28='GA55 Check &amp; Edit'!$AP$6,D13=""),"",Y12)))),"")</f>
        <v>0</v>
      </c>
      <c r="Z13" s="186">
        <f>IFERROR(IF(OR('Master Data'!$I$28='GA55 Check &amp; Edit'!$AP$6),"",IF(D13="","",IF(E13="","",VLOOKUP(D13,ram,9,0)))),"")</f>
        <v>0</v>
      </c>
      <c r="AA13" s="186" t="str">
        <f>IFERROR(IF(OR('Master Data'!$I$28='GA55 Check &amp; Edit'!$AP$6,D13=""),"",IF(AND(E13=""),"",IF('GA55 Check &amp; Edit'!D13='GA55 Check &amp; Edit'!$AT$9,220,""))),"")</f>
        <v/>
      </c>
      <c r="AB13" s="251">
        <f>IFERROR(IF(D13="","",IF(AND(O13=""),"",IF(AND('Master Data'!$H$18='GA55 Check &amp; Edit'!$AO$5,'Master Data'!$I$30='GA55 Check &amp; Edit'!$AN$6),SUM(P13:AA13)+N13,SUM(P13:AA13)))),"")</f>
        <v>13113</v>
      </c>
      <c r="AC13" s="252">
        <f t="shared" si="2"/>
        <v>58015</v>
      </c>
      <c r="AD13" s="188"/>
      <c r="AE13" s="193"/>
      <c r="AF13" s="37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 t="s">
        <v>19</v>
      </c>
      <c r="AT13" s="268">
        <v>44409</v>
      </c>
      <c r="AU13" s="58" t="s">
        <v>83</v>
      </c>
      <c r="AV13" s="285"/>
      <c r="AW13" s="274" t="s">
        <v>15</v>
      </c>
      <c r="AX13" s="275">
        <v>44287</v>
      </c>
      <c r="AY13" s="273">
        <v>4</v>
      </c>
      <c r="AZ13" s="273"/>
      <c r="BA13" s="280">
        <f>IF(AND('Master Data'!$E$36=""),"",IF(AND('Master Data'!$I$28='GA55 Check &amp; Edit'!$AP$6),'GA55 Check &amp; Edit'!$AZ$15,BU13))</f>
        <v>50800</v>
      </c>
      <c r="BB13" s="273">
        <f>IF(AND(AX13&lt;$AZ$16),"",IF(AND(AX13&gt;$AZ$17),"",BA13))</f>
        <v>50800</v>
      </c>
      <c r="BC13" s="273">
        <f>IF(AND('Master Data'!$E$36=""),"",ROUND(17%*BA13,0))</f>
        <v>8636</v>
      </c>
      <c r="BD13" s="273">
        <f>IF(BB13="","",BC13)</f>
        <v>8636</v>
      </c>
      <c r="BE13" s="273"/>
      <c r="BF13" s="280">
        <f>'Master Data'!C47</f>
        <v>1500</v>
      </c>
      <c r="BG13" s="280">
        <f>IF(AND('Master Data'!$I$28='GA55 Check &amp; Edit'!$AP$6),"",IF(AND('Master Data'!$I$30='GA55 Check &amp; Edit'!$AN$5),IF($AZ$15&lt;18001,265,IF($AZ$15&lt;33501,440,IF($AZ$15&lt;54001,658,875)))))</f>
        <v>658</v>
      </c>
      <c r="BH13" s="280">
        <f>IFERROR(IF(OR('Master Data'!$I$28='GA55 Check &amp; Edit'!$AP$6),"",'Master Data'!$G$43),"")</f>
        <v>7000</v>
      </c>
      <c r="BI13" s="282">
        <f>IFERROR(IF(AND('Master Data'!$I$30='GA55 Check &amp; Edit'!$AN$6),ROUND((E9)*0.1,0),IF(AND('Master Data'!$I$28='GA55 Check &amp; Edit'!$AP$6),ROUND((E9+F9)*0.1,0),'Master Data'!$H$43)),"")</f>
        <v>3575</v>
      </c>
      <c r="BJ13" s="280">
        <f>BA13</f>
        <v>50800</v>
      </c>
      <c r="BK13" s="283">
        <v>44287</v>
      </c>
      <c r="BL13" s="283">
        <f>IFERROR(IF('Master Data'!$E$36="","",IF('Master Data'!$F$40="","",IF(AND($AZ$17&gt;$AZ$9),"",DATE(YEAR(BL12),MONTH(BL12)+1,DAY(BL12))))),"")</f>
        <v>44287</v>
      </c>
      <c r="BM13" s="284">
        <f>IFERROR(IF('Master Data'!$E$36="","",IF('Master Data'!$F$40="","",IF(AND($AZ$17&gt;$AZ$9),"",DATE(YEAR(BM12),MONTH(BM12)+1,DAY(BM12))))),"")</f>
        <v>44287</v>
      </c>
      <c r="BN13" s="284">
        <f t="shared" ref="BN13:BN30" si="6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""))))))))))))))))))))</f>
        <v>44287</v>
      </c>
      <c r="BO13" s="284">
        <f t="shared" ref="BO13:BO30" si="7">IFERROR(IF(AND(BL13=$BK$24),$BM$24,IF(AND(BL13=$BK$25),$BM$25,IF(AND(BL13=$BK$26),$BM$26,IF(AND(BL13=$BK$27),$BM$27,IF(AND(BL13=$BK$28),$BM$28,IF(AND(BL13=$BK$29),$BM$29,IF(AND(BL13=$BK$30),$BM$30,BN13))))))),"")</f>
        <v>44287</v>
      </c>
      <c r="BP13" s="284"/>
      <c r="BQ13" s="284">
        <f t="shared" ref="BQ13:BQ21" si="8">IFERROR(IF(BM13="","",IF(D9=$AX$27,$AX$27,IF(BM13&gt;$AZ$17,"",BM13))),"")</f>
        <v>44287</v>
      </c>
      <c r="BR13" s="284"/>
      <c r="BS13" s="285">
        <f t="shared" ref="BS13:BS20" ca="1" si="9">OFFSET(D7,MATCH(BO13,$D$8:$D$27,0)+1,MATCH(BO13,D9:N9,0))</f>
        <v>50800</v>
      </c>
      <c r="BT13" s="285"/>
      <c r="BU13" s="285">
        <f>IF(AND('Master Data'!$E$36=""),"",IF(AND('Master Data'!$I$38='GA55 Check &amp; Edit'!AX13),'Master Data'!$I$36,'Master Data'!$E$36))</f>
        <v>50800</v>
      </c>
      <c r="BV13" s="58"/>
      <c r="BW13" s="58"/>
      <c r="BX13" s="285">
        <f t="shared" ref="BX13:BX30" si="10">IF(BB13="",0,BF13)</f>
        <v>1500</v>
      </c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</row>
    <row r="14" spans="1:103" s="33" customFormat="1" ht="21" customHeight="1">
      <c r="A14" s="33">
        <f t="shared" si="0"/>
        <v>1</v>
      </c>
      <c r="B14" s="43">
        <f t="shared" si="3"/>
        <v>7</v>
      </c>
      <c r="C14" s="44">
        <f t="shared" si="5"/>
        <v>7</v>
      </c>
      <c r="D14" s="298">
        <f t="shared" si="1"/>
        <v>44440</v>
      </c>
      <c r="E14" s="182">
        <f>IFERROR(IF(D14="","",IF(AND(BQ18=""),"",IF(AND('Master Data'!$I$28='GA55 Check &amp; Edit'!$AP$6),VLOOKUP(D14,ram,13,0),VLOOKUP(D14,ram,4,0)))),"")</f>
        <v>53900</v>
      </c>
      <c r="F14" s="183">
        <f>IFERROR(IF(D14="","",IF(D14=$AX$24,"",IF(AND(D14=$AX$25),$BC$25,IF(AND(D14=$AX$26),$BC$26,IF(AND(D14=$AX$27),$BC$27,IF(AND(D14=$AX$28),"",IF(AND(D14=$AX$29),"",IF(AND('Master Data'!$I$28='GA55 Check &amp; Edit'!$AP$6),"",VLOOKUP(D14,ram,7,0))))))))),"")</f>
        <v>15092</v>
      </c>
      <c r="G14" s="183">
        <f>IF(AND('Master Data'!$I$28='GA55 Check &amp; Edit'!$AP$6),"",IF(AND(D14=""),"",IF(AND(D14=$AX$27),"",IF(AND(E14=""),"",ROUND('Master Data'!$E$30%*E14,0)))))</f>
        <v>4312</v>
      </c>
      <c r="H14" s="184">
        <f>IFERROR(IF(D14="","",IF(AND(E14=""),"",IF(AND(D14=$AX$27),"",IF(AND('Master Data'!$I$28='GA55 Check &amp; Edit'!$AP$6),"",'Master Data'!$B$43)))),"")</f>
        <v>0</v>
      </c>
      <c r="I14" s="184">
        <f>IFERROR(IF(D14="","",IF(AND(E14=""),"",IF(AND(D14=$AX$27),"",IF(AND('Master Data'!$I$28='GA55 Check &amp; Edit'!$AP$6),"",'Master Data'!$E$28)))),"")</f>
        <v>0</v>
      </c>
      <c r="J14" s="184" t="str">
        <f>IFERROR(IF(OR('Master Data'!$E$32=$AO$6,'Master Data'!$E$32=""),"",IF(D14="","",IF(AND(E14=""),"",IF(AND(D14=$AX$27),"",IF(AND('Master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184">
        <f>IFERROR(IF(D14="","",IF(AND(E14=""),"",IF(AND(D14=$AX$27),"",IF(AND('Master Data'!$I$28='GA55 Check &amp; Edit'!$AP$6),"",'Master Data'!$E$43)))),"")</f>
        <v>0</v>
      </c>
      <c r="L14" s="184">
        <f>IFERROR(IF(D14="","",IF(AND(E14=""),"",IF(AND(D14=$AX$27),"",IF(AND('Master Data'!$I$28='GA55 Check &amp; Edit'!$AP$6),"",'Master Data'!$F$43)))),"")</f>
        <v>0</v>
      </c>
      <c r="M14" s="185" t="str">
        <f>IFERROR(IF(D14="","",IF(AND('Master Data'!$I$28='GA55 Check &amp; Edit'!$AP$6),"",IF(AND('Master Data'!$I$24='GA55 Check &amp; Edit'!$AO$6),"",IF(AND(D14="Bonus"),VLOOKUP(D14,ram,4,0),"")))),"")</f>
        <v/>
      </c>
      <c r="N14" s="184" t="str">
        <f>IFERROR(IF(AND(D14=""),"",IF(AND(D14=$AX$25,'Master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Edit'!$AN$5),"",IF(AND('Master Data'!$I$30='GA55 Check &amp; Edit'!$AN$6,'Master Data'!$I$28='GA55 Check &amp; Edit'!$AP$6),ROUND((E14)*0.1,0),ROUND((E14+F14)*0.1,0))))))),"")</f>
        <v/>
      </c>
      <c r="O14" s="250">
        <f>IF(D14="","",IF('Master Data'!$H$18='GA55 Check &amp; Edit'!$AO$5,SUM(E14:N14),SUM(E14:M14)))</f>
        <v>73304</v>
      </c>
      <c r="P14" s="186">
        <f>IFERROR(IF(OR('Master Data'!$I$28='GA55 Check &amp; Edit'!$AP$6,D14=""),"",IF(AND(D14=$AX$27),"",IF(AND(E14=""),"",VLOOKUP(D14,ram,11,0)))),"")</f>
        <v>7000</v>
      </c>
      <c r="Q14" s="186">
        <f>IFERROR(IF(AND(D14=""),"",IF(AND(D14=$AX$24,'Master Data'!$I$30='GA55 Check &amp; Edit'!$AN$5),ROUND((M14)*0.75,0),IF(AND(D14=$AX$25,'Master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Edit'!$AN$6,'Master Data'!$I$28='GA55 Check &amp; Edit'!$AP$6),ROUND((E14)*0.1,0),IF(AND('Master Data'!$I$30='GA55 Check &amp; Edit'!$AN$6,'Master Data'!$I$28='GA55 Check &amp; Edit'!$AP$5),ROUND((E14+F14)*0.1,0),IF(AND('Master Data'!$I$30='GA55 Check &amp; Edit'!$AN$5,'Master Data'!$I$28='GA55 Check &amp; Edit'!$AP$5),VLOOKUP(D14,ram,12,0))))))))),"")</f>
        <v>3575</v>
      </c>
      <c r="R14" s="186">
        <f>IFERROR(IF(OR('Master Data'!$I$28='GA55 Check &amp; Edit'!$AP$6,D14=""),"",IF(AND(D14=$AX$27),"",IF(AND(D14=$AX$30),"",IF(AND(E14=""),"",'Master Data'!$I$43)))),"")</f>
        <v>1880</v>
      </c>
      <c r="S14" s="186">
        <f>IFERROR(IF(OR('Master Data'!$I$28='GA55 Check &amp; Edit'!$AP$6),"",IF(D14="","",IF(E14="","",IF(AND(D14=$AX$27),"",IF(AND('Master Data'!$I$30='GA55 Check &amp; Edit'!$AN$5),VLOOKUP(D14,ram,10,0),IF(AND('Master Data'!$I$30='GA55 Check &amp; Edit'!$AN$6,$BF$4=$AO$5),$BD$4,0)))))),"")</f>
        <v>658</v>
      </c>
      <c r="T14" s="186">
        <f>IFERROR(IF(OR('Master Data'!$I$28='GA55 Check &amp; Edit'!$AP$6,D14=""),"",IF(AND(D14=$AX$27),"",IF(AND(E14=""),"",'Master Data'!$K$43))),"")</f>
        <v>0</v>
      </c>
      <c r="U14" s="186">
        <f>IFERROR(IF(OR('Master Data'!$I$28='GA55 Check &amp; Edit'!$AP$6,D14=""),"",IF(AND(D14=$AX$27),"",IF(AND(E14=""),"",'Master Data'!$L$43))),"")</f>
        <v>0</v>
      </c>
      <c r="V14" s="186" t="str">
        <f>IFERROR(IF(D14="","",IF(AND('Master Data'!$I$28='GA55 Check &amp; Edit'!$AP$6),"",IF(AND('Master Data'!$I$24='GA55 Check &amp; Edit'!$AO$6),"0",IF(AND(D14="Bonus",'Master Data'!$I$30='GA55 Check &amp; Edit'!$AN$6),ROUND((M14)*0.75,0),"")))),"")</f>
        <v/>
      </c>
      <c r="W14" s="186">
        <f>IFERROR(IF(D14="","",IF(AND(E14=""),"",IF(AND(D14=$AX$27),"",IF(OR('Master Data'!$I$28='GA55 Check &amp; Edit'!$AP$6,D14=""),"",W13)))),"")</f>
        <v>0</v>
      </c>
      <c r="X14" s="186">
        <f>IFERROR(IF(D14="","",IF(AND(E14=""),"",IF(AND(D14=$AX$27),"",IF(OR('Master Data'!$I$28='GA55 Check &amp; Edit'!$AP$6,D14=""),"",IF('Master Data'!$N$36="NO",0,IF(D14='Master Data'!$N$40,'Master Data'!$G$43,0)))))),"")</f>
        <v>0</v>
      </c>
      <c r="Y14" s="186">
        <f>IFERROR(IF(D14="","",IF(AND(E14=""),"",IF(AND(D14=$AX$27),"",IF(OR('Master Data'!$I$28='GA55 Check &amp; Edit'!$AP$6,D14=""),"",Y13)))),"")</f>
        <v>0</v>
      </c>
      <c r="Z14" s="186">
        <f>IFERROR(IF(OR('Master Data'!$I$28='GA55 Check &amp; Edit'!$AP$6),"",IF(D14="","",IF(E14="","",VLOOKUP(D14,ram,9,0)))),"")</f>
        <v>0</v>
      </c>
      <c r="AA14" s="186" t="str">
        <f>IFERROR(IF(OR('Master Data'!$I$28='GA55 Check &amp; Edit'!$AP$6,D14=""),"",IF(AND(E14=""),"",IF('GA55 Check &amp; Edit'!D14='GA55 Check &amp; Edit'!$AT$9,220,""))),"")</f>
        <v/>
      </c>
      <c r="AB14" s="251">
        <f>IFERROR(IF(D14="","",IF(AND(O14=""),"",IF(AND('Master Data'!$H$18='GA55 Check &amp; Edit'!$AO$5,'Master Data'!$I$30='GA55 Check &amp; Edit'!$AN$6),SUM(P14:AA14)+N14,SUM(P14:AA14)))),"")</f>
        <v>13113</v>
      </c>
      <c r="AC14" s="252">
        <f t="shared" si="2"/>
        <v>60191</v>
      </c>
      <c r="AD14" s="188"/>
      <c r="AE14" s="193"/>
      <c r="AF14" s="37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 t="s">
        <v>21</v>
      </c>
      <c r="AT14" s="268">
        <v>44440</v>
      </c>
      <c r="AU14" s="58" t="s">
        <v>84</v>
      </c>
      <c r="AV14" s="58"/>
      <c r="AW14" s="274" t="s">
        <v>17</v>
      </c>
      <c r="AX14" s="275">
        <v>44317</v>
      </c>
      <c r="AY14" s="273">
        <v>5</v>
      </c>
      <c r="AZ14" s="273"/>
      <c r="BA14" s="280">
        <f>IF(AND('Master Data'!$E$36=""),"",IF(AND('Master Data'!$I$28='GA55 Check &amp; Edit'!$AP$6),'GA55 Check &amp; Edit'!$AZ$15,BU14))</f>
        <v>50800</v>
      </c>
      <c r="BB14" s="273">
        <f t="shared" ref="BB14:BB23" si="11">IF(AND(AX14&lt;$AZ$16),"",IF(AND(AX14&gt;$AZ$17),"",BA14))</f>
        <v>50800</v>
      </c>
      <c r="BC14" s="273">
        <f>IF(AND('Master Data'!$E$36=""),"",ROUND(17%*BA14,0))</f>
        <v>8636</v>
      </c>
      <c r="BD14" s="273">
        <f>IF(BB14="","",BC14)</f>
        <v>8636</v>
      </c>
      <c r="BE14" s="273"/>
      <c r="BF14" s="280">
        <f>'Master Data'!D47</f>
        <v>1500</v>
      </c>
      <c r="BG14" s="280">
        <f>IF(AND('Master Data'!$I$28='GA55 Check &amp; Edit'!$AP$6),"",IF(AND('Master Data'!$I$30='GA55 Check &amp; Edit'!$AN$5),IF($AZ$15&lt;18001,265,IF($AZ$15&lt;33501,440,IF($AZ$15&lt;54001,658,875)))))</f>
        <v>658</v>
      </c>
      <c r="BH14" s="280">
        <f>IFERROR(IF(OR('Master Data'!$I$28='GA55 Check &amp; Edit'!$AP$6),"",'Master Data'!$G$43),"")</f>
        <v>7000</v>
      </c>
      <c r="BI14" s="282">
        <f>IFERROR(IF(AND('Master Data'!$I$30='GA55 Check &amp; Edit'!$AN$6),ROUND((E10)*0.1,0),IF(AND('Master Data'!$I$28='GA55 Check &amp; Edit'!$AP$6),ROUND((E10+F10)*0.1,0),'Master Data'!$H$43)),"")</f>
        <v>3575</v>
      </c>
      <c r="BJ14" s="280">
        <f t="shared" ref="BJ14:BJ15" si="12">BA14</f>
        <v>50800</v>
      </c>
      <c r="BK14" s="283">
        <v>44317</v>
      </c>
      <c r="BL14" s="283">
        <f>IFERROR(IF('Master Data'!$E$36="","",IF('Master Data'!$F$40="","",IF(AND($AZ$17&gt;$AZ$9),"",DATE(YEAR(BL13),MONTH(BL13)+1,DAY(BL13))))),"")</f>
        <v>44317</v>
      </c>
      <c r="BM14" s="284">
        <f>IFERROR(IF('Master Data'!$E$36="","",IF('Master Data'!$F$40="","",IF(AND($AZ$17&gt;$AZ$9),"",DATE(YEAR(BM13),MONTH(BM13)+1,DAY(BM13))))),"")</f>
        <v>44317</v>
      </c>
      <c r="BN14" s="284">
        <f t="shared" si="6"/>
        <v>44317</v>
      </c>
      <c r="BO14" s="284">
        <f t="shared" si="7"/>
        <v>44317</v>
      </c>
      <c r="BP14" s="284"/>
      <c r="BQ14" s="284">
        <f t="shared" si="8"/>
        <v>44317</v>
      </c>
      <c r="BR14" s="284"/>
      <c r="BS14" s="285">
        <f t="shared" ca="1" si="9"/>
        <v>52300</v>
      </c>
      <c r="BT14" s="285"/>
      <c r="BU14" s="285">
        <f>IF(AND('Master Data'!$I$38='GA55 Check &amp; Edit'!AX14),'Master Data'!$I$36,BU13)</f>
        <v>50800</v>
      </c>
      <c r="BV14" s="58"/>
      <c r="BW14" s="58"/>
      <c r="BX14" s="285">
        <f t="shared" si="10"/>
        <v>1500</v>
      </c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</row>
    <row r="15" spans="1:103" s="33" customFormat="1" ht="21" customHeight="1">
      <c r="A15" s="33">
        <f t="shared" si="0"/>
        <v>0</v>
      </c>
      <c r="B15" s="43">
        <f t="shared" si="3"/>
        <v>8</v>
      </c>
      <c r="C15" s="44">
        <f t="shared" si="5"/>
        <v>8</v>
      </c>
      <c r="D15" s="298">
        <f t="shared" si="1"/>
        <v>44470</v>
      </c>
      <c r="E15" s="182">
        <f>IFERROR(IF(D15="","",IF(AND(BQ19=""),"",IF(AND('Master Data'!$I$28='GA55 Check &amp; Edit'!$AP$6),VLOOKUP(D15,ram,13,0),VLOOKUP(D15,ram,4,0)))),"")</f>
        <v>53900</v>
      </c>
      <c r="F15" s="183">
        <f>IFERROR(IF(D15="","",IF(D15=$AX$24,"",IF(AND(D15=$AX$25),$BC$25,IF(AND(D15=$AX$26),$BC$26,IF(AND(D15=$AX$27),$BC$27,IF(AND(D15=$AX$28),"",IF(AND(D15=$AX$29),"",IF(AND('Master Data'!$I$28='GA55 Check &amp; Edit'!$AP$6),"",VLOOKUP(D15,ram,7,0))))))))),"")</f>
        <v>15092</v>
      </c>
      <c r="G15" s="183">
        <f>IF(AND('Master Data'!$I$28='GA55 Check &amp; Edit'!$AP$6),"",IF(AND(D15=""),"",IF(AND(D15=$AX$27),"",IF(AND(E15=""),"",ROUND('Master Data'!$E$30%*E15,0)))))</f>
        <v>4312</v>
      </c>
      <c r="H15" s="184">
        <f>IFERROR(IF(D15="","",IF(AND(E15=""),"",IF(AND(D15=$AX$27),"",IF(AND('Master Data'!$I$28='GA55 Check &amp; Edit'!$AP$6),"",'Master Data'!$B$43)))),"")</f>
        <v>0</v>
      </c>
      <c r="I15" s="184">
        <f>IFERROR(IF(D15="","",IF(AND(E15=""),"",IF(AND(D15=$AX$27),"",IF(AND('Master Data'!$I$28='GA55 Check &amp; Edit'!$AP$6),"",'Master Data'!$E$28)))),"")</f>
        <v>0</v>
      </c>
      <c r="J15" s="184" t="str">
        <f>IFERROR(IF(OR('Master Data'!$E$32=$AO$6,'Master Data'!$E$32=""),"",IF(D15="","",IF(AND(E15=""),"",IF(AND(D15=$AX$27),"",IF(AND('Master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184">
        <f>IFERROR(IF(D15="","",IF(AND(E15=""),"",IF(AND(D15=$AX$27),"",IF(AND('Master Data'!$I$28='GA55 Check &amp; Edit'!$AP$6),"",'Master Data'!$E$43)))),"")</f>
        <v>0</v>
      </c>
      <c r="L15" s="184">
        <f>IFERROR(IF(D15="","",IF(AND(E15=""),"",IF(AND(D15=$AX$27),"",IF(AND('Master Data'!$I$28='GA55 Check &amp; Edit'!$AP$6),"",'Master Data'!$F$43)))),"")</f>
        <v>0</v>
      </c>
      <c r="M15" s="185" t="str">
        <f>IFERROR(IF(D15="","",IF(AND('Master Data'!$I$28='GA55 Check &amp; Edit'!$AP$6),"",IF(AND('Master Data'!$I$24='GA55 Check &amp; Edit'!$AO$6),"",IF(AND(D15="Bonus"),VLOOKUP(D15,ram,4,0),"")))),"")</f>
        <v/>
      </c>
      <c r="N15" s="184" t="str">
        <f>IFERROR(IF(AND(D15=""),"",IF(AND(D15=$AX$25,'Master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Edit'!$AN$5),"",IF(AND('Master Data'!$I$30='GA55 Check &amp; Edit'!$AN$6,'Master Data'!$I$28='GA55 Check &amp; Edit'!$AP$6),ROUND((E15)*0.1,0),ROUND((E15+F15)*0.1,0))))))),"")</f>
        <v/>
      </c>
      <c r="O15" s="250">
        <f>IF(D15="","",IF('Master Data'!$H$18='GA55 Check &amp; Edit'!$AO$5,SUM(E15:N15),SUM(E15:M15)))</f>
        <v>73304</v>
      </c>
      <c r="P15" s="186">
        <f>IFERROR(IF(OR('Master Data'!$I$28='GA55 Check &amp; Edit'!$AP$6,D15=""),"",IF(AND(D15=$AX$27),"",IF(AND(E15=""),"",VLOOKUP(D15,ram,11,0)))),"")</f>
        <v>7000</v>
      </c>
      <c r="Q15" s="186">
        <f>IFERROR(IF(AND(D15=""),"",IF(AND(D15=$AX$24,'Master Data'!$I$30='GA55 Check &amp; Edit'!$AN$5),ROUND((M15)*0.75,0),IF(AND(D15=$AX$25,'Master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Edit'!$AN$6,'Master Data'!$I$28='GA55 Check &amp; Edit'!$AP$6),ROUND((E15)*0.1,0),IF(AND('Master Data'!$I$30='GA55 Check &amp; Edit'!$AN$6,'Master Data'!$I$28='GA55 Check &amp; Edit'!$AP$5),ROUND((E15+F15)*0.1,0),IF(AND('Master Data'!$I$30='GA55 Check &amp; Edit'!$AN$5,'Master Data'!$I$28='GA55 Check &amp; Edit'!$AP$5),VLOOKUP(D15,ram,12,0))))))))),"")</f>
        <v>3575</v>
      </c>
      <c r="R15" s="186">
        <f>IFERROR(IF(OR('Master Data'!$I$28='GA55 Check &amp; Edit'!$AP$6,D15=""),"",IF(AND(D15=$AX$27),"",IF(AND(D15=$AX$30),"",IF(AND(E15=""),"",'Master Data'!$I$43)))),"")</f>
        <v>1880</v>
      </c>
      <c r="S15" s="186">
        <f>IFERROR(IF(OR('Master Data'!$I$28='GA55 Check &amp; Edit'!$AP$6),"",IF(D15="","",IF(E15="","",IF(AND(D15=$AX$27),"",IF(AND('Master Data'!$I$30='GA55 Check &amp; Edit'!$AN$5),VLOOKUP(D15,ram,10,0),IF(AND('Master Data'!$I$30='GA55 Check &amp; Edit'!$AN$6,$BF$4=$AO$5),$BD$4,0)))))),"")</f>
        <v>658</v>
      </c>
      <c r="T15" s="186">
        <f>IFERROR(IF(OR('Master Data'!$I$28='GA55 Check &amp; Edit'!$AP$6,D15=""),"",IF(AND(D15=$AX$27),"",IF(AND(E15=""),"",'Master Data'!$K$43))),"")</f>
        <v>0</v>
      </c>
      <c r="U15" s="186">
        <f>IFERROR(IF(OR('Master Data'!$I$28='GA55 Check &amp; Edit'!$AP$6,D15=""),"",IF(AND(D15=$AX$27),"",IF(AND(E15=""),"",'Master Data'!$L$43))),"")</f>
        <v>0</v>
      </c>
      <c r="V15" s="186" t="str">
        <f>IFERROR(IF(D15="","",IF(AND('Master Data'!$I$28='GA55 Check &amp; Edit'!$AP$6),"",IF(AND('Master Data'!$I$24='GA55 Check &amp; Edit'!$AO$6),"0",IF(AND(D15="Bonus",'Master Data'!$I$30='GA55 Check &amp; Edit'!$AN$6),ROUND((M15)*0.75,0),"")))),"")</f>
        <v/>
      </c>
      <c r="W15" s="186">
        <f>IFERROR(IF(D15="","",IF(AND(E15=""),"",IF(AND(D15=$AX$27),"",IF(OR('Master Data'!$I$28='GA55 Check &amp; Edit'!$AP$6,D15=""),"",W14)))),"")</f>
        <v>0</v>
      </c>
      <c r="X15" s="186">
        <f>IFERROR(IF(D15="","",IF(AND(E15=""),"",IF(AND(D15=$AX$27),"",IF(OR('Master Data'!$I$28='GA55 Check &amp; Edit'!$AP$6,D15=""),"",IF('Master Data'!$N$36="NO",0,IF(D15='Master Data'!$N$40,'Master Data'!$G$43,0)))))),"")</f>
        <v>0</v>
      </c>
      <c r="Y15" s="186">
        <f>IFERROR(IF(D15="","",IF(AND(E15=""),"",IF(AND(D15=$AX$27),"",IF(OR('Master Data'!$I$28='GA55 Check &amp; Edit'!$AP$6,D15=""),"",Y14)))),"")</f>
        <v>0</v>
      </c>
      <c r="Z15" s="186">
        <f>IFERROR(IF(OR('Master Data'!$I$28='GA55 Check &amp; Edit'!$AP$6),"",IF(D15="","",IF(E15="","",VLOOKUP(D15,ram,9,0)))),"")</f>
        <v>0</v>
      </c>
      <c r="AA15" s="186" t="str">
        <f>IFERROR(IF(OR('Master Data'!$I$28='GA55 Check &amp; Edit'!$AP$6,D15=""),"",IF(AND(E15=""),"",IF('GA55 Check &amp; Edit'!D15='GA55 Check &amp; Edit'!$AT$9,220,""))),"")</f>
        <v/>
      </c>
      <c r="AB15" s="251">
        <f>IFERROR(IF(D15="","",IF(AND(O15=""),"",IF(AND('Master Data'!$H$18='GA55 Check &amp; Edit'!$AO$5,'Master Data'!$I$30='GA55 Check &amp; Edit'!$AN$6),SUM(P15:AA15)+N15,SUM(P15:AA15)))),"")</f>
        <v>13113</v>
      </c>
      <c r="AC15" s="252">
        <f t="shared" si="2"/>
        <v>60191</v>
      </c>
      <c r="AD15" s="188"/>
      <c r="AE15" s="193"/>
      <c r="AF15" s="37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 t="s">
        <v>25</v>
      </c>
      <c r="AT15" s="268">
        <v>44470</v>
      </c>
      <c r="AU15" s="58" t="s">
        <v>85</v>
      </c>
      <c r="AV15" s="58"/>
      <c r="AW15" s="274" t="s">
        <v>19</v>
      </c>
      <c r="AX15" s="275">
        <v>44348</v>
      </c>
      <c r="AY15" s="273">
        <v>6</v>
      </c>
      <c r="AZ15" s="280">
        <f>IF(AND('Master Data'!E36=""),"",'Master Data'!E36)</f>
        <v>50800</v>
      </c>
      <c r="BA15" s="280">
        <f>IF(AND('Master Data'!$E$36=""),"",IF(AND('Master Data'!$I$28='GA55 Check &amp; Edit'!$AP$6),'GA55 Check &amp; Edit'!$AZ$15,BU15))</f>
        <v>50800</v>
      </c>
      <c r="BB15" s="273">
        <f t="shared" si="11"/>
        <v>50800</v>
      </c>
      <c r="BC15" s="273">
        <f>IF(AND('Master Data'!$E$36=""),"",ROUND(17%*BA15,0))</f>
        <v>8636</v>
      </c>
      <c r="BD15" s="273">
        <f t="shared" ref="BD15:BD22" si="13">IF(BB15="","",BC15)</f>
        <v>8636</v>
      </c>
      <c r="BE15" s="273"/>
      <c r="BF15" s="280">
        <f>'Master Data'!E47</f>
        <v>1500</v>
      </c>
      <c r="BG15" s="280">
        <f>IF(AND('Master Data'!$I$28='GA55 Check &amp; Edit'!$AP$6),"",IF(AND('Master Data'!$I$30='GA55 Check &amp; Edit'!$AN$5),IF($AZ$15&lt;18001,265,IF($AZ$15&lt;33501,440,IF($AZ$15&lt;54001,658,875)))))</f>
        <v>658</v>
      </c>
      <c r="BH15" s="280">
        <f>IFERROR(IF(OR('Master Data'!$I$28='GA55 Check &amp; Edit'!$AP$6),"",'Master Data'!$G$43),"")</f>
        <v>7000</v>
      </c>
      <c r="BI15" s="282">
        <f>IFERROR(IF(AND('Master Data'!$I$30='GA55 Check &amp; Edit'!$AN$6),ROUND((E11)*0.1,0),IF(AND('Master Data'!$I$28='GA55 Check &amp; Edit'!$AP$6),ROUND((E11+F11)*0.1,0),'Master Data'!$H$43)),"")</f>
        <v>3575</v>
      </c>
      <c r="BJ15" s="280">
        <f t="shared" si="12"/>
        <v>50800</v>
      </c>
      <c r="BK15" s="283">
        <v>44348</v>
      </c>
      <c r="BL15" s="283">
        <f>IFERROR(IF('Master Data'!$E$36="","",IF('Master Data'!$F$40="","",IF(AND($AZ$17&gt;$AZ$9),"",DATE(YEAR(BL14),MONTH(BL14)+1,DAY(BL14))))),"")</f>
        <v>44348</v>
      </c>
      <c r="BM15" s="284">
        <f>IFERROR(IF('Master Data'!$E$36="","",IF('Master Data'!$F$40="","",IF(AND($AZ$17&gt;$AZ$9),"",DATE(YEAR(BM14),MONTH(BM14)+1,DAY(BM14))))),"")</f>
        <v>44348</v>
      </c>
      <c r="BN15" s="284">
        <f t="shared" si="6"/>
        <v>44348</v>
      </c>
      <c r="BO15" s="284">
        <f t="shared" si="7"/>
        <v>44348</v>
      </c>
      <c r="BP15" s="284"/>
      <c r="BQ15" s="284">
        <f t="shared" si="8"/>
        <v>44348</v>
      </c>
      <c r="BR15" s="284"/>
      <c r="BS15" s="285">
        <f t="shared" ca="1" si="9"/>
        <v>53900</v>
      </c>
      <c r="BT15" s="285"/>
      <c r="BU15" s="285">
        <f>IF(AND('Master Data'!$I$38='GA55 Check &amp; Edit'!AX15),'Master Data'!$I$36,BU14)</f>
        <v>50800</v>
      </c>
      <c r="BV15" s="58"/>
      <c r="BW15" s="58"/>
      <c r="BX15" s="285">
        <f t="shared" si="10"/>
        <v>1500</v>
      </c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</row>
    <row r="16" spans="1:103" s="33" customFormat="1" ht="21" customHeight="1">
      <c r="A16" s="33">
        <f t="shared" si="0"/>
        <v>1</v>
      </c>
      <c r="B16" s="43">
        <f t="shared" si="3"/>
        <v>9</v>
      </c>
      <c r="C16" s="44">
        <f t="shared" si="5"/>
        <v>9</v>
      </c>
      <c r="D16" s="298">
        <f t="shared" si="1"/>
        <v>44501</v>
      </c>
      <c r="E16" s="182">
        <f>IFERROR(IF(D16="","",IF(AND(BQ20=""),"",IF(AND('Master Data'!$I$28='GA55 Check &amp; Edit'!$AP$6),VLOOKUP(D16,ram,13,0),VLOOKUP(D16,ram,4,0)))),"")</f>
        <v>53900</v>
      </c>
      <c r="F16" s="183">
        <f>IFERROR(IF(D16="","",IF(D16=$AX$24,"",IF(AND(D16=$AX$25),$BC$25,IF(AND(D16=$AX$26),$BC$26,IF(AND(D16=$AX$27),$BC$27,IF(AND(D16=$AX$28),"",IF(AND(D16=$AX$29),"",IF(AND('Master Data'!$I$28='GA55 Check &amp; Edit'!$AP$6),"",VLOOKUP(D16,ram,7,0))))))))),"")</f>
        <v>15092</v>
      </c>
      <c r="G16" s="183">
        <f>IF(AND('Master Data'!$I$28='GA55 Check &amp; Edit'!$AP$6),"",IF(AND(D16=""),"",IF(AND(D16=$AX$27),"",IF(AND(E16=""),"",ROUND('Master Data'!$E$30%*E16,0)))))</f>
        <v>4312</v>
      </c>
      <c r="H16" s="184">
        <f>IFERROR(IF(D16="","",IF(AND(E16=""),"",IF(AND(D16=$AX$27),"",IF(AND('Master Data'!$I$28='GA55 Check &amp; Edit'!$AP$6),"",'Master Data'!$B$43)))),"")</f>
        <v>0</v>
      </c>
      <c r="I16" s="184">
        <f>IFERROR(IF(D16="","",IF(AND(E16=""),"",IF(AND(D16=$AX$27),"",IF(AND('Master Data'!$I$28='GA55 Check &amp; Edit'!$AP$6),"",'Master Data'!$E$28)))),"")</f>
        <v>0</v>
      </c>
      <c r="J16" s="184" t="str">
        <f>IFERROR(IF(OR('Master Data'!$E$32=$AO$6,'Master Data'!$E$32=""),"",IF(D16="","",IF(AND(E16=""),"",IF(AND(D16=$AX$27),"",IF(AND('Master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184">
        <f>IFERROR(IF(D16="","",IF(AND(E16=""),"",IF(AND(D16=$AX$27),"",IF(AND('Master Data'!$I$28='GA55 Check &amp; Edit'!$AP$6),"",'Master Data'!$E$43)))),"")</f>
        <v>0</v>
      </c>
      <c r="L16" s="184">
        <f>IFERROR(IF(D16="","",IF(AND(E16=""),"",IF(AND(D16=$AX$27),"",IF(AND('Master Data'!$I$28='GA55 Check &amp; Edit'!$AP$6),"",'Master Data'!$F$43)))),"")</f>
        <v>0</v>
      </c>
      <c r="M16" s="185" t="str">
        <f>IFERROR(IF(D16="","",IF(AND('Master Data'!$I$28='GA55 Check &amp; Edit'!$AP$6),"",IF(AND('Master Data'!$I$24='GA55 Check &amp; Edit'!$AO$6),"",IF(AND(D16="Bonus"),VLOOKUP(D16,ram,4,0),"")))),"")</f>
        <v/>
      </c>
      <c r="N16" s="184" t="str">
        <f>IFERROR(IF(AND(D16=""),"",IF(AND(D16=$AX$25,'Master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Edit'!$AN$5),"",IF(AND('Master Data'!$I$30='GA55 Check &amp; Edit'!$AN$6,'Master Data'!$I$28='GA55 Check &amp; Edit'!$AP$6),ROUND((E16)*0.1,0),ROUND((E16+F16)*0.1,0))))))),"")</f>
        <v/>
      </c>
      <c r="O16" s="250">
        <f>IF(D16="","",IF('Master Data'!$H$18='GA55 Check &amp; Edit'!$AO$5,SUM(E16:N16),SUM(E16:M16)))</f>
        <v>73304</v>
      </c>
      <c r="P16" s="186">
        <f>IFERROR(IF(OR('Master Data'!$I$28='GA55 Check &amp; Edit'!$AP$6,D16=""),"",IF(AND(D16=$AX$27),"",IF(AND(E16=""),"",VLOOKUP(D16,ram,11,0)))),"")</f>
        <v>7000</v>
      </c>
      <c r="Q16" s="186">
        <f>IFERROR(IF(AND(D16=""),"",IF(AND(D16=$AX$24,'Master Data'!$I$30='GA55 Check &amp; Edit'!$AN$5),ROUND((M16)*0.75,0),IF(AND(D16=$AX$25,'Master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Edit'!$AN$6,'Master Data'!$I$28='GA55 Check &amp; Edit'!$AP$6),ROUND((E16)*0.1,0),IF(AND('Master Data'!$I$30='GA55 Check &amp; Edit'!$AN$6,'Master Data'!$I$28='GA55 Check &amp; Edit'!$AP$5),ROUND((E16+F16)*0.1,0),IF(AND('Master Data'!$I$30='GA55 Check &amp; Edit'!$AN$5,'Master Data'!$I$28='GA55 Check &amp; Edit'!$AP$5),VLOOKUP(D16,ram,12,0))))))))),"")</f>
        <v>3575</v>
      </c>
      <c r="R16" s="186">
        <f>IFERROR(IF(OR('Master Data'!$I$28='GA55 Check &amp; Edit'!$AP$6,D16=""),"",IF(AND(D16=$AX$27),"",IF(AND(D16=$AX$30),"",IF(AND(E16=""),"",'Master Data'!$I$43)))),"")</f>
        <v>1880</v>
      </c>
      <c r="S16" s="186">
        <f>IFERROR(IF(OR('Master Data'!$I$28='GA55 Check &amp; Edit'!$AP$6),"",IF(D16="","",IF(E16="","",IF(AND(D16=$AX$27),"",IF(AND('Master Data'!$I$30='GA55 Check &amp; Edit'!$AN$5),VLOOKUP(D16,ram,10,0),IF(AND('Master Data'!$I$30='GA55 Check &amp; Edit'!$AN$6,$BF$4=$AO$5),$BD$4,0)))))),"")</f>
        <v>658</v>
      </c>
      <c r="T16" s="186">
        <f>IFERROR(IF(OR('Master Data'!$I$28='GA55 Check &amp; Edit'!$AP$6,D16=""),"",IF(AND(D16=$AX$27),"",IF(AND(E16=""),"",'Master Data'!$K$43))),"")</f>
        <v>0</v>
      </c>
      <c r="U16" s="186">
        <f>IFERROR(IF(OR('Master Data'!$I$28='GA55 Check &amp; Edit'!$AP$6,D16=""),"",IF(AND(D16=$AX$27),"",IF(AND(E16=""),"",'Master Data'!$L$43))),"")</f>
        <v>0</v>
      </c>
      <c r="V16" s="186" t="str">
        <f>IFERROR(IF(D16="","",IF(AND('Master Data'!$I$28='GA55 Check &amp; Edit'!$AP$6),"",IF(AND('Master Data'!$I$24='GA55 Check &amp; Edit'!$AO$6),"0",IF(AND(D16="Bonus",'Master Data'!$I$30='GA55 Check &amp; Edit'!$AN$6),ROUND((M16)*0.75,0),"")))),"")</f>
        <v/>
      </c>
      <c r="W16" s="186">
        <f>IFERROR(IF(D16="","",IF(AND(E16=""),"",IF(AND(D16=$AX$27),"",IF(OR('Master Data'!$I$28='GA55 Check &amp; Edit'!$AP$6,D16=""),"",W15)))),"")</f>
        <v>0</v>
      </c>
      <c r="X16" s="186">
        <f>IFERROR(IF(D16="","",IF(AND(E16=""),"",IF(AND(D16=$AX$27),"",IF(OR('Master Data'!$I$28='GA55 Check &amp; Edit'!$AP$6,D16=""),"",IF('Master Data'!$N$36="NO",0,IF(D16='Master Data'!$N$40,'Master Data'!$G$43,0)))))),"")</f>
        <v>0</v>
      </c>
      <c r="Y16" s="186">
        <f>IFERROR(IF(D16="","",IF(AND(E16=""),"",IF(AND(D16=$AX$27),"",IF(OR('Master Data'!$I$28='GA55 Check &amp; Edit'!$AP$6,D16=""),"",Y15)))),"")</f>
        <v>0</v>
      </c>
      <c r="Z16" s="186">
        <f>IFERROR(IF(OR('Master Data'!$I$28='GA55 Check &amp; Edit'!$AP$6),"",IF(D16="","",IF(E16="","",VLOOKUP(D16,ram,9,0)))),"")</f>
        <v>0</v>
      </c>
      <c r="AA16" s="186" t="str">
        <f>IFERROR(IF(OR('Master Data'!$I$28='GA55 Check &amp; Edit'!$AP$6,D16=""),"",IF(AND(E16=""),"",IF('GA55 Check &amp; Edit'!D16='GA55 Check &amp; Edit'!$AT$9,220,""))),"")</f>
        <v/>
      </c>
      <c r="AB16" s="251">
        <f>IFERROR(IF(D16="","",IF(AND(O16=""),"",IF(AND('Master Data'!$H$18='GA55 Check &amp; Edit'!$AO$5,'Master Data'!$I$30='GA55 Check &amp; Edit'!$AN$6),SUM(P16:AA16)+N16,SUM(P16:AA16)))),"")</f>
        <v>13113</v>
      </c>
      <c r="AC16" s="252">
        <f t="shared" si="2"/>
        <v>60191</v>
      </c>
      <c r="AD16" s="188"/>
      <c r="AE16" s="193"/>
      <c r="AF16" s="37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 t="s">
        <v>28</v>
      </c>
      <c r="AT16" s="268">
        <v>44501</v>
      </c>
      <c r="AU16" s="58" t="s">
        <v>86</v>
      </c>
      <c r="AV16" s="58"/>
      <c r="AW16" s="274" t="s">
        <v>21</v>
      </c>
      <c r="AX16" s="275">
        <v>44378</v>
      </c>
      <c r="AY16" s="273">
        <v>7</v>
      </c>
      <c r="AZ16" s="286">
        <f>IF(AND('Master Data'!F40=""),"",'Master Data'!F40)</f>
        <v>44256</v>
      </c>
      <c r="BA16" s="280">
        <f>IF(AND('Master Data'!$E$36=""),"",IF(AND('Master Data'!$I$28='GA55 Check &amp; Edit'!$AP$6),'GA55 Check &amp; Edit'!$AZ$15,BU16))</f>
        <v>52300</v>
      </c>
      <c r="BB16" s="273">
        <f>IF(AND(AX16&lt;$AZ$16),"",IF(AND(AX16&gt;$AZ$17),"",BA16))</f>
        <v>52300</v>
      </c>
      <c r="BC16" s="273">
        <f>IF(AND('Master Data'!$E$36=""),"",IF($AM$5=$AO$5,ROUND(28%*BA16,0),ROUND(17%*BA16,0)))</f>
        <v>14644</v>
      </c>
      <c r="BD16" s="273">
        <f>IF(BB16="","",BC16)</f>
        <v>14644</v>
      </c>
      <c r="BE16" s="273"/>
      <c r="BF16" s="280">
        <f>'Master Data'!F47</f>
        <v>1500</v>
      </c>
      <c r="BG16" s="280">
        <f>IF(AND('Master Data'!$I$28='GA55 Check &amp; Edit'!$AP$6),"",IF(AND('Master Data'!$I$30='GA55 Check &amp; Edit'!$AN$5),IF($AZ$18&lt;18001,265,IF($AZ$18&lt;33501,440,IF($AZ$18&lt;54001,658,875)))))</f>
        <v>658</v>
      </c>
      <c r="BH16" s="280">
        <f>IFERROR(IF(OR('Master Data'!$I$28='GA55 Check &amp; Edit'!$AP$6),"",'Master Data'!$G$43),"")</f>
        <v>7000</v>
      </c>
      <c r="BI16" s="282">
        <f>IFERROR(IF(AND('Master Data'!$I$30='GA55 Check &amp; Edit'!$AN$6),ROUND((E12)*0.1,0),IF(AND('Master Data'!$I$28='GA55 Check &amp; Edit'!$AP$6),ROUND((E12+F12)*0.1,0),'Master Data'!$H$43)),"")</f>
        <v>3575</v>
      </c>
      <c r="BJ16" s="280">
        <f>BA16</f>
        <v>52300</v>
      </c>
      <c r="BK16" s="283">
        <v>44378</v>
      </c>
      <c r="BL16" s="283">
        <f>IFERROR(IF('Master Data'!$E$36="","",IF('Master Data'!$F$40="","",IF(AND($AZ$17&gt;$AZ$9),"",DATE(YEAR(BL15),MONTH(BL15)+1,DAY(BL15))))),"")</f>
        <v>44378</v>
      </c>
      <c r="BM16" s="284">
        <f>IFERROR(IF('Master Data'!$E$36="","",IF('Master Data'!$F$40="","",IF(AND($AZ$17&gt;$AZ$9),"",DATE(YEAR(BM15),MONTH(BM15)+1,DAY(BM15))))),"")</f>
        <v>44378</v>
      </c>
      <c r="BN16" s="284">
        <f t="shared" si="6"/>
        <v>44378</v>
      </c>
      <c r="BO16" s="284">
        <f t="shared" si="7"/>
        <v>44378</v>
      </c>
      <c r="BP16" s="284"/>
      <c r="BQ16" s="284">
        <f t="shared" si="8"/>
        <v>44378</v>
      </c>
      <c r="BR16" s="284"/>
      <c r="BS16" s="285">
        <f ca="1">OFFSET(D10,MATCH(BO16,$D$8:$D$27,0)+1,MATCH(BO16,D12:N12,0))</f>
        <v>53900</v>
      </c>
      <c r="BT16" s="285"/>
      <c r="BU16" s="285">
        <f>IF(AND('Master Data'!$I$38='GA55 Check &amp; Edit'!AX16),'Master Data'!$I$36,AZ18)</f>
        <v>52300</v>
      </c>
      <c r="BV16" s="58"/>
      <c r="BW16" s="58"/>
      <c r="BX16" s="285">
        <f t="shared" si="10"/>
        <v>1500</v>
      </c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</row>
    <row r="17" spans="1:103" s="33" customFormat="1" ht="21" customHeight="1">
      <c r="A17" s="33">
        <f t="shared" si="0"/>
        <v>0</v>
      </c>
      <c r="B17" s="43">
        <f t="shared" si="3"/>
        <v>10</v>
      </c>
      <c r="C17" s="44">
        <f t="shared" si="5"/>
        <v>10</v>
      </c>
      <c r="D17" s="298">
        <f>IFERROR(IF(BO21="","",BO21),"")</f>
        <v>44531</v>
      </c>
      <c r="E17" s="182">
        <f>IFERROR(IF(D17="","",IF(AND(BQ21=""),"",IF(AND('Master Data'!$I$28='GA55 Check &amp; Edit'!$AP$6),VLOOKUP(D17,ram,13,0),VLOOKUP(D17,ram,4,0)))),"")</f>
        <v>53900</v>
      </c>
      <c r="F17" s="183">
        <f>IFERROR(IF(D17="","",IF(D17=$AX$24,"",IF(AND(D17=$AX$25),$BC$25,IF(AND(D17=$AX$26),$BC$26,IF(AND(D17=$AX$27),$BC$27,IF(AND(D17=$AX$28),"",IF(AND(D17=$AX$29),"",IF(AND('Master Data'!$I$28='GA55 Check &amp; Edit'!$AP$6),"",VLOOKUP(D17,ram,7,0))))))))),"")</f>
        <v>15092</v>
      </c>
      <c r="G17" s="183">
        <f>IF(AND('Master Data'!$I$28='GA55 Check &amp; Edit'!$AP$6),"",IF(AND(D17=""),"",IF(AND(D17=$AX$27),"",IF(AND(E17=""),"",ROUND('Master Data'!$E$30%*E17,0)))))</f>
        <v>4312</v>
      </c>
      <c r="H17" s="184">
        <f>IFERROR(IF(D17="","",IF(AND(E17=""),"",IF(AND(D17=$AX$27),"",IF(AND('Master Data'!$I$28='GA55 Check &amp; Edit'!$AP$6),"",'Master Data'!$B$43)))),"")</f>
        <v>0</v>
      </c>
      <c r="I17" s="184">
        <f>IFERROR(IF(D17="","",IF(AND(E17=""),"",IF(AND(D17=$AX$27),"",IF(AND('Master Data'!$I$28='GA55 Check &amp; Edit'!$AP$6),"",'Master Data'!$E$28)))),"")</f>
        <v>0</v>
      </c>
      <c r="J17" s="184" t="str">
        <f>IFERROR(IF(OR('Master Data'!$E$32=$AO$6,'Master Data'!$E$32=""),"",IF(D17="","",IF(AND(E17=""),"",IF(AND(D17=$AX$27),"",IF(AND('Master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184">
        <f>IFERROR(IF(D17="","",IF(AND(E17=""),"",IF(AND(D17=$AX$27),"",IF(AND('Master Data'!$I$28='GA55 Check &amp; Edit'!$AP$6),"",'Master Data'!$E$43)))),"")</f>
        <v>0</v>
      </c>
      <c r="L17" s="184">
        <f>IFERROR(IF(D17="","",IF(AND(E17=""),"",IF(AND(D17=$AX$27),"",IF(AND('Master Data'!$I$28='GA55 Check &amp; Edit'!$AP$6),"",'Master Data'!$F$43)))),"")</f>
        <v>0</v>
      </c>
      <c r="M17" s="185" t="str">
        <f>IFERROR(IF(D17="","",IF(AND('Master Data'!$I$28='GA55 Check &amp; Edit'!$AP$6),"",IF(AND('Master Data'!$I$24='GA55 Check &amp; Edit'!$AO$6),"",IF(AND(D17="Bonus"),VLOOKUP(D17,ram,4,0),"")))),"")</f>
        <v/>
      </c>
      <c r="N17" s="184" t="str">
        <f>IFERROR(IF(AND(D17=""),"",IF(AND(D17=$AX$25,'Master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Edit'!$AN$5),"",IF(AND('Master Data'!$I$30='GA55 Check &amp; Edit'!$AN$6,'Master Data'!$I$28='GA55 Check &amp; Edit'!$AP$6),ROUND((E17)*0.1,0),ROUND((E17+F17)*0.1,0))))))),"")</f>
        <v/>
      </c>
      <c r="O17" s="250">
        <f>IF(D17="","",IF('Master Data'!$H$18='GA55 Check &amp; Edit'!$AO$5,SUM(E17:N17),SUM(E17:M17)))</f>
        <v>73304</v>
      </c>
      <c r="P17" s="186">
        <f>IFERROR(IF(OR('Master Data'!$I$28='GA55 Check &amp; Edit'!$AP$6,D17=""),"",IF(AND(D17=$AX$27),"",IF(AND(E17=""),"",VLOOKUP(D17,ram,11,0)))),"")</f>
        <v>7000</v>
      </c>
      <c r="Q17" s="186">
        <f>IFERROR(IF(AND(D17=""),"",IF(AND(D17=$AX$24,'Master Data'!$I$30='GA55 Check &amp; Edit'!$AN$5),ROUND((M17)*0.75,0),IF(AND(D17=$AX$25,'Master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Edit'!$AN$6,'Master Data'!$I$28='GA55 Check &amp; Edit'!$AP$6),ROUND((E17)*0.1,0),IF(AND('Master Data'!$I$30='GA55 Check &amp; Edit'!$AN$6,'Master Data'!$I$28='GA55 Check &amp; Edit'!$AP$5),ROUND((E17+F17)*0.1,0),IF(AND('Master Data'!$I$30='GA55 Check &amp; Edit'!$AN$5,'Master Data'!$I$28='GA55 Check &amp; Edit'!$AP$5),VLOOKUP(D17,ram,12,0))))))))),"")</f>
        <v>3575</v>
      </c>
      <c r="R17" s="186">
        <f>IFERROR(IF(OR('Master Data'!$I$28='GA55 Check &amp; Edit'!$AP$6,D17=""),"",IF(AND(D17=$AX$27),"",IF(AND(D17=$AX$30),"",IF(AND(E17=""),"",'Master Data'!$I$43)))),"")</f>
        <v>1880</v>
      </c>
      <c r="S17" s="186">
        <f>IFERROR(IF(OR('Master Data'!$I$28='GA55 Check &amp; Edit'!$AP$6),"",IF(D17="","",IF(E17="","",IF(AND(D17=$AX$27),"",IF(AND('Master Data'!$I$30='GA55 Check &amp; Edit'!$AN$5),VLOOKUP(D17,ram,10,0),IF(AND('Master Data'!$I$30='GA55 Check &amp; Edit'!$AN$6,$BF$4=$AO$5),$BD$4,0)))))),"")</f>
        <v>658</v>
      </c>
      <c r="T17" s="186">
        <f>IFERROR(IF(OR('Master Data'!$I$28='GA55 Check &amp; Edit'!$AP$6,D17=""),"",IF(AND(D17=$AX$27),"",IF(AND(E17=""),"",'Master Data'!$K$43))),"")</f>
        <v>0</v>
      </c>
      <c r="U17" s="186">
        <f>IFERROR(IF(OR('Master Data'!$I$28='GA55 Check &amp; Edit'!$AP$6,D17=""),"",IF(AND(D17=$AX$27),"",IF(AND(E17=""),"",'Master Data'!$L$43))),"")</f>
        <v>0</v>
      </c>
      <c r="V17" s="186" t="str">
        <f>IFERROR(IF(D17="","",IF(AND('Master Data'!$I$28='GA55 Check &amp; Edit'!$AP$6),"",IF(AND('Master Data'!$I$24='GA55 Check &amp; Edit'!$AO$6),"0",IF(AND(D17="Bonus",'Master Data'!$I$30='GA55 Check &amp; Edit'!$AN$6),ROUND((M17)*0.75,0),"")))),"")</f>
        <v/>
      </c>
      <c r="W17" s="186">
        <f>IFERROR(IF(D17="","",IF(AND(E17=""),"",IF(AND(D17=$AX$27),"",IF(OR('Master Data'!$I$28='GA55 Check &amp; Edit'!$AP$6,D17=""),"",W16)))),"")</f>
        <v>0</v>
      </c>
      <c r="X17" s="186">
        <f>IFERROR(IF(D17="","",IF(AND(E17=""),"",IF(AND(D17=$AX$27),"",IF(OR('Master Data'!$I$28='GA55 Check &amp; Edit'!$AP$6,D17=""),"",IF('Master Data'!$N$36="NO",0,IF(D17='Master Data'!$N$40,'Master Data'!$G$43,0)))))),"")</f>
        <v>0</v>
      </c>
      <c r="Y17" s="186">
        <f>IFERROR(IF(D17="","",IF(AND(E17=""),"",IF(AND(D17=$AX$27),"",IF(OR('Master Data'!$I$28='GA55 Check &amp; Edit'!$AP$6,D17=""),"",Y16)))),"")</f>
        <v>0</v>
      </c>
      <c r="Z17" s="186">
        <f>IFERROR(IF(OR('Master Data'!$I$28='GA55 Check &amp; Edit'!$AP$6),"",IF(D17="","",IF(E17="","",VLOOKUP(D17,ram,9,0)))),"")</f>
        <v>0</v>
      </c>
      <c r="AA17" s="186" t="str">
        <f>IFERROR(IF(OR('Master Data'!$I$28='GA55 Check &amp; Edit'!$AP$6,D17=""),"",IF(AND(E17=""),"",IF('GA55 Check &amp; Edit'!D17='GA55 Check &amp; Edit'!$AT$9,220,""))),"")</f>
        <v/>
      </c>
      <c r="AB17" s="251">
        <f>IFERROR(IF(D17="","",IF(AND(O17=""),"",IF(AND('Master Data'!$H$18='GA55 Check &amp; Edit'!$AO$5,'Master Data'!$I$30='GA55 Check &amp; Edit'!$AN$6),SUM(P17:AA17)+N17,SUM(P17:AA17)))),"")</f>
        <v>13113</v>
      </c>
      <c r="AC17" s="252">
        <f t="shared" si="2"/>
        <v>60191</v>
      </c>
      <c r="AD17" s="188"/>
      <c r="AE17" s="193"/>
      <c r="AF17" s="37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 t="s">
        <v>2</v>
      </c>
      <c r="AT17" s="268">
        <v>44531</v>
      </c>
      <c r="AU17" s="58" t="s">
        <v>87</v>
      </c>
      <c r="AV17" s="58"/>
      <c r="AW17" s="274" t="s">
        <v>25</v>
      </c>
      <c r="AX17" s="275">
        <v>44409</v>
      </c>
      <c r="AY17" s="273">
        <v>8</v>
      </c>
      <c r="AZ17" s="286">
        <f>IF(AND('Master Data'!H40=""),"",'Master Data'!H40)</f>
        <v>44593</v>
      </c>
      <c r="BA17" s="280">
        <f>IF(AND('Master Data'!$E$36=""),"",IF(AND('Master Data'!$I$28='GA55 Check &amp; Edit'!$AP$6),'GA55 Check &amp; Edit'!$AZ$15,BU17))</f>
        <v>52300</v>
      </c>
      <c r="BB17" s="273">
        <f t="shared" si="11"/>
        <v>52300</v>
      </c>
      <c r="BC17" s="273">
        <f>IF(AND('Master Data'!$E$36=""),"",IF($AM$5=$AO$5,ROUND(28%*BA17,0),ROUND(17%*BA17,0)))</f>
        <v>14644</v>
      </c>
      <c r="BD17" s="273">
        <f t="shared" si="13"/>
        <v>14644</v>
      </c>
      <c r="BE17" s="273"/>
      <c r="BF17" s="280">
        <f>'Master Data'!G47</f>
        <v>0</v>
      </c>
      <c r="BG17" s="280">
        <f>IF(AND('Master Data'!$I$28='GA55 Check &amp; Edit'!$AP$6),"",IF(AND('Master Data'!$I$30='GA55 Check &amp; Edit'!$AN$5),IF($AZ$18&lt;18001,265,IF($AZ$18&lt;33501,440,IF($AZ$18&lt;54001,658,875)))))</f>
        <v>658</v>
      </c>
      <c r="BH17" s="280">
        <f>IFERROR(IF(OR('Master Data'!$I$28='GA55 Check &amp; Edit'!$AP$6),"",'Master Data'!$G$43),"")</f>
        <v>7000</v>
      </c>
      <c r="BI17" s="282">
        <f>IFERROR(IF(AND('Master Data'!$I$30='GA55 Check &amp; Edit'!$AN$6),ROUND((E13)*0.1,0),IF(AND('Master Data'!$I$28='GA55 Check &amp; Edit'!$AP$6),ROUND((E13+F13)*0.1,0),'Master Data'!$H$43)),"")</f>
        <v>3575</v>
      </c>
      <c r="BJ17" s="280">
        <f>BJ16</f>
        <v>52300</v>
      </c>
      <c r="BK17" s="283">
        <v>44409</v>
      </c>
      <c r="BL17" s="283">
        <f>IFERROR(IF('Master Data'!$E$36="","",IF('Master Data'!$F$40="","",IF(AND($AZ$17&gt;$AZ$9),"",DATE(YEAR(BL16),MONTH(BL16)+1,DAY(BL16))))),"")</f>
        <v>44409</v>
      </c>
      <c r="BM17" s="284">
        <f>IFERROR(IF('Master Data'!$E$36="","",IF('Master Data'!$F$40="","",IF(AND($AZ$17&gt;$AZ$9),"",DATE(YEAR(BM16),MONTH(BM16)+1,DAY(BM16))))),"")</f>
        <v>44409</v>
      </c>
      <c r="BN17" s="284">
        <f t="shared" si="6"/>
        <v>44409</v>
      </c>
      <c r="BO17" s="284">
        <f t="shared" si="7"/>
        <v>44409</v>
      </c>
      <c r="BP17" s="284"/>
      <c r="BQ17" s="284">
        <f t="shared" si="8"/>
        <v>44409</v>
      </c>
      <c r="BR17" s="284"/>
      <c r="BS17" s="285">
        <f t="shared" ca="1" si="9"/>
        <v>53900</v>
      </c>
      <c r="BT17" s="285"/>
      <c r="BU17" s="285">
        <f>IF(AND('Master Data'!$I$38='GA55 Check &amp; Edit'!AX17),'Master Data'!$I$36,BU16)</f>
        <v>52300</v>
      </c>
      <c r="BV17" s="58"/>
      <c r="BW17" s="58"/>
      <c r="BX17" s="285">
        <f t="shared" si="10"/>
        <v>0</v>
      </c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</row>
    <row r="18" spans="1:103" s="33" customFormat="1" ht="21" customHeight="1">
      <c r="A18" s="33">
        <f t="shared" si="0"/>
        <v>1</v>
      </c>
      <c r="B18" s="43">
        <f t="shared" si="3"/>
        <v>11</v>
      </c>
      <c r="C18" s="44">
        <f t="shared" si="5"/>
        <v>11</v>
      </c>
      <c r="D18" s="298">
        <f t="shared" si="1"/>
        <v>44562</v>
      </c>
      <c r="E18" s="182">
        <f>IFERROR(IF(D18="","",IF(AND(BQ22=""),"",IF(AND('Master Data'!$I$28='GA55 Check &amp; Edit'!$AP$6),VLOOKUP(D18,ram,13,0),VLOOKUP(D18,ram,4,0)))),"")</f>
        <v>53900</v>
      </c>
      <c r="F18" s="183">
        <f>IFERROR(IF(D18="","",IF(D18=$AX$24,"",IF(AND(D18=$AX$25),$BC$25,IF(AND(D18=$AX$26),$BC$26,IF(AND(D18=$AX$27),$BC$27,IF(AND(D18=$AX$28),"",IF(AND(D18=$AX$29),"",IF(AND('Master Data'!$I$28='GA55 Check &amp; Edit'!$AP$6),"",VLOOKUP(D18,ram,7,0))))))))),"")</f>
        <v>15092</v>
      </c>
      <c r="G18" s="183">
        <f>IF(AND('Master Data'!$I$28='GA55 Check &amp; Edit'!$AP$6),"",IF(AND(D18=""),"",IF(AND(D18=$AX$27),"",IF(AND(E18=""),"",ROUND('Master Data'!$E$30%*E18,0)))))</f>
        <v>4312</v>
      </c>
      <c r="H18" s="184">
        <f>IFERROR(IF(D18="","",IF(AND(E18=""),"",IF(AND(D18=$AX$27),"",IF(AND('Master Data'!$I$28='GA55 Check &amp; Edit'!$AP$6),"",'Master Data'!$B$43)))),"")</f>
        <v>0</v>
      </c>
      <c r="I18" s="184">
        <f>IFERROR(IF(D18="","",IF(AND(E18=""),"",IF(AND(D18=$AX$27),"",IF(AND('Master Data'!$I$28='GA55 Check &amp; Edit'!$AP$6),"",'Master Data'!$E$28)))),"")</f>
        <v>0</v>
      </c>
      <c r="J18" s="184" t="str">
        <f>IFERROR(IF(OR('Master Data'!$E$32=$AO$6,'Master Data'!$E$32=""),"",IF(D18="","",IF(AND(E18=""),"",IF(AND(D18=$AX$27),"",IF(AND('Master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184">
        <f>IFERROR(IF(D18="","",IF(AND(E18=""),"",IF(AND(D18=$AX$27),"",IF(AND('Master Data'!$I$28='GA55 Check &amp; Edit'!$AP$6),"",'Master Data'!$E$43)))),"")</f>
        <v>0</v>
      </c>
      <c r="L18" s="184">
        <f>IFERROR(IF(D18="","",IF(AND(E18=""),"",IF(AND(D18=$AX$27),"",IF(AND('Master Data'!$I$28='GA55 Check &amp; Edit'!$AP$6),"",'Master Data'!$F$43)))),"")</f>
        <v>0</v>
      </c>
      <c r="M18" s="185" t="str">
        <f>IFERROR(IF(D18="","",IF(AND('Master Data'!$I$28='GA55 Check &amp; Edit'!$AP$6),"",IF(AND('Master Data'!$I$24='GA55 Check &amp; Edit'!$AO$6),"",IF(AND(D18="Bonus"),VLOOKUP(D18,ram,4,0),"")))),"")</f>
        <v/>
      </c>
      <c r="N18" s="184" t="str">
        <f>IFERROR(IF(AND(D18=""),"",IF(AND(D18=$AX$25,'Master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Edit'!$AN$5),"",IF(AND('Master Data'!$I$30='GA55 Check &amp; Edit'!$AN$6,'Master Data'!$I$28='GA55 Check &amp; Edit'!$AP$6),ROUND((E18)*0.1,0),ROUND((E18+F18)*0.1,0))))))),"")</f>
        <v/>
      </c>
      <c r="O18" s="250">
        <f>IF(D18="","",IF('Master Data'!$H$18='GA55 Check &amp; Edit'!$AO$5,SUM(E18:N18),SUM(E18:M18)))</f>
        <v>73304</v>
      </c>
      <c r="P18" s="186">
        <f>IFERROR(IF(OR('Master Data'!$I$28='GA55 Check &amp; Edit'!$AP$6,D18=""),"",IF(AND(D18=$AX$27),"",IF(AND(E18=""),"",VLOOKUP(D18,ram,11,0)))),"")</f>
        <v>7000</v>
      </c>
      <c r="Q18" s="186">
        <f>IFERROR(IF(AND(D18=""),"",IF(AND(D18=$AX$24,'Master Data'!$I$30='GA55 Check &amp; Edit'!$AN$5),ROUND((M18)*0.75,0),IF(AND(D18=$AX$25,'Master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Edit'!$AN$6,'Master Data'!$I$28='GA55 Check &amp; Edit'!$AP$6),ROUND((E18)*0.1,0),IF(AND('Master Data'!$I$30='GA55 Check &amp; Edit'!$AN$6,'Master Data'!$I$28='GA55 Check &amp; Edit'!$AP$5),ROUND((E18+F18)*0.1,0),IF(AND('Master Data'!$I$30='GA55 Check &amp; Edit'!$AN$5,'Master Data'!$I$28='GA55 Check &amp; Edit'!$AP$5),VLOOKUP(D18,ram,12,0))))))))),"")</f>
        <v>3575</v>
      </c>
      <c r="R18" s="186">
        <f>IFERROR(IF(OR('Master Data'!$I$28='GA55 Check &amp; Edit'!$AP$6,D18=""),"",IF(AND(D18=$AX$27),"",IF(AND(D18=$AX$30),"",IF(AND(E18=""),"",'Master Data'!$I$43)))),"")</f>
        <v>1880</v>
      </c>
      <c r="S18" s="186">
        <f>IFERROR(IF(OR('Master Data'!$I$28='GA55 Check &amp; Edit'!$AP$6),"",IF(D18="","",IF(E18="","",IF(AND(D18=$AX$27),"",IF(AND('Master Data'!$I$30='GA55 Check &amp; Edit'!$AN$5),VLOOKUP(D18,ram,10,0),IF(AND('Master Data'!$I$30='GA55 Check &amp; Edit'!$AN$6,$BF$4=$AO$5),$BD$4,0)))))),"")</f>
        <v>658</v>
      </c>
      <c r="T18" s="186">
        <f>IFERROR(IF(OR('Master Data'!$I$28='GA55 Check &amp; Edit'!$AP$6,D18=""),"",IF(AND(D18=$AX$27),"",IF(AND(E18=""),"",'Master Data'!$K$43))),"")</f>
        <v>0</v>
      </c>
      <c r="U18" s="186">
        <f>IFERROR(IF(OR('Master Data'!$I$28='GA55 Check &amp; Edit'!$AP$6,D18=""),"",IF(AND(D18=$AX$27),"",IF(AND(E18=""),"",'Master Data'!$L$43))),"")</f>
        <v>0</v>
      </c>
      <c r="V18" s="186" t="str">
        <f>IFERROR(IF(D18="","",IF(AND('Master Data'!$I$28='GA55 Check &amp; Edit'!$AP$6),"",IF(AND('Master Data'!$I$24='GA55 Check &amp; Edit'!$AO$6),"0",IF(AND(D18="Bonus",'Master Data'!$I$30='GA55 Check &amp; Edit'!$AN$6),ROUND((M18)*0.75,0),"")))),"")</f>
        <v/>
      </c>
      <c r="W18" s="186">
        <f>IFERROR(IF(D18="","",IF(AND(E18=""),"",IF(AND(D18=$AX$27),"",IF(OR('Master Data'!$I$28='GA55 Check &amp; Edit'!$AP$6,D18=""),"",W17)))),"")</f>
        <v>0</v>
      </c>
      <c r="X18" s="186">
        <f>IFERROR(IF(D18="","",IF(AND(E18=""),"",IF(AND(D18=$AX$27),"",IF(OR('Master Data'!$I$28='GA55 Check &amp; Edit'!$AP$6,D18=""),"",IF('Master Data'!$N$36="NO",0,IF(D18='Master Data'!$N$40,'Master Data'!$G$43,0)))))),"")</f>
        <v>0</v>
      </c>
      <c r="Y18" s="186">
        <f>IFERROR(IF(D18="","",IF(AND(E18=""),"",IF(AND(D18=$AX$27),"",IF(OR('Master Data'!$I$28='GA55 Check &amp; Edit'!$AP$6,D18=""),"",Y17)))),"")</f>
        <v>0</v>
      </c>
      <c r="Z18" s="186">
        <f>IFERROR(IF(OR('Master Data'!$I$28='GA55 Check &amp; Edit'!$AP$6),"",IF(D18="","",IF(E18="","",VLOOKUP(D18,ram,9,0)))),"")</f>
        <v>0</v>
      </c>
      <c r="AA18" s="186" t="str">
        <f>IFERROR(IF(OR('Master Data'!$I$28='GA55 Check &amp; Edit'!$AP$6,D18=""),"",IF(AND(E18=""),"",IF('GA55 Check &amp; Edit'!D18='GA55 Check &amp; Edit'!$AT$9,220,""))),"")</f>
        <v/>
      </c>
      <c r="AB18" s="251">
        <f>IFERROR(IF(D18="","",IF(AND(O18=""),"",IF(AND('Master Data'!$H$18='GA55 Check &amp; Edit'!$AO$5,'Master Data'!$I$30='GA55 Check &amp; Edit'!$AN$6),SUM(P18:AA18)+N18,SUM(P18:AA18)))),"")</f>
        <v>13113</v>
      </c>
      <c r="AC18" s="252">
        <f t="shared" si="2"/>
        <v>60191</v>
      </c>
      <c r="AD18" s="188"/>
      <c r="AE18" s="193"/>
      <c r="AF18" s="37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 t="s">
        <v>31</v>
      </c>
      <c r="AT18" s="268">
        <v>44562</v>
      </c>
      <c r="AU18" s="58" t="s">
        <v>88</v>
      </c>
      <c r="AV18" s="58"/>
      <c r="AW18" s="274" t="s">
        <v>28</v>
      </c>
      <c r="AX18" s="275">
        <v>44440</v>
      </c>
      <c r="AY18" s="273">
        <v>9</v>
      </c>
      <c r="AZ18" s="273">
        <f>IF(OR('Master Data'!I36="",'Master Data'!I38=""),MROUND(AZ15*1.03,100),IF('Master Data'!I38&lt;'GA55 Check &amp; Edit'!AX16,MROUND('Master Data'!I36*1.03,100),MROUND(AZ15*1.03,100)))</f>
        <v>52300</v>
      </c>
      <c r="BA18" s="280">
        <f>IF(AND('Master Data'!$E$36=""),"",IF(AND('Master Data'!$I$28='GA55 Check &amp; Edit'!$AP$6),'GA55 Check &amp; Edit'!$AZ$15,BU18))</f>
        <v>53900</v>
      </c>
      <c r="BB18" s="273">
        <f t="shared" si="11"/>
        <v>53900</v>
      </c>
      <c r="BC18" s="273">
        <f>IF(AND('Master Data'!$E$36=""),"",IF($AM$5=$AO$5,ROUND(28%*BA18,0),ROUND(17%*BA18,0)))</f>
        <v>15092</v>
      </c>
      <c r="BD18" s="273">
        <f t="shared" si="13"/>
        <v>15092</v>
      </c>
      <c r="BE18" s="273">
        <f>IFERROR(IF(OR('Master Data'!I34&gt;11,'Master Data'!E34=AO5),ROUND(AZ21/30*2,0),IF(AND('Master Data'!I34&gt;=10,'Master Data'!E34=AO6),ROUND(AZ21/30*1,0),IF(AND('Master Data'!I34&gt;4,'Master Data'!D18=AO5),ROUND(AZ21/30*1,0),"0"))),"")</f>
        <v>2179</v>
      </c>
      <c r="BF18" s="280">
        <f>'Master Data'!H47</f>
        <v>0</v>
      </c>
      <c r="BG18" s="280">
        <f>IF(AND('Master Data'!$I$28='GA55 Check &amp; Edit'!$AP$6),"",IF(AND('Master Data'!$I$30='GA55 Check &amp; Edit'!$AN$5),IF($AZ$18&lt;18001,265,IF($AZ$18&lt;33501,440,IF($AZ$18&lt;54001,658,875)))))</f>
        <v>658</v>
      </c>
      <c r="BH18" s="280">
        <f>IFERROR(IF(OR('Master Data'!$I$28='GA55 Check &amp; Edit'!$AP$6),"",'Master Data'!$G$43),"")</f>
        <v>7000</v>
      </c>
      <c r="BI18" s="282">
        <f>IFERROR(IF(AND('Master Data'!$I$30='GA55 Check &amp; Edit'!$AN$6),ROUND((E14)*0.1,0),IF(AND('Master Data'!$I$28='GA55 Check &amp; Edit'!$AP$6),ROUND((E14+F14)*0.1,0),'Master Data'!$H$43)),"")</f>
        <v>3575</v>
      </c>
      <c r="BJ18" s="280">
        <f t="shared" ref="BJ18:BJ23" si="14">BJ17</f>
        <v>52300</v>
      </c>
      <c r="BK18" s="283">
        <v>44440</v>
      </c>
      <c r="BL18" s="283">
        <f>IFERROR(IF('Master Data'!$E$36="","",IF('Master Data'!$F$40="","",IF(AND($AZ$17&gt;$AZ$9),"",DATE(YEAR(BL17),MONTH(BL17)+1,DAY(BL17))))),"")</f>
        <v>44440</v>
      </c>
      <c r="BM18" s="284">
        <f>IFERROR(IF('Master Data'!$E$36="","",IF('Master Data'!$F$40="","",IF(AND($AZ$17&gt;$AZ$9),"",DATE(YEAR(BM17),MONTH(BM17)+1,DAY(BM17))))),"")</f>
        <v>44440</v>
      </c>
      <c r="BN18" s="284">
        <f t="shared" si="6"/>
        <v>44440</v>
      </c>
      <c r="BO18" s="284">
        <f t="shared" si="7"/>
        <v>44440</v>
      </c>
      <c r="BP18" s="284"/>
      <c r="BQ18" s="284">
        <f t="shared" si="8"/>
        <v>44440</v>
      </c>
      <c r="BR18" s="284"/>
      <c r="BS18" s="285" t="str">
        <f t="shared" ca="1" si="9"/>
        <v/>
      </c>
      <c r="BT18" s="285"/>
      <c r="BU18" s="285">
        <f>IF(AND('Master Data'!$I$38='GA55 Check &amp; Edit'!AX18),'Master Data'!$I$36,BU17)</f>
        <v>53900</v>
      </c>
      <c r="BV18" s="284"/>
      <c r="BW18" s="58"/>
      <c r="BX18" s="285">
        <f t="shared" si="10"/>
        <v>0</v>
      </c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</row>
    <row r="19" spans="1:103" s="33" customFormat="1" ht="21" customHeight="1">
      <c r="A19" s="33">
        <f t="shared" si="0"/>
        <v>0</v>
      </c>
      <c r="B19" s="43">
        <f t="shared" si="3"/>
        <v>12</v>
      </c>
      <c r="C19" s="44">
        <f t="shared" si="5"/>
        <v>12</v>
      </c>
      <c r="D19" s="298">
        <f>IFERROR(IF(BO23="","",BO23),"")</f>
        <v>44593</v>
      </c>
      <c r="E19" s="182">
        <f>IFERROR(IF(D19="","",IF(AND(BQ23=""),"",IF(AND('Master Data'!$I$28='GA55 Check &amp; Edit'!$AP$6),VLOOKUP(D19,ram,13,0),VLOOKUP(D19,ram,4,0)))),"")</f>
        <v>53900</v>
      </c>
      <c r="F19" s="183">
        <f>IFERROR(IF(D19="","",IF(D19=$AX$24,"",IF(AND(D19=$AX$25),$BC$25,IF(AND(D19=$AX$26),$BC$26,IF(AND(D19=$AX$27),$BC$27,IF(AND(D19=$AX$28),"",IF(AND(D19=$AX$29),"",IF(AND('Master Data'!$I$28='GA55 Check &amp; Edit'!$AP$6),"",VLOOKUP(D19,ram,7,0))))))))),"")</f>
        <v>15092</v>
      </c>
      <c r="G19" s="183">
        <f>IF(AND('Master Data'!$I$28='GA55 Check &amp; Edit'!$AP$6),"",IF(AND(D19=""),"",IF(AND(D19=$AX$27),"",IF(AND(E19=""),"",ROUND('Master Data'!$E$30%*E19,0)))))</f>
        <v>4312</v>
      </c>
      <c r="H19" s="184">
        <f>IFERROR(IF(D19="","",IF(AND(E19=""),"",IF(AND(D19=$AX$27),"",IF(AND('Master Data'!$I$28='GA55 Check &amp; Edit'!$AP$6),"",'Master Data'!$B$43)))),"")</f>
        <v>0</v>
      </c>
      <c r="I19" s="184">
        <f>IFERROR(IF(D19="","",IF(AND(E19=""),"",IF(AND(D19=$AX$27),"",IF(AND('Master Data'!$I$28='GA55 Check &amp; Edit'!$AP$6),"",'Master Data'!$E$28)))),"")</f>
        <v>0</v>
      </c>
      <c r="J19" s="184" t="str">
        <f>IFERROR(IF(OR('Master Data'!$E$32=$AO$6,'Master Data'!$E$32=""),"",IF(D19="","",IF(AND(E19=""),"",IF(AND(D19=$AX$27),"",IF(AND('Master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184">
        <f>IFERROR(IF(D19="","",IF(AND(E19=""),"",IF(AND(D19=$AX$27),"",IF(AND('Master Data'!$I$28='GA55 Check &amp; Edit'!$AP$6),"",'Master Data'!$E$43)))),"")</f>
        <v>0</v>
      </c>
      <c r="L19" s="184">
        <f>IFERROR(IF(D19="","",IF(AND(E19=""),"",IF(AND(D19=$AX$27),"",IF(AND('Master Data'!$I$28='GA55 Check &amp; Edit'!$AP$6),"",'Master Data'!$F$43)))),"")</f>
        <v>0</v>
      </c>
      <c r="M19" s="185" t="str">
        <f>IFERROR(IF(D19="","",IF(AND('Master Data'!$I$28='GA55 Check &amp; Edit'!$AP$6),"",IF(AND('Master Data'!$I$24='GA55 Check &amp; Edit'!$AO$6),"",IF(AND(D19="Bonus"),VLOOKUP(D19,ram,4,0),"")))),"")</f>
        <v/>
      </c>
      <c r="N19" s="184" t="str">
        <f>IFERROR(IF(AND(D19=""),"",IF(AND(D19=$AX$25,'Master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Edit'!$AN$5),"",IF(AND('Master Data'!$I$30='GA55 Check &amp; Edit'!$AN$6,'Master Data'!$I$28='GA55 Check &amp; Edit'!$AP$6),ROUND((E19)*0.1,0),ROUND((E19+F19)*0.1,0))))))),"")</f>
        <v/>
      </c>
      <c r="O19" s="250">
        <f>IF(D19="","",IF('Master Data'!$H$18='GA55 Check &amp; Edit'!$AO$5,SUM(E19:N19),SUM(E19:M19)))</f>
        <v>73304</v>
      </c>
      <c r="P19" s="186">
        <f>IFERROR(IF(OR('Master Data'!$I$28='GA55 Check &amp; Edit'!$AP$6,D19=""),"",IF(AND(D19=$AX$27),"",IF(AND(E19=""),"",VLOOKUP(D19,ram,11,0)))),"")</f>
        <v>7000</v>
      </c>
      <c r="Q19" s="186">
        <f>IFERROR(IF(AND(D19=""),"",IF(AND(D19=$AX$24,'Master Data'!$I$30='GA55 Check &amp; Edit'!$AN$5),ROUND((M19)*0.75,0),IF(AND(D19=$AX$25,'Master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Edit'!$AN$6,'Master Data'!$I$28='GA55 Check &amp; Edit'!$AP$6),ROUND((E19)*0.1,0),IF(AND('Master Data'!$I$30='GA55 Check &amp; Edit'!$AN$6,'Master Data'!$I$28='GA55 Check &amp; Edit'!$AP$5),ROUND((E19+F19)*0.1,0),IF(AND('Master Data'!$I$30='GA55 Check &amp; Edit'!$AN$5,'Master Data'!$I$28='GA55 Check &amp; Edit'!$AP$5),VLOOKUP(D19,ram,12,0))))))))),"")</f>
        <v>3575</v>
      </c>
      <c r="R19" s="186">
        <f>IFERROR(IF(OR('Master Data'!$I$28='GA55 Check &amp; Edit'!$AP$6,D19=""),"",IF(AND(D19=$AX$27),"",IF(AND(D19=$AX$30),"",IF(AND(E19=""),"",'Master Data'!$I$43)))),"")</f>
        <v>1880</v>
      </c>
      <c r="S19" s="186">
        <f>IFERROR(IF(OR('Master Data'!$I$28='GA55 Check &amp; Edit'!$AP$6),"",IF(D19="","",IF(E19="","",IF(AND(D19=$AX$27),"",IF(AND('Master Data'!$I$30='GA55 Check &amp; Edit'!$AN$5),VLOOKUP(D19,ram,10,0),IF(AND('Master Data'!$I$30='GA55 Check &amp; Edit'!$AN$6,$BF$4=$AO$5),$BD$4,0)))))),"")</f>
        <v>658</v>
      </c>
      <c r="T19" s="186">
        <f>IFERROR(IF(OR('Master Data'!$I$28='GA55 Check &amp; Edit'!$AP$6,D19=""),"",IF(AND(D19=$AX$27),"",IF(AND(E19=""),"",'Master Data'!$K$43))),"")</f>
        <v>0</v>
      </c>
      <c r="U19" s="186">
        <f>IFERROR(IF(OR('Master Data'!$I$28='GA55 Check &amp; Edit'!$AP$6,D19=""),"",IF(AND(D19=$AX$27),"",IF(AND(E19=""),"",'Master Data'!$L$43))),"")</f>
        <v>0</v>
      </c>
      <c r="V19" s="186" t="str">
        <f>IFERROR(IF(D19="","",IF(AND('Master Data'!$I$28='GA55 Check &amp; Edit'!$AP$6),"",IF(AND('Master Data'!$I$24='GA55 Check &amp; Edit'!$AO$6),"0",IF(AND(D19="Bonus",'Master Data'!$I$30='GA55 Check &amp; Edit'!$AN$6),ROUND((M19)*0.75,0),"")))),"")</f>
        <v/>
      </c>
      <c r="W19" s="186">
        <f>IFERROR(IF(D19="","",IF(AND(E19=""),"",IF(AND(D19=$AX$27),"",IF(OR('Master Data'!$I$28='GA55 Check &amp; Edit'!$AP$6,D19=""),"",W18)))),"")</f>
        <v>0</v>
      </c>
      <c r="X19" s="186">
        <f>IFERROR(IF(D19="","",IF(AND(E19=""),"",IF(AND(D19=$AX$27),"",IF(OR('Master Data'!$I$28='GA55 Check &amp; Edit'!$AP$6,D19=""),"",IF('Master Data'!$N$36="NO",0,IF(D19='Master Data'!$N$40,'Master Data'!$G$43,0)))))),"")</f>
        <v>0</v>
      </c>
      <c r="Y19" s="186">
        <f>IFERROR(IF(D19="","",IF(AND(E19=""),"",IF(AND(D19=$AX$27),"",IF(OR('Master Data'!$I$28='GA55 Check &amp; Edit'!$AP$6,D19=""),"",Y18)))),"")</f>
        <v>0</v>
      </c>
      <c r="Z19" s="186">
        <f>IFERROR(IF(OR('Master Data'!$I$28='GA55 Check &amp; Edit'!$AP$6),"",IF(D19="","",IF(E19="","",VLOOKUP(D19,ram,9,0)))),"")</f>
        <v>0</v>
      </c>
      <c r="AA19" s="186" t="str">
        <f>IFERROR(IF(OR('Master Data'!$I$28='GA55 Check &amp; Edit'!$AP$6,D19=""),"",IF(AND(E19=""),"",IF('GA55 Check &amp; Edit'!D19='GA55 Check &amp; Edit'!$AT$9,220,""))),"")</f>
        <v/>
      </c>
      <c r="AB19" s="251">
        <f>IFERROR(IF(D19="","",IF(AND(O19=""),"",IF(AND('Master Data'!$H$18='GA55 Check &amp; Edit'!$AO$5,'Master Data'!$I$30='GA55 Check &amp; Edit'!$AN$6),SUM(P19:AA19)+N19,SUM(P19:AA19)))),"")</f>
        <v>13113</v>
      </c>
      <c r="AC19" s="252">
        <f t="shared" si="2"/>
        <v>60191</v>
      </c>
      <c r="AD19" s="188"/>
      <c r="AE19" s="193"/>
      <c r="AF19" s="37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 t="s">
        <v>34</v>
      </c>
      <c r="AT19" s="268">
        <v>44593</v>
      </c>
      <c r="AU19" s="58" t="s">
        <v>89</v>
      </c>
      <c r="AV19" s="58"/>
      <c r="AW19" s="274" t="s">
        <v>2</v>
      </c>
      <c r="AX19" s="275">
        <v>44470</v>
      </c>
      <c r="AY19" s="273">
        <v>10</v>
      </c>
      <c r="AZ19" s="273"/>
      <c r="BA19" s="280">
        <f>IF(AND('Master Data'!$E$36=""),"",IF(AND('Master Data'!$I$28='GA55 Check &amp; Edit'!$AP$6),'GA55 Check &amp; Edit'!$AZ$15,BU19))</f>
        <v>53900</v>
      </c>
      <c r="BB19" s="273">
        <f t="shared" si="11"/>
        <v>53900</v>
      </c>
      <c r="BC19" s="273">
        <f>IF(AND('Master Data'!$E$36=""),"",IF($AM$5=$AO$5,ROUND(28%*BA19,0),ROUND(17%*BA19,0)))</f>
        <v>15092</v>
      </c>
      <c r="BD19" s="273">
        <f t="shared" si="13"/>
        <v>15092</v>
      </c>
      <c r="BE19" s="273">
        <f>IFERROR(IF(OR('Master Data'!I34&gt;11,'Master Data'!E34=AO5),ROUND(AZ21/31*2,0),IF(AND('Master Data'!I34&gt;=10,'Master Data'!E34=AO6),ROUND(AZ21/31*1,0),IF(AND('Master Data'!I34&gt;4,'Master Data'!D18=AO5),ROUND(AZ21/31*1,0),"0"))),"")</f>
        <v>2109</v>
      </c>
      <c r="BF19" s="287">
        <f>'Master Data'!I47</f>
        <v>0</v>
      </c>
      <c r="BG19" s="280">
        <f>IF(AND('Master Data'!$I$28='GA55 Check &amp; Edit'!$AP$6),"",IF(AND('Master Data'!$I$30='GA55 Check &amp; Edit'!$AN$5),IF($AZ$18&lt;18001,265,IF($AZ$18&lt;33501,440,IF($AZ$18&lt;54001,658,875)))))</f>
        <v>658</v>
      </c>
      <c r="BH19" s="280">
        <f>IFERROR(IF(OR('Master Data'!$I$28='GA55 Check &amp; Edit'!$AP$6),"",'Master Data'!$G$43),"")</f>
        <v>7000</v>
      </c>
      <c r="BI19" s="282">
        <f>IFERROR(IF(AND('Master Data'!$I$30='GA55 Check &amp; Edit'!$AN$6),ROUND((E15)*0.1,0),IF(AND('Master Data'!$I$28='GA55 Check &amp; Edit'!$AP$6),ROUND((E15+F15)*0.1,0),'Master Data'!$H$43)),"")</f>
        <v>3575</v>
      </c>
      <c r="BJ19" s="280">
        <f t="shared" si="14"/>
        <v>52300</v>
      </c>
      <c r="BK19" s="283">
        <v>44470</v>
      </c>
      <c r="BL19" s="283">
        <f>IFERROR(IF('Master Data'!$E$36="","",IF('Master Data'!$F$40="","",IF(AND($AZ$17&gt;$AZ$9),"",DATE(YEAR(BL18),MONTH(BL18)+1,DAY(BL18))))),"")</f>
        <v>44470</v>
      </c>
      <c r="BM19" s="284">
        <f>IFERROR(IF('Master Data'!$E$36="","",IF('Master Data'!$F$40="","",IF(AND($AZ$17&gt;$AZ$9),"",DATE(YEAR(BM18),MONTH(BM18)+1,DAY(BM18))))),"")</f>
        <v>44470</v>
      </c>
      <c r="BN19" s="284">
        <f t="shared" si="6"/>
        <v>44470</v>
      </c>
      <c r="BO19" s="284">
        <f t="shared" si="7"/>
        <v>44470</v>
      </c>
      <c r="BP19" s="284"/>
      <c r="BQ19" s="284">
        <f t="shared" si="8"/>
        <v>44470</v>
      </c>
      <c r="BR19" s="284"/>
      <c r="BS19" s="285" t="str">
        <f t="shared" ca="1" si="9"/>
        <v/>
      </c>
      <c r="BT19" s="285"/>
      <c r="BU19" s="285">
        <f>IF(AND('Master Data'!$I$38='GA55 Check &amp; Edit'!AX19),'Master Data'!$I$36,BU18)</f>
        <v>53900</v>
      </c>
      <c r="BV19" s="284"/>
      <c r="BW19" s="58"/>
      <c r="BX19" s="285">
        <f t="shared" si="10"/>
        <v>0</v>
      </c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</row>
    <row r="20" spans="1:103" s="33" customFormat="1" ht="21" customHeight="1">
      <c r="A20" s="33">
        <f t="shared" si="0"/>
        <v>1</v>
      </c>
      <c r="B20" s="43">
        <f>IF(LEN(D20)&gt;=3,B19+1,0)</f>
        <v>13</v>
      </c>
      <c r="C20" s="44">
        <f t="shared" si="5"/>
        <v>13</v>
      </c>
      <c r="D20" s="298" t="str">
        <f t="shared" si="1"/>
        <v>Bonus</v>
      </c>
      <c r="E20" s="182" t="str">
        <f>IFERROR(IF(D20="","",IF(AND(BQ24=""),"",IF(AND('Master Data'!$I$28='GA55 Check &amp; Edit'!$AP$6),VLOOKUP(D20,ram,13,0),VLOOKUP(D20,ram,4,0)))),"")</f>
        <v/>
      </c>
      <c r="F20" s="183" t="str">
        <f>IFERROR(IF(D20="","",IF(D20=$AX$24,"",IF(AND(D20=$AX$25),$BC$25,IF(AND(D20=$AX$26),$BC$26,IF(AND(D20=$AX$27),$BC$27,IF(AND(D20=$AX$28),"",IF(AND(D20=$AX$29),"",IF(AND('Master Data'!$I$28='GA55 Check &amp; Edit'!$AP$6),"",VLOOKUP(D20,ram,7,0))))))))),"")</f>
        <v/>
      </c>
      <c r="G20" s="183" t="str">
        <f>IF(AND('Master Data'!$I$28='GA55 Check &amp; Edit'!$AP$6),"",IF(AND(D20=""),"",IF(AND(D20=$AX$27),"",IF(AND(E20=""),"",ROUND('Master Data'!$E$30%*E20,0)))))</f>
        <v/>
      </c>
      <c r="H20" s="184" t="str">
        <f>IFERROR(IF(D20="","",IF(AND(E20=""),"",IF(AND(D20=$AX$27),"",IF(AND('Master Data'!$I$28='GA55 Check &amp; Edit'!$AP$6),"",'Master Data'!$B$43)))),"")</f>
        <v/>
      </c>
      <c r="I20" s="184" t="str">
        <f>IFERROR(IF(D20="","",IF(AND(E20=""),"",IF(AND(D20=$AX$27),"",IF(AND('Master Data'!$I$28='GA55 Check &amp; Edit'!$AP$6),"",'Master Data'!$E$28)))),"")</f>
        <v/>
      </c>
      <c r="J20" s="184" t="str">
        <f>IFERROR(IF(OR('Master Data'!$E$32=$AO$6,'Master Data'!$E$32=""),"",IF(D20="","",IF(AND(E20=""),"",IF(AND(D20=$AX$27),"",IF(AND('Master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184" t="str">
        <f>IFERROR(IF(D20="","",IF(AND(E20=""),"",IF(AND(D20=$AX$27),"",IF(AND('Master Data'!$I$28='GA55 Check &amp; Edit'!$AP$6),"",'Master Data'!$E$43)))),"")</f>
        <v/>
      </c>
      <c r="L20" s="184" t="str">
        <f>IFERROR(IF(D20="","",IF(AND(E20=""),"",IF(AND(D20=$AX$27),"",IF(AND('Master Data'!$I$28='GA55 Check &amp; Edit'!$AP$6),"",'Master Data'!$F$43)))),"")</f>
        <v/>
      </c>
      <c r="M20" s="185">
        <f>IFERROR(IF(D20="","",IF(AND('Master Data'!$I$28='GA55 Check &amp; Edit'!$AP$6),"",IF(AND('Master Data'!$I$24='GA55 Check &amp; Edit'!$AO$6),"",IF(AND(D20="Bonus"),VLOOKUP(D20,ram,4,0),"")))),"")</f>
        <v>6774</v>
      </c>
      <c r="N20" s="184" t="str">
        <f>IFERROR(IF(AND(D20=""),"",IF(AND(D20=$AX$25,'Master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Edit'!$AN$5),"",IF(AND('Master Data'!$I$30='GA55 Check &amp; Edit'!$AN$6,'Master Data'!$I$28='GA55 Check &amp; Edit'!$AP$6),ROUND((E20)*0.1,0),ROUND((E20+F20)*0.1,0))))))),"")</f>
        <v/>
      </c>
      <c r="O20" s="250">
        <f>IF(D20="","",IF('Master Data'!$H$18='GA55 Check &amp; Edit'!$AO$5,SUM(E20:N20),SUM(E20:M20)))</f>
        <v>6774</v>
      </c>
      <c r="P20" s="186" t="str">
        <f>IFERROR(IF(OR('Master Data'!$I$28='GA55 Check &amp; Edit'!$AP$6,D20=""),"",IF(AND(D20=$AX$27),"",IF(AND(E20=""),"",VLOOKUP(D20,ram,11,0)))),"")</f>
        <v/>
      </c>
      <c r="Q20" s="186">
        <f>IFERROR(IF(AND(D20=""),"",IF(AND(D20=$AX$24,'Master Data'!$I$30='GA55 Check &amp; Edit'!$AN$5),ROUND((M20)*0.75,0),IF(AND(D20=$AX$25,'Master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Edit'!$AN$6,'Master Data'!$I$28='GA55 Check &amp; Edit'!$AP$6),ROUND((E20)*0.1,0),IF(AND('Master Data'!$I$30='GA55 Check &amp; Edit'!$AN$6,'Master Data'!$I$28='GA55 Check &amp; Edit'!$AP$5),ROUND((E20+F20)*0.1,0),IF(AND('Master Data'!$I$30='GA55 Check &amp; Edit'!$AN$5,'Master Data'!$I$28='GA55 Check &amp; Edit'!$AP$5),VLOOKUP(D20,ram,12,0))))))))),"")</f>
        <v>5081</v>
      </c>
      <c r="R20" s="186" t="str">
        <f>IFERROR(IF(OR('Master Data'!$I$28='GA55 Check &amp; Edit'!$AP$6,D20=""),"",IF(AND(D20=$AX$27),"",IF(AND(D20=$AX$30),"",IF(AND(E20=""),"",'Master Data'!$I$43)))),"")</f>
        <v/>
      </c>
      <c r="S20" s="186" t="str">
        <f>IFERROR(IF(OR('Master Data'!$I$28='GA55 Check &amp; Edit'!$AP$6),"",IF(D20="","",IF(E20="","",IF(AND(D20=$AX$27),"",IF(AND('Master Data'!$I$30='GA55 Check &amp; Edit'!$AN$5),VLOOKUP(D20,ram,10,0),"0"))))),"")</f>
        <v/>
      </c>
      <c r="T20" s="186" t="str">
        <f>IFERROR(IF(OR('Master Data'!$I$28='GA55 Check &amp; Edit'!$AP$6,D20=""),"",IF(AND(D20=$AX$27),"",IF(AND(E20=""),"",'Master Data'!$K$43))),"")</f>
        <v/>
      </c>
      <c r="U20" s="186" t="str">
        <f>IFERROR(IF(OR('Master Data'!$I$28='GA55 Check &amp; Edit'!$AP$6,D20=""),"",IF(AND(D20=$AX$27),"",IF(AND(E20=""),"",'Master Data'!$L$43))),"")</f>
        <v/>
      </c>
      <c r="V20" s="186" t="str">
        <f>IFERROR(IF(D20="","",IF(AND('Master Data'!$I$28='GA55 Check &amp; Edit'!$AP$6),"",IF(AND('Master Data'!$I$24='GA55 Check &amp; Edit'!$AO$6),"0",IF(AND(D20="Bonus",'Master Data'!$I$30='GA55 Check &amp; Edit'!$AN$6),ROUND((M20)*0.75,0),"")))),"")</f>
        <v/>
      </c>
      <c r="W20" s="186" t="str">
        <f>IFERROR(IF(OR('Master Data'!$E$24='GA55 Check &amp; Edit'!$AQ$6,'Master Data'!$E$24='GA55 Check &amp; Edit'!$AQ$7),"",IF(AND(D20=$AX$27),"",IF(D20="","",IF(E20="","",VLOOKUP(D20,ram,8,0))))),"")</f>
        <v/>
      </c>
      <c r="X20" s="186" t="str">
        <f>IFERROR(IF(D20="","",IF(AND(E20=""),"",IF(AND(D20=$AX$27),"",IF(OR('Master Data'!$I$28='GA55 Check &amp; Edit'!$AP$6,D20=""),"",IF('Master Data'!$N$36="NO",0,IF(D20='Master Data'!$N$40,'Master Data'!$G$43,0)))))),"")</f>
        <v/>
      </c>
      <c r="Y20" s="186" t="str">
        <f>IFERROR(IF(D20="","",IF(AND(E20=""),"",IF(AND(D20=$AX$27),"",IF(OR('Master Data'!$I$28='GA55 Check &amp; Edit'!$AP$6,D20=""),"",$Y$7)))),"")</f>
        <v/>
      </c>
      <c r="Z20" s="186"/>
      <c r="AA20" s="186" t="str">
        <f>IFERROR(IF(OR('Master Data'!$I$28='GA55 Check &amp; Edit'!$AP$6,D20=""),"",IF(AND(E20=""),"",IF('GA55 Check &amp; Edit'!D20='GA55 Check &amp; Edit'!$AT$9,220,""))),"")</f>
        <v/>
      </c>
      <c r="AB20" s="251">
        <f>IFERROR(IF(D20="","",IF(AND(O20=""),"",IF('Master Data'!$H$18='GA55 Check &amp; Edit'!$AO$5,SUM(P20:AA20),SUM(P20:AA20)))),"")</f>
        <v>5081</v>
      </c>
      <c r="AC20" s="252">
        <f t="shared" si="2"/>
        <v>1693</v>
      </c>
      <c r="AD20" s="188"/>
      <c r="AE20" s="193"/>
      <c r="AF20" s="37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 t="s">
        <v>90</v>
      </c>
      <c r="AV20" s="58"/>
      <c r="AW20" s="274" t="s">
        <v>31</v>
      </c>
      <c r="AX20" s="275">
        <v>44501</v>
      </c>
      <c r="AY20" s="273">
        <v>11</v>
      </c>
      <c r="AZ20" s="273">
        <f>ROUND(17%*AZ18,0)+ROUND(AZ18*'Master Data'!E30%,0)</f>
        <v>13075</v>
      </c>
      <c r="BA20" s="280">
        <f>IF(AND('Master Data'!$E$36=""),"",IF(AND('Master Data'!$I$28='GA55 Check &amp; Edit'!$AP$6),'GA55 Check &amp; Edit'!$AZ$15,BU20))</f>
        <v>53900</v>
      </c>
      <c r="BB20" s="273">
        <f t="shared" si="11"/>
        <v>53900</v>
      </c>
      <c r="BC20" s="273">
        <f>IF(AND('Master Data'!$E$36=""),"",IF($AM$5=$AO$5,ROUND(28%*BA20,0),ROUND(17%*BA20,0)))</f>
        <v>15092</v>
      </c>
      <c r="BD20" s="273">
        <f t="shared" si="13"/>
        <v>15092</v>
      </c>
      <c r="BE20" s="281">
        <f>IFERROR(IF('Master Data'!$N$34=$AO$5,0,IF(OR('Master Data'!$I$34&gt;11,'Master Data'!$E$34=$AO$5),ROUND($AZ$21/30*2,0),IF(AND('Master Data'!$I$34&gt;=10,'Master Data'!$E$34=$AO$6),ROUND($AZ$21/30*1,0),IF(AND('Master Data'!$I$34&gt;4,'Master Data'!$D$18=$AO$5),ROUND($AZ$21/30*1,0),"0")))),"")</f>
        <v>2179</v>
      </c>
      <c r="BF20" s="280">
        <f>'Master Data'!J47</f>
        <v>0</v>
      </c>
      <c r="BG20" s="280">
        <f>IF(AND('Master Data'!$I$28='GA55 Check &amp; Edit'!$AP$6),"",IF(AND('Master Data'!$I$30='GA55 Check &amp; Edit'!$AN$5),IF($AZ$18&lt;18001,265,IF($AZ$18&lt;33501,440,IF($AZ$18&lt;54001,658,875)))))</f>
        <v>658</v>
      </c>
      <c r="BH20" s="280">
        <f>IFERROR(IF(OR('Master Data'!$I$28='GA55 Check &amp; Edit'!$AP$6),"",'Master Data'!$G$43),"")</f>
        <v>7000</v>
      </c>
      <c r="BI20" s="282">
        <f>IFERROR(IF(AND('Master Data'!$I$30='GA55 Check &amp; Edit'!$AN$6),ROUND((E16)*0.1,0),IF(AND('Master Data'!$I$28='GA55 Check &amp; Edit'!$AP$6),ROUND((E16+F16)*0.1,0),'Master Data'!$H$43)),"")</f>
        <v>3575</v>
      </c>
      <c r="BJ20" s="280">
        <f t="shared" si="14"/>
        <v>52300</v>
      </c>
      <c r="BK20" s="283">
        <v>44501</v>
      </c>
      <c r="BL20" s="283">
        <f>IFERROR(IF('Master Data'!$E$36="","",IF('Master Data'!$F$40="","",IF(AND($AZ$17&gt;$AZ$9),"",DATE(YEAR(BL19),MONTH(BL19)+1,DAY(BL19))))),"")</f>
        <v>44501</v>
      </c>
      <c r="BM20" s="284">
        <f>IFERROR(IF('Master Data'!$E$36="","",IF('Master Data'!$F$40="","",IF(AND($AZ$17&gt;$AZ$9),"",DATE(YEAR(BM19),MONTH(BM19)+1,DAY(BM19))))),"")</f>
        <v>44501</v>
      </c>
      <c r="BN20" s="284">
        <f t="shared" si="6"/>
        <v>44501</v>
      </c>
      <c r="BO20" s="284">
        <f t="shared" si="7"/>
        <v>44501</v>
      </c>
      <c r="BP20" s="284"/>
      <c r="BQ20" s="284">
        <f t="shared" si="8"/>
        <v>44501</v>
      </c>
      <c r="BR20" s="284"/>
      <c r="BS20" s="285" t="str">
        <f t="shared" ca="1" si="9"/>
        <v/>
      </c>
      <c r="BT20" s="285"/>
      <c r="BU20" s="285">
        <f>IF(AND('Master Data'!$I$38='GA55 Check &amp; Edit'!AX20),'Master Data'!$I$36,BU19)</f>
        <v>53900</v>
      </c>
      <c r="BV20" s="284"/>
      <c r="BW20" s="58"/>
      <c r="BX20" s="285">
        <f t="shared" si="10"/>
        <v>0</v>
      </c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</row>
    <row r="21" spans="1:103" s="33" customFormat="1" ht="21" customHeight="1">
      <c r="A21" s="33">
        <f t="shared" si="0"/>
        <v>0</v>
      </c>
      <c r="B21" s="43">
        <f t="shared" si="3"/>
        <v>14</v>
      </c>
      <c r="C21" s="44">
        <f t="shared" si="5"/>
        <v>14</v>
      </c>
      <c r="D21" s="298" t="str">
        <f t="shared" si="1"/>
        <v>PL Surrender</v>
      </c>
      <c r="E21" s="182" t="str">
        <f>IFERROR(IF(D21="","",IF(AND(BQ25=""),"",IF(AND('Master Data'!$I$28='GA55 Check &amp; Edit'!$AP$6),VLOOKUP(D21,ram,13,0),VLOOKUP(D21,ram,4,0)))),"")</f>
        <v/>
      </c>
      <c r="F21" s="183" t="str">
        <f>IFERROR(IF(D21="","",IF(D21=$AX$24,"",IF(AND(D21=$AX$25),$BC$25,IF(AND(D21=$AX$26),$BC$26,IF(AND(D21=$AX$27),$BC$27,IF(AND(D21=$AX$28),"",IF(AND(D21=$AX$29),"",IF(AND('Master Data'!$I$28='GA55 Check &amp; Edit'!$AP$6),"",VLOOKUP(D21,ram,7,0))))))))),"")</f>
        <v/>
      </c>
      <c r="G21" s="183" t="str">
        <f>IF(AND('Master Data'!$I$28='GA55 Check &amp; Edit'!$AP$6),"",IF(AND(D21=""),"",IF(AND(D21=$AX$27),"",IF(AND(E21=""),"",ROUND('Master Data'!$E$30%*E21,0)))))</f>
        <v/>
      </c>
      <c r="H21" s="184" t="str">
        <f>IFERROR(IF(D21="","",IF(AND(E21=""),"",IF(AND(D21=$AX$27),"",IF(AND('Master Data'!$I$28='GA55 Check &amp; Edit'!$AP$6),"",'Master Data'!$B$43)))),"")</f>
        <v/>
      </c>
      <c r="I21" s="184" t="str">
        <f>IFERROR(IF(D21="","",IF(AND(E21=""),"",IF(AND(D21=$AX$27),"",IF(AND('Master Data'!$I$28='GA55 Check &amp; Edit'!$AP$6),"",'Master Data'!$E$28)))),"")</f>
        <v/>
      </c>
      <c r="J21" s="184" t="str">
        <f>IFERROR(IF(OR('Master Data'!$E$32=$AO$6,'Master Data'!$E$32=""),"",IF(D21="","",IF(AND(E21=""),"",IF(AND(D21=$AX$27),"",IF(AND('Master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184" t="str">
        <f>IFERROR(IF(D21="","",IF(AND(E21=""),"",IF(AND(D21=$AX$27),"",IF(AND('Master Data'!$I$28='GA55 Check &amp; Edit'!$AP$6),"",'Master Data'!$E$43)))),"")</f>
        <v/>
      </c>
      <c r="L21" s="184" t="str">
        <f>IFERROR(IF(D21="","",IF(AND(E21=""),"",IF(AND(D21=$AX$27),"",IF(AND('Master Data'!$I$28='GA55 Check &amp; Edit'!$AP$6),"",'Master Data'!$F$43)))),"")</f>
        <v/>
      </c>
      <c r="M21" s="184"/>
      <c r="N21" s="184" t="str">
        <f>IFERROR(IF(AND(D21=""),"",IF(AND(D21=$AX$25,'Master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Edit'!$AN$5),"",IF(AND('Master Data'!$I$30='GA55 Check &amp; Edit'!$AN$6,'Master Data'!$I$28='GA55 Check &amp; Edit'!$AP$6),ROUND((E21)*0.1,0),ROUND((E21+F21)*0.1,0))))))),"")</f>
        <v/>
      </c>
      <c r="O21" s="250">
        <f>IF(D21="","",IF('Master Data'!$H$18='GA55 Check &amp; Edit'!$AO$5,SUM(E21:N21),SUM(E21:M21)))</f>
        <v>0</v>
      </c>
      <c r="P21" s="186" t="str">
        <f>IFERROR(IF(OR('Master Data'!$I$28='GA55 Check &amp; Edit'!$AP$6,D21=""),"",IF(AND(D21=$AX$27),"",IF(AND(E21=""),"",VLOOKUP(D21,ram,11,0)))),"")</f>
        <v/>
      </c>
      <c r="Q21" s="186" t="str">
        <f>IFERROR(IF(AND(D21=""),"",IF(AND(D21=$AX$24,'Master Data'!$I$30='GA55 Check &amp; Edit'!$AN$5),ROUND((M21)*0.75,0),IF(AND(D21=$AX$25,'Master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Edit'!$AN$6,'Master Data'!$I$28='GA55 Check &amp; Edit'!$AP$6),ROUND((E21)*0.1,0),IF(AND('Master Data'!$I$30='GA55 Check &amp; Edit'!$AN$6,'Master Data'!$I$28='GA55 Check &amp; Edit'!$AP$5),ROUND((E21+F21)*0.1,0),IF(AND('Master Data'!$I$30='GA55 Check &amp; Edit'!$AN$5,'Master Data'!$I$28='GA55 Check &amp; Edit'!$AP$5),VLOOKUP(D21,ram,12,0))))))))),"")</f>
        <v/>
      </c>
      <c r="R21" s="186" t="str">
        <f>IFERROR(IF(OR('Master Data'!$I$28='GA55 Check &amp; Edit'!$AP$6,D21=""),"",IF(AND(D21=$AX$27),"",IF(AND(D21=$AX$30),"",IF(AND(E21=""),"",'Master Data'!$I$43)))),"")</f>
        <v/>
      </c>
      <c r="S21" s="186" t="str">
        <f>IFERROR(IF(OR('Master Data'!$I$28='GA55 Check &amp; Edit'!$AP$6),"",IF(D21="","",IF(E21="","",IF(AND(D21=$AX$27),"",IF(AND('Master Data'!$I$30='GA55 Check &amp; Edit'!$AN$5),VLOOKUP(D21,ram,10,0),"0"))))),"")</f>
        <v/>
      </c>
      <c r="T21" s="186" t="str">
        <f>IFERROR(IF(OR('Master Data'!$I$28='GA55 Check &amp; Edit'!$AP$6,D21=""),"",IF(AND(D21=$AX$27),"",IF(AND(E21=""),"",'Master Data'!$K$43))),"")</f>
        <v/>
      </c>
      <c r="U21" s="186" t="str">
        <f>IFERROR(IF(OR('Master Data'!$I$28='GA55 Check &amp; Edit'!$AP$6,D21=""),"",IF(AND(D21=$AX$27),"",IF(AND(E21=""),"",'Master Data'!$L$43))),"")</f>
        <v/>
      </c>
      <c r="V21" s="186" t="str">
        <f>IFERROR(IF(D21="","",IF(AND('Master Data'!$I$28='GA55 Check &amp; Edit'!$AP$6),"",IF(AND('Master Data'!$I$24='GA55 Check &amp; Edit'!$AO$6),"0",IF(AND(D21="Bonus",'Master Data'!$I$30='GA55 Check &amp; Edit'!$AN$6),ROUND((M21)*0.75,0),"")))),"")</f>
        <v/>
      </c>
      <c r="W21" s="186" t="str">
        <f>IFERROR(IF(OR('Master Data'!$E$24='GA55 Check &amp; Edit'!$AQ$6,'Master Data'!$E$24='GA55 Check &amp; Edit'!$AQ$7),"",IF(AND(D21=$AX$27),"",IF(D21="","",IF(E21="","",VLOOKUP(D21,ram,8,0))))),"")</f>
        <v/>
      </c>
      <c r="X21" s="186" t="str">
        <f>IFERROR(IF(D21="","",IF(AND(E21=""),"",IF(AND(D21=$AX$27),"",IF(OR('Master Data'!$I$28='GA55 Check &amp; Edit'!$AP$6,D21=""),"",IF('Master Data'!$N$36="NO",0,IF(D21='Master Data'!$N$40,'Master Data'!$G$43,0)))))),"")</f>
        <v/>
      </c>
      <c r="Y21" s="186" t="str">
        <f>IFERROR(IF(D21="","",IF(AND(E21=""),"",IF(AND(D21=$AX$27),"",IF(OR('Master Data'!$I$28='GA55 Check &amp; Edit'!$AP$6,D21=""),"",$Y$7)))),"")</f>
        <v/>
      </c>
      <c r="Z21" s="186"/>
      <c r="AA21" s="186" t="str">
        <f>IFERROR(IF(OR('Master Data'!$I$28='GA55 Check &amp; Edit'!$AP$6,D21=""),"",IF(AND(E21=""),"",IF('GA55 Check &amp; Edit'!D21='GA55 Check &amp; Edit'!$AT$9,220,""))),"")</f>
        <v/>
      </c>
      <c r="AB21" s="251">
        <f>IFERROR(IF(D21="","",IF(AND(O21=""),"",IF(AND('Master Data'!$H$18='GA55 Check &amp; Edit'!$AO$5,'Master Data'!$I$30='GA55 Check &amp; Edit'!$AN$6),SUM(P21:AA21)+N21,SUM(P21:AA21)))),"")</f>
        <v>0</v>
      </c>
      <c r="AC21" s="252">
        <f t="shared" si="2"/>
        <v>0</v>
      </c>
      <c r="AD21" s="188"/>
      <c r="AE21" s="193"/>
      <c r="AF21" s="37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 t="s">
        <v>91</v>
      </c>
      <c r="AV21" s="58"/>
      <c r="AW21" s="274" t="s">
        <v>34</v>
      </c>
      <c r="AX21" s="275">
        <v>44531</v>
      </c>
      <c r="AY21" s="273">
        <v>12</v>
      </c>
      <c r="AZ21" s="273">
        <f>AZ18+AZ20</f>
        <v>65375</v>
      </c>
      <c r="BA21" s="280">
        <f>IF(AND('Master Data'!$E$36=""),"",IF(AND('Master Data'!$I$28='GA55 Check &amp; Edit'!$AP$6),'GA55 Check &amp; Edit'!$AZ$15,BU21))</f>
        <v>53900</v>
      </c>
      <c r="BB21" s="273">
        <f t="shared" si="11"/>
        <v>53900</v>
      </c>
      <c r="BC21" s="273">
        <f>IF(AND('Master Data'!$E$36=""),"",IF($AM$5=$AO$5,ROUND(28%*BA21,0),ROUND(17%*BA21,0)))</f>
        <v>15092</v>
      </c>
      <c r="BD21" s="273">
        <f t="shared" si="13"/>
        <v>15092</v>
      </c>
      <c r="BE21" s="281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2109</v>
      </c>
      <c r="BF21" s="280">
        <f>'Master Data'!K47</f>
        <v>0</v>
      </c>
      <c r="BG21" s="280">
        <f>IF(AND('Master Data'!$I$28='GA55 Check &amp; Edit'!$AP$6),"",IF(AND('Master Data'!$I$30='GA55 Check &amp; Edit'!$AN$5),IF($AZ$18&lt;18001,265,IF($AZ$18&lt;33501,440,IF($AZ$18&lt;54001,658,875)))))</f>
        <v>658</v>
      </c>
      <c r="BH21" s="280">
        <f>IFERROR(IF(OR('Master Data'!$I$28='GA55 Check &amp; Edit'!$AP$6),"",'Master Data'!$G$43),"")</f>
        <v>7000</v>
      </c>
      <c r="BI21" s="282">
        <f>IFERROR(IF(AND('Master Data'!$I$30='GA55 Check &amp; Edit'!$AN$6),ROUND((E17)*0.1,0),IF(AND('Master Data'!$I$28='GA55 Check &amp; Edit'!$AP$6),ROUND((E17+F17)*0.1,0),'Master Data'!$H$43)),"")</f>
        <v>3575</v>
      </c>
      <c r="BJ21" s="280">
        <f t="shared" si="14"/>
        <v>52300</v>
      </c>
      <c r="BK21" s="283">
        <v>44531</v>
      </c>
      <c r="BL21" s="283">
        <f>IFERROR(IF('Master Data'!$E$36="","",IF('Master Data'!$F$40="","",IF(AND($AZ$17&gt;$AZ$9),"",DATE(YEAR(BL20),MONTH(BL20)+1,DAY(BL20))))),"")</f>
        <v>44531</v>
      </c>
      <c r="BM21" s="284">
        <f>IFERROR(IF('Master Data'!$E$36="","",IF('Master Data'!$F$40="","",IF(AND($AZ$17&gt;$AZ$9),"",DATE(YEAR(BM20),MONTH(BM20)+1,DAY(BM20))))),"")</f>
        <v>44531</v>
      </c>
      <c r="BN21" s="284">
        <f t="shared" si="6"/>
        <v>44531</v>
      </c>
      <c r="BO21" s="284">
        <f>IFERROR(IF(AND(BL21=$BK$24),$BM$24,IF(AND(BL21=$BK$25),$BM$25,IF(AND(BL21=$BK$26),$BM$26,IF(AND(BL21=$BK$27),$BM$27,IF(AND(BL21=$BK$28),$BM$28,IF(AND(BL21=$BK$29),$BM$29,IF(AND(BL21=$BK$30),$BM$30,BN21))))))),"")</f>
        <v>44531</v>
      </c>
      <c r="BP21" s="284"/>
      <c r="BQ21" s="284">
        <f t="shared" si="8"/>
        <v>44531</v>
      </c>
      <c r="BR21" s="284"/>
      <c r="BS21" s="285"/>
      <c r="BT21" s="285"/>
      <c r="BU21" s="285">
        <f>IF(AND('Master Data'!$I$38='GA55 Check &amp; Edit'!AX21),'Master Data'!$I$36,BU20)</f>
        <v>53900</v>
      </c>
      <c r="BV21" s="284"/>
      <c r="BW21" s="58"/>
      <c r="BX21" s="285">
        <f t="shared" si="10"/>
        <v>0</v>
      </c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</row>
    <row r="22" spans="1:103" s="33" customFormat="1" ht="21" customHeight="1">
      <c r="A22" s="33">
        <f t="shared" si="0"/>
        <v>1</v>
      </c>
      <c r="B22" s="43">
        <f t="shared" si="3"/>
        <v>15</v>
      </c>
      <c r="C22" s="44">
        <f t="shared" si="5"/>
        <v>15</v>
      </c>
      <c r="D22" s="298" t="str">
        <f t="shared" si="1"/>
        <v xml:space="preserve">DA Arrear </v>
      </c>
      <c r="E22" s="182" t="str">
        <f>IFERROR(IF(D22="","",IF(AND(BQ26=""),"",IF(AND('Master Data'!$I$28='GA55 Check &amp; Edit'!$AP$6),VLOOKUP(D22,ram,13,0),VLOOKUP(D22,ram,4,0)))),"")</f>
        <v/>
      </c>
      <c r="F22" s="183">
        <f>IFERROR(IF(D22="","",IF(D22=$AX$24,"",IF(AND(D22=$AX$25),$BC$25,IF(AND(D22=$AX$26),$BC$26,IF(AND(D22=$AX$27),$BC$27,IF(AND(D22=$AX$28),"",IF(AND(D22=$AX$29),"",IF(AND('Master Data'!$I$28='GA55 Check &amp; Edit'!$AP$6),"",VLOOKUP(D22,ram,7,0))))))))),"")</f>
        <v>0</v>
      </c>
      <c r="G22" s="183" t="str">
        <f>IF(AND('Master Data'!$I$28='GA55 Check &amp; Edit'!$AP$6),"",IF(AND(D22=""),"",IF(AND(D22=$AX$27),"",IF(AND(E22=""),"",ROUND('Master Data'!$E$30%*E22,0)))))</f>
        <v/>
      </c>
      <c r="H22" s="184" t="str">
        <f>IFERROR(IF(D22="","",IF(AND(E22=""),"",IF(AND(D22=$AX$27),"",IF(AND('Master Data'!$I$28='GA55 Check &amp; Edit'!$AP$6),"",'Master Data'!$B$43)))),"")</f>
        <v/>
      </c>
      <c r="I22" s="184" t="str">
        <f>IFERROR(IF(D22="","",IF(AND(E22=""),"",IF(AND(D22=$AX$27),"",IF(AND('Master Data'!$I$28='GA55 Check &amp; Edit'!$AP$6),"",'Master Data'!$E$28)))),"")</f>
        <v/>
      </c>
      <c r="J22" s="184" t="str">
        <f>IFERROR(IF(OR('Master Data'!$E$32=$AO$6,'Master Data'!$E$32=""),"",IF(D22="","",IF(AND(E22=""),"",IF(AND(D22=$AX$27),"",IF(AND('Master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184" t="str">
        <f>IFERROR(IF(D22="","",IF(AND(E22=""),"",IF(AND(D22=$AX$27),"",IF(AND('Master Data'!$I$28='GA55 Check &amp; Edit'!$AP$6),"",'Master Data'!$E$43)))),"")</f>
        <v/>
      </c>
      <c r="L22" s="184" t="str">
        <f>IFERROR(IF(D22="","",IF(AND(E22=""),"",IF(AND(D22=$AX$27),"",IF(AND('Master Data'!$I$28='GA55 Check &amp; Edit'!$AP$6),"",'Master Data'!$F$43)))),"")</f>
        <v/>
      </c>
      <c r="M22" s="184"/>
      <c r="N22" s="184" t="str">
        <f>IFERROR(IF(AND(D22=""),"",IF(AND(D22=$AX$25,'Master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Edit'!$AN$5),"",IF(AND('Master Data'!$I$30='GA55 Check &amp; Edit'!$AN$6,'Master Data'!$I$28='GA55 Check &amp; Edit'!$AP$6),ROUND((E22)*0.1,0),ROUND((E22+F22)*0.1,0))))))),"")</f>
        <v/>
      </c>
      <c r="O22" s="250">
        <f>IF(D22="","",IF('Master Data'!$H$18='GA55 Check &amp; Edit'!$AO$5,SUM(E22:N22),SUM(E22:M22)))</f>
        <v>0</v>
      </c>
      <c r="P22" s="186" t="str">
        <f>IFERROR(IF(OR('Master Data'!$I$28='GA55 Check &amp; Edit'!$AP$6,D22=""),"",IF(AND(D22=$AX$27),"",IF(AND(E22=""),"",VLOOKUP(D22,ram,11,0)))),"")</f>
        <v/>
      </c>
      <c r="Q22" s="186">
        <f>IFERROR(IF(AND(D22=""),"",IF(AND(D22=$AX$24,'Master Data'!$I$30='GA55 Check &amp; Edit'!$AN$5),ROUND((M22)*0.75,0),IF(AND(D22=$AX$25,'Master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Edit'!$AN$6,'Master Data'!$I$28='GA55 Check &amp; Edit'!$AP$6),ROUND((E22)*0.1,0),IF(AND('Master Data'!$I$30='GA55 Check &amp; Edit'!$AN$6,'Master Data'!$I$28='GA55 Check &amp; Edit'!$AP$5),ROUND((E22+F22)*0.1,0),IF(AND('Master Data'!$I$30='GA55 Check &amp; Edit'!$AN$5,'Master Data'!$I$28='GA55 Check &amp; Edit'!$AP$5),VLOOKUP(D22,ram,12,0))))))))),"")</f>
        <v>0</v>
      </c>
      <c r="R22" s="186" t="str">
        <f>IFERROR(IF(OR('Master Data'!$I$28='GA55 Check &amp; Edit'!$AP$6,D22=""),"",IF(AND(D22=$AX$27),"",IF(AND(D22=$AX$30),"",IF(AND(E22=""),"",'Master Data'!$I$43)))),"")</f>
        <v/>
      </c>
      <c r="S22" s="186" t="str">
        <f>IFERROR(IF(OR('Master Data'!$I$28='GA55 Check &amp; Edit'!$AP$6),"",IF(D22="","",IF(E22="","",IF(AND(D22=$AX$27),"",IF(AND('Master Data'!$I$30='GA55 Check &amp; Edit'!$AN$5),VLOOKUP(D22,ram,10,0),"0"))))),"")</f>
        <v/>
      </c>
      <c r="T22" s="186" t="str">
        <f>IFERROR(IF(OR('Master Data'!$I$28='GA55 Check &amp; Edit'!$AP$6,D22=""),"",IF(AND(D22=$AX$27),"",IF(AND(E22=""),"",'Master Data'!$K$43))),"")</f>
        <v/>
      </c>
      <c r="U22" s="186" t="str">
        <f>IFERROR(IF(OR('Master Data'!$I$28='GA55 Check &amp; Edit'!$AP$6,D22=""),"",IF(AND(D22=$AX$27),"",IF(AND(E22=""),"",'Master Data'!$L$43))),"")</f>
        <v/>
      </c>
      <c r="V22" s="186" t="str">
        <f>IFERROR(IF(D22="","",IF(AND('Master Data'!$I$28='GA55 Check &amp; Edit'!$AP$6),"",IF(AND('Master Data'!$I$24='GA55 Check &amp; Edit'!$AO$6),"0",IF(AND(D22="Bonus",'Master Data'!$I$30='GA55 Check &amp; Edit'!$AN$6),ROUND((M22)*0.75,0),"")))),"")</f>
        <v/>
      </c>
      <c r="W22" s="186" t="str">
        <f>IFERROR(IF(OR('Master Data'!$E$24='GA55 Check &amp; Edit'!$AQ$6,'Master Data'!$E$24='GA55 Check &amp; Edit'!$AQ$7),"",IF(AND(D22=$AX$27),"",IF(D22="","",IF(E22="","",VLOOKUP(D22,ram,8,0))))),"")</f>
        <v/>
      </c>
      <c r="X22" s="186" t="str">
        <f>IFERROR(IF(D22="","",IF(AND(E22=""),"",IF(AND(D22=$AX$27),"",IF(OR('Master Data'!$I$28='GA55 Check &amp; Edit'!$AP$6,D22=""),"",IF('Master Data'!$N$36="NO",0,IF(D22='Master Data'!$N$40,'Master Data'!$G$43,0)))))),"")</f>
        <v/>
      </c>
      <c r="Y22" s="186" t="str">
        <f>IFERROR(IF(D22="","",IF(AND(E22=""),"",IF(AND(D22=$AX$27),"",IF(OR('Master Data'!$I$28='GA55 Check &amp; Edit'!$AP$6,D22=""),"",$Y$7)))),"")</f>
        <v/>
      </c>
      <c r="Z22" s="186"/>
      <c r="AA22" s="186" t="str">
        <f>IFERROR(IF(OR('Master Data'!$I$28='GA55 Check &amp; Edit'!$AP$6,D22=""),"",IF(AND(E22=""),"",IF('GA55 Check &amp; Edit'!D22='GA55 Check &amp; Edit'!$AT$9,220,""))),"")</f>
        <v/>
      </c>
      <c r="AB22" s="251">
        <f>IFERROR(IF(D22="","",IF(AND(O22=""),"",IF(AND('Master Data'!$H$18='GA55 Check &amp; Edit'!$AO$5,'Master Data'!$I$30='GA55 Check &amp; Edit'!$AN$6),SUM(P22:AA22)+N22,SUM(P22:AA22)))),"")</f>
        <v>0</v>
      </c>
      <c r="AC22" s="252">
        <f t="shared" si="2"/>
        <v>0</v>
      </c>
      <c r="AD22" s="188"/>
      <c r="AE22" s="193"/>
      <c r="AF22" s="37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 t="s">
        <v>92</v>
      </c>
      <c r="AV22" s="58"/>
      <c r="AW22" s="274" t="s">
        <v>3</v>
      </c>
      <c r="AX22" s="275">
        <v>44562</v>
      </c>
      <c r="AY22" s="273">
        <v>1</v>
      </c>
      <c r="AZ22" s="273"/>
      <c r="BA22" s="280">
        <f>IF(AND('Master Data'!$E$36=""),"",IF(AND('Master Data'!$I$28='GA55 Check &amp; Edit'!$AP$6),'GA55 Check &amp; Edit'!$AZ$15,BU22))</f>
        <v>53900</v>
      </c>
      <c r="BB22" s="273">
        <f t="shared" si="11"/>
        <v>53900</v>
      </c>
      <c r="BC22" s="273">
        <f>IF(AND('Master Data'!$E$36=""),"",IF($AM$5=$AO$5,ROUND(28%*BA22,0),ROUND(17%*BA22,0)))</f>
        <v>15092</v>
      </c>
      <c r="BD22" s="273">
        <f t="shared" si="13"/>
        <v>15092</v>
      </c>
      <c r="BE22" s="281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2109</v>
      </c>
      <c r="BF22" s="280">
        <f>'Master Data'!L47</f>
        <v>0</v>
      </c>
      <c r="BG22" s="280">
        <f>IF(AND('Master Data'!$I$28='GA55 Check &amp; Edit'!$AP$6),"",IF(AND('Master Data'!$I$30='GA55 Check &amp; Edit'!$AN$5),IF($AZ$18&lt;18001,265,IF($AZ$18&lt;33501,440,IF($AZ$18&lt;54001,658,875)))))</f>
        <v>658</v>
      </c>
      <c r="BH22" s="280">
        <f>IFERROR(IF(OR('Master Data'!$I$28='GA55 Check &amp; Edit'!$AP$6),"",'Master Data'!$G$43),"")</f>
        <v>7000</v>
      </c>
      <c r="BI22" s="282">
        <f>IFERROR(IF(AND('Master Data'!$I$30='GA55 Check &amp; Edit'!$AN$6),ROUND((E18)*0.1,0),IF(AND('Master Data'!$I$28='GA55 Check &amp; Edit'!$AP$6),ROUND((E18+F18)*0.1,0),'Master Data'!$H$43)),"")</f>
        <v>3575</v>
      </c>
      <c r="BJ22" s="280">
        <f t="shared" si="14"/>
        <v>52300</v>
      </c>
      <c r="BK22" s="283">
        <v>44562</v>
      </c>
      <c r="BL22" s="283">
        <f>IFERROR(IF('Master Data'!$E$36="","",IF('Master Data'!$F$40="","",IF(AND($AZ$17&gt;$AZ$9),"",DATE(YEAR(BL21),MONTH(BL21)+1,DAY(BL21))))),"")</f>
        <v>44562</v>
      </c>
      <c r="BM22" s="284">
        <f>IFERROR(IF('Master Data'!$E$36="","",IF('Master Data'!$F$40="","",IF(AND($AZ$17&gt;$AZ$9),"",DATE(YEAR(BM21),MONTH(BM21)+1,DAY(BM21))))),"")</f>
        <v>44562</v>
      </c>
      <c r="BN22" s="284">
        <f t="shared" si="6"/>
        <v>44562</v>
      </c>
      <c r="BO22" s="284">
        <f t="shared" si="7"/>
        <v>44562</v>
      </c>
      <c r="BP22" s="284"/>
      <c r="BQ22" s="284">
        <f>IFERROR(IF(BM22="","",IF(D18=$AX$27,$AX$27,IF(BM22&gt;$AZ$17,"",BM22))),"")</f>
        <v>44562</v>
      </c>
      <c r="BR22" s="284"/>
      <c r="BS22" s="285"/>
      <c r="BT22" s="285"/>
      <c r="BU22" s="285">
        <f>IF(AND('Master Data'!$I$38='GA55 Check &amp; Edit'!AX22),'Master Data'!$I$36,BU21)</f>
        <v>53900</v>
      </c>
      <c r="BV22" s="284"/>
      <c r="BW22" s="58"/>
      <c r="BX22" s="285">
        <f t="shared" si="10"/>
        <v>0</v>
      </c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</row>
    <row r="23" spans="1:103" s="33" customFormat="1" ht="21" customHeight="1">
      <c r="A23" s="33">
        <f t="shared" si="0"/>
        <v>0</v>
      </c>
      <c r="B23" s="43">
        <f t="shared" si="3"/>
        <v>16</v>
      </c>
      <c r="C23" s="44">
        <f t="shared" si="5"/>
        <v>16</v>
      </c>
      <c r="D23" s="298" t="str">
        <f t="shared" si="1"/>
        <v>Fixation arear</v>
      </c>
      <c r="E23" s="182">
        <f>IFERROR(IF(D23="","",IF(AND(BQ27=""),"",IF(AND('Master Data'!$I$28='GA55 Check &amp; Edit'!$AP$6),VLOOKUP(D23,ram,13,0),VLOOKUP(D23,ram,4,0)))),"")</f>
        <v>0</v>
      </c>
      <c r="F23" s="183">
        <f>IFERROR(IF(D23="","",IF(D23=$AX$24,"",IF(AND(D23=$AX$25),$BC$25,IF(AND(D23=$AX$26),$BC$26,IF(AND(D23=$AX$27),$BC$27,IF(AND(D23=$AX$28),"",IF(AND(D23=$AX$29),"",IF(AND('Master Data'!$I$28='GA55 Check &amp; Edit'!$AP$6),"",VLOOKUP(D23,ram,7,0))))))))),"")</f>
        <v>0</v>
      </c>
      <c r="G23" s="183" t="str">
        <f>IF(AND('Master Data'!$I$28='GA55 Check &amp; Edit'!$AP$6),"",IF(AND(D23=""),"",IF(AND(D23=$AX$27),"",IF(AND(E23=""),"",ROUND('Master Data'!$E$30%*E23,0)))))</f>
        <v/>
      </c>
      <c r="H23" s="184" t="str">
        <f>IFERROR(IF(D23="","",IF(AND(E23=""),"",IF(AND(D23=$AX$27),"",IF(AND('Master Data'!$I$28='GA55 Check &amp; Edit'!$AP$6),"",'Master Data'!$B$43)))),"")</f>
        <v/>
      </c>
      <c r="I23" s="184" t="str">
        <f>IFERROR(IF(D23="","",IF(AND(E23=""),"",IF(AND(D23=$AX$27),"",IF(AND('Master Data'!$I$28='GA55 Check &amp; Edit'!$AP$6),"",'Master Data'!$E$28)))),"")</f>
        <v/>
      </c>
      <c r="J23" s="184" t="str">
        <f>IFERROR(IF(OR('Master Data'!$E$32=$AO$6,'Master Data'!$E$32=""),"",IF(D23="","",IF(AND(E23=""),"",IF(AND(D23=$AX$27),"",IF(AND('Master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184" t="str">
        <f>IFERROR(IF(D23="","",IF(AND(E23=""),"",IF(AND(D23=$AX$27),"",IF(AND('Master Data'!$I$28='GA55 Check &amp; Edit'!$AP$6),"",'Master Data'!$E$43)))),"")</f>
        <v/>
      </c>
      <c r="L23" s="184" t="str">
        <f>IFERROR(IF(D23="","",IF(AND(E23=""),"",IF(AND(D23=$AX$27),"",IF(AND('Master Data'!$I$28='GA55 Check &amp; Edit'!$AP$6),"",'Master Data'!$F$43)))),"")</f>
        <v/>
      </c>
      <c r="M23" s="184"/>
      <c r="N23" s="184" t="str">
        <f>IFERROR(IF(AND(D23=""),"",IF(AND(D23=$AX$25,'Master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Edit'!$AN$5),"",IF(AND('Master Data'!$I$30='GA55 Check &amp; Edit'!$AN$6,'Master Data'!$I$28='GA55 Check &amp; Edit'!$AP$6),ROUND((E23)*0.1,0),ROUND((E23+F23)*0.1,0))))))),"")</f>
        <v/>
      </c>
      <c r="O23" s="250">
        <f>IF(D23="","",IF('Master Data'!$H$18='GA55 Check &amp; Edit'!$AO$5,SUM(E23:N23),SUM(E23:M23)))</f>
        <v>0</v>
      </c>
      <c r="P23" s="186" t="str">
        <f>IFERROR(IF(OR('Master Data'!$I$28='GA55 Check &amp; Edit'!$AP$6,D23=""),"",IF(AND(D23=$AX$27),"",IF(AND(E23=""),"",VLOOKUP(D23,ram,11,0)))),"")</f>
        <v/>
      </c>
      <c r="Q23" s="186">
        <f>IFERROR(IF(AND(D23=""),"",IF(AND(D23=$AX$24,'Master Data'!$I$30='GA55 Check &amp; Edit'!$AN$5),ROUND((M23)*0.75,0),IF(AND(D23=$AX$25,'Master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Edit'!$AN$6,'Master Data'!$I$28='GA55 Check &amp; Edit'!$AP$6),ROUND((E23)*0.1,0),IF(AND('Master Data'!$I$30='GA55 Check &amp; Edit'!$AN$6,'Master Data'!$I$28='GA55 Check &amp; Edit'!$AP$5),ROUND((E23+F23)*0.1,0),IF(AND('Master Data'!$I$30='GA55 Check &amp; Edit'!$AN$5,'Master Data'!$I$28='GA55 Check &amp; Edit'!$AP$5),VLOOKUP(D23,ram,12,0))))))))),"")</f>
        <v>0</v>
      </c>
      <c r="R23" s="186" t="str">
        <f>IFERROR(IF(OR('Master Data'!$I$28='GA55 Check &amp; Edit'!$AP$6,D23=""),"",IF(AND(D23=$AX$27),"",IF(AND(D23=$AX$30),"",IF(AND(E23=""),"",'Master Data'!$I$43)))),"")</f>
        <v/>
      </c>
      <c r="S23" s="186" t="str">
        <f>IFERROR(IF(OR('Master Data'!$I$28='GA55 Check &amp; Edit'!$AP$6),"",IF(D23="","",IF(E23="","",IF(AND(D23=$AX$27),"",IF(AND('Master Data'!$I$30='GA55 Check &amp; Edit'!$AN$5),VLOOKUP(D23,ram,10,0),"0"))))),"")</f>
        <v/>
      </c>
      <c r="T23" s="186" t="str">
        <f>IFERROR(IF(OR('Master Data'!$I$28='GA55 Check &amp; Edit'!$AP$6,D23=""),"",IF(AND(D23=$AX$27),"",IF(AND(E23=""),"",'Master Data'!$K$43))),"")</f>
        <v/>
      </c>
      <c r="U23" s="186" t="str">
        <f>IFERROR(IF(OR('Master Data'!$I$28='GA55 Check &amp; Edit'!$AP$6,D23=""),"",IF(AND(D23=$AX$27),"",IF(AND(E23=""),"",'Master Data'!$L$43))),"")</f>
        <v/>
      </c>
      <c r="V23" s="186" t="str">
        <f>IFERROR(IF(D23="","",IF(AND('Master Data'!$I$28='GA55 Check &amp; Edit'!$AP$6),"",IF(AND('Master Data'!$I$24='GA55 Check &amp; Edit'!$AO$6),"0",IF(AND(D23="Bonus",'Master Data'!$I$30='GA55 Check &amp; Edit'!$AN$6),ROUND((M23)*0.75,0),"")))),"")</f>
        <v/>
      </c>
      <c r="W23" s="186" t="str">
        <f>IFERROR(IF(OR('Master Data'!$E$24='GA55 Check &amp; Edit'!$AQ$6,'Master Data'!$E$24='GA55 Check &amp; Edit'!$AQ$7),"",IF(AND(D23=$AX$27),"",IF(D23="","",IF(E23="","",VLOOKUP(D23,ram,8,0))))),"")</f>
        <v/>
      </c>
      <c r="X23" s="186" t="str">
        <f>IFERROR(IF(D23="","",IF(AND(E23=""),"",IF(AND(D23=$AX$27),"",IF(OR('Master Data'!$I$28='GA55 Check &amp; Edit'!$AP$6,D23=""),"",IF('Master Data'!$N$36="NO",0,IF(D23='Master Data'!$N$40,'Master Data'!$G$43,0)))))),"")</f>
        <v/>
      </c>
      <c r="Y23" s="186" t="str">
        <f>IFERROR(IF(D23="","",IF(AND(E23=""),"",IF(AND(D23=$AX$27),"",IF(OR('Master Data'!$I$28='GA55 Check &amp; Edit'!$AP$6,D23=""),"",$Y$7)))),"")</f>
        <v/>
      </c>
      <c r="Z23" s="186"/>
      <c r="AA23" s="186" t="str">
        <f>IFERROR(IF(OR('Master Data'!$I$28='GA55 Check &amp; Edit'!$AP$6,D23=""),"",IF(AND(E23=""),"",IF('GA55 Check &amp; Edit'!D23='GA55 Check &amp; Edit'!$AT$9,220,""))),"")</f>
        <v/>
      </c>
      <c r="AB23" s="251">
        <f>IFERROR(IF(D23="","",IF(AND(O23=""),"",IF(AND('Master Data'!$H$18='GA55 Check &amp; Edit'!$AO$5,'Master Data'!$I$30='GA55 Check &amp; Edit'!$AN$6),SUM(P23:AA23)+N23,SUM(P23:AA23)))),"")</f>
        <v>0</v>
      </c>
      <c r="AC23" s="252">
        <f t="shared" si="2"/>
        <v>0</v>
      </c>
      <c r="AD23" s="188"/>
      <c r="AE23" s="193"/>
      <c r="AF23" s="37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>
        <f>IF('Master Data'!I38&lt;'GA55 Check &amp; Edit'!AX16,MROUND('Master Data'!I36*1.03,100),MROUND(AZ15*1.03,100))</f>
        <v>52300</v>
      </c>
      <c r="AS23" s="58"/>
      <c r="AT23" s="58"/>
      <c r="AU23" s="58" t="s">
        <v>93</v>
      </c>
      <c r="AV23" s="58"/>
      <c r="AW23" s="274" t="s">
        <v>77</v>
      </c>
      <c r="AX23" s="275">
        <v>44593</v>
      </c>
      <c r="AY23" s="273">
        <v>2</v>
      </c>
      <c r="AZ23" s="273"/>
      <c r="BA23" s="280">
        <f>IF(AND('Master Data'!$E$36=""),"",IF(AND('Master Data'!$I$28='GA55 Check &amp; Edit'!$AP$6),'GA55 Check &amp; Edit'!$AZ$15,BU23))</f>
        <v>53900</v>
      </c>
      <c r="BB23" s="273">
        <f t="shared" si="11"/>
        <v>53900</v>
      </c>
      <c r="BC23" s="273">
        <f>IF(AND('Master Data'!$E$36=""),"",IF($AM$5=$AO$5,ROUND(28%*BA23,0),ROUND(17%*BA23,0)))</f>
        <v>15092</v>
      </c>
      <c r="BD23" s="273">
        <f>IF(BB23="","",BC23)</f>
        <v>15092</v>
      </c>
      <c r="BE23" s="281">
        <f>IFERROR(IF('Master Data'!$N$34=$AO$5,0,IF(OR('Master Data'!$I$34&gt;11,'Master Data'!$E$34=$AO$5),ROUND($AZ$21/28*2,0),IF(AND('Master Data'!$I$34&gt;=10,'Master Data'!$E$34=$AO$6),ROUND($AZ$21/28*1,0),IF(AND('Master Data'!$I$34&gt;4,'Master Data'!$D$18=$AO$5),ROUND($AZ$21/28*1,0),"0")))),"")</f>
        <v>2335</v>
      </c>
      <c r="BF23" s="280">
        <f>'Master Data'!M47</f>
        <v>0</v>
      </c>
      <c r="BG23" s="280">
        <f>IF(AND('Master Data'!$I$28='GA55 Check &amp; Edit'!$AP$6),"",IF(AND('Master Data'!$I$30='GA55 Check &amp; Edit'!$AN$5),IF($AZ$18&lt;18001,265,IF($AZ$18&lt;33501,440,IF($AZ$18&lt;54001,658,875)))))</f>
        <v>658</v>
      </c>
      <c r="BH23" s="280">
        <f>IFERROR(IF(OR('Master Data'!$I$28='GA55 Check &amp; Edit'!$AP$6),"",'Master Data'!$G$43),"")</f>
        <v>7000</v>
      </c>
      <c r="BI23" s="282">
        <f>IFERROR(IF(AND('Master Data'!$I$30='GA55 Check &amp; Edit'!$AN$6),ROUND((E19)*0.1,0),IF(AND('Master Data'!$I$28='GA55 Check &amp; Edit'!$AP$6),ROUND((E19+F19)*0.1,0),'Master Data'!$H$43)),"")</f>
        <v>3575</v>
      </c>
      <c r="BJ23" s="280">
        <f t="shared" si="14"/>
        <v>52300</v>
      </c>
      <c r="BK23" s="283">
        <v>44593</v>
      </c>
      <c r="BL23" s="283">
        <f>IFERROR(IF('Master Data'!$E$36="","",IF('Master Data'!$F$40="","",IF(AND($AZ$17&gt;$AZ$9),"",DATE(YEAR(BL22),MONTH(BL22)+1,DAY(BL22))))),"")</f>
        <v>44593</v>
      </c>
      <c r="BM23" s="284">
        <f>IFERROR(IF('Master Data'!$E$36="","",IF('Master Data'!$F$40="","",IF(AND($AZ$17&gt;$AZ$9),"",DATE(YEAR(BM22),MONTH(BM22)+1,DAY(BM22))))),"")</f>
        <v>44593</v>
      </c>
      <c r="BN23" s="284">
        <f t="shared" si="6"/>
        <v>44593</v>
      </c>
      <c r="BO23" s="284">
        <f t="shared" si="7"/>
        <v>44593</v>
      </c>
      <c r="BP23" s="284"/>
      <c r="BQ23" s="284">
        <f>IFERROR(IF(BM23="","",IF(D19=$AX$27,$AX$27,IF(BM23&gt;$AZ$17,"",BM23))),"")</f>
        <v>44593</v>
      </c>
      <c r="BR23" s="284"/>
      <c r="BS23" s="285"/>
      <c r="BT23" s="285"/>
      <c r="BU23" s="285">
        <f>IF(AND('Master Data'!$I$38='GA55 Check &amp; Edit'!AX23),'Master Data'!$I$36,BU22)</f>
        <v>53900</v>
      </c>
      <c r="BV23" s="284"/>
      <c r="BW23" s="58"/>
      <c r="BX23" s="285">
        <f>IF(BB23="",0,BF23)</f>
        <v>0</v>
      </c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</row>
    <row r="24" spans="1:103" s="33" customFormat="1" ht="21" customHeight="1">
      <c r="A24" s="33">
        <f t="shared" si="0"/>
        <v>1</v>
      </c>
      <c r="B24" s="43">
        <f t="shared" si="3"/>
        <v>17</v>
      </c>
      <c r="C24" s="44">
        <f t="shared" si="5"/>
        <v>17</v>
      </c>
      <c r="D24" s="298" t="str">
        <f t="shared" si="1"/>
        <v>Other Arrear</v>
      </c>
      <c r="E24" s="182" t="str">
        <f>IFERROR(IF(D24="","",IF(AND(BQ28=""),"",IF(AND('Master Data'!$I$28='GA55 Check &amp; Edit'!$AP$6),VLOOKUP(D24,ram,13,0),VLOOKUP(D24,ram,4,0)))),"")</f>
        <v/>
      </c>
      <c r="F24" s="183" t="str">
        <f>IFERROR(IF(D24="","",IF(D24=$AX$24,"",IF(AND(D24=$AX$25),$BC$25,IF(AND(D24=$AX$26),$BC$26,IF(AND(D24=$AX$27),$BC$27,IF(AND(D24=$AX$28),"",IF(AND(D24=$AX$29),"",IF(AND('Master Data'!$I$28='GA55 Check &amp; Edit'!$AP$6),"",VLOOKUP(D24,ram,7,0))))))))),"")</f>
        <v/>
      </c>
      <c r="G24" s="183" t="str">
        <f>IF(AND('Master Data'!$I$28='GA55 Check &amp; Edit'!$AP$6),"",IF(AND(D24=""),"",IF(AND(D24=$AX$27),"",IF(AND(E24=""),"",ROUND('Master Data'!$E$30%*E24,0)))))</f>
        <v/>
      </c>
      <c r="H24" s="184" t="str">
        <f>IFERROR(IF(D24="","",IF(AND(E24=""),"",IF(AND(D24=$AX$27),"",IF(AND('Master Data'!$I$28='GA55 Check &amp; Edit'!$AP$6),"",'Master Data'!$B$43)))),"")</f>
        <v/>
      </c>
      <c r="I24" s="184" t="str">
        <f>IFERROR(IF(D24="","",IF(AND(E24=""),"",IF(AND(D24=$AX$27),"",IF(AND('Master Data'!$I$28='GA55 Check &amp; Edit'!$AP$6),"",'Master Data'!$E$28)))),"")</f>
        <v/>
      </c>
      <c r="J24" s="184" t="str">
        <f>IFERROR(IF(OR('Master Data'!$E$32=$AO$6,'Master Data'!$E$32=""),"",IF(D24="","",IF(AND(E24=""),"",IF(AND(D24=$AX$27),"",IF(AND('Master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184" t="str">
        <f>IFERROR(IF(D24="","",IF(AND(E24=""),"",IF(AND(D24=$AX$27),"",IF(AND('Master Data'!$I$28='GA55 Check &amp; Edit'!$AP$6),"",'Master Data'!$E$43)))),"")</f>
        <v/>
      </c>
      <c r="L24" s="184" t="str">
        <f>IFERROR(IF(D24="","",IF(AND(E24=""),"",IF(AND(D24=$AX$27),"",IF(AND('Master Data'!$I$28='GA55 Check &amp; Edit'!$AP$6),"",'Master Data'!$F$43)))),"")</f>
        <v/>
      </c>
      <c r="M24" s="184"/>
      <c r="N24" s="184" t="str">
        <f>IFERROR(IF(AND(D24=""),"",IF(AND(D24=$AX$25,'Master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Edit'!$AN$5),"",IF(AND('Master Data'!$I$30='GA55 Check &amp; Edit'!$AN$6,'Master Data'!$I$28='GA55 Check &amp; Edit'!$AP$6),ROUND((E24)*0.1,0),ROUND((E24+F24)*0.1,0))))))),"")</f>
        <v/>
      </c>
      <c r="O24" s="250">
        <f>IF(D24="","",IF('Master Data'!$H$18='GA55 Check &amp; Edit'!$AO$5,SUM(E24:N24),SUM(E24:M24)))</f>
        <v>0</v>
      </c>
      <c r="P24" s="186" t="str">
        <f>IFERROR(IF(OR('Master Data'!$I$28='GA55 Check &amp; Edit'!$AP$6,D24=""),"",IF(AND(D24=$AX$27),"",IF(AND(E24=""),"",VLOOKUP(D24,ram,11,0)))),"")</f>
        <v/>
      </c>
      <c r="Q24" s="186">
        <f>IFERROR(IF(AND(D24=""),"",IF(AND(D24=$AX$24,'Master Data'!$I$30='GA55 Check &amp; Edit'!$AN$5),ROUND((M24)*0.75,0),IF(AND(D24=$AX$25,'Master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Edit'!$AN$6,'Master Data'!$I$28='GA55 Check &amp; Edit'!$AP$6),ROUND((E24)*0.1,0),IF(AND('Master Data'!$I$30='GA55 Check &amp; Edit'!$AN$6,'Master Data'!$I$28='GA55 Check &amp; Edit'!$AP$5),ROUND((E24+F24)*0.1,0),IF(AND('Master Data'!$I$30='GA55 Check &amp; Edit'!$AN$5,'Master Data'!$I$28='GA55 Check &amp; Edit'!$AP$5),VLOOKUP(D24,ram,12,0))))))))),"")</f>
        <v>0</v>
      </c>
      <c r="R24" s="186" t="str">
        <f>IFERROR(IF(OR('Master Data'!$I$28='GA55 Check &amp; Edit'!$AP$6,D24=""),"",IF(AND(D24=$AX$27),"",IF(AND(D24=$AX$30),"",IF(AND(E24=""),"",'Master Data'!$I$43)))),"")</f>
        <v/>
      </c>
      <c r="S24" s="186" t="str">
        <f>IFERROR(IF(OR('Master Data'!$I$28='GA55 Check &amp; Edit'!$AP$6),"",IF(D24="","",IF(E24="","",IF(AND(D24=$AX$27),"",IF(AND('Master Data'!$I$30='GA55 Check &amp; Edit'!$AN$5),VLOOKUP(D24,ram,10,0),"0"))))),"")</f>
        <v/>
      </c>
      <c r="T24" s="186" t="str">
        <f>IFERROR(IF(OR('Master Data'!$I$28='GA55 Check &amp; Edit'!$AP$6,D24=""),"",IF(AND(D24=$AX$27),"",IF(AND(E24=""),"",'Master Data'!$K$43))),"")</f>
        <v/>
      </c>
      <c r="U24" s="186" t="str">
        <f>IFERROR(IF(OR('Master Data'!$I$28='GA55 Check &amp; Edit'!$AP$6,D24=""),"",IF(AND(D24=$AX$27),"",IF(AND(E24=""),"",'Master Data'!$L$43))),"")</f>
        <v/>
      </c>
      <c r="V24" s="186" t="str">
        <f>IFERROR(IF(D24="","",IF(AND('Master Data'!$I$28='GA55 Check &amp; Edit'!$AP$6),"",IF(AND('Master Data'!$I$24='GA55 Check &amp; Edit'!$AO$6),"0",IF(AND(D24="Bonus",'Master Data'!$I$30='GA55 Check &amp; Edit'!$AN$6),ROUND((M24)*0.75,0),"")))),"")</f>
        <v/>
      </c>
      <c r="W24" s="186" t="str">
        <f>IFERROR(IF(OR('Master Data'!$E$24='GA55 Check &amp; Edit'!$AQ$6,'Master Data'!$E$24='GA55 Check &amp; Edit'!$AQ$7),"",IF(AND(D24=$AX$27),"",IF(D24="","",IF(E24="","",VLOOKUP(D24,ram,8,0))))),"")</f>
        <v/>
      </c>
      <c r="X24" s="186" t="str">
        <f>IFERROR(IF(D24="","",IF(AND(E24=""),"",IF(AND(D24=$AX$27),"",IF(OR('Master Data'!$I$28='GA55 Check &amp; Edit'!$AP$6,D24=""),"",IF('Master Data'!$N$36="NO",0,IF(D24='Master Data'!$N$40,'Master Data'!$G$43,0)))))),"")</f>
        <v/>
      </c>
      <c r="Y24" s="186" t="str">
        <f>IFERROR(IF(D24="","",IF(AND(E24=""),"",IF(AND(D24=$AX$27),"",IF(OR('Master Data'!$I$28='GA55 Check &amp; Edit'!$AP$6,D24=""),"",$Y$7)))),"")</f>
        <v/>
      </c>
      <c r="Z24" s="186"/>
      <c r="AA24" s="186" t="str">
        <f>IFERROR(IF(OR('Master Data'!$I$28='GA55 Check &amp; Edit'!$AP$6,D24=""),"",IF(AND(E24=""),"",IF('GA55 Check &amp; Edit'!D24='GA55 Check &amp; Edit'!$AT$9,220,""))),"")</f>
        <v/>
      </c>
      <c r="AB24" s="251">
        <f>IFERROR(IF(D24="","",IF(AND(O24=""),"",IF(AND('Master Data'!$H$18='GA55 Check &amp; Edit'!$AO$5,'Master Data'!$I$30='GA55 Check &amp; Edit'!$AN$6),SUM(P24:AA24)+N24,SUM(P24:AA24)))),"")</f>
        <v>0</v>
      </c>
      <c r="AC24" s="252">
        <f t="shared" si="2"/>
        <v>0</v>
      </c>
      <c r="AD24" s="188"/>
      <c r="AE24" s="193"/>
      <c r="AF24" s="37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>
        <f>MROUND('Master Data'!I36*1.03,100)</f>
        <v>55500</v>
      </c>
      <c r="AT24" s="58"/>
      <c r="AU24" s="58" t="s">
        <v>94</v>
      </c>
      <c r="AV24" s="58"/>
      <c r="AW24" s="274"/>
      <c r="AX24" s="288" t="str">
        <f>BM24</f>
        <v>Bonus</v>
      </c>
      <c r="AY24" s="273"/>
      <c r="AZ24" s="273"/>
      <c r="BA24" s="273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273"/>
      <c r="BC24" s="273"/>
      <c r="BD24" s="273" t="str">
        <f>IF(BC24="","",BC24)</f>
        <v/>
      </c>
      <c r="BE24" s="273"/>
      <c r="BF24" s="273"/>
      <c r="BG24" s="273"/>
      <c r="BH24" s="273"/>
      <c r="BI24" s="276"/>
      <c r="BJ24" s="273"/>
      <c r="BK24" s="283">
        <v>44621</v>
      </c>
      <c r="BL24" s="283">
        <f>IFERROR(IF('Master Data'!$E$36="","",IF('Master Data'!$F$40="","",IF(AND($AZ$17&gt;$AZ$9),"",DATE(YEAR(BL23),MONTH(BL23)+1,DAY(BL23))))),"")</f>
        <v>44621</v>
      </c>
      <c r="BM24" s="58" t="s">
        <v>64</v>
      </c>
      <c r="BN24" s="284" t="str">
        <f t="shared" si="6"/>
        <v/>
      </c>
      <c r="BO24" s="284" t="str">
        <f t="shared" si="7"/>
        <v>Bonus</v>
      </c>
      <c r="BP24" s="284"/>
      <c r="BQ24" s="284" t="str">
        <f>IFERROR(IF(BM24="","",IF(D20=$AX$27,$AX$27,IF(D20=$AX$30,$AX$30,IF(BM24&gt;$AZ$17,"",BM24)))),"")</f>
        <v/>
      </c>
      <c r="BR24" s="284"/>
      <c r="BS24" s="285"/>
      <c r="BT24" s="285"/>
      <c r="BU24" s="285"/>
      <c r="BV24" s="284"/>
      <c r="BW24" s="58"/>
      <c r="BX24" s="285">
        <f t="shared" si="10"/>
        <v>0</v>
      </c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</row>
    <row r="25" spans="1:103" s="33" customFormat="1" ht="21" customHeight="1">
      <c r="A25" s="33">
        <f t="shared" si="0"/>
        <v>0</v>
      </c>
      <c r="B25" s="43">
        <f t="shared" si="3"/>
        <v>0</v>
      </c>
      <c r="C25" s="44" t="str">
        <f t="shared" si="5"/>
        <v/>
      </c>
      <c r="D25" s="298" t="str">
        <f>IFERROR(IF(BO29="","",BO29),"")</f>
        <v/>
      </c>
      <c r="E25" s="182" t="str">
        <f>IFERROR(IF(D25="","",IF(AND(BQ29=""),"",IF(AND('Master Data'!$I$28='GA55 Check &amp; Edit'!$AP$6),VLOOKUP(D25,ram,13,0),VLOOKUP(D25,ram,4,0)))),"")</f>
        <v/>
      </c>
      <c r="F25" s="183" t="str">
        <f>IFERROR(IF(D25="","",IF(D25=$AX$24,"",IF(AND(D25=$AX$25),$BC$25,IF(AND(D25=$AX$26),$BC$26,IF(AND(D25=$AX$27),$BC$27,IF(AND(D25=$AX$28),"",IF(AND(D25=$AX$29),"",IF(AND('Master Data'!$I$28='GA55 Check &amp; Edit'!$AP$6),"",VLOOKUP(D25,ram,7,0))))))))),"")</f>
        <v/>
      </c>
      <c r="G25" s="183" t="str">
        <f>IF(AND('Master Data'!$I$28='GA55 Check &amp; Edit'!$AP$6),"",IF(AND(D25=""),"",IF(AND(D25=$AX$27),"",IF(AND(E25=""),"",ROUND('Master Data'!$E$30%*E25,0)))))</f>
        <v/>
      </c>
      <c r="H25" s="184" t="str">
        <f>IFERROR(IF(D25="","",IF(AND(E25=""),"",IF(AND(D25=$AX$27),"",IF(AND('Master Data'!$I$28='GA55 Check &amp; Edit'!$AP$6),"",'Master Data'!$B$43)))),"")</f>
        <v/>
      </c>
      <c r="I25" s="184" t="str">
        <f>IFERROR(IF(D25="","",IF(AND(E25=""),"",IF(AND(D25=$AX$27),"",IF(AND('Master Data'!$I$28='GA55 Check &amp; Edit'!$AP$6),"",'Master Data'!$E$28)))),"")</f>
        <v/>
      </c>
      <c r="J25" s="184" t="str">
        <f>IFERROR(IF(OR('Master Data'!$E$32=$AO$6,'Master Data'!$E$32=""),"",IF(D25="","",IF(AND(E25=""),"",IF(AND(D25=$AX$27),"",IF(AND('Master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184" t="str">
        <f>IFERROR(IF(D25="","",IF(AND(E25=""),"",IF(AND(D25=$AX$27),"",IF(AND('Master Data'!$I$28='GA55 Check &amp; Edit'!$AP$6),"",'Master Data'!$E$43)))),"")</f>
        <v/>
      </c>
      <c r="L25" s="184" t="str">
        <f>IFERROR(IF(D25="","",IF(AND(E25=""),"",IF(AND(D25=$AX$27),"",IF(AND('Master Data'!$I$28='GA55 Check &amp; Edit'!$AP$6),"",'Master Data'!$F$43)))),"")</f>
        <v/>
      </c>
      <c r="M25" s="184"/>
      <c r="N25" s="184" t="str">
        <f>IFERROR(IF(AND(D25=""),"",IF(AND(D25=$AX$25,'Master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Edit'!$AN$5),"",IF(AND('Master Data'!$I$30='GA55 Check &amp; Edit'!$AN$6,'Master Data'!$I$28='GA55 Check &amp; Edit'!$AP$6),ROUND((E25)*0.1,0),ROUND((E25+F25)*0.1,0))))))),"")</f>
        <v/>
      </c>
      <c r="O25" s="250" t="str">
        <f>IF(D25="","",IF('Master Data'!$H$18='GA55 Check &amp; Edit'!$AO$5,SUM(E25:N25),SUM(E25:M25)))</f>
        <v/>
      </c>
      <c r="P25" s="186" t="str">
        <f>IFERROR(IF(OR('Master Data'!$I$28='GA55 Check &amp; Edit'!$AP$6,D25=""),"",IF(AND(D25=$AX$27),"",IF(AND(E25=""),"",VLOOKUP(D25,ram,11,0)))),"")</f>
        <v/>
      </c>
      <c r="Q25" s="186" t="str">
        <f>IFERROR(IF(AND(D25=""),"",IF(AND(D25=$AX$24,'Master Data'!$I$30='GA55 Check &amp; Edit'!$AN$5),ROUND((M25)*0.75,0),IF(AND(D25=$AX$25,'Master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Edit'!$AN$6,'Master Data'!$I$28='GA55 Check &amp; Edit'!$AP$6),ROUND((E25)*0.1,0),IF(AND('Master Data'!$I$30='GA55 Check &amp; Edit'!$AN$6,'Master Data'!$I$28='GA55 Check &amp; Edit'!$AP$5),ROUND((E25+F25)*0.1,0),IF(AND('Master Data'!$I$30='GA55 Check &amp; Edit'!$AN$5,'Master Data'!$I$28='GA55 Check &amp; Edit'!$AP$5),VLOOKUP(D25,ram,12,0))))))))),"")</f>
        <v/>
      </c>
      <c r="R25" s="186" t="str">
        <f>IFERROR(IF(OR('Master Data'!$I$28='GA55 Check &amp; Edit'!$AP$6,D25=""),"",IF(AND(D25=$AX$27),"",IF(AND(D25=$AX$30),"",IF(AND(E25=""),"",'Master Data'!$I$43)))),"")</f>
        <v/>
      </c>
      <c r="S25" s="186" t="str">
        <f>IFERROR(IF(OR('Master Data'!$I$28='GA55 Check &amp; Edit'!$AP$6),"",IF(D25="","",IF(E25="","",IF(AND(D25=$AX$27),"",IF(AND('Master Data'!$I$30='GA55 Check &amp; Edit'!$AN$5),VLOOKUP(D25,ram,10,0),"0"))))),"")</f>
        <v/>
      </c>
      <c r="T25" s="186" t="str">
        <f>IFERROR(IF(OR('Master Data'!$I$28='GA55 Check &amp; Edit'!$AP$6,D25=""),"",IF(AND(D25=$AX$27),"",IF(AND(E25=""),"",'Master Data'!$K$43))),"")</f>
        <v/>
      </c>
      <c r="U25" s="186" t="str">
        <f>IFERROR(IF(OR('Master Data'!$I$28='GA55 Check &amp; Edit'!$AP$6,D25=""),"",IF(AND(D25=$AX$27),"",IF(AND(E25=""),"",'Master Data'!$L$43))),"")</f>
        <v/>
      </c>
      <c r="V25" s="186" t="str">
        <f>IFERROR(IF(D25="","",IF(AND('Master Data'!$I$28='GA55 Check &amp; Edit'!$AP$6),"",IF(AND('Master Data'!$I$24='GA55 Check &amp; Edit'!$AO$6),"0",IF(AND(D25="Bonus",'Master Data'!$I$30='GA55 Check &amp; Edit'!$AN$6),ROUND((M25)*0.75,0),"")))),"")</f>
        <v/>
      </c>
      <c r="W25" s="186" t="str">
        <f>IFERROR(IF(OR('Master Data'!$E$24='GA55 Check &amp; Edit'!$AQ$6,'Master Data'!$E$24='GA55 Check &amp; Edit'!$AQ$7),"",IF(AND(D25=$AX$27),"",IF(D25="","",IF(E25="","",VLOOKUP(D25,ram,8,0))))),"")</f>
        <v/>
      </c>
      <c r="X25" s="186" t="str">
        <f>IFERROR(IF(D25="","",IF(AND(E25=""),"",IF(AND(D25=$AX$27),"",IF(OR('Master Data'!$I$28='GA55 Check &amp; Edit'!$AP$6,D25=""),"",IF('Master Data'!$N$36="NO",0,IF(D25='Master Data'!$N$40,'Master Data'!$G$43,0)))))),"")</f>
        <v/>
      </c>
      <c r="Y25" s="186" t="str">
        <f>IFERROR(IF(D25="","",IF(AND(E25=""),"",IF(AND(D25=$AX$27),"",IF(OR('Master Data'!$I$28='GA55 Check &amp; Edit'!$AP$6,D25=""),"",$Y$7)))),"")</f>
        <v/>
      </c>
      <c r="Z25" s="186"/>
      <c r="AA25" s="186" t="str">
        <f>IFERROR(IF(OR('Master Data'!$I$28='GA55 Check &amp; Edit'!$AP$6,D25=""),"",IF(AND(E25=""),"",IF('GA55 Check &amp; Edit'!D25='GA55 Check &amp; Edit'!$AT$9,220,""))),"")</f>
        <v/>
      </c>
      <c r="AB25" s="251" t="str">
        <f>IFERROR(IF(D25="","",IF(AND(O25=""),"",IF(AND('Master Data'!$H$18='GA55 Check &amp; Edit'!$AO$5,'Master Data'!$I$30='GA55 Check &amp; Edit'!$AN$6),SUM(P25:AA25)+N25,SUM(P25:AA25)))),"")</f>
        <v/>
      </c>
      <c r="AC25" s="252" t="str">
        <f t="shared" si="2"/>
        <v/>
      </c>
      <c r="AD25" s="188"/>
      <c r="AE25" s="193"/>
      <c r="AF25" s="37"/>
      <c r="AG25" s="58"/>
      <c r="AH25" s="58"/>
      <c r="AI25" s="58"/>
      <c r="AJ25" s="58"/>
      <c r="AK25" s="58"/>
      <c r="AL25" s="58"/>
      <c r="AM25" s="58"/>
      <c r="AN25" s="58"/>
      <c r="AO25" s="58"/>
      <c r="AP25" s="284"/>
      <c r="AQ25" s="58"/>
      <c r="AR25" s="58"/>
      <c r="AS25" s="58">
        <f>MROUND(AZ15*1.03,100)</f>
        <v>52300</v>
      </c>
      <c r="AT25" s="58"/>
      <c r="AU25" s="58" t="s">
        <v>95</v>
      </c>
      <c r="AV25" s="58"/>
      <c r="AW25" s="274"/>
      <c r="AX25" s="288" t="str">
        <f t="shared" ref="AX25:AX30" si="15">BM25</f>
        <v>PL Surrender</v>
      </c>
      <c r="AY25" s="273"/>
      <c r="AZ25" s="273"/>
      <c r="BA25" s="273"/>
      <c r="BB25" s="273"/>
      <c r="BC25" s="273" t="e">
        <f>IF('Master Data'!$I$28='GA55 Check &amp; Edit'!$AP$6,"",ROUND((BB32-BA32)*BC32,0))</f>
        <v>#VALUE!</v>
      </c>
      <c r="BD25" s="273" t="e">
        <f>IF(BC25="","",BC25)</f>
        <v>#VALUE!</v>
      </c>
      <c r="BE25" s="273"/>
      <c r="BF25" s="273"/>
      <c r="BG25" s="273"/>
      <c r="BH25" s="273"/>
      <c r="BI25" s="276" t="e">
        <f>BD25</f>
        <v>#VALUE!</v>
      </c>
      <c r="BJ25" s="273"/>
      <c r="BK25" s="283">
        <v>44652</v>
      </c>
      <c r="BL25" s="283">
        <f>IFERROR(IF('Master Data'!$E$36="","",IF('Master Data'!$F$40="","",IF(AND($AZ$17&gt;$AZ$9),"",DATE(YEAR(BL24),MONTH(BL24)+1,DAY(BL24))))),"")</f>
        <v>44652</v>
      </c>
      <c r="BM25" s="58" t="s">
        <v>99</v>
      </c>
      <c r="BN25" s="284" t="str">
        <f t="shared" si="6"/>
        <v/>
      </c>
      <c r="BO25" s="284" t="str">
        <f t="shared" si="7"/>
        <v>PL Surrender</v>
      </c>
      <c r="BP25" s="284"/>
      <c r="BQ25" s="284" t="str">
        <f>IFERROR(IF(BM25="","",IF(D21=$AX$27,$AX$27,IF(D21=$AX$30,$AX$30,IF(BM25&gt;$AZ$17,"",BM25)))),"")</f>
        <v/>
      </c>
      <c r="BR25" s="58"/>
      <c r="BS25" s="285"/>
      <c r="BT25" s="285"/>
      <c r="BU25" s="285"/>
      <c r="BV25" s="284"/>
      <c r="BW25" s="58"/>
      <c r="BX25" s="285">
        <f t="shared" si="10"/>
        <v>0</v>
      </c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</row>
    <row r="26" spans="1:103" s="33" customFormat="1" ht="21" customHeight="1">
      <c r="A26" s="33">
        <f t="shared" si="0"/>
        <v>0</v>
      </c>
      <c r="B26" s="43">
        <f t="shared" si="3"/>
        <v>0</v>
      </c>
      <c r="C26" s="44" t="str">
        <f t="shared" si="5"/>
        <v/>
      </c>
      <c r="D26" s="298" t="str">
        <f>IFERROR(IF(BO30="","",BO30),"")</f>
        <v/>
      </c>
      <c r="E26" s="182" t="str">
        <f>IFERROR(IF(D26="","",IF(AND(BQ30=""),"",IF(AND('Master Data'!$I$28='GA55 Check &amp; Edit'!$AP$6),VLOOKUP(D26,ram,13,0),VLOOKUP(D26,ram,4,0)))),"")</f>
        <v/>
      </c>
      <c r="F26" s="183" t="str">
        <f>IFERROR(IF(D26="","",IF(D26=$AX$24,"",IF(AND(D26=$AX$25),$BC$25,IF(AND(D26=$AX$26),$BC$26,IF(AND(D26=$AX$27),$BC$27,IF(AND(D26=$AX$28),"",IF(AND(D26=$AX$29),"",IF(AND('Master Data'!$I$28='GA55 Check &amp; Edit'!$AP$6),"",VLOOKUP(D26,ram,7,0))))))))),"")</f>
        <v/>
      </c>
      <c r="G26" s="183" t="str">
        <f>IF(AND('Master Data'!$I$28='GA55 Check &amp; Edit'!$AP$6),"",IF(AND(D26=""),"",IF(AND(D26=$AX$27),"",IF(AND(E26=""),"",ROUND('Master Data'!$E$30%*E26,0)))))</f>
        <v/>
      </c>
      <c r="H26" s="184" t="str">
        <f>IFERROR(IF(D26="","",IF(AND(E26=""),"",IF(AND(D26=$AX$27),"",IF(AND('Master Data'!$I$28='GA55 Check &amp; Edit'!$AP$6),"",'Master Data'!$B$43)))),"")</f>
        <v/>
      </c>
      <c r="I26" s="184" t="str">
        <f>IFERROR(IF(D26="","",IF(AND(E26=""),"",IF(AND(D26=$AX$27),"",IF(AND('Master Data'!$I$28='GA55 Check &amp; Edit'!$AP$6),"",'Master Data'!$E$28)))),"")</f>
        <v/>
      </c>
      <c r="J26" s="184" t="str">
        <f>IFERROR(IF(OR('Master Data'!$E$32=$AO$6,'Master Data'!$E$32=""),"",IF(D26="","",IF(AND(E26=""),"",IF(AND(D26=$AX$27),"",IF(AND('Master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184" t="str">
        <f>IFERROR(IF(D26="","",IF(AND(E26=""),"",IF(AND(D26=$AX$27),"",IF(AND('Master Data'!$I$28='GA55 Check &amp; Edit'!$AP$6),"",'Master Data'!$E$43)))),"")</f>
        <v/>
      </c>
      <c r="L26" s="184" t="str">
        <f>IFERROR(IF(D26="","",IF(AND(E26=""),"",IF(AND(D26=$AX$27),"",IF(AND('Master Data'!$I$28='GA55 Check &amp; Edit'!$AP$6),"",'Master Data'!$F$43)))),"")</f>
        <v/>
      </c>
      <c r="M26" s="184"/>
      <c r="N26" s="184" t="str">
        <f>IFERROR(IF(AND(D26=""),"",IF(AND(D26=$AX$25,'Master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Edit'!$AN$5),"",IF(AND('Master Data'!$I$30='GA55 Check &amp; Edit'!$AN$6,'Master Data'!$I$28='GA55 Check &amp; Edit'!$AP$6),ROUND((E26)*0.1,0),ROUND((E26+F26)*0.1,0))))))),"")</f>
        <v/>
      </c>
      <c r="O26" s="250" t="str">
        <f>IF(D26="","",IF('Master Data'!$H$18='GA55 Check &amp; Edit'!$AO$5,SUM(E26:N26),SUM(E26:M26)))</f>
        <v/>
      </c>
      <c r="P26" s="186" t="str">
        <f>IFERROR(IF(OR('Master Data'!$I$28='GA55 Check &amp; Edit'!$AP$6,D26=""),"",IF(AND(D26=$AX$27),"",IF(AND(E26=""),"",VLOOKUP(D26,ram,11,0)))),"")</f>
        <v/>
      </c>
      <c r="Q26" s="186" t="str">
        <f>IFERROR(IF(AND(D26=""),"",IF(AND(D26=$AX$24,'Master Data'!$I$30='GA55 Check &amp; Edit'!$AN$5),ROUND((M26)*0.75,0),IF(AND(D26=$AX$25,'Master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Edit'!$AN$6,'Master Data'!$I$28='GA55 Check &amp; Edit'!$AP$6),ROUND((E26)*0.1,0),IF(AND('Master Data'!$I$30='GA55 Check &amp; Edit'!$AN$6,'Master Data'!$I$28='GA55 Check &amp; Edit'!$AP$5),ROUND((E26+F26)*0.1,0),IF(AND('Master Data'!$I$30='GA55 Check &amp; Edit'!$AN$5,'Master Data'!$I$28='GA55 Check &amp; Edit'!$AP$5),VLOOKUP(D26,ram,12,0))))))))),"")</f>
        <v/>
      </c>
      <c r="R26" s="186" t="str">
        <f>IFERROR(IF(OR('Master Data'!$I$28='GA55 Check &amp; Edit'!$AP$6,D26=""),"",IF(AND(D26=$AX$27),"",IF(AND(D26=$AX$30),"",IF(AND(E26=""),"",'Master Data'!$I$43)))),"")</f>
        <v/>
      </c>
      <c r="S26" s="186" t="str">
        <f>IFERROR(IF(OR('Master Data'!$I$28='GA55 Check &amp; Edit'!$AP$6),"",IF(D26="","",IF(E26="","",IF(AND(D26=$AX$27),"",IF(AND('Master Data'!$I$30='GA55 Check &amp; Edit'!$AN$5),VLOOKUP(D26,ram,10,0),"0"))))),"")</f>
        <v/>
      </c>
      <c r="T26" s="186" t="str">
        <f>IFERROR(IF(OR('Master Data'!$I$28='GA55 Check &amp; Edit'!$AP$6,D26=""),"",IF(AND(D26=$AX$27),"",IF(AND(E26=""),"",'Master Data'!$K$43))),"")</f>
        <v/>
      </c>
      <c r="U26" s="186" t="str">
        <f>IFERROR(IF(OR('Master Data'!$I$28='GA55 Check &amp; Edit'!$AP$6,D26=""),"",IF(AND(D26=$AX$27),"",IF(AND(E26=""),"",'Master Data'!$L$43))),"")</f>
        <v/>
      </c>
      <c r="V26" s="186" t="str">
        <f>IFERROR(IF(D26="","",IF(AND('Master Data'!$I$28='GA55 Check &amp; Edit'!$AP$6),"",IF(AND('Master Data'!$I$24='GA55 Check &amp; Edit'!$AO$6),"0",IF(AND(D26="Bonus",'Master Data'!$I$30='GA55 Check &amp; Edit'!$AN$6),ROUND((M26)*0.75,0),"")))),"")</f>
        <v/>
      </c>
      <c r="W26" s="186" t="str">
        <f>IFERROR(IF(OR('Master Data'!$E$24='GA55 Check &amp; Edit'!$AQ$6,'Master Data'!$E$24='GA55 Check &amp; Edit'!$AQ$7),"",IF(AND(D26=$AX$27),"",IF(D26="","",IF(E26="","",VLOOKUP(D26,ram,8,0))))),"")</f>
        <v/>
      </c>
      <c r="X26" s="186" t="str">
        <f>IFERROR(IF(D26="","",IF(AND(E26=""),"",IF(AND(D26=$AX$27),"",IF(OR('Master Data'!$I$28='GA55 Check &amp; Edit'!$AP$6,D26=""),"",IF('Master Data'!$N$36="NO",0,IF(D26='Master Data'!$N$40,'Master Data'!$G$43,0)))))),"")</f>
        <v/>
      </c>
      <c r="Y26" s="186" t="str">
        <f>IFERROR(IF(D26="","",IF(AND(E26=""),"",IF(AND(D26=$AX$27),"",IF(OR('Master Data'!$I$28='GA55 Check &amp; Edit'!$AP$6,D26=""),"",$Y$7)))),"")</f>
        <v/>
      </c>
      <c r="Z26" s="186"/>
      <c r="AA26" s="186" t="str">
        <f>IFERROR(IF(OR('Master Data'!$I$28='GA55 Check &amp; Edit'!$AP$6,D26=""),"",IF(AND(E26=""),"",IF('GA55 Check &amp; Edit'!D26='GA55 Check &amp; Edit'!$AT$9,220,""))),"")</f>
        <v/>
      </c>
      <c r="AB26" s="251" t="str">
        <f>IFERROR(IF(D26="","",IF(AND(O26=""),"",IF(AND('Master Data'!$H$18='GA55 Check &amp; Edit'!$AO$5,'Master Data'!$I$30='GA55 Check &amp; Edit'!$AN$6),SUM(P26:AA26)+N26,SUM(P26:AA26)))),"")</f>
        <v/>
      </c>
      <c r="AC26" s="252" t="str">
        <f t="shared" si="2"/>
        <v/>
      </c>
      <c r="AD26" s="188"/>
      <c r="AE26" s="193"/>
      <c r="AF26" s="37"/>
      <c r="AG26" s="58"/>
      <c r="AH26" s="58"/>
      <c r="AI26" s="58"/>
      <c r="AJ26" s="58"/>
      <c r="AK26" s="58"/>
      <c r="AL26" s="58"/>
      <c r="AM26" s="58"/>
      <c r="AN26" s="58"/>
      <c r="AO26" s="58"/>
      <c r="AP26" s="284"/>
      <c r="AQ26" s="58"/>
      <c r="AR26" s="58"/>
      <c r="AS26" s="58"/>
      <c r="AT26" s="58"/>
      <c r="AU26" s="58" t="s">
        <v>96</v>
      </c>
      <c r="AV26" s="58"/>
      <c r="AW26" s="274"/>
      <c r="AX26" s="288" t="str">
        <f t="shared" si="15"/>
        <v xml:space="preserve">DA Arrear </v>
      </c>
      <c r="AY26" s="273"/>
      <c r="AZ26" s="273"/>
      <c r="BA26" s="273"/>
      <c r="BB26" s="273"/>
      <c r="BC26" s="273">
        <f>IF('Master Data'!$I$28='GA55 Check &amp; Edit'!$AP$6,"",ROUND((BB31-BA31)*BC31,0))</f>
        <v>0</v>
      </c>
      <c r="BD26" s="273">
        <f>IF(BC26="","",BC26)</f>
        <v>0</v>
      </c>
      <c r="BE26" s="273"/>
      <c r="BF26" s="273"/>
      <c r="BG26" s="273"/>
      <c r="BH26" s="273"/>
      <c r="BI26" s="276">
        <f>BD26</f>
        <v>0</v>
      </c>
      <c r="BJ26" s="273"/>
      <c r="BK26" s="283">
        <v>44682</v>
      </c>
      <c r="BL26" s="283">
        <f>IFERROR(IF('Master Data'!$E$36="","",IF('Master Data'!$F$40="","",IF(AND($AZ$17&gt;$AZ$9),"",DATE(YEAR(BL25),MONTH(BL25)+1,DAY(BL25))))),"")</f>
        <v>44682</v>
      </c>
      <c r="BM26" s="58" t="s">
        <v>306</v>
      </c>
      <c r="BN26" s="284" t="str">
        <f t="shared" si="6"/>
        <v/>
      </c>
      <c r="BO26" s="284" t="str">
        <f t="shared" si="7"/>
        <v xml:space="preserve">DA Arrear </v>
      </c>
      <c r="BP26" s="284"/>
      <c r="BQ26" s="284" t="str">
        <f>IFERROR(IF(BM26="","",IF(D22=$AX$27,$AX$27,IF(D22=$AX$30,$AX$30,IF(BM26&gt;$AZ$17,"",BM26)))),"")</f>
        <v/>
      </c>
      <c r="BR26" s="58"/>
      <c r="BS26" s="285"/>
      <c r="BT26" s="284"/>
      <c r="BU26" s="285"/>
      <c r="BV26" s="284"/>
      <c r="BW26" s="58"/>
      <c r="BX26" s="285">
        <f t="shared" si="10"/>
        <v>0</v>
      </c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</row>
    <row r="27" spans="1:103" s="33" customFormat="1" ht="21" customHeight="1">
      <c r="A27" s="33">
        <f t="shared" si="0"/>
        <v>0</v>
      </c>
      <c r="B27" s="43">
        <f t="shared" si="3"/>
        <v>0</v>
      </c>
      <c r="C27" s="44" t="str">
        <f t="shared" si="5"/>
        <v/>
      </c>
      <c r="D27" s="299"/>
      <c r="E27" s="182" t="str">
        <f>IFERROR(IF(D27="","",IF(AND(BQ31=""),"",IF(AND('Master Data'!$I$28='GA55 Check &amp; Edit'!$AP$6),VLOOKUP(D27,ram,13,0),VLOOKUP(D27,ram,4,0)))),"")</f>
        <v/>
      </c>
      <c r="F27" s="183" t="str">
        <f>IFERROR(IF(D27="","",IF(D27=$AX$24,"",IF(AND(D27=$AX$25),$BC$25,IF(AND(D27=$AX$26),$BC$26,IF(AND(D27=$AX$27),$BC$27,IF(AND(D27=$AX$28),"",IF(AND(D27=$AX$29),"",IF(AND('Master Data'!$I$28='GA55 Check &amp; Edit'!$AP$6),"",VLOOKUP(D27,ram,7,0))))))))),"")</f>
        <v/>
      </c>
      <c r="G27" s="183" t="str">
        <f>IF(AND('Master Data'!$I$28='GA55 Check &amp; Edit'!$AP$6),"",IF(AND(D27=""),"",IF(AND(D27=$AX$27),"",IF(AND(E27=""),"",ROUND('Master Data'!$E$30%*E27,0)))))</f>
        <v/>
      </c>
      <c r="H27" s="184" t="str">
        <f>IFERROR(IF(D27="","",IF(AND(E27=""),"",IF(AND(D27=$AX$27),"",IF(AND('Master Data'!$I$28='GA55 Check &amp; Edit'!$AP$6),"",'Master Data'!$B$43)))),"")</f>
        <v/>
      </c>
      <c r="I27" s="184" t="str">
        <f>IFERROR(IF(D27="","",IF(AND(E27=""),"",IF(AND(D27=$AX$27),"",IF(AND('Master Data'!$I$28='GA55 Check &amp; Edit'!$AP$6),"",'Master Data'!$E$28)))),"")</f>
        <v/>
      </c>
      <c r="J27" s="184" t="str">
        <f>IFERROR(IF(OR('Master Data'!$E$32=$AO$6,'Master Data'!$E$32=""),"",IF(D27="","",IF(AND(E27=""),"",IF(AND(D27=$AX$27),"",IF(AND('Master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184" t="str">
        <f>IFERROR(IF(D27="","",IF(AND(E27=""),"",IF(AND(D27=$AX$27),"",IF(AND('Master Data'!$I$28='GA55 Check &amp; Edit'!$AP$6),"",'Master Data'!$E$43)))),"")</f>
        <v/>
      </c>
      <c r="L27" s="184" t="str">
        <f>IFERROR(IF(D27="","",IF(AND(E27=""),"",IF(AND(D27=$AX$27),"",IF(AND('Master Data'!$I$28='GA55 Check &amp; Edit'!$AP$6),"",'Master Data'!$F$43)))),"")</f>
        <v/>
      </c>
      <c r="M27" s="184"/>
      <c r="N27" s="184" t="str">
        <f>IFERROR(IF(AND(D27=""),"",IF(AND(D27=$AX$25,'Master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Edit'!$AN$5),"",IF(AND('Master Data'!$I$30='GA55 Check &amp; Edit'!$AN$6,'Master Data'!$I$28='GA55 Check &amp; Edit'!$AP$6),ROUND((E27)*0.1,0),ROUND((E27+F27)*0.1,0))))))),"")</f>
        <v/>
      </c>
      <c r="O27" s="250" t="str">
        <f>IF(D27="","",IF('Master Data'!$H$18='GA55 Check &amp; Edit'!$AO$5,SUM(E27:N27),SUM(E27:M27)))</f>
        <v/>
      </c>
      <c r="P27" s="186"/>
      <c r="Q27" s="186" t="str">
        <f>IFERROR(IF(AND(D27=""),"",IF(AND(D27=$AX$24,'Master Data'!$I$30='GA55 Check &amp; Edit'!$AN$5),ROUND((M27)*0.75,0),IF(AND(D27=$AX$25,'Master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Edit'!$AN$6,'Master Data'!$I$28='GA55 Check &amp; Edit'!$AP$6),ROUND((E27)*0.1,0),IF(AND('Master Data'!$I$30='GA55 Check &amp; Edit'!$AN$6,'Master Data'!$I$28='GA55 Check &amp; Edit'!$AP$5),ROUND((E27+F27)*0.1,0),IF(AND('Master Data'!$I$30='GA55 Check &amp; Edit'!$AN$5,'Master Data'!$I$28='GA55 Check &amp; Edit'!$AP$5),VLOOKUP(D27,ram,12,0))))))))),"")</f>
        <v/>
      </c>
      <c r="R27" s="186" t="str">
        <f>IFERROR(IF(OR('Master Data'!$I$28='GA55 Check &amp; Edit'!$AP$6,D27=""),"",IF(AND(D27=$AX$27),"",IF(AND(D27=$AX$30),"",IF(AND(E27=""),"",'Master Data'!$I$43)))),"")</f>
        <v/>
      </c>
      <c r="S27" s="186" t="str">
        <f>IFERROR(IF(OR('Master Data'!$I$28='GA55 Check &amp; Edit'!$AP$6),"",IF(D27="","",IF(E27="","",IF(AND(D27=$AX$27),"",IF(AND('Master Data'!$I$30='GA55 Check &amp; Edit'!$AN$5),VLOOKUP(D27,ram,10,0),"0"))))),"")</f>
        <v/>
      </c>
      <c r="T27" s="186" t="str">
        <f>IFERROR(IF(OR('Master Data'!$I$28='GA55 Check &amp; Edit'!$AP$6,D27=""),"",IF(AND(D27=$AX$27),"",IF(AND(E27=""),"",'Master Data'!$K$43))),"")</f>
        <v/>
      </c>
      <c r="U27" s="186" t="str">
        <f>IFERROR(IF(OR('Master Data'!$I$28='GA55 Check &amp; Edit'!$AP$6,D27=""),"",IF(AND(D27=$AX$27),"",IF(AND(E27=""),"",'Master Data'!$L$43))),"")</f>
        <v/>
      </c>
      <c r="V27" s="186" t="str">
        <f>IFERROR(IF(D27="","",IF(AND('Master Data'!$I$28='GA55 Check &amp; Edit'!$AP$6),"",IF(AND('Master Data'!$I$24='GA55 Check &amp; Edit'!$AO$6),"0",IF(AND(D27="Bonus",'Master Data'!$I$30='GA55 Check &amp; Edit'!$AN$6),ROUND((M27)*0.75,0),"")))),"")</f>
        <v/>
      </c>
      <c r="W27" s="186" t="str">
        <f>IFERROR(IF(OR('Master Data'!$E$24='GA55 Check &amp; Edit'!$AQ$6,'Master Data'!$E$24='GA55 Check &amp; Edit'!$AQ$7),"",IF(AND(D27=$AX$27),"",IF(D27="","",IF(E27="","",VLOOKUP(D27,ram,8,0))))),"")</f>
        <v/>
      </c>
      <c r="X27" s="186" t="str">
        <f>IFERROR(IF(D27="","",IF(AND(E27=""),"",IF(AND(D27=$AX$27),"",IF(OR('Master Data'!$I$28='GA55 Check &amp; Edit'!$AP$6,D27=""),"",IF('Master Data'!$N$36="NO",0,IF(D27='Master Data'!$N$40,'Master Data'!$G$43,0)))))),"")</f>
        <v/>
      </c>
      <c r="Y27" s="186" t="str">
        <f>IFERROR(IF(D27="","",IF(AND(E27=""),"",IF(AND(D27=$AX$27),"",IF(OR('Master Data'!$I$28='GA55 Check &amp; Edit'!$AP$6,D27=""),"",$Y$7)))),"")</f>
        <v/>
      </c>
      <c r="Z27" s="186"/>
      <c r="AA27" s="186" t="str">
        <f>IFERROR(IF(OR('Master Data'!$I$28='GA55 Check &amp; Edit'!$AP$6,D27=""),"",IF(AND(E27=""),"",IF('GA55 Check &amp; Edit'!D27='GA55 Check &amp; Edit'!$AT$9,220,""))),"")</f>
        <v/>
      </c>
      <c r="AB27" s="251" t="str">
        <f>IFERROR(IF(D27="","",IF(AND(O27=""),"",IF(AND('Master Data'!$H$18='GA55 Check &amp; Edit'!$AO$5,'Master Data'!$I$30='GA55 Check &amp; Edit'!$AN$6),SUM(P27:AA27)+N27,SUM(P27:AA27)))),"")</f>
        <v/>
      </c>
      <c r="AC27" s="252" t="str">
        <f t="shared" si="2"/>
        <v/>
      </c>
      <c r="AD27" s="188"/>
      <c r="AE27" s="194"/>
      <c r="AF27" s="37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97</v>
      </c>
      <c r="AV27" s="58"/>
      <c r="AW27" s="274"/>
      <c r="AX27" s="288" t="str">
        <f t="shared" si="15"/>
        <v>Fixation arear</v>
      </c>
      <c r="AY27" s="273"/>
      <c r="AZ27" s="273"/>
      <c r="BA27" s="273">
        <f>IF('Master Data'!$I$28='GA55 Check &amp; Edit'!$AP$6,"",IF(OR('Master Data'!E22="NO",'Master Data'!E22=""),0,VLOOKUP('Master Data'!I22,AW12:BD29,5,0)/2))</f>
        <v>0</v>
      </c>
      <c r="BB27" s="273"/>
      <c r="BC27" s="273">
        <f>IF('Master Data'!$I$28='GA55 Check &amp; Edit'!$AP$6,"",IF(AND(BA27=""),"",ROUND(17%*BA27,0)))</f>
        <v>0</v>
      </c>
      <c r="BD27" s="273">
        <f>IF('Master Data'!$I$28='GA55 Check &amp; Edit'!$AP$6,"",IF(BC27="","",BC27))</f>
        <v>0</v>
      </c>
      <c r="BE27" s="273"/>
      <c r="BF27" s="273"/>
      <c r="BG27" s="273"/>
      <c r="BH27" s="273"/>
      <c r="BI27" s="276"/>
      <c r="BJ27" s="273"/>
      <c r="BK27" s="283">
        <v>44713</v>
      </c>
      <c r="BL27" s="283">
        <f>IFERROR(IF('Master Data'!$E$36="","",IF('Master Data'!$F$40="","",IF(AND($AZ$17&gt;$AZ$9),"",DATE(YEAR(BL26),MONTH(BL26)+1,DAY(BL26))))),"")</f>
        <v>44713</v>
      </c>
      <c r="BM27" s="58" t="s">
        <v>307</v>
      </c>
      <c r="BN27" s="284" t="str">
        <f t="shared" si="6"/>
        <v/>
      </c>
      <c r="BO27" s="284" t="str">
        <f t="shared" si="7"/>
        <v>Fixation arear</v>
      </c>
      <c r="BP27" s="284"/>
      <c r="BQ27" s="284" t="str">
        <f>IFERROR(IF(BM27="","",IF(D23=$AX$27,$AX$27,IF(D23=$AX$30,$AX$30,IF(BM27&gt;$AZ$17,"",BM27)))),"")</f>
        <v>Fixation arear</v>
      </c>
      <c r="BR27" s="58"/>
      <c r="BS27" s="285"/>
      <c r="BT27" s="58"/>
      <c r="BU27" s="285"/>
      <c r="BV27" s="284"/>
      <c r="BW27" s="58"/>
      <c r="BX27" s="285">
        <f t="shared" si="10"/>
        <v>0</v>
      </c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</row>
    <row r="28" spans="1:103" s="33" customFormat="1" ht="21" customHeight="1" thickBot="1">
      <c r="A28" s="33">
        <f t="shared" si="0"/>
        <v>0</v>
      </c>
      <c r="B28" s="43">
        <f t="shared" si="3"/>
        <v>0</v>
      </c>
      <c r="C28" s="45" t="str">
        <f t="shared" si="5"/>
        <v/>
      </c>
      <c r="D28" s="300"/>
      <c r="E28" s="182" t="str">
        <f>IFERROR(IF(D28="","",IF(AND(BQ32=""),"",IF(AND('Master Data'!$I$28='GA55 Check &amp; Edit'!$AP$6),VLOOKUP(D28,ram,13,0),VLOOKUP(D28,ram,4,0)))),"")</f>
        <v/>
      </c>
      <c r="F28" s="183" t="str">
        <f>IFERROR(IF(D28="","",IF(D28=$AX$24,"",IF(AND(D28=$AX$25),$BC$25,IF(AND(D28=$AX$26),$BC$26,IF(AND(D28=$AX$27),$BC$27,IF(AND(D28=$AX$28),"",IF(AND(D28=$AX$29),"",IF(AND('Master Data'!$I$28='GA55 Check &amp; Edit'!$AP$6),"",VLOOKUP(D28,ram,7,0))))))))),"")</f>
        <v/>
      </c>
      <c r="G28" s="183" t="str">
        <f>IF(AND('Master Data'!$I$28='GA55 Check &amp; Edit'!$AP$6),"",IF(AND(D28=""),"",IF(AND(D28=$AX$27),"",IF(AND(E28=""),"",ROUND('Master Data'!$E$30%*E28,0)))))</f>
        <v/>
      </c>
      <c r="H28" s="184" t="str">
        <f>IFERROR(IF(D28="","",IF(AND(E28=""),"",IF(AND(D28=$AX$27),"",IF(AND('Master Data'!$I$28='GA55 Check &amp; Edit'!$AP$6),"",'Master Data'!$B$43)))),"")</f>
        <v/>
      </c>
      <c r="I28" s="184" t="str">
        <f>IFERROR(IF(D28="","",IF(AND(E28=""),"",IF(AND(D28=$AX$27),"",IF(AND('Master Data'!$I$28='GA55 Check &amp; Edit'!$AP$6),"",'Master Data'!$E$28)))),"")</f>
        <v/>
      </c>
      <c r="J28" s="184" t="str">
        <f>IFERROR(IF(OR('Master Data'!$E$32=$AO$6,'Master Data'!$E$32=""),"",IF(D28="","",IF(AND(E28=""),"",IF(AND(D28=$AX$27),"",IF(AND('Master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184" t="str">
        <f>IFERROR(IF(D28="","",IF(AND(E28=""),"",IF(AND(D28=$AX$27),"",IF(AND('Master Data'!$I$28='GA55 Check &amp; Edit'!$AP$6),"",'Master Data'!$E$43)))),"")</f>
        <v/>
      </c>
      <c r="L28" s="184" t="str">
        <f>IFERROR(IF(D28="","",IF(AND(E28=""),"",IF(AND(D28=$AX$27),"",IF(AND('Master Data'!$I$28='GA55 Check &amp; Edit'!$AP$6),"",'Master Data'!$F$43)))),"")</f>
        <v/>
      </c>
      <c r="M28" s="184"/>
      <c r="N28" s="184" t="str">
        <f>IFERROR(IF(AND(D28=""),"",IF(AND(D28=$AX$25,'Master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Edit'!$AN$5),"",IF(AND('Master Data'!$I$30='GA55 Check &amp; Edit'!$AN$6,'Master Data'!$I$28='GA55 Check &amp; Edit'!$AP$6),ROUND((E28)*0.1,0),ROUND((E28+F28)*0.1,0))))))),"")</f>
        <v/>
      </c>
      <c r="O28" s="250" t="str">
        <f>IF(D28="","",IF('Master Data'!$H$18='GA55 Check &amp; Edit'!$AO$5,SUM(E28:N28),SUM(E28:M28)))</f>
        <v/>
      </c>
      <c r="P28" s="187"/>
      <c r="Q28" s="186" t="str">
        <f>IFERROR(IF(AND(D28=""),"",IF(AND(D28=$AX$24,'Master Data'!$I$30='GA55 Check &amp; Edit'!$AN$5),ROUND((M28)*0.75,0),IF(AND(D28=$AX$25,'Master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Edit'!$AN$6,'Master Data'!$I$28='GA55 Check &amp; Edit'!$AP$6),ROUND((E28)*0.1,0),IF(AND('Master Data'!$I$30='GA55 Check &amp; Edit'!$AN$6,'Master Data'!$I$28='GA55 Check &amp; Edit'!$AP$5),ROUND((E28+F28)*0.1,0),IF(AND('Master Data'!$I$30='GA55 Check &amp; Edit'!$AN$5,'Master Data'!$I$28='GA55 Check &amp; Edit'!$AP$5),VLOOKUP(D28,ram,12,0))))))))),"")</f>
        <v/>
      </c>
      <c r="R28" s="186" t="str">
        <f>IFERROR(IF(OR('Master Data'!$I$28='GA55 Check &amp; Edit'!$AP$6,D28=""),"",IF(AND(D28=$AX$27),"",IF(AND(D28=$AX$30),"",IF(AND(E28=""),"",'Master Data'!$I$43)))),"")</f>
        <v/>
      </c>
      <c r="S28" s="186" t="str">
        <f>IFERROR(IF(OR('Master Data'!$I$28='GA55 Check &amp; Edit'!$AP$6),"",IF(D28="","",IF(E28="","",IF(AND(D28=$AX$27),"",IF(AND('Master Data'!$I$30='GA55 Check &amp; Edit'!$AN$5),VLOOKUP(D28,ram,10,0),"0"))))),"")</f>
        <v/>
      </c>
      <c r="T28" s="186" t="str">
        <f>IFERROR(IF(OR('Master Data'!$I$28='GA55 Check &amp; Edit'!$AP$6,D28=""),"",IF(AND(D28=$AX$27),"",IF(AND(E28=""),"",'Master Data'!$K$43))),"")</f>
        <v/>
      </c>
      <c r="U28" s="186" t="str">
        <f>IFERROR(IF(OR('Master Data'!$I$28='GA55 Check &amp; Edit'!$AP$6,D28=""),"",IF(AND(D28=$AX$27),"",IF(AND(E28=""),"",'Master Data'!$L$43))),"")</f>
        <v/>
      </c>
      <c r="V28" s="186" t="str">
        <f>IFERROR(IF(D28="","",IF(AND('Master Data'!$I$28='GA55 Check &amp; Edit'!$AP$6),"",IF(AND('Master Data'!$I$24='GA55 Check &amp; Edit'!$AO$6),"0",IF(AND(D28="Bonus",'Master Data'!$I$30='GA55 Check &amp; Edit'!$AN$6),ROUND((M28)*0.75,0),"")))),"")</f>
        <v/>
      </c>
      <c r="W28" s="186" t="str">
        <f>IFERROR(IF(OR('Master Data'!$E$24='GA55 Check &amp; Edit'!$AQ$6,'Master Data'!$E$24='GA55 Check &amp; Edit'!$AQ$7),"",IF(AND(D28=$AX$27),"",IF(D28="","",IF(E28="","",VLOOKUP(D28,ram,8,0))))),"")</f>
        <v/>
      </c>
      <c r="X28" s="186" t="str">
        <f>IFERROR(IF(D28="","",IF(AND(E28=""),"",IF(AND(D28=$AX$27),"",IF(OR('Master Data'!$I$28='GA55 Check &amp; Edit'!$AP$6,D28=""),"",IF('Master Data'!$N$36="NO",0,IF(D28='Master Data'!$N$40,'Master Data'!$G$43,0)))))),"")</f>
        <v/>
      </c>
      <c r="Y28" s="186" t="str">
        <f>IFERROR(IF(D28="","",IF(AND(E28=""),"",IF(AND(D28=$AX$27),"",IF(OR('Master Data'!$I$28='GA55 Check &amp; Edit'!$AP$6,D28=""),"",$Y$7)))),"")</f>
        <v/>
      </c>
      <c r="Z28" s="186"/>
      <c r="AA28" s="186" t="str">
        <f>IFERROR(IF(OR('Master Data'!$I$28='GA55 Check &amp; Edit'!$AP$6,D28=""),"",IF(AND(E28=""),"",IF('GA55 Check &amp; Edit'!D28='GA55 Check &amp; Edit'!$AT$9,220,""))),"")</f>
        <v/>
      </c>
      <c r="AB28" s="251" t="str">
        <f>IFERROR(IF(D28="","",IF(AND(O28=""),"",IF(AND('Master Data'!$H$18='GA55 Check &amp; Edit'!$AO$5,'Master Data'!$I$30='GA55 Check &amp; Edit'!$AN$6),SUM(P28:AA28)+N28,SUM(P28:AA28)))),"")</f>
        <v/>
      </c>
      <c r="AC28" s="252" t="str">
        <f t="shared" si="2"/>
        <v/>
      </c>
      <c r="AD28" s="189"/>
      <c r="AE28" s="195"/>
      <c r="AF28" s="37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98</v>
      </c>
      <c r="AV28" s="58"/>
      <c r="AW28" s="274"/>
      <c r="AX28" s="288" t="str">
        <f t="shared" si="15"/>
        <v>Other Arrear</v>
      </c>
      <c r="AY28" s="273"/>
      <c r="AZ28" s="273"/>
      <c r="BA28" s="273"/>
      <c r="BB28" s="273"/>
      <c r="BC28" s="273"/>
      <c r="BD28" s="273" t="str">
        <f t="shared" ref="BD28" si="16">IF(BC28="","",BC28)</f>
        <v/>
      </c>
      <c r="BE28" s="273"/>
      <c r="BF28" s="273"/>
      <c r="BG28" s="273"/>
      <c r="BH28" s="273"/>
      <c r="BI28" s="276"/>
      <c r="BJ28" s="273"/>
      <c r="BK28" s="283">
        <v>44743</v>
      </c>
      <c r="BL28" s="283">
        <f>IFERROR(IF('Master Data'!$E$36="","",IF('Master Data'!$F$40="","",IF(AND($AZ$17&gt;$AZ$9),"",DATE(YEAR(BL27),MONTH(BL27)+1,DAY(BL27))))),"")</f>
        <v>44743</v>
      </c>
      <c r="BM28" s="58" t="s">
        <v>102</v>
      </c>
      <c r="BN28" s="284" t="str">
        <f t="shared" si="6"/>
        <v/>
      </c>
      <c r="BO28" s="284" t="str">
        <f t="shared" si="7"/>
        <v>Other Arrear</v>
      </c>
      <c r="BP28" s="58"/>
      <c r="BQ28" s="284" t="str">
        <f t="shared" ref="BQ28:BQ30" si="17">IFERROR(IF(BM28="","",IF(D24=$AX$27,$AX$27,IF(D24=$AX$30,$AX$30,IF(BM28&gt;$AZ$17,"",BM28)))),"")</f>
        <v/>
      </c>
      <c r="BR28" s="58"/>
      <c r="BS28" s="285"/>
      <c r="BT28" s="58"/>
      <c r="BU28" s="285"/>
      <c r="BV28" s="284"/>
      <c r="BW28" s="58"/>
      <c r="BX28" s="285">
        <f t="shared" si="10"/>
        <v>0</v>
      </c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</row>
    <row r="29" spans="1:103" s="192" customFormat="1" thickBot="1">
      <c r="A29" s="34"/>
      <c r="B29" s="34"/>
      <c r="D29" s="301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90"/>
      <c r="AX29" s="291" t="str">
        <f>BM29</f>
        <v/>
      </c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3"/>
      <c r="BJ29" s="294"/>
      <c r="BK29" s="283">
        <v>44774</v>
      </c>
      <c r="BL29" s="295">
        <f>IFERROR(IF('Master Data'!$E$36="","",IF('Master Data'!$F$40="","",IF(AND($AZ$17&gt;$AZ$9),"",DATE(YEAR(BL28),MONTH(BL28)+1,DAY(BL28))))),"")</f>
        <v>44774</v>
      </c>
      <c r="BM29" s="284" t="str">
        <f>IFERROR(IF(BF2=AO5,AX10,""),"")</f>
        <v/>
      </c>
      <c r="BN29" s="284" t="str">
        <f t="shared" si="6"/>
        <v/>
      </c>
      <c r="BO29" s="284" t="str">
        <f t="shared" si="7"/>
        <v/>
      </c>
      <c r="BP29" s="289"/>
      <c r="BQ29" s="284" t="str">
        <f>IFERROR(IF(BM29="","",IF(D25=$AX$27,$AX$27,IF(D25=$AX$30,$AX$30,IF(BM29&gt;$AZ$17,"",BM29)))),"")</f>
        <v/>
      </c>
      <c r="BR29" s="289"/>
      <c r="BS29" s="289"/>
      <c r="BT29" s="289"/>
      <c r="BU29" s="296"/>
      <c r="BV29" s="297"/>
      <c r="BW29" s="289"/>
      <c r="BX29" s="285">
        <f t="shared" si="10"/>
        <v>0</v>
      </c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</row>
    <row r="30" spans="1:103">
      <c r="D30" s="302"/>
      <c r="AX30" s="263" t="str">
        <f t="shared" si="15"/>
        <v/>
      </c>
      <c r="BA30" s="263">
        <f>IF(AND('Master Data'!$E$36=""),"",IF('Master Data'!N26='GA55 Check &amp; Edit'!AO5,'GA55 Check &amp; Edit'!AZ15-BC9,""))</f>
        <v>26219</v>
      </c>
      <c r="BB30" s="263">
        <f>IF(AND('Master Data'!$E$36=""),"",IF('Master Data'!N26='GA55 Check &amp; Edit'!AO5,BA30,""))</f>
        <v>26219</v>
      </c>
      <c r="BC30" s="273">
        <f>IF(OR('Master Data'!$E$36="",BA30=""),"",ROUND(17%*BA30,0))</f>
        <v>4457</v>
      </c>
      <c r="BD30" s="273">
        <f>IF(BB30="","",BC30)</f>
        <v>4457</v>
      </c>
      <c r="BI30" s="263">
        <f>IFERROR(IF(BA30="","",IF(AND('Master Data'!$I$30='GA55 Check &amp; Edit'!$AN$6),ROUND((E9)*0.1,0),IF(AND('Master Data'!$I$28='GA55 Check &amp; Edit'!$AP$6),ROUND((BA30+BC30)*0.1,0),'Master Data'!$H$43))),"")</f>
        <v>3575</v>
      </c>
      <c r="BK30" s="283">
        <v>44805</v>
      </c>
      <c r="BL30" s="295">
        <f>IFERROR(IF('Master Data'!$E$36="","",IF('Master Data'!$F$40="","",IF(AND($AZ$17&gt;$AZ$9),"",DATE(YEAR(BL29),MONTH(BL29)+1,DAY(BL29))))),"")</f>
        <v>44805</v>
      </c>
      <c r="BM30" s="284" t="str">
        <f>IFERROR(IF(BF3=AO5,AX11,""),"")</f>
        <v/>
      </c>
      <c r="BN30" s="284" t="str">
        <f t="shared" si="6"/>
        <v/>
      </c>
      <c r="BO30" s="284" t="str">
        <f t="shared" si="7"/>
        <v/>
      </c>
      <c r="BQ30" s="284" t="str">
        <f t="shared" si="17"/>
        <v/>
      </c>
      <c r="BV30" s="284"/>
      <c r="BX30" s="285">
        <f t="shared" si="10"/>
        <v>0</v>
      </c>
    </row>
    <row r="31" spans="1:103" hidden="1">
      <c r="BA31" s="263">
        <f>IF(AND('Master Data'!$E$36=""),"",ROUND(12%*AZ15,0))</f>
        <v>6096</v>
      </c>
      <c r="BB31" s="263">
        <f>IF(AND('Master Data'!$E$36=""),"",ROUND(17%*AZ15,0))</f>
        <v>8636</v>
      </c>
      <c r="BC31" s="263">
        <f>'Master Data'!N31</f>
        <v>0</v>
      </c>
    </row>
    <row r="32" spans="1:103" hidden="1">
      <c r="BA32" s="263">
        <f>IF(AND('Master Data'!$E$36=""),"",ROUND(12%*AZ15,0))</f>
        <v>6096</v>
      </c>
      <c r="BB32" s="263">
        <f>IF(AND('Master Data'!$E$36=""),"",ROUND(17%*AZ15,0))</f>
        <v>8636</v>
      </c>
      <c r="BC32" s="263" t="str">
        <f>'Master Data'!N28</f>
        <v>No</v>
      </c>
    </row>
    <row r="33" spans="50:50" hidden="1"/>
    <row r="34" spans="50:50" hidden="1"/>
    <row r="35" spans="50:50" hidden="1"/>
    <row r="36" spans="50:50" hidden="1"/>
    <row r="37" spans="50:50" hidden="1"/>
    <row r="38" spans="50:50" hidden="1"/>
    <row r="39" spans="50:50" hidden="1"/>
    <row r="40" spans="50:50" hidden="1"/>
    <row r="41" spans="50:50" hidden="1">
      <c r="AX41" s="263">
        <f>IFERROR(IF(D23="","",IF(AND(D23=AX34),VLOOKUP(D23,ram,4,0),IF(AND('Master Data'!$I$28='GA55 Check &amp; Edit'!$AP$6),'Master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B8:AC28" name="Range2_3"/>
    <protectedRange password="CFD9" sqref="O8:AA28" name="Range1_3"/>
    <protectedRange sqref="D7" name="Range1_1_2"/>
    <protectedRange sqref="E7:M7" name="Range2_1_2"/>
    <protectedRange sqref="N7" name="Range3_2"/>
    <protectedRange sqref="AD7:AE7" name="Range4_2"/>
  </protectedRanges>
  <mergeCells count="31">
    <mergeCell ref="T1:Z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D3:E3"/>
    <mergeCell ref="F3:I3"/>
    <mergeCell ref="AC6:AC7"/>
    <mergeCell ref="AE6:AE7"/>
    <mergeCell ref="U6:U7"/>
    <mergeCell ref="V6:V7"/>
    <mergeCell ref="Z6:Z7"/>
    <mergeCell ref="Q6:Q7"/>
    <mergeCell ref="R6:R7"/>
    <mergeCell ref="S6:S7"/>
    <mergeCell ref="AA6:AA7"/>
    <mergeCell ref="AB6:AB7"/>
    <mergeCell ref="X6:X7"/>
    <mergeCell ref="S3:Z3"/>
  </mergeCells>
  <conditionalFormatting sqref="B8:C28">
    <cfRule type="cellIs" dxfId="23" priority="38" operator="equal">
      <formula>0</formula>
    </cfRule>
  </conditionalFormatting>
  <conditionalFormatting sqref="B9:AE28">
    <cfRule type="expression" dxfId="22" priority="37">
      <formula>$B8=0</formula>
    </cfRule>
  </conditionalFormatting>
  <conditionalFormatting sqref="B8:AE28">
    <cfRule type="expression" dxfId="21" priority="36">
      <formula>$A8=0</formula>
    </cfRule>
  </conditionalFormatting>
  <conditionalFormatting sqref="B28:AE28">
    <cfRule type="expression" dxfId="20" priority="29">
      <formula>$B23=0</formula>
    </cfRule>
  </conditionalFormatting>
  <conditionalFormatting sqref="B27:AE27">
    <cfRule type="expression" dxfId="19" priority="28">
      <formula>$B23=0</formula>
    </cfRule>
  </conditionalFormatting>
  <conditionalFormatting sqref="B26:AE26 R27:U28 W27:AB28 E27:O28">
    <cfRule type="expression" dxfId="18" priority="27">
      <formula>$B23=0</formula>
    </cfRule>
  </conditionalFormatting>
  <conditionalFormatting sqref="B25:AE25 E26:AC26 R27:U28 W27:AB28 E27:O28">
    <cfRule type="expression" dxfId="17" priority="26">
      <formula>$B23=0</formula>
    </cfRule>
  </conditionalFormatting>
  <conditionalFormatting sqref="M8:M20">
    <cfRule type="expression" dxfId="16" priority="17">
      <formula>$B7=0</formula>
    </cfRule>
  </conditionalFormatting>
  <conditionalFormatting sqref="B8:C28">
    <cfRule type="cellIs" dxfId="15" priority="16" operator="equal">
      <formula>0</formula>
    </cfRule>
  </conditionalFormatting>
  <conditionalFormatting sqref="B9:AE28">
    <cfRule type="expression" dxfId="14" priority="15">
      <formula>$B8=0</formula>
    </cfRule>
  </conditionalFormatting>
  <conditionalFormatting sqref="B8:AE28">
    <cfRule type="expression" dxfId="13" priority="14">
      <formula>$A8=0</formula>
    </cfRule>
  </conditionalFormatting>
  <conditionalFormatting sqref="B28:AE28">
    <cfRule type="expression" dxfId="12" priority="13">
      <formula>$B23=0</formula>
    </cfRule>
  </conditionalFormatting>
  <conditionalFormatting sqref="B27:AE27">
    <cfRule type="expression" dxfId="11" priority="12">
      <formula>$B23=0</formula>
    </cfRule>
  </conditionalFormatting>
  <conditionalFormatting sqref="B26:AE26 R27:U28 W27:AB28 E27:O28">
    <cfRule type="expression" dxfId="10" priority="11">
      <formula>$B23=0</formula>
    </cfRule>
  </conditionalFormatting>
  <conditionalFormatting sqref="B25:AE25 R27:U28 W27:AB28 E27:O28 D26:AC26">
    <cfRule type="expression" dxfId="9" priority="10">
      <formula>$B23=0</formula>
    </cfRule>
  </conditionalFormatting>
  <conditionalFormatting sqref="M8:M20">
    <cfRule type="expression" dxfId="8" priority="9">
      <formula>$B7=0</formula>
    </cfRule>
  </conditionalFormatting>
  <conditionalFormatting sqref="B8:C28">
    <cfRule type="cellIs" dxfId="7" priority="8" operator="equal">
      <formula>0</formula>
    </cfRule>
  </conditionalFormatting>
  <conditionalFormatting sqref="B9:AE28">
    <cfRule type="expression" dxfId="6" priority="7">
      <formula>$B8=0</formula>
    </cfRule>
  </conditionalFormatting>
  <conditionalFormatting sqref="B8:AE28">
    <cfRule type="expression" dxfId="5" priority="6">
      <formula>$A8=0</formula>
    </cfRule>
  </conditionalFormatting>
  <conditionalFormatting sqref="B28:AE28">
    <cfRule type="expression" dxfId="4" priority="5">
      <formula>$B23=0</formula>
    </cfRule>
  </conditionalFormatting>
  <conditionalFormatting sqref="B27:AE27">
    <cfRule type="expression" dxfId="3" priority="4">
      <formula>$B23=0</formula>
    </cfRule>
  </conditionalFormatting>
  <conditionalFormatting sqref="B26:AE26 R27:U28 W27:AB28 E27:O28">
    <cfRule type="expression" dxfId="2" priority="3">
      <formula>$B23=0</formula>
    </cfRule>
  </conditionalFormatting>
  <conditionalFormatting sqref="B25:AE25 R27:U28 W27:AB28 E27:O28 D26:AC26">
    <cfRule type="expression" dxfId="1" priority="2">
      <formula>$B23=0</formula>
    </cfRule>
  </conditionalFormatting>
  <conditionalFormatting sqref="M8:M20">
    <cfRule type="expression" dxfId="0" priority="1">
      <formula>$B7=0</formula>
    </cfRule>
  </conditionalFormatting>
  <pageMargins left="0.7" right="0.7" top="0.75" bottom="0.75" header="0.3" footer="0.3"/>
  <pageSetup orientation="portrait" horizont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topLeftCell="B1" workbookViewId="0">
      <selection activeCell="E17" sqref="E17"/>
    </sheetView>
  </sheetViews>
  <sheetFormatPr defaultColWidth="0" defaultRowHeight="15" zeroHeight="1"/>
  <cols>
    <col min="1" max="1" width="9" style="33" customWidth="1"/>
    <col min="2" max="2" width="3.375" style="33" customWidth="1"/>
    <col min="3" max="3" width="59.75" style="33" customWidth="1"/>
    <col min="4" max="4" width="6.25" style="33" customWidth="1"/>
    <col min="5" max="5" width="18.625" style="33" customWidth="1"/>
    <col min="6" max="6" width="3.375" style="33" customWidth="1"/>
    <col min="7" max="7" width="74.875" style="33" customWidth="1"/>
    <col min="8" max="8" width="8.125" style="33" customWidth="1"/>
    <col min="9" max="9" width="16.625" style="33" customWidth="1"/>
    <col min="10" max="10" width="3.375" style="33" customWidth="1"/>
    <col min="11" max="11" width="9" style="33" customWidth="1"/>
    <col min="12" max="16384" width="9" style="33" hidden="1"/>
  </cols>
  <sheetData>
    <row r="1" spans="1:11" ht="37.5" customHeight="1">
      <c r="A1" s="420" t="s">
        <v>152</v>
      </c>
      <c r="B1" s="421"/>
      <c r="C1" s="421"/>
      <c r="D1" s="150"/>
      <c r="E1" s="150"/>
      <c r="F1" s="150"/>
      <c r="G1" s="150"/>
      <c r="H1" s="150"/>
      <c r="I1" s="150"/>
      <c r="J1" s="150"/>
      <c r="K1" s="150"/>
    </row>
    <row r="2" spans="1:11" ht="18.75" customHeight="1">
      <c r="A2" s="150"/>
      <c r="B2" s="422" t="s">
        <v>153</v>
      </c>
      <c r="C2" s="422"/>
      <c r="D2" s="150"/>
      <c r="E2" s="150"/>
      <c r="F2" s="150"/>
      <c r="G2" s="150"/>
      <c r="H2" s="150"/>
      <c r="I2" s="150"/>
      <c r="J2" s="150"/>
      <c r="K2" s="150"/>
    </row>
    <row r="3" spans="1:11" ht="27" customHeight="1">
      <c r="A3" s="150"/>
      <c r="B3" s="150"/>
      <c r="C3" s="423" t="s">
        <v>273</v>
      </c>
      <c r="D3" s="423"/>
      <c r="E3" s="423"/>
      <c r="F3" s="423"/>
      <c r="G3" s="423"/>
      <c r="H3" s="423"/>
      <c r="I3" s="423"/>
      <c r="J3" s="150"/>
      <c r="K3" s="150"/>
    </row>
    <row r="4" spans="1:11" ht="15.7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ht="15.75" customHeight="1">
      <c r="A5" s="150"/>
      <c r="B5" s="151"/>
      <c r="C5" s="152"/>
      <c r="D5" s="152"/>
      <c r="E5" s="152"/>
      <c r="F5" s="152"/>
      <c r="G5" s="152"/>
      <c r="H5" s="152"/>
      <c r="I5" s="152"/>
      <c r="J5" s="151"/>
      <c r="K5" s="150"/>
    </row>
    <row r="6" spans="1:11" ht="24.95" customHeight="1">
      <c r="A6" s="150"/>
      <c r="B6" s="153"/>
      <c r="C6" s="416" t="s">
        <v>274</v>
      </c>
      <c r="D6" s="417"/>
      <c r="E6" s="154">
        <v>0</v>
      </c>
      <c r="F6" s="424"/>
      <c r="G6" s="403" t="s">
        <v>278</v>
      </c>
      <c r="H6" s="403"/>
      <c r="I6" s="154"/>
      <c r="J6" s="405"/>
      <c r="K6" s="150"/>
    </row>
    <row r="7" spans="1:11" ht="24.95" customHeight="1">
      <c r="A7" s="150"/>
      <c r="B7" s="153"/>
      <c r="C7" s="407" t="s">
        <v>255</v>
      </c>
      <c r="D7" s="408"/>
      <c r="E7" s="154">
        <v>50000</v>
      </c>
      <c r="F7" s="424"/>
      <c r="G7" s="403" t="s">
        <v>279</v>
      </c>
      <c r="H7" s="403"/>
      <c r="I7" s="154"/>
      <c r="J7" s="405"/>
      <c r="K7" s="150"/>
    </row>
    <row r="8" spans="1:11" ht="24.95" customHeight="1">
      <c r="A8" s="150"/>
      <c r="B8" s="153"/>
      <c r="C8" s="407" t="s">
        <v>256</v>
      </c>
      <c r="D8" s="408"/>
      <c r="E8" s="154"/>
      <c r="F8" s="424"/>
      <c r="G8" s="425" t="s">
        <v>277</v>
      </c>
      <c r="H8" s="425"/>
      <c r="I8" s="154"/>
      <c r="J8" s="405"/>
      <c r="K8" s="150"/>
    </row>
    <row r="9" spans="1:11" ht="24.95" customHeight="1">
      <c r="A9" s="150"/>
      <c r="B9" s="153"/>
      <c r="C9" s="407" t="s">
        <v>259</v>
      </c>
      <c r="D9" s="408"/>
      <c r="E9" s="154"/>
      <c r="F9" s="424"/>
      <c r="G9" s="425" t="s">
        <v>280</v>
      </c>
      <c r="H9" s="425"/>
      <c r="I9" s="154"/>
      <c r="J9" s="405"/>
      <c r="K9" s="150"/>
    </row>
    <row r="10" spans="1:11" ht="24.95" customHeight="1">
      <c r="A10" s="150"/>
      <c r="B10" s="153"/>
      <c r="C10" s="407" t="s">
        <v>260</v>
      </c>
      <c r="D10" s="408"/>
      <c r="E10" s="154"/>
      <c r="F10" s="424"/>
      <c r="G10" s="425" t="s">
        <v>295</v>
      </c>
      <c r="H10" s="425"/>
      <c r="I10" s="154"/>
      <c r="J10" s="405"/>
      <c r="K10" s="150"/>
    </row>
    <row r="11" spans="1:11" ht="33" customHeight="1">
      <c r="A11" s="150"/>
      <c r="B11" s="153"/>
      <c r="C11" s="407" t="s">
        <v>261</v>
      </c>
      <c r="D11" s="408"/>
      <c r="E11" s="154"/>
      <c r="F11" s="424"/>
      <c r="G11" s="426" t="s">
        <v>281</v>
      </c>
      <c r="H11" s="426"/>
      <c r="I11" s="154"/>
      <c r="J11" s="405"/>
      <c r="K11" s="150"/>
    </row>
    <row r="12" spans="1:11" ht="24.95" customHeight="1">
      <c r="A12" s="150"/>
      <c r="B12" s="153"/>
      <c r="C12" s="409" t="s">
        <v>262</v>
      </c>
      <c r="D12" s="410"/>
      <c r="E12" s="154"/>
      <c r="F12" s="424"/>
      <c r="G12" s="403" t="s">
        <v>282</v>
      </c>
      <c r="H12" s="403"/>
      <c r="I12" s="154"/>
      <c r="J12" s="405"/>
      <c r="K12" s="150"/>
    </row>
    <row r="13" spans="1:11" ht="24.95" customHeight="1">
      <c r="A13" s="150"/>
      <c r="B13" s="153"/>
      <c r="C13" s="411" t="s">
        <v>263</v>
      </c>
      <c r="D13" s="412"/>
      <c r="E13" s="154"/>
      <c r="F13" s="424"/>
      <c r="G13" s="403" t="s">
        <v>283</v>
      </c>
      <c r="H13" s="403"/>
      <c r="I13" s="154"/>
      <c r="J13" s="405"/>
      <c r="K13" s="150"/>
    </row>
    <row r="14" spans="1:11" ht="24.95" customHeight="1">
      <c r="A14" s="150"/>
      <c r="B14" s="153"/>
      <c r="C14" s="413" t="s">
        <v>275</v>
      </c>
      <c r="D14" s="414"/>
      <c r="E14" s="154"/>
      <c r="F14" s="424"/>
      <c r="G14" s="426" t="s">
        <v>286</v>
      </c>
      <c r="H14" s="426"/>
      <c r="I14" s="154">
        <v>50000</v>
      </c>
      <c r="J14" s="405"/>
      <c r="K14" s="150"/>
    </row>
    <row r="15" spans="1:11" ht="24.95" customHeight="1">
      <c r="A15" s="150"/>
      <c r="B15" s="153"/>
      <c r="C15" s="399" t="s">
        <v>264</v>
      </c>
      <c r="D15" s="400"/>
      <c r="E15" s="154"/>
      <c r="F15" s="424"/>
      <c r="G15" s="403" t="s">
        <v>285</v>
      </c>
      <c r="H15" s="403"/>
      <c r="I15" s="154"/>
      <c r="J15" s="405"/>
      <c r="K15" s="150"/>
    </row>
    <row r="16" spans="1:11" ht="24.95" customHeight="1">
      <c r="A16" s="150"/>
      <c r="B16" s="153"/>
      <c r="C16" s="399" t="s">
        <v>265</v>
      </c>
      <c r="D16" s="400"/>
      <c r="E16" s="154"/>
      <c r="F16" s="424"/>
      <c r="G16" s="403" t="s">
        <v>284</v>
      </c>
      <c r="H16" s="403"/>
      <c r="I16" s="154"/>
      <c r="J16" s="405"/>
      <c r="K16" s="150"/>
    </row>
    <row r="17" spans="1:11" ht="24.95" customHeight="1">
      <c r="A17" s="150"/>
      <c r="B17" s="153"/>
      <c r="C17" s="399" t="s">
        <v>266</v>
      </c>
      <c r="D17" s="400"/>
      <c r="E17" s="154"/>
      <c r="F17" s="424"/>
      <c r="G17" s="403" t="s">
        <v>287</v>
      </c>
      <c r="H17" s="403"/>
      <c r="I17" s="154"/>
      <c r="J17" s="405"/>
      <c r="K17" s="150"/>
    </row>
    <row r="18" spans="1:11" ht="24.95" customHeight="1">
      <c r="A18" s="150"/>
      <c r="B18" s="153"/>
      <c r="C18" s="399" t="s">
        <v>267</v>
      </c>
      <c r="D18" s="400"/>
      <c r="E18" s="154"/>
      <c r="F18" s="424"/>
      <c r="G18" s="403" t="s">
        <v>288</v>
      </c>
      <c r="H18" s="403"/>
      <c r="I18" s="154"/>
      <c r="J18" s="405"/>
      <c r="K18" s="150"/>
    </row>
    <row r="19" spans="1:11" ht="24.95" customHeight="1">
      <c r="A19" s="150"/>
      <c r="B19" s="153"/>
      <c r="C19" s="399" t="s">
        <v>268</v>
      </c>
      <c r="D19" s="400"/>
      <c r="E19" s="154"/>
      <c r="F19" s="424"/>
      <c r="G19" s="403" t="s">
        <v>324</v>
      </c>
      <c r="H19" s="403"/>
      <c r="I19" s="248">
        <f>SUM(E25)+ ROUND(I25/2,0)</f>
        <v>0</v>
      </c>
      <c r="J19" s="405"/>
      <c r="K19" s="150"/>
    </row>
    <row r="20" spans="1:11" ht="24.95" customHeight="1">
      <c r="A20" s="150"/>
      <c r="B20" s="153"/>
      <c r="C20" s="399" t="s">
        <v>269</v>
      </c>
      <c r="D20" s="400"/>
      <c r="E20" s="154"/>
      <c r="F20" s="424"/>
      <c r="G20" s="403" t="s">
        <v>289</v>
      </c>
      <c r="H20" s="403"/>
      <c r="I20" s="154"/>
      <c r="J20" s="405"/>
      <c r="K20" s="150"/>
    </row>
    <row r="21" spans="1:11" ht="24.95" customHeight="1">
      <c r="A21" s="150"/>
      <c r="B21" s="153"/>
      <c r="C21" s="399" t="s">
        <v>270</v>
      </c>
      <c r="D21" s="400"/>
      <c r="E21" s="154"/>
      <c r="F21" s="424"/>
      <c r="G21" s="406" t="s">
        <v>290</v>
      </c>
      <c r="H21" s="406"/>
      <c r="I21" s="154">
        <v>1500</v>
      </c>
      <c r="J21" s="405"/>
      <c r="K21" s="150"/>
    </row>
    <row r="22" spans="1:11" ht="24.95" customHeight="1">
      <c r="A22" s="150"/>
      <c r="B22" s="153"/>
      <c r="C22" s="399" t="s">
        <v>276</v>
      </c>
      <c r="D22" s="400"/>
      <c r="E22" s="154"/>
      <c r="F22" s="424"/>
      <c r="G22" s="403" t="s">
        <v>291</v>
      </c>
      <c r="H22" s="403"/>
      <c r="I22" s="154"/>
      <c r="J22" s="405"/>
      <c r="K22" s="150"/>
    </row>
    <row r="23" spans="1:11" ht="24.95" customHeight="1">
      <c r="A23" s="150"/>
      <c r="B23" s="153"/>
      <c r="C23" s="399" t="s">
        <v>271</v>
      </c>
      <c r="D23" s="400"/>
      <c r="E23" s="154"/>
      <c r="F23" s="424"/>
      <c r="G23" s="401" t="s">
        <v>292</v>
      </c>
      <c r="H23" s="402"/>
      <c r="I23" s="154"/>
      <c r="J23" s="405"/>
      <c r="K23" s="150"/>
    </row>
    <row r="24" spans="1:11" ht="24.95" customHeight="1">
      <c r="A24" s="150"/>
      <c r="B24" s="153"/>
      <c r="C24" s="399" t="s">
        <v>272</v>
      </c>
      <c r="D24" s="400"/>
      <c r="E24" s="154"/>
      <c r="F24" s="424"/>
      <c r="G24" s="418" t="s">
        <v>293</v>
      </c>
      <c r="H24" s="419"/>
      <c r="I24" s="312">
        <v>0</v>
      </c>
      <c r="J24" s="405"/>
      <c r="K24" s="150"/>
    </row>
    <row r="25" spans="1:11" ht="24.95" customHeight="1">
      <c r="A25" s="150"/>
      <c r="B25" s="153"/>
      <c r="C25" s="415" t="s">
        <v>326</v>
      </c>
      <c r="D25" s="415"/>
      <c r="E25" s="247"/>
      <c r="F25" s="245"/>
      <c r="G25" s="314" t="s">
        <v>325</v>
      </c>
      <c r="H25" s="313"/>
      <c r="I25" s="247"/>
      <c r="J25" s="246"/>
      <c r="K25" s="150"/>
    </row>
    <row r="26" spans="1:11" ht="16.5" customHeight="1">
      <c r="A26" s="150"/>
      <c r="B26" s="151"/>
      <c r="C26" s="404"/>
      <c r="D26" s="404"/>
      <c r="E26" s="404"/>
      <c r="F26" s="404"/>
      <c r="G26" s="404"/>
      <c r="H26" s="404"/>
      <c r="I26" s="404"/>
      <c r="J26" s="151"/>
      <c r="K26" s="150"/>
    </row>
    <row r="27" spans="1:11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</row>
    <row r="28" spans="1:1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</row>
    <row r="29" spans="1:11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</row>
    <row r="30" spans="1:11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</row>
  </sheetData>
  <sheetProtection password="C1FB" sheet="1" objects="1" scenarios="1" selectLockedCells="1"/>
  <mergeCells count="45">
    <mergeCell ref="C25:D25"/>
    <mergeCell ref="C6:D6"/>
    <mergeCell ref="G24:H24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</mergeCells>
  <dataValidations count="3"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>
      <selection activeCell="AD10" sqref="AD10"/>
    </sheetView>
  </sheetViews>
  <sheetFormatPr defaultColWidth="9.125" defaultRowHeight="15.75"/>
  <cols>
    <col min="1" max="1" width="4" style="47" customWidth="1"/>
    <col min="2" max="2" width="12.125" style="47" customWidth="1"/>
    <col min="3" max="3" width="7.75" style="47" customWidth="1"/>
    <col min="4" max="4" width="6.625" style="47" customWidth="1"/>
    <col min="5" max="5" width="5.625" style="47" customWidth="1"/>
    <col min="6" max="6" width="5.75" style="47" customWidth="1"/>
    <col min="7" max="7" width="5.375" style="47" customWidth="1"/>
    <col min="8" max="8" width="5.25" style="47" customWidth="1"/>
    <col min="9" max="9" width="6.25" style="47" customWidth="1"/>
    <col min="10" max="10" width="6.375" style="47" customWidth="1"/>
    <col min="11" max="12" width="5.875" style="47" customWidth="1"/>
    <col min="13" max="13" width="7.625" style="47" customWidth="1"/>
    <col min="14" max="14" width="5.25" style="47" customWidth="1"/>
    <col min="15" max="15" width="5.375" style="47" customWidth="1"/>
    <col min="16" max="16" width="5.25" style="47" customWidth="1"/>
    <col min="17" max="17" width="5.625" style="47" customWidth="1"/>
    <col min="18" max="18" width="5.75" style="47" customWidth="1"/>
    <col min="19" max="20" width="5.25" style="47" customWidth="1"/>
    <col min="21" max="21" width="5.375" style="47" customWidth="1"/>
    <col min="22" max="22" width="5.625" style="47" customWidth="1"/>
    <col min="23" max="25" width="5.75" style="47" customWidth="1"/>
    <col min="26" max="26" width="7.75" style="47" customWidth="1"/>
    <col min="27" max="27" width="8" style="73" customWidth="1"/>
    <col min="28" max="28" width="7.125" style="73" customWidth="1"/>
    <col min="29" max="29" width="8.25" style="33" customWidth="1"/>
    <col min="30" max="32" width="9.125" style="33" customWidth="1"/>
    <col min="33" max="33" width="22.625" style="47" customWidth="1"/>
    <col min="34" max="34" width="9.125" style="33" customWidth="1"/>
    <col min="35" max="35" width="10.875" style="33" customWidth="1"/>
    <col min="36" max="51" width="9.125" style="33" customWidth="1"/>
    <col min="52" max="52" width="11.25" style="33" customWidth="1"/>
    <col min="53" max="85" width="9.125" style="33" customWidth="1"/>
    <col min="86" max="86" width="8.375" style="33" customWidth="1"/>
    <col min="87" max="271" width="9.125" style="33" customWidth="1"/>
    <col min="272" max="16384" width="9.125" style="33"/>
  </cols>
  <sheetData>
    <row r="1" spans="1:33" ht="27.75" customHeight="1">
      <c r="A1" s="46"/>
      <c r="B1" s="442" t="str">
        <f>IF(AND('Master Data'!D4=""),"",CONCATENATE("Office Name :- ",PROPER('Master Data'!D4)))</f>
        <v>Office Name :- Mahatma Gandhi Govt. School (English Medium) Bar, Pali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29"/>
      <c r="AB1" s="429"/>
      <c r="AC1" s="430"/>
    </row>
    <row r="2" spans="1:33" s="48" customFormat="1" ht="25.5" customHeight="1">
      <c r="A2" s="431" t="s">
        <v>100</v>
      </c>
      <c r="B2" s="432"/>
      <c r="C2" s="432"/>
      <c r="D2" s="433" t="str">
        <f>UPPER(IF('Master Data'!D6="","",'Master Data'!D6))</f>
        <v>HEERALAL JAT</v>
      </c>
      <c r="E2" s="433"/>
      <c r="F2" s="433"/>
      <c r="G2" s="433"/>
      <c r="H2" s="433"/>
      <c r="I2" s="437" t="s">
        <v>23</v>
      </c>
      <c r="J2" s="437"/>
      <c r="K2" s="437"/>
      <c r="L2" s="437"/>
      <c r="M2" s="434" t="str">
        <f>UPPER(IF('Master Data'!H6="","",'Master Data'!H6))</f>
        <v>SR TEACHER</v>
      </c>
      <c r="N2" s="434"/>
      <c r="O2" s="434"/>
      <c r="P2" s="434"/>
      <c r="Q2" s="432" t="s">
        <v>26</v>
      </c>
      <c r="R2" s="432"/>
      <c r="S2" s="432"/>
      <c r="T2" s="432"/>
      <c r="U2" s="434" t="str">
        <f>UPPER(IF('Master Data'!D8="","",'Master Data'!D8))</f>
        <v>M.G.G.S. BAR</v>
      </c>
      <c r="V2" s="434"/>
      <c r="W2" s="434"/>
      <c r="X2" s="434"/>
      <c r="Y2" s="434"/>
      <c r="Z2" s="434"/>
      <c r="AA2" s="434"/>
      <c r="AB2" s="435" t="s">
        <v>246</v>
      </c>
      <c r="AC2" s="436"/>
      <c r="AG2" s="49"/>
    </row>
    <row r="3" spans="1:33" s="48" customFormat="1" ht="23.25" customHeight="1">
      <c r="A3" s="452" t="s">
        <v>107</v>
      </c>
      <c r="B3" s="453"/>
      <c r="C3" s="454" t="str">
        <f>UPPER(IF('Master Data'!D12="","",'Master Data'!D12))</f>
        <v>ABCDE1234H</v>
      </c>
      <c r="D3" s="454"/>
      <c r="E3" s="454"/>
      <c r="F3" s="74" t="s">
        <v>108</v>
      </c>
      <c r="G3" s="454">
        <f>IF(AND('Master Data'!H14=""),"",'Master Data'!H14)</f>
        <v>123456</v>
      </c>
      <c r="H3" s="454"/>
      <c r="I3" s="454"/>
      <c r="J3" s="50" t="s">
        <v>4</v>
      </c>
      <c r="K3" s="428">
        <f>IF(AND('Master Data'!D14=""),"",'Master Data'!D14)</f>
        <v>11</v>
      </c>
      <c r="L3" s="428"/>
      <c r="M3" s="428"/>
      <c r="N3" s="428"/>
      <c r="O3" s="427" t="s">
        <v>35</v>
      </c>
      <c r="P3" s="427"/>
      <c r="Q3" s="427"/>
      <c r="R3" s="428">
        <f>IF(AND('Master Data'!D16=""),"",'Master Data'!D16)</f>
        <v>12134545454541</v>
      </c>
      <c r="S3" s="428"/>
      <c r="T3" s="428"/>
      <c r="U3" s="428"/>
      <c r="V3" s="428"/>
      <c r="W3" s="443" t="s">
        <v>109</v>
      </c>
      <c r="X3" s="443"/>
      <c r="Y3" s="443"/>
      <c r="Z3" s="443"/>
      <c r="AA3" s="444">
        <f>IF(AND('Master Data'!H16=""),"",'Master Data'!H16)</f>
        <v>121212121212121</v>
      </c>
      <c r="AB3" s="444"/>
      <c r="AC3" s="445"/>
      <c r="AG3" s="49"/>
    </row>
    <row r="4" spans="1:33" s="51" customFormat="1" ht="21.75" customHeight="1">
      <c r="A4" s="446" t="s">
        <v>244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8" t="s">
        <v>245</v>
      </c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9" t="str">
        <f>'GA55 Check &amp; Edit'!AC6</f>
        <v>NET PAY</v>
      </c>
      <c r="AB4" s="450" t="str">
        <f>'GA55 Check &amp; Edit'!AD6</f>
        <v>TV.NO.</v>
      </c>
      <c r="AC4" s="451" t="str">
        <f>'GA55 Check &amp; Edit'!AE6</f>
        <v>Enc.  DATE</v>
      </c>
      <c r="AG4" s="38"/>
    </row>
    <row r="5" spans="1:33" s="54" customFormat="1" ht="47.25" customHeight="1">
      <c r="A5" s="52" t="str">
        <f>IF(AND('GA55 Check &amp; Edit'!C6=""),"",'GA55 Check &amp; Edit'!C6)</f>
        <v>S.N.</v>
      </c>
      <c r="B5" s="53" t="str">
        <f>IF(AND('GA55 Check &amp; Edit'!D6=""),"",'GA55 Check &amp; Edit'!D6)</f>
        <v>Month</v>
      </c>
      <c r="C5" s="53" t="str">
        <f>IF(AND('GA55 Check &amp; Edit'!E6=""),"",'GA55 Check &amp; Edit'!E6)</f>
        <v>Basic with Grade Pay</v>
      </c>
      <c r="D5" s="53" t="str">
        <f>IF(AND('GA55 Check &amp; Edit'!F6=""),"",'GA55 Check &amp; Edit'!F6)</f>
        <v>DA</v>
      </c>
      <c r="E5" s="53" t="str">
        <f>IF(AND('GA55 Check &amp; Edit'!G6=""),"",'GA55 Check &amp; Edit'!G6)</f>
        <v>HRA</v>
      </c>
      <c r="F5" s="53" t="str">
        <f>IF(AND('GA55 Check &amp; Edit'!H6=""),"",'GA55 Check &amp; Edit'!H6)</f>
        <v>Wash All.</v>
      </c>
      <c r="G5" s="53" t="str">
        <f>IF(AND('GA55 Check &amp; Edit'!I6=""),"",'GA55 Check &amp; Edit'!I6)</f>
        <v>Handi. All.</v>
      </c>
      <c r="H5" s="53" t="str">
        <f>IF(AND('GA55 Check &amp; Edit'!J6=""),"",'GA55 Check &amp; Edit'!J6)</f>
        <v>CCA</v>
      </c>
      <c r="I5" s="53" t="str">
        <f>IF(AND('GA55 Check &amp; Edit'!K6=""),"",'GA55 Check &amp; Edit'!K6)</f>
        <v>other-1</v>
      </c>
      <c r="J5" s="53" t="str">
        <f>IF(AND('GA55 Check &amp; Edit'!L6=""),"",'GA55 Check &amp; Edit'!L6)</f>
        <v>other-2</v>
      </c>
      <c r="K5" s="53" t="str">
        <f>IF(AND('GA55 Check &amp; Edit'!M6=""),"",'GA55 Check &amp; Edit'!M6)</f>
        <v>Bonus</v>
      </c>
      <c r="L5" s="53" t="str">
        <f>IF(AND('GA55 Check &amp; Edit'!N6=""),"",'GA55 Check &amp; Edit'!N6)</f>
        <v>N.P.S. By Govt.</v>
      </c>
      <c r="M5" s="53" t="str">
        <f>IF(AND('GA55 Check &amp; Edit'!O6=""),"",'GA55 Check &amp; Edit'!O6)</f>
        <v>TOTAL</v>
      </c>
      <c r="N5" s="53" t="str">
        <f>IF(AND('GA55 Check &amp; Edit'!P6=""),"",'GA55 Check &amp; Edit'!P6)</f>
        <v>SI</v>
      </c>
      <c r="O5" s="53" t="str">
        <f>IF(AND('GA55 Check &amp; Edit'!Q6=""),"",'GA55 Check &amp; Edit'!Q6)</f>
        <v>GPF / NPS</v>
      </c>
      <c r="P5" s="53" t="str">
        <f>IF(AND('GA55 Check &amp; Edit'!R6=""),"",'GA55 Check &amp; Edit'!R6)</f>
        <v>L.I.C.</v>
      </c>
      <c r="Q5" s="53" t="str">
        <f>IF(AND('GA55 Check &amp; Edit'!S6=""),"",'GA55 Check &amp; Edit'!S6)</f>
        <v>RGHS</v>
      </c>
      <c r="R5" s="53" t="str">
        <f>IF(AND('GA55 Check &amp; Edit'!T6=""),"",'GA55 Check &amp; Edit'!T6)</f>
        <v>SI Loan</v>
      </c>
      <c r="S5" s="53" t="str">
        <f>IF(AND('GA55 Check &amp; Edit'!U6=""),"",'GA55 Check &amp; Edit'!U6)</f>
        <v>GPF Loan</v>
      </c>
      <c r="T5" s="53" t="str">
        <f>IF(AND('GA55 Check &amp; Edit'!V6=""),"",'GA55 Check &amp; Edit'!V6)</f>
        <v>GPF 2004 (NPS)</v>
      </c>
      <c r="U5" s="53" t="str">
        <f>IF(AND('GA55 Check &amp; Edit'!W6=""),"",'GA55 Check &amp; Edit'!W6)</f>
        <v>Other 1</v>
      </c>
      <c r="V5" s="53" t="str">
        <f>IF(AND('GA55 Check &amp; Edit'!X6=""),"",'GA55 Check &amp; Edit'!X6)</f>
        <v>SI Arrear</v>
      </c>
      <c r="W5" s="53" t="str">
        <f>IF(AND('GA55 Check &amp; Edit'!Y6=""),"",'GA55 Check &amp; Edit'!Y6)</f>
        <v>Other 2</v>
      </c>
      <c r="X5" s="53" t="str">
        <f>IF(AND('GA55 Check &amp; Edit'!Z6=""),"",'GA55 Check &amp; Edit'!Z6)</f>
        <v>Income Tax</v>
      </c>
      <c r="Y5" s="53" t="str">
        <f>IF(AND('GA55 Check &amp; Edit'!AA6=""),"",'GA55 Check &amp; Edit'!AA6)</f>
        <v>G.I. + S. Tax</v>
      </c>
      <c r="Z5" s="53" t="str">
        <f>IF(AND('GA55 Check &amp; Edit'!AB6=""),"",'GA55 Check &amp; Edit'!AB6)</f>
        <v>Total Ded.</v>
      </c>
      <c r="AA5" s="449"/>
      <c r="AB5" s="450"/>
      <c r="AC5" s="451"/>
      <c r="AG5" s="55"/>
    </row>
    <row r="6" spans="1:33" ht="21.95" customHeight="1">
      <c r="A6" s="56">
        <v>1</v>
      </c>
      <c r="B6" s="108">
        <f>IF(AND('GA55 Check &amp; Edit'!D8=""),"",'GA55 Check &amp; Edit'!D8)</f>
        <v>44256</v>
      </c>
      <c r="C6" s="57">
        <f>IF(AND('GA55 Check &amp; Edit'!E8=""),"",'GA55 Check &amp; Edit'!E8)</f>
        <v>50800</v>
      </c>
      <c r="D6" s="57">
        <f>IF(AND('GA55 Check &amp; Edit'!F8=""),"",'GA55 Check &amp; Edit'!F8)</f>
        <v>8636</v>
      </c>
      <c r="E6" s="57">
        <f>IF(AND('GA55 Check &amp; Edit'!G8=""),"",'GA55 Check &amp; Edit'!G8)</f>
        <v>4064</v>
      </c>
      <c r="F6" s="57">
        <f>IF(AND('GA55 Check &amp; Edit'!H8=""),"",'GA55 Check &amp; Edit'!H8)</f>
        <v>0</v>
      </c>
      <c r="G6" s="57">
        <f>IF(AND('GA55 Check &amp; Edit'!I8=""),"",'GA55 Check &amp; Edit'!I8)</f>
        <v>0</v>
      </c>
      <c r="H6" s="57" t="str">
        <f>IF(AND('GA55 Check &amp; Edit'!J8=""),"",'GA55 Check &amp; Edit'!J8)</f>
        <v/>
      </c>
      <c r="I6" s="57">
        <f>IF(AND('GA55 Check &amp; Edit'!K8=""),"",'GA55 Check &amp; Edit'!K8)</f>
        <v>0</v>
      </c>
      <c r="J6" s="57">
        <f>IF(AND('GA55 Check &amp; Edit'!L8=""),"",'GA55 Check &amp; Edit'!L8)</f>
        <v>0</v>
      </c>
      <c r="K6" s="57" t="str">
        <f>IF(AND('GA55 Check &amp; Edit'!M8=""),"",'GA55 Check &amp; Edit'!M8)</f>
        <v/>
      </c>
      <c r="L6" s="57" t="str">
        <f>IF(AND('GA55 Check &amp; Edit'!N8=""),"",'GA55 Check &amp; Edit'!N8)</f>
        <v/>
      </c>
      <c r="M6" s="57">
        <f>IF(AND('GA55 Check &amp; Edit'!O8=""),"",'GA55 Check &amp; Edit'!O8)</f>
        <v>63500</v>
      </c>
      <c r="N6" s="57">
        <f>IF(AND('GA55 Check &amp; Edit'!P8=""),"",'GA55 Check &amp; Edit'!P8)</f>
        <v>7000</v>
      </c>
      <c r="O6" s="57">
        <f>IF(AND('GA55 Check &amp; Edit'!Q8=""),"",'GA55 Check &amp; Edit'!Q8)</f>
        <v>3575</v>
      </c>
      <c r="P6" s="57">
        <f>IF(AND('GA55 Check &amp; Edit'!R8=""),"",'GA55 Check &amp; Edit'!R8)</f>
        <v>1880</v>
      </c>
      <c r="Q6" s="57">
        <f>IF(AND('GA55 Check &amp; Edit'!S8=""),"",'GA55 Check &amp; Edit'!S8)</f>
        <v>658</v>
      </c>
      <c r="R6" s="57">
        <f>IF(AND('GA55 Check &amp; Edit'!T8=""),"",'GA55 Check &amp; Edit'!T8)</f>
        <v>0</v>
      </c>
      <c r="S6" s="57">
        <f>IF(AND('GA55 Check &amp; Edit'!U8=""),"",'GA55 Check &amp; Edit'!U8)</f>
        <v>0</v>
      </c>
      <c r="T6" s="57" t="str">
        <f>IF(AND('GA55 Check &amp; Edit'!V8=""),"",'GA55 Check &amp; Edit'!V8)</f>
        <v/>
      </c>
      <c r="U6" s="57">
        <f>IF(AND('GA55 Check &amp; Edit'!W8=""),"",'GA55 Check &amp; Edit'!W8)</f>
        <v>0</v>
      </c>
      <c r="V6" s="57">
        <f>IF(AND('GA55 Check &amp; Edit'!X8=""),"",'GA55 Check &amp; Edit'!X8)</f>
        <v>0</v>
      </c>
      <c r="W6" s="57">
        <f>IF(AND('GA55 Check &amp; Edit'!Y8=""),"",'GA55 Check &amp; Edit'!Y8)</f>
        <v>0</v>
      </c>
      <c r="X6" s="57">
        <f>IF(AND('GA55 Check &amp; Edit'!Z8=""),"",'GA55 Check &amp; Edit'!Z8)</f>
        <v>0</v>
      </c>
      <c r="Y6" s="57" t="str">
        <f>IF(AND('GA55 Check &amp; Edit'!AA8=""),"",'GA55 Check &amp; Edit'!AA8)</f>
        <v/>
      </c>
      <c r="Z6" s="57">
        <f>IF(AND('GA55 Check &amp; Edit'!AB8=""),"",'GA55 Check &amp; Edit'!AB8)</f>
        <v>13113</v>
      </c>
      <c r="AA6" s="57">
        <f>IF(AND('GA55 Check &amp; Edit'!AC8=""),"",'GA55 Check &amp; Edit'!AC8)</f>
        <v>50387</v>
      </c>
      <c r="AB6" s="57" t="str">
        <f>IF(AND('GA55 Check &amp; Edit'!AD8=""),"",'GA55 Check &amp; Edit'!AD8)</f>
        <v/>
      </c>
      <c r="AC6" s="196" t="str">
        <f>IF(AND('GA55 Check &amp; Edit'!AE8=""),"",'GA55 Check &amp; Edit'!AE8)</f>
        <v/>
      </c>
    </row>
    <row r="7" spans="1:33" ht="21.95" customHeight="1">
      <c r="A7" s="56">
        <v>2</v>
      </c>
      <c r="B7" s="108">
        <f>IF(AND('GA55 Check &amp; Edit'!D9=""),"",'GA55 Check &amp; Edit'!D9)</f>
        <v>44287</v>
      </c>
      <c r="C7" s="57">
        <f>IF(AND('GA55 Check &amp; Edit'!E9=""),"",'GA55 Check &amp; Edit'!E9)</f>
        <v>50800</v>
      </c>
      <c r="D7" s="57">
        <f>IF(AND('GA55 Check &amp; Edit'!F9=""),"",'GA55 Check &amp; Edit'!F9)</f>
        <v>8636</v>
      </c>
      <c r="E7" s="57">
        <f>IF(AND('GA55 Check &amp; Edit'!G9=""),"",'GA55 Check &amp; Edit'!G9)</f>
        <v>4064</v>
      </c>
      <c r="F7" s="57">
        <f>IF(AND('GA55 Check &amp; Edit'!H9=""),"",'GA55 Check &amp; Edit'!H9)</f>
        <v>0</v>
      </c>
      <c r="G7" s="57">
        <f>IF(AND('GA55 Check &amp; Edit'!I9=""),"",'GA55 Check &amp; Edit'!I9)</f>
        <v>0</v>
      </c>
      <c r="H7" s="57" t="str">
        <f>IF(AND('GA55 Check &amp; Edit'!J9=""),"",'GA55 Check &amp; Edit'!J9)</f>
        <v/>
      </c>
      <c r="I7" s="57">
        <f>IF(AND('GA55 Check &amp; Edit'!K9=""),"",'GA55 Check &amp; Edit'!K9)</f>
        <v>0</v>
      </c>
      <c r="J7" s="57">
        <f>IF(AND('GA55 Check &amp; Edit'!L9=""),"",'GA55 Check &amp; Edit'!L9)</f>
        <v>0</v>
      </c>
      <c r="K7" s="57" t="str">
        <f>IF(AND('GA55 Check &amp; Edit'!M9=""),"",'GA55 Check &amp; Edit'!M9)</f>
        <v/>
      </c>
      <c r="L7" s="57" t="str">
        <f>IF(AND('GA55 Check &amp; Edit'!N9=""),"",'GA55 Check &amp; Edit'!N9)</f>
        <v/>
      </c>
      <c r="M7" s="57">
        <f>IF(AND('GA55 Check &amp; Edit'!O9=""),"",'GA55 Check &amp; Edit'!O9)</f>
        <v>63500</v>
      </c>
      <c r="N7" s="57">
        <f>IF(AND('GA55 Check &amp; Edit'!P9=""),"",'GA55 Check &amp; Edit'!P9)</f>
        <v>7000</v>
      </c>
      <c r="O7" s="57">
        <f>IF(AND('GA55 Check &amp; Edit'!Q9=""),"",'GA55 Check &amp; Edit'!Q9)</f>
        <v>3575</v>
      </c>
      <c r="P7" s="57">
        <f>IF(AND('GA55 Check &amp; Edit'!R9=""),"",'GA55 Check &amp; Edit'!R9)</f>
        <v>1880</v>
      </c>
      <c r="Q7" s="57">
        <f>IF(AND('GA55 Check &amp; Edit'!S9=""),"",'GA55 Check &amp; Edit'!S9)</f>
        <v>658</v>
      </c>
      <c r="R7" s="57">
        <f>IF(AND('GA55 Check &amp; Edit'!T9=""),"",'GA55 Check &amp; Edit'!T9)</f>
        <v>0</v>
      </c>
      <c r="S7" s="57">
        <f>IF(AND('GA55 Check &amp; Edit'!U9=""),"",'GA55 Check &amp; Edit'!U9)</f>
        <v>0</v>
      </c>
      <c r="T7" s="57" t="str">
        <f>IF(AND('GA55 Check &amp; Edit'!V9=""),"",'GA55 Check &amp; Edit'!V9)</f>
        <v/>
      </c>
      <c r="U7" s="57">
        <f>IF(AND('GA55 Check &amp; Edit'!W9=""),"",'GA55 Check &amp; Edit'!W9)</f>
        <v>0</v>
      </c>
      <c r="V7" s="57">
        <f>IF(AND('GA55 Check &amp; Edit'!X9=""),"",'GA55 Check &amp; Edit'!X9)</f>
        <v>0</v>
      </c>
      <c r="W7" s="57">
        <f>IF(AND('GA55 Check &amp; Edit'!Y9=""),"",'GA55 Check &amp; Edit'!Y9)</f>
        <v>0</v>
      </c>
      <c r="X7" s="57">
        <f>IF(AND('GA55 Check &amp; Edit'!Z9=""),"",'GA55 Check &amp; Edit'!Z9)</f>
        <v>1500</v>
      </c>
      <c r="Y7" s="57">
        <f>IF(AND('GA55 Check &amp; Edit'!AA9=""),"",'GA55 Check &amp; Edit'!AA9)</f>
        <v>220</v>
      </c>
      <c r="Z7" s="57">
        <f>IF(AND('GA55 Check &amp; Edit'!AB9=""),"",'GA55 Check &amp; Edit'!AB9)</f>
        <v>14833</v>
      </c>
      <c r="AA7" s="57">
        <f>IF(AND('GA55 Check &amp; Edit'!AC9=""),"",'GA55 Check &amp; Edit'!AC9)</f>
        <v>48667</v>
      </c>
      <c r="AB7" s="57" t="str">
        <f>IF(AND('GA55 Check &amp; Edit'!AD9=""),"",'GA55 Check &amp; Edit'!AD9)</f>
        <v/>
      </c>
      <c r="AC7" s="196" t="str">
        <f>IF(AND('GA55 Check &amp; Edit'!AE9=""),"",'GA55 Check &amp; Edit'!AE9)</f>
        <v/>
      </c>
    </row>
    <row r="8" spans="1:33" ht="21.95" customHeight="1">
      <c r="A8" s="56">
        <v>3</v>
      </c>
      <c r="B8" s="108">
        <f>IF(AND('GA55 Check &amp; Edit'!D10=""),"",'GA55 Check &amp; Edit'!D10)</f>
        <v>44317</v>
      </c>
      <c r="C8" s="57">
        <f>IF(AND('GA55 Check &amp; Edit'!E10=""),"",'GA55 Check &amp; Edit'!E10)</f>
        <v>50800</v>
      </c>
      <c r="D8" s="57">
        <f>IF(AND('GA55 Check &amp; Edit'!F10=""),"",'GA55 Check &amp; Edit'!F10)</f>
        <v>8636</v>
      </c>
      <c r="E8" s="57">
        <f>IF(AND('GA55 Check &amp; Edit'!G10=""),"",'GA55 Check &amp; Edit'!G10)</f>
        <v>4064</v>
      </c>
      <c r="F8" s="57">
        <f>IF(AND('GA55 Check &amp; Edit'!H10=""),"",'GA55 Check &amp; Edit'!H10)</f>
        <v>0</v>
      </c>
      <c r="G8" s="57">
        <f>IF(AND('GA55 Check &amp; Edit'!I10=""),"",'GA55 Check &amp; Edit'!I10)</f>
        <v>0</v>
      </c>
      <c r="H8" s="57" t="str">
        <f>IF(AND('GA55 Check &amp; Edit'!J10=""),"",'GA55 Check &amp; Edit'!J10)</f>
        <v/>
      </c>
      <c r="I8" s="57">
        <f>IF(AND('GA55 Check &amp; Edit'!K10=""),"",'GA55 Check &amp; Edit'!K10)</f>
        <v>0</v>
      </c>
      <c r="J8" s="57">
        <f>IF(AND('GA55 Check &amp; Edit'!L10=""),"",'GA55 Check &amp; Edit'!L10)</f>
        <v>0</v>
      </c>
      <c r="K8" s="57" t="str">
        <f>IF(AND('GA55 Check &amp; Edit'!M10=""),"",'GA55 Check &amp; Edit'!M10)</f>
        <v/>
      </c>
      <c r="L8" s="57" t="str">
        <f>IF(AND('GA55 Check &amp; Edit'!N10=""),"",'GA55 Check &amp; Edit'!N10)</f>
        <v/>
      </c>
      <c r="M8" s="57">
        <f>IF(AND('GA55 Check &amp; Edit'!O10=""),"",'GA55 Check &amp; Edit'!O10)</f>
        <v>63500</v>
      </c>
      <c r="N8" s="57">
        <f>IF(AND('GA55 Check &amp; Edit'!P10=""),"",'GA55 Check &amp; Edit'!P10)</f>
        <v>7000</v>
      </c>
      <c r="O8" s="57">
        <f>IF(AND('GA55 Check &amp; Edit'!Q10=""),"",'GA55 Check &amp; Edit'!Q10)</f>
        <v>3575</v>
      </c>
      <c r="P8" s="57">
        <f>IF(AND('GA55 Check &amp; Edit'!R10=""),"",'GA55 Check &amp; Edit'!R10)</f>
        <v>1880</v>
      </c>
      <c r="Q8" s="57">
        <f>IF(AND('GA55 Check &amp; Edit'!S10=""),"",'GA55 Check &amp; Edit'!S10)</f>
        <v>658</v>
      </c>
      <c r="R8" s="57">
        <f>IF(AND('GA55 Check &amp; Edit'!T10=""),"",'GA55 Check &amp; Edit'!T10)</f>
        <v>0</v>
      </c>
      <c r="S8" s="57">
        <f>IF(AND('GA55 Check &amp; Edit'!U10=""),"",'GA55 Check &amp; Edit'!U10)</f>
        <v>0</v>
      </c>
      <c r="T8" s="57" t="str">
        <f>IF(AND('GA55 Check &amp; Edit'!V10=""),"",'GA55 Check &amp; Edit'!V10)</f>
        <v/>
      </c>
      <c r="U8" s="57">
        <f>IF(AND('GA55 Check &amp; Edit'!W10=""),"",'GA55 Check &amp; Edit'!W10)</f>
        <v>0</v>
      </c>
      <c r="V8" s="57">
        <f>IF(AND('GA55 Check &amp; Edit'!X10=""),"",'GA55 Check &amp; Edit'!X10)</f>
        <v>0</v>
      </c>
      <c r="W8" s="57">
        <f>IF(AND('GA55 Check &amp; Edit'!Y10=""),"",'GA55 Check &amp; Edit'!Y10)</f>
        <v>0</v>
      </c>
      <c r="X8" s="57">
        <f>IF(AND('GA55 Check &amp; Edit'!Z10=""),"",'GA55 Check &amp; Edit'!Z10)</f>
        <v>1500</v>
      </c>
      <c r="Y8" s="57" t="str">
        <f>IF(AND('GA55 Check &amp; Edit'!AA10=""),"",'GA55 Check &amp; Edit'!AA10)</f>
        <v/>
      </c>
      <c r="Z8" s="57">
        <f>IF(AND('GA55 Check &amp; Edit'!AB10=""),"",'GA55 Check &amp; Edit'!AB10)</f>
        <v>14613</v>
      </c>
      <c r="AA8" s="57">
        <f>IF(AND('GA55 Check &amp; Edit'!AC10=""),"",'GA55 Check &amp; Edit'!AC10)</f>
        <v>48887</v>
      </c>
      <c r="AB8" s="57" t="str">
        <f>IF(AND('GA55 Check &amp; Edit'!AD10=""),"",'GA55 Check &amp; Edit'!AD10)</f>
        <v/>
      </c>
      <c r="AC8" s="196" t="str">
        <f>IF(AND('GA55 Check &amp; Edit'!AE10=""),"",'GA55 Check &amp; Edit'!AE10)</f>
        <v/>
      </c>
    </row>
    <row r="9" spans="1:33" ht="21.95" customHeight="1">
      <c r="A9" s="56">
        <v>4</v>
      </c>
      <c r="B9" s="108">
        <f>IF(AND('GA55 Check &amp; Edit'!D11=""),"",'GA55 Check &amp; Edit'!D11)</f>
        <v>44348</v>
      </c>
      <c r="C9" s="57">
        <f>IF(AND('GA55 Check &amp; Edit'!E11=""),"",'GA55 Check &amp; Edit'!E11)</f>
        <v>50800</v>
      </c>
      <c r="D9" s="57">
        <f>IF(AND('GA55 Check &amp; Edit'!F11=""),"",'GA55 Check &amp; Edit'!F11)</f>
        <v>8636</v>
      </c>
      <c r="E9" s="57">
        <f>IF(AND('GA55 Check &amp; Edit'!G11=""),"",'GA55 Check &amp; Edit'!G11)</f>
        <v>4064</v>
      </c>
      <c r="F9" s="57">
        <f>IF(AND('GA55 Check &amp; Edit'!H11=""),"",'GA55 Check &amp; Edit'!H11)</f>
        <v>0</v>
      </c>
      <c r="G9" s="57">
        <f>IF(AND('GA55 Check &amp; Edit'!I11=""),"",'GA55 Check &amp; Edit'!I11)</f>
        <v>0</v>
      </c>
      <c r="H9" s="57" t="str">
        <f>IF(AND('GA55 Check &amp; Edit'!J11=""),"",'GA55 Check &amp; Edit'!J11)</f>
        <v/>
      </c>
      <c r="I9" s="57">
        <f>IF(AND('GA55 Check &amp; Edit'!K11=""),"",'GA55 Check &amp; Edit'!K11)</f>
        <v>0</v>
      </c>
      <c r="J9" s="57">
        <f>IF(AND('GA55 Check &amp; Edit'!L11=""),"",'GA55 Check &amp; Edit'!L11)</f>
        <v>0</v>
      </c>
      <c r="K9" s="57" t="str">
        <f>IF(AND('GA55 Check &amp; Edit'!M11=""),"",'GA55 Check &amp; Edit'!M11)</f>
        <v/>
      </c>
      <c r="L9" s="57" t="str">
        <f>IF(AND('GA55 Check &amp; Edit'!N11=""),"",'GA55 Check &amp; Edit'!N11)</f>
        <v/>
      </c>
      <c r="M9" s="57">
        <f>IF(AND('GA55 Check &amp; Edit'!O11=""),"",'GA55 Check &amp; Edit'!O11)</f>
        <v>63500</v>
      </c>
      <c r="N9" s="57">
        <f>IF(AND('GA55 Check &amp; Edit'!P11=""),"",'GA55 Check &amp; Edit'!P11)</f>
        <v>7000</v>
      </c>
      <c r="O9" s="57">
        <f>IF(AND('GA55 Check &amp; Edit'!Q11=""),"",'GA55 Check &amp; Edit'!Q11)</f>
        <v>3575</v>
      </c>
      <c r="P9" s="57">
        <f>IF(AND('GA55 Check &amp; Edit'!R11=""),"",'GA55 Check &amp; Edit'!R11)</f>
        <v>1880</v>
      </c>
      <c r="Q9" s="57">
        <f>IF(AND('GA55 Check &amp; Edit'!S11=""),"",'GA55 Check &amp; Edit'!S11)</f>
        <v>658</v>
      </c>
      <c r="R9" s="57">
        <f>IF(AND('GA55 Check &amp; Edit'!T11=""),"",'GA55 Check &amp; Edit'!T11)</f>
        <v>0</v>
      </c>
      <c r="S9" s="57">
        <f>IF(AND('GA55 Check &amp; Edit'!U11=""),"",'GA55 Check &amp; Edit'!U11)</f>
        <v>0</v>
      </c>
      <c r="T9" s="57" t="str">
        <f>IF(AND('GA55 Check &amp; Edit'!V11=""),"",'GA55 Check &amp; Edit'!V11)</f>
        <v/>
      </c>
      <c r="U9" s="57">
        <f>IF(AND('GA55 Check &amp; Edit'!W11=""),"",'GA55 Check &amp; Edit'!W11)</f>
        <v>0</v>
      </c>
      <c r="V9" s="57">
        <f>IF(AND('GA55 Check &amp; Edit'!X11=""),"",'GA55 Check &amp; Edit'!X11)</f>
        <v>0</v>
      </c>
      <c r="W9" s="57">
        <f>IF(AND('GA55 Check &amp; Edit'!Y11=""),"",'GA55 Check &amp; Edit'!Y11)</f>
        <v>0</v>
      </c>
      <c r="X9" s="57">
        <f>IF(AND('GA55 Check &amp; Edit'!Z11=""),"",'GA55 Check &amp; Edit'!Z11)</f>
        <v>1500</v>
      </c>
      <c r="Y9" s="57" t="str">
        <f>IF(AND('GA55 Check &amp; Edit'!AA11=""),"",'GA55 Check &amp; Edit'!AA11)</f>
        <v/>
      </c>
      <c r="Z9" s="57">
        <f>IF(AND('GA55 Check &amp; Edit'!AB11=""),"",'GA55 Check &amp; Edit'!AB11)</f>
        <v>14613</v>
      </c>
      <c r="AA9" s="57">
        <f>IF(AND('GA55 Check &amp; Edit'!AC11=""),"",'GA55 Check &amp; Edit'!AC11)</f>
        <v>48887</v>
      </c>
      <c r="AB9" s="57" t="str">
        <f>IF(AND('GA55 Check &amp; Edit'!AD11=""),"",'GA55 Check &amp; Edit'!AD11)</f>
        <v/>
      </c>
      <c r="AC9" s="196" t="str">
        <f>IF(AND('GA55 Check &amp; Edit'!AE11=""),"",'GA55 Check &amp; Edit'!AE11)</f>
        <v/>
      </c>
    </row>
    <row r="10" spans="1:33" ht="21.95" customHeight="1">
      <c r="A10" s="56">
        <v>5</v>
      </c>
      <c r="B10" s="108">
        <f>IF(AND('GA55 Check &amp; Edit'!D12=""),"",'GA55 Check &amp; Edit'!D12)</f>
        <v>44378</v>
      </c>
      <c r="C10" s="57">
        <f>IF(AND('GA55 Check &amp; Edit'!E12=""),"",'GA55 Check &amp; Edit'!E12)</f>
        <v>52300</v>
      </c>
      <c r="D10" s="57">
        <f>IF(AND('GA55 Check &amp; Edit'!F12=""),"",'GA55 Check &amp; Edit'!F12)</f>
        <v>14644</v>
      </c>
      <c r="E10" s="57">
        <f>IF(AND('GA55 Check &amp; Edit'!G12=""),"",'GA55 Check &amp; Edit'!G12)</f>
        <v>4184</v>
      </c>
      <c r="F10" s="57">
        <f>IF(AND('GA55 Check &amp; Edit'!H12=""),"",'GA55 Check &amp; Edit'!H12)</f>
        <v>0</v>
      </c>
      <c r="G10" s="57">
        <f>IF(AND('GA55 Check &amp; Edit'!I12=""),"",'GA55 Check &amp; Edit'!I12)</f>
        <v>0</v>
      </c>
      <c r="H10" s="57" t="str">
        <f>IF(AND('GA55 Check &amp; Edit'!J12=""),"",'GA55 Check &amp; Edit'!J12)</f>
        <v/>
      </c>
      <c r="I10" s="57">
        <f>IF(AND('GA55 Check &amp; Edit'!K12=""),"",'GA55 Check &amp; Edit'!K12)</f>
        <v>0</v>
      </c>
      <c r="J10" s="57">
        <f>IF(AND('GA55 Check &amp; Edit'!L12=""),"",'GA55 Check &amp; Edit'!L12)</f>
        <v>0</v>
      </c>
      <c r="K10" s="57" t="str">
        <f>IF(AND('GA55 Check &amp; Edit'!M12=""),"",'GA55 Check &amp; Edit'!M12)</f>
        <v/>
      </c>
      <c r="L10" s="57" t="str">
        <f>IF(AND('GA55 Check &amp; Edit'!N12=""),"",'GA55 Check &amp; Edit'!N12)</f>
        <v/>
      </c>
      <c r="M10" s="57">
        <f>IF(AND('GA55 Check &amp; Edit'!O12=""),"",'GA55 Check &amp; Edit'!O12)</f>
        <v>71128</v>
      </c>
      <c r="N10" s="57">
        <f>IF(AND('GA55 Check &amp; Edit'!P12=""),"",'GA55 Check &amp; Edit'!P12)</f>
        <v>7000</v>
      </c>
      <c r="O10" s="57">
        <f>IF(AND('GA55 Check &amp; Edit'!Q12=""),"",'GA55 Check &amp; Edit'!Q12)</f>
        <v>3575</v>
      </c>
      <c r="P10" s="57">
        <f>IF(AND('GA55 Check &amp; Edit'!R12=""),"",'GA55 Check &amp; Edit'!R12)</f>
        <v>1880</v>
      </c>
      <c r="Q10" s="57">
        <f>IF(AND('GA55 Check &amp; Edit'!S12=""),"",'GA55 Check &amp; Edit'!S12)</f>
        <v>658</v>
      </c>
      <c r="R10" s="57">
        <f>IF(AND('GA55 Check &amp; Edit'!T12=""),"",'GA55 Check &amp; Edit'!T12)</f>
        <v>0</v>
      </c>
      <c r="S10" s="57">
        <f>IF(AND('GA55 Check &amp; Edit'!U12=""),"",'GA55 Check &amp; Edit'!U12)</f>
        <v>0</v>
      </c>
      <c r="T10" s="57" t="str">
        <f>IF(AND('GA55 Check &amp; Edit'!V12=""),"",'GA55 Check &amp; Edit'!V12)</f>
        <v/>
      </c>
      <c r="U10" s="57">
        <f>IF(AND('GA55 Check &amp; Edit'!W12=""),"",'GA55 Check &amp; Edit'!W12)</f>
        <v>0</v>
      </c>
      <c r="V10" s="57">
        <f>IF(AND('GA55 Check &amp; Edit'!X12=""),"",'GA55 Check &amp; Edit'!X12)</f>
        <v>0</v>
      </c>
      <c r="W10" s="57">
        <f>IF(AND('GA55 Check &amp; Edit'!Y12=""),"",'GA55 Check &amp; Edit'!Y12)</f>
        <v>0</v>
      </c>
      <c r="X10" s="57">
        <f>IF(AND('GA55 Check &amp; Edit'!Z12=""),"",'GA55 Check &amp; Edit'!Z12)</f>
        <v>1500</v>
      </c>
      <c r="Y10" s="57" t="str">
        <f>IF(AND('GA55 Check &amp; Edit'!AA12=""),"",'GA55 Check &amp; Edit'!AA12)</f>
        <v/>
      </c>
      <c r="Z10" s="57">
        <f>IF(AND('GA55 Check &amp; Edit'!AB12=""),"",'GA55 Check &amp; Edit'!AB12)</f>
        <v>14613</v>
      </c>
      <c r="AA10" s="57">
        <f>IF(AND('GA55 Check &amp; Edit'!AC12=""),"",'GA55 Check &amp; Edit'!AC12)</f>
        <v>56515</v>
      </c>
      <c r="AB10" s="57" t="str">
        <f>IF(AND('GA55 Check &amp; Edit'!AD12=""),"",'GA55 Check &amp; Edit'!AD12)</f>
        <v/>
      </c>
      <c r="AC10" s="196" t="str">
        <f>IF(AND('GA55 Check &amp; Edit'!AE12=""),"",'GA55 Check &amp; Edit'!AE12)</f>
        <v/>
      </c>
    </row>
    <row r="11" spans="1:33" ht="21.95" customHeight="1">
      <c r="A11" s="56">
        <v>6</v>
      </c>
      <c r="B11" s="108">
        <f>IF(AND('GA55 Check &amp; Edit'!D13=""),"",'GA55 Check &amp; Edit'!D13)</f>
        <v>44409</v>
      </c>
      <c r="C11" s="57">
        <f>IF(AND('GA55 Check &amp; Edit'!E13=""),"",'GA55 Check &amp; Edit'!E13)</f>
        <v>52300</v>
      </c>
      <c r="D11" s="57">
        <f>IF(AND('GA55 Check &amp; Edit'!F13=""),"",'GA55 Check &amp; Edit'!F13)</f>
        <v>14644</v>
      </c>
      <c r="E11" s="57">
        <f>IF(AND('GA55 Check &amp; Edit'!G13=""),"",'GA55 Check &amp; Edit'!G13)</f>
        <v>4184</v>
      </c>
      <c r="F11" s="57">
        <f>IF(AND('GA55 Check &amp; Edit'!H13=""),"",'GA55 Check &amp; Edit'!H13)</f>
        <v>0</v>
      </c>
      <c r="G11" s="57">
        <f>IF(AND('GA55 Check &amp; Edit'!I13=""),"",'GA55 Check &amp; Edit'!I13)</f>
        <v>0</v>
      </c>
      <c r="H11" s="57" t="str">
        <f>IF(AND('GA55 Check &amp; Edit'!J13=""),"",'GA55 Check &amp; Edit'!J13)</f>
        <v/>
      </c>
      <c r="I11" s="57">
        <f>IF(AND('GA55 Check &amp; Edit'!K13=""),"",'GA55 Check &amp; Edit'!K13)</f>
        <v>0</v>
      </c>
      <c r="J11" s="57">
        <f>IF(AND('GA55 Check &amp; Edit'!L13=""),"",'GA55 Check &amp; Edit'!L13)</f>
        <v>0</v>
      </c>
      <c r="K11" s="57" t="str">
        <f>IF(AND('GA55 Check &amp; Edit'!M13=""),"",'GA55 Check &amp; Edit'!M13)</f>
        <v/>
      </c>
      <c r="L11" s="57" t="str">
        <f>IF(AND('GA55 Check &amp; Edit'!N13=""),"",'GA55 Check &amp; Edit'!N13)</f>
        <v/>
      </c>
      <c r="M11" s="57">
        <f>IF(AND('GA55 Check &amp; Edit'!O13=""),"",'GA55 Check &amp; Edit'!O13)</f>
        <v>71128</v>
      </c>
      <c r="N11" s="57">
        <f>IF(AND('GA55 Check &amp; Edit'!P13=""),"",'GA55 Check &amp; Edit'!P13)</f>
        <v>7000</v>
      </c>
      <c r="O11" s="57">
        <f>IF(AND('GA55 Check &amp; Edit'!Q13=""),"",'GA55 Check &amp; Edit'!Q13)</f>
        <v>3575</v>
      </c>
      <c r="P11" s="57">
        <f>IF(AND('GA55 Check &amp; Edit'!R13=""),"",'GA55 Check &amp; Edit'!R13)</f>
        <v>1880</v>
      </c>
      <c r="Q11" s="57">
        <f>IF(AND('GA55 Check &amp; Edit'!S13=""),"",'GA55 Check &amp; Edit'!S13)</f>
        <v>658</v>
      </c>
      <c r="R11" s="57">
        <f>IF(AND('GA55 Check &amp; Edit'!T13=""),"",'GA55 Check &amp; Edit'!T13)</f>
        <v>0</v>
      </c>
      <c r="S11" s="57">
        <f>IF(AND('GA55 Check &amp; Edit'!U13=""),"",'GA55 Check &amp; Edit'!U13)</f>
        <v>0</v>
      </c>
      <c r="T11" s="57" t="str">
        <f>IF(AND('GA55 Check &amp; Edit'!V13=""),"",'GA55 Check &amp; Edit'!V13)</f>
        <v/>
      </c>
      <c r="U11" s="57">
        <f>IF(AND('GA55 Check &amp; Edit'!W13=""),"",'GA55 Check &amp; Edit'!W13)</f>
        <v>0</v>
      </c>
      <c r="V11" s="57">
        <f>IF(AND('GA55 Check &amp; Edit'!X13=""),"",'GA55 Check &amp; Edit'!X13)</f>
        <v>0</v>
      </c>
      <c r="W11" s="57">
        <f>IF(AND('GA55 Check &amp; Edit'!Y13=""),"",'GA55 Check &amp; Edit'!Y13)</f>
        <v>0</v>
      </c>
      <c r="X11" s="57">
        <f>IF(AND('GA55 Check &amp; Edit'!Z13=""),"",'GA55 Check &amp; Edit'!Z13)</f>
        <v>0</v>
      </c>
      <c r="Y11" s="57" t="str">
        <f>IF(AND('GA55 Check &amp; Edit'!AA13=""),"",'GA55 Check &amp; Edit'!AA13)</f>
        <v/>
      </c>
      <c r="Z11" s="57">
        <f>IF(AND('GA55 Check &amp; Edit'!AB13=""),"",'GA55 Check &amp; Edit'!AB13)</f>
        <v>13113</v>
      </c>
      <c r="AA11" s="57">
        <f>IF(AND('GA55 Check &amp; Edit'!AC13=""),"",'GA55 Check &amp; Edit'!AC13)</f>
        <v>58015</v>
      </c>
      <c r="AB11" s="57" t="str">
        <f>IF(AND('GA55 Check &amp; Edit'!AD13=""),"",'GA55 Check &amp; Edit'!AD13)</f>
        <v/>
      </c>
      <c r="AC11" s="196" t="str">
        <f>IF(AND('GA55 Check &amp; Edit'!AE13=""),"",'GA55 Check &amp; Edit'!AE13)</f>
        <v/>
      </c>
    </row>
    <row r="12" spans="1:33" ht="21.95" customHeight="1">
      <c r="A12" s="56">
        <v>7</v>
      </c>
      <c r="B12" s="108">
        <f>IF(AND('GA55 Check &amp; Edit'!D14=""),"",'GA55 Check &amp; Edit'!D14)</f>
        <v>44440</v>
      </c>
      <c r="C12" s="57">
        <f>IF(AND('GA55 Check &amp; Edit'!E14=""),"",'GA55 Check &amp; Edit'!E14)</f>
        <v>53900</v>
      </c>
      <c r="D12" s="57">
        <f>IF(AND('GA55 Check &amp; Edit'!F14=""),"",'GA55 Check &amp; Edit'!F14)</f>
        <v>15092</v>
      </c>
      <c r="E12" s="57">
        <f>IF(AND('GA55 Check &amp; Edit'!G14=""),"",'GA55 Check &amp; Edit'!G14)</f>
        <v>4312</v>
      </c>
      <c r="F12" s="57">
        <f>IF(AND('GA55 Check &amp; Edit'!H14=""),"",'GA55 Check &amp; Edit'!H14)</f>
        <v>0</v>
      </c>
      <c r="G12" s="57">
        <f>IF(AND('GA55 Check &amp; Edit'!I14=""),"",'GA55 Check &amp; Edit'!I14)</f>
        <v>0</v>
      </c>
      <c r="H12" s="57" t="str">
        <f>IF(AND('GA55 Check &amp; Edit'!J14=""),"",'GA55 Check &amp; Edit'!J14)</f>
        <v/>
      </c>
      <c r="I12" s="57">
        <f>IF(AND('GA55 Check &amp; Edit'!K14=""),"",'GA55 Check &amp; Edit'!K14)</f>
        <v>0</v>
      </c>
      <c r="J12" s="57">
        <f>IF(AND('GA55 Check &amp; Edit'!L14=""),"",'GA55 Check &amp; Edit'!L14)</f>
        <v>0</v>
      </c>
      <c r="K12" s="57" t="str">
        <f>IF(AND('GA55 Check &amp; Edit'!M14=""),"",'GA55 Check &amp; Edit'!M14)</f>
        <v/>
      </c>
      <c r="L12" s="57" t="str">
        <f>IF(AND('GA55 Check &amp; Edit'!N14=""),"",'GA55 Check &amp; Edit'!N14)</f>
        <v/>
      </c>
      <c r="M12" s="57">
        <f>IF(AND('GA55 Check &amp; Edit'!O14=""),"",'GA55 Check &amp; Edit'!O14)</f>
        <v>73304</v>
      </c>
      <c r="N12" s="57">
        <f>IF(AND('GA55 Check &amp; Edit'!P14=""),"",'GA55 Check &amp; Edit'!P14)</f>
        <v>7000</v>
      </c>
      <c r="O12" s="57">
        <f>IF(AND('GA55 Check &amp; Edit'!Q14=""),"",'GA55 Check &amp; Edit'!Q14)</f>
        <v>3575</v>
      </c>
      <c r="P12" s="57">
        <f>IF(AND('GA55 Check &amp; Edit'!R14=""),"",'GA55 Check &amp; Edit'!R14)</f>
        <v>1880</v>
      </c>
      <c r="Q12" s="57">
        <f>IF(AND('GA55 Check &amp; Edit'!S14=""),"",'GA55 Check &amp; Edit'!S14)</f>
        <v>658</v>
      </c>
      <c r="R12" s="57">
        <f>IF(AND('GA55 Check &amp; Edit'!T14=""),"",'GA55 Check &amp; Edit'!T14)</f>
        <v>0</v>
      </c>
      <c r="S12" s="57">
        <f>IF(AND('GA55 Check &amp; Edit'!U14=""),"",'GA55 Check &amp; Edit'!U14)</f>
        <v>0</v>
      </c>
      <c r="T12" s="57" t="str">
        <f>IF(AND('GA55 Check &amp; Edit'!V14=""),"",'GA55 Check &amp; Edit'!V14)</f>
        <v/>
      </c>
      <c r="U12" s="57">
        <f>IF(AND('GA55 Check &amp; Edit'!W14=""),"",'GA55 Check &amp; Edit'!W14)</f>
        <v>0</v>
      </c>
      <c r="V12" s="57">
        <f>IF(AND('GA55 Check &amp; Edit'!X14=""),"",'GA55 Check &amp; Edit'!X14)</f>
        <v>0</v>
      </c>
      <c r="W12" s="57">
        <f>IF(AND('GA55 Check &amp; Edit'!Y14=""),"",'GA55 Check &amp; Edit'!Y14)</f>
        <v>0</v>
      </c>
      <c r="X12" s="57">
        <f>IF(AND('GA55 Check &amp; Edit'!Z14=""),"",'GA55 Check &amp; Edit'!Z14)</f>
        <v>0</v>
      </c>
      <c r="Y12" s="57" t="str">
        <f>IF(AND('GA55 Check &amp; Edit'!AA14=""),"",'GA55 Check &amp; Edit'!AA14)</f>
        <v/>
      </c>
      <c r="Z12" s="57">
        <f>IF(AND('GA55 Check &amp; Edit'!AB14=""),"",'GA55 Check &amp; Edit'!AB14)</f>
        <v>13113</v>
      </c>
      <c r="AA12" s="57">
        <f>IF(AND('GA55 Check &amp; Edit'!AC14=""),"",'GA55 Check &amp; Edit'!AC14)</f>
        <v>60191</v>
      </c>
      <c r="AB12" s="57" t="str">
        <f>IF(AND('GA55 Check &amp; Edit'!AD14=""),"",'GA55 Check &amp; Edit'!AD14)</f>
        <v/>
      </c>
      <c r="AC12" s="196" t="str">
        <f>IF(AND('GA55 Check &amp; Edit'!AE14=""),"",'GA55 Check &amp; Edit'!AE14)</f>
        <v/>
      </c>
    </row>
    <row r="13" spans="1:33" ht="21.95" customHeight="1">
      <c r="A13" s="56">
        <v>8</v>
      </c>
      <c r="B13" s="108">
        <f>IF(AND('GA55 Check &amp; Edit'!D15=""),"",'GA55 Check &amp; Edit'!D15)</f>
        <v>44470</v>
      </c>
      <c r="C13" s="57">
        <f>IF(AND('GA55 Check &amp; Edit'!E15=""),"",'GA55 Check &amp; Edit'!E15)</f>
        <v>53900</v>
      </c>
      <c r="D13" s="57">
        <f>IF(AND('GA55 Check &amp; Edit'!F15=""),"",'GA55 Check &amp; Edit'!F15)</f>
        <v>15092</v>
      </c>
      <c r="E13" s="57">
        <f>IF(AND('GA55 Check &amp; Edit'!G15=""),"",'GA55 Check &amp; Edit'!G15)</f>
        <v>4312</v>
      </c>
      <c r="F13" s="57">
        <f>IF(AND('GA55 Check &amp; Edit'!H15=""),"",'GA55 Check &amp; Edit'!H15)</f>
        <v>0</v>
      </c>
      <c r="G13" s="57">
        <f>IF(AND('GA55 Check &amp; Edit'!I15=""),"",'GA55 Check &amp; Edit'!I15)</f>
        <v>0</v>
      </c>
      <c r="H13" s="57" t="str">
        <f>IF(AND('GA55 Check &amp; Edit'!J15=""),"",'GA55 Check &amp; Edit'!J15)</f>
        <v/>
      </c>
      <c r="I13" s="57">
        <f>IF(AND('GA55 Check &amp; Edit'!K15=""),"",'GA55 Check &amp; Edit'!K15)</f>
        <v>0</v>
      </c>
      <c r="J13" s="57">
        <f>IF(AND('GA55 Check &amp; Edit'!L15=""),"",'GA55 Check &amp; Edit'!L15)</f>
        <v>0</v>
      </c>
      <c r="K13" s="57" t="str">
        <f>IF(AND('GA55 Check &amp; Edit'!M15=""),"",'GA55 Check &amp; Edit'!M15)</f>
        <v/>
      </c>
      <c r="L13" s="57" t="str">
        <f>IF(AND('GA55 Check &amp; Edit'!N15=""),"",'GA55 Check &amp; Edit'!N15)</f>
        <v/>
      </c>
      <c r="M13" s="57">
        <f>IF(AND('GA55 Check &amp; Edit'!O15=""),"",'GA55 Check &amp; Edit'!O15)</f>
        <v>73304</v>
      </c>
      <c r="N13" s="57">
        <f>IF(AND('GA55 Check &amp; Edit'!P15=""),"",'GA55 Check &amp; Edit'!P15)</f>
        <v>7000</v>
      </c>
      <c r="O13" s="57">
        <f>IF(AND('GA55 Check &amp; Edit'!Q15=""),"",'GA55 Check &amp; Edit'!Q15)</f>
        <v>3575</v>
      </c>
      <c r="P13" s="57">
        <f>IF(AND('GA55 Check &amp; Edit'!R15=""),"",'GA55 Check &amp; Edit'!R15)</f>
        <v>1880</v>
      </c>
      <c r="Q13" s="57">
        <f>IF(AND('GA55 Check &amp; Edit'!S15=""),"",'GA55 Check &amp; Edit'!S15)</f>
        <v>658</v>
      </c>
      <c r="R13" s="57">
        <f>IF(AND('GA55 Check &amp; Edit'!T15=""),"",'GA55 Check &amp; Edit'!T15)</f>
        <v>0</v>
      </c>
      <c r="S13" s="57">
        <f>IF(AND('GA55 Check &amp; Edit'!U15=""),"",'GA55 Check &amp; Edit'!U15)</f>
        <v>0</v>
      </c>
      <c r="T13" s="57" t="str">
        <f>IF(AND('GA55 Check &amp; Edit'!V15=""),"",'GA55 Check &amp; Edit'!V15)</f>
        <v/>
      </c>
      <c r="U13" s="57">
        <f>IF(AND('GA55 Check &amp; Edit'!W15=""),"",'GA55 Check &amp; Edit'!W15)</f>
        <v>0</v>
      </c>
      <c r="V13" s="57">
        <f>IF(AND('GA55 Check &amp; Edit'!X15=""),"",'GA55 Check &amp; Edit'!X15)</f>
        <v>0</v>
      </c>
      <c r="W13" s="57">
        <f>IF(AND('GA55 Check &amp; Edit'!Y15=""),"",'GA55 Check &amp; Edit'!Y15)</f>
        <v>0</v>
      </c>
      <c r="X13" s="57">
        <f>IF(AND('GA55 Check &amp; Edit'!Z15=""),"",'GA55 Check &amp; Edit'!Z15)</f>
        <v>0</v>
      </c>
      <c r="Y13" s="57" t="str">
        <f>IF(AND('GA55 Check &amp; Edit'!AA15=""),"",'GA55 Check &amp; Edit'!AA15)</f>
        <v/>
      </c>
      <c r="Z13" s="57">
        <f>IF(AND('GA55 Check &amp; Edit'!AB15=""),"",'GA55 Check &amp; Edit'!AB15)</f>
        <v>13113</v>
      </c>
      <c r="AA13" s="57">
        <f>IF(AND('GA55 Check &amp; Edit'!AC15=""),"",'GA55 Check &amp; Edit'!AC15)</f>
        <v>60191</v>
      </c>
      <c r="AB13" s="57" t="str">
        <f>IF(AND('GA55 Check &amp; Edit'!AD15=""),"",'GA55 Check &amp; Edit'!AD15)</f>
        <v/>
      </c>
      <c r="AC13" s="196" t="str">
        <f>IF(AND('GA55 Check &amp; Edit'!AE15=""),"",'GA55 Check &amp; Edit'!AE15)</f>
        <v/>
      </c>
    </row>
    <row r="14" spans="1:33" ht="21.95" customHeight="1">
      <c r="A14" s="56">
        <v>9</v>
      </c>
      <c r="B14" s="108">
        <f>IF(AND('GA55 Check &amp; Edit'!D16=""),"",'GA55 Check &amp; Edit'!D16)</f>
        <v>44501</v>
      </c>
      <c r="C14" s="57">
        <f>IF(AND('GA55 Check &amp; Edit'!E16=""),"",'GA55 Check &amp; Edit'!E16)</f>
        <v>53900</v>
      </c>
      <c r="D14" s="57">
        <f>IF(AND('GA55 Check &amp; Edit'!F16=""),"",'GA55 Check &amp; Edit'!F16)</f>
        <v>15092</v>
      </c>
      <c r="E14" s="57">
        <f>IF(AND('GA55 Check &amp; Edit'!G16=""),"",'GA55 Check &amp; Edit'!G16)</f>
        <v>4312</v>
      </c>
      <c r="F14" s="57">
        <f>IF(AND('GA55 Check &amp; Edit'!H16=""),"",'GA55 Check &amp; Edit'!H16)</f>
        <v>0</v>
      </c>
      <c r="G14" s="57">
        <f>IF(AND('GA55 Check &amp; Edit'!I16=""),"",'GA55 Check &amp; Edit'!I16)</f>
        <v>0</v>
      </c>
      <c r="H14" s="57" t="str">
        <f>IF(AND('GA55 Check &amp; Edit'!J16=""),"",'GA55 Check &amp; Edit'!J16)</f>
        <v/>
      </c>
      <c r="I14" s="57">
        <f>IF(AND('GA55 Check &amp; Edit'!K16=""),"",'GA55 Check &amp; Edit'!K16)</f>
        <v>0</v>
      </c>
      <c r="J14" s="57">
        <f>IF(AND('GA55 Check &amp; Edit'!L16=""),"",'GA55 Check &amp; Edit'!L16)</f>
        <v>0</v>
      </c>
      <c r="K14" s="57" t="str">
        <f>IF(AND('GA55 Check &amp; Edit'!M16=""),"",'GA55 Check &amp; Edit'!M16)</f>
        <v/>
      </c>
      <c r="L14" s="57" t="str">
        <f>IF(AND('GA55 Check &amp; Edit'!N16=""),"",'GA55 Check &amp; Edit'!N16)</f>
        <v/>
      </c>
      <c r="M14" s="57">
        <f>IF(AND('GA55 Check &amp; Edit'!O16=""),"",'GA55 Check &amp; Edit'!O16)</f>
        <v>73304</v>
      </c>
      <c r="N14" s="57">
        <f>IF(AND('GA55 Check &amp; Edit'!P16=""),"",'GA55 Check &amp; Edit'!P16)</f>
        <v>7000</v>
      </c>
      <c r="O14" s="57">
        <f>IF(AND('GA55 Check &amp; Edit'!Q16=""),"",'GA55 Check &amp; Edit'!Q16)</f>
        <v>3575</v>
      </c>
      <c r="P14" s="57">
        <f>IF(AND('GA55 Check &amp; Edit'!R16=""),"",'GA55 Check &amp; Edit'!R16)</f>
        <v>1880</v>
      </c>
      <c r="Q14" s="57">
        <f>IF(AND('GA55 Check &amp; Edit'!S16=""),"",'GA55 Check &amp; Edit'!S16)</f>
        <v>658</v>
      </c>
      <c r="R14" s="57">
        <f>IF(AND('GA55 Check &amp; Edit'!T16=""),"",'GA55 Check &amp; Edit'!T16)</f>
        <v>0</v>
      </c>
      <c r="S14" s="57">
        <f>IF(AND('GA55 Check &amp; Edit'!U16=""),"",'GA55 Check &amp; Edit'!U16)</f>
        <v>0</v>
      </c>
      <c r="T14" s="57" t="str">
        <f>IF(AND('GA55 Check &amp; Edit'!V16=""),"",'GA55 Check &amp; Edit'!V16)</f>
        <v/>
      </c>
      <c r="U14" s="57">
        <f>IF(AND('GA55 Check &amp; Edit'!W16=""),"",'GA55 Check &amp; Edit'!W16)</f>
        <v>0</v>
      </c>
      <c r="V14" s="57">
        <f>IF(AND('GA55 Check &amp; Edit'!X16=""),"",'GA55 Check &amp; Edit'!X16)</f>
        <v>0</v>
      </c>
      <c r="W14" s="57">
        <f>IF(AND('GA55 Check &amp; Edit'!Y16=""),"",'GA55 Check &amp; Edit'!Y16)</f>
        <v>0</v>
      </c>
      <c r="X14" s="57">
        <f>IF(AND('GA55 Check &amp; Edit'!Z16=""),"",'GA55 Check &amp; Edit'!Z16)</f>
        <v>0</v>
      </c>
      <c r="Y14" s="57" t="str">
        <f>IF(AND('GA55 Check &amp; Edit'!AA16=""),"",'GA55 Check &amp; Edit'!AA16)</f>
        <v/>
      </c>
      <c r="Z14" s="57">
        <f>IF(AND('GA55 Check &amp; Edit'!AB16=""),"",'GA55 Check &amp; Edit'!AB16)</f>
        <v>13113</v>
      </c>
      <c r="AA14" s="57">
        <f>IF(AND('GA55 Check &amp; Edit'!AC16=""),"",'GA55 Check &amp; Edit'!AC16)</f>
        <v>60191</v>
      </c>
      <c r="AB14" s="57" t="str">
        <f>IF(AND('GA55 Check &amp; Edit'!AD16=""),"",'GA55 Check &amp; Edit'!AD16)</f>
        <v/>
      </c>
      <c r="AC14" s="196" t="str">
        <f>IF(AND('GA55 Check &amp; Edit'!AE16=""),"",'GA55 Check &amp; Edit'!AE16)</f>
        <v/>
      </c>
      <c r="AF14" s="58"/>
    </row>
    <row r="15" spans="1:33" ht="21.95" customHeight="1">
      <c r="A15" s="56">
        <v>10</v>
      </c>
      <c r="B15" s="108">
        <f>IF(AND('GA55 Check &amp; Edit'!D17=""),"",'GA55 Check &amp; Edit'!D17)</f>
        <v>44531</v>
      </c>
      <c r="C15" s="57">
        <f>IF(AND('GA55 Check &amp; Edit'!E17=""),"",'GA55 Check &amp; Edit'!E17)</f>
        <v>53900</v>
      </c>
      <c r="D15" s="57">
        <f>IF(AND('GA55 Check &amp; Edit'!F17=""),"",'GA55 Check &amp; Edit'!F17)</f>
        <v>15092</v>
      </c>
      <c r="E15" s="57">
        <f>IF(AND('GA55 Check &amp; Edit'!G17=""),"",'GA55 Check &amp; Edit'!G17)</f>
        <v>4312</v>
      </c>
      <c r="F15" s="57">
        <f>IF(AND('GA55 Check &amp; Edit'!H17=""),"",'GA55 Check &amp; Edit'!H17)</f>
        <v>0</v>
      </c>
      <c r="G15" s="57">
        <f>IF(AND('GA55 Check &amp; Edit'!I17=""),"",'GA55 Check &amp; Edit'!I17)</f>
        <v>0</v>
      </c>
      <c r="H15" s="57" t="str">
        <f>IF(AND('GA55 Check &amp; Edit'!J17=""),"",'GA55 Check &amp; Edit'!J17)</f>
        <v/>
      </c>
      <c r="I15" s="57">
        <f>IF(AND('GA55 Check &amp; Edit'!K17=""),"",'GA55 Check &amp; Edit'!K17)</f>
        <v>0</v>
      </c>
      <c r="J15" s="57">
        <f>IF(AND('GA55 Check &amp; Edit'!L17=""),"",'GA55 Check &amp; Edit'!L17)</f>
        <v>0</v>
      </c>
      <c r="K15" s="57" t="str">
        <f>IF(AND('GA55 Check &amp; Edit'!M17=""),"",'GA55 Check &amp; Edit'!M17)</f>
        <v/>
      </c>
      <c r="L15" s="57" t="str">
        <f>IF(AND('GA55 Check &amp; Edit'!N17=""),"",'GA55 Check &amp; Edit'!N17)</f>
        <v/>
      </c>
      <c r="M15" s="57">
        <f>IF(AND('GA55 Check &amp; Edit'!O17=""),"",'GA55 Check &amp; Edit'!O17)</f>
        <v>73304</v>
      </c>
      <c r="N15" s="57">
        <f>IF(AND('GA55 Check &amp; Edit'!P17=""),"",'GA55 Check &amp; Edit'!P17)</f>
        <v>7000</v>
      </c>
      <c r="O15" s="57">
        <f>IF(AND('GA55 Check &amp; Edit'!Q17=""),"",'GA55 Check &amp; Edit'!Q17)</f>
        <v>3575</v>
      </c>
      <c r="P15" s="57">
        <f>IF(AND('GA55 Check &amp; Edit'!R17=""),"",'GA55 Check &amp; Edit'!R17)</f>
        <v>1880</v>
      </c>
      <c r="Q15" s="57">
        <f>IF(AND('GA55 Check &amp; Edit'!S17=""),"",'GA55 Check &amp; Edit'!S17)</f>
        <v>658</v>
      </c>
      <c r="R15" s="57">
        <f>IF(AND('GA55 Check &amp; Edit'!T17=""),"",'GA55 Check &amp; Edit'!T17)</f>
        <v>0</v>
      </c>
      <c r="S15" s="57">
        <f>IF(AND('GA55 Check &amp; Edit'!U17=""),"",'GA55 Check &amp; Edit'!U17)</f>
        <v>0</v>
      </c>
      <c r="T15" s="57" t="str">
        <f>IF(AND('GA55 Check &amp; Edit'!V17=""),"",'GA55 Check &amp; Edit'!V17)</f>
        <v/>
      </c>
      <c r="U15" s="57">
        <f>IF(AND('GA55 Check &amp; Edit'!W17=""),"",'GA55 Check &amp; Edit'!W17)</f>
        <v>0</v>
      </c>
      <c r="V15" s="57">
        <f>IF(AND('GA55 Check &amp; Edit'!X17=""),"",'GA55 Check &amp; Edit'!X17)</f>
        <v>0</v>
      </c>
      <c r="W15" s="57">
        <f>IF(AND('GA55 Check &amp; Edit'!Y17=""),"",'GA55 Check &amp; Edit'!Y17)</f>
        <v>0</v>
      </c>
      <c r="X15" s="57">
        <f>IF(AND('GA55 Check &amp; Edit'!Z17=""),"",'GA55 Check &amp; Edit'!Z17)</f>
        <v>0</v>
      </c>
      <c r="Y15" s="57" t="str">
        <f>IF(AND('GA55 Check &amp; Edit'!AA17=""),"",'GA55 Check &amp; Edit'!AA17)</f>
        <v/>
      </c>
      <c r="Z15" s="57">
        <f>IF(AND('GA55 Check &amp; Edit'!AB17=""),"",'GA55 Check &amp; Edit'!AB17)</f>
        <v>13113</v>
      </c>
      <c r="AA15" s="57">
        <f>IF(AND('GA55 Check &amp; Edit'!AC17=""),"",'GA55 Check &amp; Edit'!AC17)</f>
        <v>60191</v>
      </c>
      <c r="AB15" s="57" t="str">
        <f>IF(AND('GA55 Check &amp; Edit'!AD17=""),"",'GA55 Check &amp; Edit'!AD17)</f>
        <v/>
      </c>
      <c r="AC15" s="196" t="str">
        <f>IF(AND('GA55 Check &amp; Edit'!AE17=""),"",'GA55 Check &amp; Edit'!AE17)</f>
        <v/>
      </c>
    </row>
    <row r="16" spans="1:33" ht="21.95" customHeight="1">
      <c r="A16" s="56">
        <v>11</v>
      </c>
      <c r="B16" s="108">
        <f>IF(AND('GA55 Check &amp; Edit'!D18=""),"",'GA55 Check &amp; Edit'!D18)</f>
        <v>44562</v>
      </c>
      <c r="C16" s="57">
        <f>IF(AND('GA55 Check &amp; Edit'!E18=""),"",'GA55 Check &amp; Edit'!E18)</f>
        <v>53900</v>
      </c>
      <c r="D16" s="57">
        <f>IF(AND('GA55 Check &amp; Edit'!F18=""),"",'GA55 Check &amp; Edit'!F18)</f>
        <v>15092</v>
      </c>
      <c r="E16" s="57">
        <f>IF(AND('GA55 Check &amp; Edit'!G18=""),"",'GA55 Check &amp; Edit'!G18)</f>
        <v>4312</v>
      </c>
      <c r="F16" s="57">
        <f>IF(AND('GA55 Check &amp; Edit'!H18=""),"",'GA55 Check &amp; Edit'!H18)</f>
        <v>0</v>
      </c>
      <c r="G16" s="57">
        <f>IF(AND('GA55 Check &amp; Edit'!I18=""),"",'GA55 Check &amp; Edit'!I18)</f>
        <v>0</v>
      </c>
      <c r="H16" s="57" t="str">
        <f>IF(AND('GA55 Check &amp; Edit'!J18=""),"",'GA55 Check &amp; Edit'!J18)</f>
        <v/>
      </c>
      <c r="I16" s="57">
        <f>IF(AND('GA55 Check &amp; Edit'!K18=""),"",'GA55 Check &amp; Edit'!K18)</f>
        <v>0</v>
      </c>
      <c r="J16" s="57">
        <f>IF(AND('GA55 Check &amp; Edit'!L18=""),"",'GA55 Check &amp; Edit'!L18)</f>
        <v>0</v>
      </c>
      <c r="K16" s="57" t="str">
        <f>IF(AND('GA55 Check &amp; Edit'!M18=""),"",'GA55 Check &amp; Edit'!M18)</f>
        <v/>
      </c>
      <c r="L16" s="57" t="str">
        <f>IF(AND('GA55 Check &amp; Edit'!N18=""),"",'GA55 Check &amp; Edit'!N18)</f>
        <v/>
      </c>
      <c r="M16" s="57">
        <f>IF(AND('GA55 Check &amp; Edit'!O18=""),"",'GA55 Check &amp; Edit'!O18)</f>
        <v>73304</v>
      </c>
      <c r="N16" s="57">
        <f>IF(AND('GA55 Check &amp; Edit'!P18=""),"",'GA55 Check &amp; Edit'!P18)</f>
        <v>7000</v>
      </c>
      <c r="O16" s="57">
        <f>IF(AND('GA55 Check &amp; Edit'!Q18=""),"",'GA55 Check &amp; Edit'!Q18)</f>
        <v>3575</v>
      </c>
      <c r="P16" s="57">
        <f>IF(AND('GA55 Check &amp; Edit'!R18=""),"",'GA55 Check &amp; Edit'!R18)</f>
        <v>1880</v>
      </c>
      <c r="Q16" s="57">
        <f>IF(AND('GA55 Check &amp; Edit'!S18=""),"",'GA55 Check &amp; Edit'!S18)</f>
        <v>658</v>
      </c>
      <c r="R16" s="57">
        <f>IF(AND('GA55 Check &amp; Edit'!T18=""),"",'GA55 Check &amp; Edit'!T18)</f>
        <v>0</v>
      </c>
      <c r="S16" s="57">
        <f>IF(AND('GA55 Check &amp; Edit'!U18=""),"",'GA55 Check &amp; Edit'!U18)</f>
        <v>0</v>
      </c>
      <c r="T16" s="57" t="str">
        <f>IF(AND('GA55 Check &amp; Edit'!V18=""),"",'GA55 Check &amp; Edit'!V18)</f>
        <v/>
      </c>
      <c r="U16" s="57">
        <f>IF(AND('GA55 Check &amp; Edit'!W18=""),"",'GA55 Check &amp; Edit'!W18)</f>
        <v>0</v>
      </c>
      <c r="V16" s="57">
        <f>IF(AND('GA55 Check &amp; Edit'!X18=""),"",'GA55 Check &amp; Edit'!X18)</f>
        <v>0</v>
      </c>
      <c r="W16" s="57">
        <f>IF(AND('GA55 Check &amp; Edit'!Y18=""),"",'GA55 Check &amp; Edit'!Y18)</f>
        <v>0</v>
      </c>
      <c r="X16" s="57">
        <f>IF(AND('GA55 Check &amp; Edit'!Z18=""),"",'GA55 Check &amp; Edit'!Z18)</f>
        <v>0</v>
      </c>
      <c r="Y16" s="57" t="str">
        <f>IF(AND('GA55 Check &amp; Edit'!AA18=""),"",'GA55 Check &amp; Edit'!AA18)</f>
        <v/>
      </c>
      <c r="Z16" s="57">
        <f>IF(AND('GA55 Check &amp; Edit'!AB18=""),"",'GA55 Check &amp; Edit'!AB18)</f>
        <v>13113</v>
      </c>
      <c r="AA16" s="57">
        <f>IF(AND('GA55 Check &amp; Edit'!AC18=""),"",'GA55 Check &amp; Edit'!AC18)</f>
        <v>60191</v>
      </c>
      <c r="AB16" s="57" t="str">
        <f>IF(AND('GA55 Check &amp; Edit'!AD18=""),"",'GA55 Check &amp; Edit'!AD18)</f>
        <v/>
      </c>
      <c r="AC16" s="196" t="str">
        <f>IF(AND('GA55 Check &amp; Edit'!AE18=""),"",'GA55 Check &amp; Edit'!AE18)</f>
        <v/>
      </c>
    </row>
    <row r="17" spans="1:29" ht="21.95" customHeight="1">
      <c r="A17" s="56">
        <v>12</v>
      </c>
      <c r="B17" s="108">
        <f>IF(AND('GA55 Check &amp; Edit'!D19=""),"",'GA55 Check &amp; Edit'!D19)</f>
        <v>44593</v>
      </c>
      <c r="C17" s="57">
        <f>IF(AND('GA55 Check &amp; Edit'!E19=""),"",'GA55 Check &amp; Edit'!E19)</f>
        <v>53900</v>
      </c>
      <c r="D17" s="57">
        <f>IF(AND('GA55 Check &amp; Edit'!F19=""),"",'GA55 Check &amp; Edit'!F19)</f>
        <v>15092</v>
      </c>
      <c r="E17" s="57">
        <f>IF(AND('GA55 Check &amp; Edit'!G19=""),"",'GA55 Check &amp; Edit'!G19)</f>
        <v>4312</v>
      </c>
      <c r="F17" s="57">
        <f>IF(AND('GA55 Check &amp; Edit'!H19=""),"",'GA55 Check &amp; Edit'!H19)</f>
        <v>0</v>
      </c>
      <c r="G17" s="57">
        <f>IF(AND('GA55 Check &amp; Edit'!I19=""),"",'GA55 Check &amp; Edit'!I19)</f>
        <v>0</v>
      </c>
      <c r="H17" s="57" t="str">
        <f>IF(AND('GA55 Check &amp; Edit'!J19=""),"",'GA55 Check &amp; Edit'!J19)</f>
        <v/>
      </c>
      <c r="I17" s="57">
        <f>IF(AND('GA55 Check &amp; Edit'!K19=""),"",'GA55 Check &amp; Edit'!K19)</f>
        <v>0</v>
      </c>
      <c r="J17" s="57">
        <f>IF(AND('GA55 Check &amp; Edit'!L19=""),"",'GA55 Check &amp; Edit'!L19)</f>
        <v>0</v>
      </c>
      <c r="K17" s="57" t="str">
        <f>IF(AND('GA55 Check &amp; Edit'!M19=""),"",'GA55 Check &amp; Edit'!M19)</f>
        <v/>
      </c>
      <c r="L17" s="57" t="str">
        <f>IF(AND('GA55 Check &amp; Edit'!N19=""),"",'GA55 Check &amp; Edit'!N19)</f>
        <v/>
      </c>
      <c r="M17" s="57">
        <f>IF(AND('GA55 Check &amp; Edit'!O19=""),"",'GA55 Check &amp; Edit'!O19)</f>
        <v>73304</v>
      </c>
      <c r="N17" s="57">
        <f>IF(AND('GA55 Check &amp; Edit'!P19=""),"",'GA55 Check &amp; Edit'!P19)</f>
        <v>7000</v>
      </c>
      <c r="O17" s="57">
        <f>IF(AND('GA55 Check &amp; Edit'!Q19=""),"",'GA55 Check &amp; Edit'!Q19)</f>
        <v>3575</v>
      </c>
      <c r="P17" s="57">
        <f>IF(AND('GA55 Check &amp; Edit'!R19=""),"",'GA55 Check &amp; Edit'!R19)</f>
        <v>1880</v>
      </c>
      <c r="Q17" s="57">
        <f>IF(AND('GA55 Check &amp; Edit'!S19=""),"",'GA55 Check &amp; Edit'!S19)</f>
        <v>658</v>
      </c>
      <c r="R17" s="57">
        <f>IF(AND('GA55 Check &amp; Edit'!T19=""),"",'GA55 Check &amp; Edit'!T19)</f>
        <v>0</v>
      </c>
      <c r="S17" s="57">
        <f>IF(AND('GA55 Check &amp; Edit'!U19=""),"",'GA55 Check &amp; Edit'!U19)</f>
        <v>0</v>
      </c>
      <c r="T17" s="57" t="str">
        <f>IF(AND('GA55 Check &amp; Edit'!V19=""),"",'GA55 Check &amp; Edit'!V19)</f>
        <v/>
      </c>
      <c r="U17" s="57">
        <f>IF(AND('GA55 Check &amp; Edit'!W19=""),"",'GA55 Check &amp; Edit'!W19)</f>
        <v>0</v>
      </c>
      <c r="V17" s="57">
        <f>IF(AND('GA55 Check &amp; Edit'!X19=""),"",'GA55 Check &amp; Edit'!X19)</f>
        <v>0</v>
      </c>
      <c r="W17" s="57">
        <f>IF(AND('GA55 Check &amp; Edit'!Y19=""),"",'GA55 Check &amp; Edit'!Y19)</f>
        <v>0</v>
      </c>
      <c r="X17" s="57">
        <f>IF(AND('GA55 Check &amp; Edit'!Z19=""),"",'GA55 Check &amp; Edit'!Z19)</f>
        <v>0</v>
      </c>
      <c r="Y17" s="57" t="str">
        <f>IF(AND('GA55 Check &amp; Edit'!AA19=""),"",'GA55 Check &amp; Edit'!AA19)</f>
        <v/>
      </c>
      <c r="Z17" s="57">
        <f>IF(AND('GA55 Check &amp; Edit'!AB19=""),"",'GA55 Check &amp; Edit'!AB19)</f>
        <v>13113</v>
      </c>
      <c r="AA17" s="57">
        <f>IF(AND('GA55 Check &amp; Edit'!AC19=""),"",'GA55 Check &amp; Edit'!AC19)</f>
        <v>60191</v>
      </c>
      <c r="AB17" s="57" t="str">
        <f>IF(AND('GA55 Check &amp; Edit'!AD19=""),"",'GA55 Check &amp; Edit'!AD19)</f>
        <v/>
      </c>
      <c r="AC17" s="196" t="str">
        <f>IF(AND('GA55 Check &amp; Edit'!AE19=""),"",'GA55 Check &amp; Edit'!AE19)</f>
        <v/>
      </c>
    </row>
    <row r="18" spans="1:29" ht="21.95" customHeight="1">
      <c r="A18" s="56">
        <v>13</v>
      </c>
      <c r="B18" s="108" t="str">
        <f>IF(AND('GA55 Check &amp; Edit'!D20=""),"",'GA55 Check &amp; Edit'!D20)</f>
        <v>Bonus</v>
      </c>
      <c r="C18" s="57" t="str">
        <f>IF(AND('GA55 Check &amp; Edit'!E20=""),"",'GA55 Check &amp; Edit'!E20)</f>
        <v/>
      </c>
      <c r="D18" s="57" t="str">
        <f>IF(AND('GA55 Check &amp; Edit'!F20=""),"",'GA55 Check &amp; Edit'!F20)</f>
        <v/>
      </c>
      <c r="E18" s="57" t="str">
        <f>IF(AND('GA55 Check &amp; Edit'!G20=""),"",'GA55 Check &amp; Edit'!G20)</f>
        <v/>
      </c>
      <c r="F18" s="57" t="str">
        <f>IF(AND('GA55 Check &amp; Edit'!H20=""),"",'GA55 Check &amp; Edit'!H20)</f>
        <v/>
      </c>
      <c r="G18" s="57" t="str">
        <f>IF(AND('GA55 Check &amp; Edit'!I20=""),"",'GA55 Check &amp; Edit'!I20)</f>
        <v/>
      </c>
      <c r="H18" s="57" t="str">
        <f>IF(AND('GA55 Check &amp; Edit'!J20=""),"",'GA55 Check &amp; Edit'!J20)</f>
        <v/>
      </c>
      <c r="I18" s="57" t="str">
        <f>IF(AND('GA55 Check &amp; Edit'!K20=""),"",'GA55 Check &amp; Edit'!K20)</f>
        <v/>
      </c>
      <c r="J18" s="57" t="str">
        <f>IF(AND('GA55 Check &amp; Edit'!L20=""),"",'GA55 Check &amp; Edit'!L20)</f>
        <v/>
      </c>
      <c r="K18" s="57">
        <f>IF(AND('GA55 Check &amp; Edit'!M20=""),"",'GA55 Check &amp; Edit'!M20)</f>
        <v>6774</v>
      </c>
      <c r="L18" s="57" t="str">
        <f>IF(AND('GA55 Check &amp; Edit'!N20=""),"",'GA55 Check &amp; Edit'!N20)</f>
        <v/>
      </c>
      <c r="M18" s="57">
        <f>IF(AND('GA55 Check &amp; Edit'!O20=""),"",'GA55 Check &amp; Edit'!O20)</f>
        <v>6774</v>
      </c>
      <c r="N18" s="57" t="str">
        <f>IF(AND('GA55 Check &amp; Edit'!P20=""),"",'GA55 Check &amp; Edit'!P20)</f>
        <v/>
      </c>
      <c r="O18" s="57">
        <f>IF(AND('GA55 Check &amp; Edit'!Q20=""),"",'GA55 Check &amp; Edit'!Q20)</f>
        <v>5081</v>
      </c>
      <c r="P18" s="57" t="str">
        <f>IF(AND('GA55 Check &amp; Edit'!R20=""),"",'GA55 Check &amp; Edit'!R20)</f>
        <v/>
      </c>
      <c r="Q18" s="57" t="str">
        <f>IF(AND('GA55 Check &amp; Edit'!S20=""),"",'GA55 Check &amp; Edit'!S20)</f>
        <v/>
      </c>
      <c r="R18" s="57" t="str">
        <f>IF(AND('GA55 Check &amp; Edit'!T20=""),"",'GA55 Check &amp; Edit'!T20)</f>
        <v/>
      </c>
      <c r="S18" s="57" t="str">
        <f>IF(AND('GA55 Check &amp; Edit'!U20=""),"",'GA55 Check &amp; Edit'!U20)</f>
        <v/>
      </c>
      <c r="T18" s="57" t="str">
        <f>IF(AND('GA55 Check &amp; Edit'!V20=""),"",'GA55 Check &amp; Edit'!V20)</f>
        <v/>
      </c>
      <c r="U18" s="57" t="str">
        <f>IF(AND('GA55 Check &amp; Edit'!W20=""),"",'GA55 Check &amp; Edit'!W20)</f>
        <v/>
      </c>
      <c r="V18" s="57" t="str">
        <f>IF(AND('GA55 Check &amp; Edit'!X20=""),"",'GA55 Check &amp; Edit'!X20)</f>
        <v/>
      </c>
      <c r="W18" s="57" t="str">
        <f>IF(AND('GA55 Check &amp; Edit'!Y20=""),"",'GA55 Check &amp; Edit'!Y20)</f>
        <v/>
      </c>
      <c r="X18" s="57" t="str">
        <f>IF(AND('GA55 Check &amp; Edit'!Z20=""),"",'GA55 Check &amp; Edit'!Z20)</f>
        <v/>
      </c>
      <c r="Y18" s="57" t="str">
        <f>IF(AND('GA55 Check &amp; Edit'!AA20=""),"",'GA55 Check &amp; Edit'!AA20)</f>
        <v/>
      </c>
      <c r="Z18" s="57">
        <f>IF(AND('GA55 Check &amp; Edit'!AB20=""),"",'GA55 Check &amp; Edit'!AB20)</f>
        <v>5081</v>
      </c>
      <c r="AA18" s="57">
        <f>IF(AND('GA55 Check &amp; Edit'!AC20=""),"",'GA55 Check &amp; Edit'!AC20)</f>
        <v>1693</v>
      </c>
      <c r="AB18" s="57" t="str">
        <f>IF(AND('GA55 Check &amp; Edit'!AD20=""),"",'GA55 Check &amp; Edit'!AD20)</f>
        <v/>
      </c>
      <c r="AC18" s="196" t="str">
        <f>IF(AND('GA55 Check &amp; Edit'!AE20=""),"",'GA55 Check &amp; Edit'!AE20)</f>
        <v/>
      </c>
    </row>
    <row r="19" spans="1:29" ht="21.95" customHeight="1">
      <c r="A19" s="56">
        <v>14</v>
      </c>
      <c r="B19" s="108" t="str">
        <f>IF(AND('GA55 Check &amp; Edit'!D21=""),"",'GA55 Check &amp; Edit'!D21)</f>
        <v>PL Surrender</v>
      </c>
      <c r="C19" s="57" t="str">
        <f>IF(AND('GA55 Check &amp; Edit'!E21=""),"",'GA55 Check &amp; Edit'!E21)</f>
        <v/>
      </c>
      <c r="D19" s="57" t="str">
        <f>IF(AND('GA55 Check &amp; Edit'!F21=""),"",'GA55 Check &amp; Edit'!F21)</f>
        <v/>
      </c>
      <c r="E19" s="57" t="str">
        <f>IF(AND('GA55 Check &amp; Edit'!G21=""),"",'GA55 Check &amp; Edit'!G21)</f>
        <v/>
      </c>
      <c r="F19" s="57" t="str">
        <f>IF(AND('GA55 Check &amp; Edit'!H21=""),"",'GA55 Check &amp; Edit'!H21)</f>
        <v/>
      </c>
      <c r="G19" s="57" t="str">
        <f>IF(AND('GA55 Check &amp; Edit'!I21=""),"",'GA55 Check &amp; Edit'!I21)</f>
        <v/>
      </c>
      <c r="H19" s="57" t="str">
        <f>IF(AND('GA55 Check &amp; Edit'!J21=""),"",'GA55 Check &amp; Edit'!J21)</f>
        <v/>
      </c>
      <c r="I19" s="57" t="str">
        <f>IF(AND('GA55 Check &amp; Edit'!K21=""),"",'GA55 Check &amp; Edit'!K21)</f>
        <v/>
      </c>
      <c r="J19" s="57" t="str">
        <f>IF(AND('GA55 Check &amp; Edit'!L21=""),"",'GA55 Check &amp; Edit'!L21)</f>
        <v/>
      </c>
      <c r="K19" s="57" t="str">
        <f>IF(AND('GA55 Check &amp; Edit'!M21=""),"",'GA55 Check &amp; Edit'!M21)</f>
        <v/>
      </c>
      <c r="L19" s="57" t="str">
        <f>IF(AND('GA55 Check &amp; Edit'!N21=""),"",'GA55 Check &amp; Edit'!N21)</f>
        <v/>
      </c>
      <c r="M19" s="57">
        <f>IF(AND('GA55 Check &amp; Edit'!O21=""),"",'GA55 Check &amp; Edit'!O21)</f>
        <v>0</v>
      </c>
      <c r="N19" s="57" t="str">
        <f>IF(AND('GA55 Check &amp; Edit'!P21=""),"",'GA55 Check &amp; Edit'!P21)</f>
        <v/>
      </c>
      <c r="O19" s="57" t="str">
        <f>IF(AND('GA55 Check &amp; Edit'!Q21=""),"",'GA55 Check &amp; Edit'!Q21)</f>
        <v/>
      </c>
      <c r="P19" s="57" t="str">
        <f>IF(AND('GA55 Check &amp; Edit'!R21=""),"",'GA55 Check &amp; Edit'!R21)</f>
        <v/>
      </c>
      <c r="Q19" s="57" t="str">
        <f>IF(AND('GA55 Check &amp; Edit'!S21=""),"",'GA55 Check &amp; Edit'!S21)</f>
        <v/>
      </c>
      <c r="R19" s="57" t="str">
        <f>IF(AND('GA55 Check &amp; Edit'!T21=""),"",'GA55 Check &amp; Edit'!T21)</f>
        <v/>
      </c>
      <c r="S19" s="57" t="str">
        <f>IF(AND('GA55 Check &amp; Edit'!U21=""),"",'GA55 Check &amp; Edit'!U21)</f>
        <v/>
      </c>
      <c r="T19" s="57" t="str">
        <f>IF(AND('GA55 Check &amp; Edit'!V21=""),"",'GA55 Check &amp; Edit'!V21)</f>
        <v/>
      </c>
      <c r="U19" s="57" t="str">
        <f>IF(AND('GA55 Check &amp; Edit'!W21=""),"",'GA55 Check &amp; Edit'!W21)</f>
        <v/>
      </c>
      <c r="V19" s="57" t="str">
        <f>IF(AND('GA55 Check &amp; Edit'!X21=""),"",'GA55 Check &amp; Edit'!X21)</f>
        <v/>
      </c>
      <c r="W19" s="57" t="str">
        <f>IF(AND('GA55 Check &amp; Edit'!Y21=""),"",'GA55 Check &amp; Edit'!Y21)</f>
        <v/>
      </c>
      <c r="X19" s="57" t="str">
        <f>IF(AND('GA55 Check &amp; Edit'!Z21=""),"",'GA55 Check &amp; Edit'!Z21)</f>
        <v/>
      </c>
      <c r="Y19" s="57" t="str">
        <f>IF(AND('GA55 Check &amp; Edit'!AA21=""),"",'GA55 Check &amp; Edit'!AA21)</f>
        <v/>
      </c>
      <c r="Z19" s="57">
        <f>IF(AND('GA55 Check &amp; Edit'!AB21=""),"",'GA55 Check &amp; Edit'!AB21)</f>
        <v>0</v>
      </c>
      <c r="AA19" s="57">
        <f>IF(AND('GA55 Check &amp; Edit'!AC21=""),"",'GA55 Check &amp; Edit'!AC21)</f>
        <v>0</v>
      </c>
      <c r="AB19" s="57" t="str">
        <f>IF(AND('GA55 Check &amp; Edit'!AD21=""),"",'GA55 Check &amp; Edit'!AD21)</f>
        <v/>
      </c>
      <c r="AC19" s="196" t="str">
        <f>IF(AND('GA55 Check &amp; Edit'!AE21=""),"",'GA55 Check &amp; Edit'!AE21)</f>
        <v/>
      </c>
    </row>
    <row r="20" spans="1:29" ht="21.95" customHeight="1">
      <c r="A20" s="56">
        <v>15</v>
      </c>
      <c r="B20" s="108" t="str">
        <f>IF(AND('GA55 Check &amp; Edit'!D22=""),"",'GA55 Check &amp; Edit'!D22)</f>
        <v xml:space="preserve">DA Arrear </v>
      </c>
      <c r="C20" s="57" t="str">
        <f>IF(AND('GA55 Check &amp; Edit'!E22=""),"",'GA55 Check &amp; Edit'!E22)</f>
        <v/>
      </c>
      <c r="D20" s="57">
        <f>IF(AND('GA55 Check &amp; Edit'!F22=""),"",'GA55 Check &amp; Edit'!F22)</f>
        <v>0</v>
      </c>
      <c r="E20" s="57" t="str">
        <f>IF(AND('GA55 Check &amp; Edit'!G22=""),"",'GA55 Check &amp; Edit'!G22)</f>
        <v/>
      </c>
      <c r="F20" s="57" t="str">
        <f>IF(AND('GA55 Check &amp; Edit'!H22=""),"",'GA55 Check &amp; Edit'!H22)</f>
        <v/>
      </c>
      <c r="G20" s="57" t="str">
        <f>IF(AND('GA55 Check &amp; Edit'!I22=""),"",'GA55 Check &amp; Edit'!I22)</f>
        <v/>
      </c>
      <c r="H20" s="57" t="str">
        <f>IF(AND('GA55 Check &amp; Edit'!J22=""),"",'GA55 Check &amp; Edit'!J22)</f>
        <v/>
      </c>
      <c r="I20" s="57" t="str">
        <f>IF(AND('GA55 Check &amp; Edit'!K22=""),"",'GA55 Check &amp; Edit'!K22)</f>
        <v/>
      </c>
      <c r="J20" s="57" t="str">
        <f>IF(AND('GA55 Check &amp; Edit'!L22=""),"",'GA55 Check &amp; Edit'!L22)</f>
        <v/>
      </c>
      <c r="K20" s="57" t="str">
        <f>IF(AND('GA55 Check &amp; Edit'!M22=""),"",'GA55 Check &amp; Edit'!M22)</f>
        <v/>
      </c>
      <c r="L20" s="57" t="str">
        <f>IF(AND('GA55 Check &amp; Edit'!N22=""),"",'GA55 Check &amp; Edit'!N22)</f>
        <v/>
      </c>
      <c r="M20" s="57">
        <f>IF(AND('GA55 Check &amp; Edit'!O22=""),"",'GA55 Check &amp; Edit'!O22)</f>
        <v>0</v>
      </c>
      <c r="N20" s="57" t="str">
        <f>IF(AND('GA55 Check &amp; Edit'!P22=""),"",'GA55 Check &amp; Edit'!P22)</f>
        <v/>
      </c>
      <c r="O20" s="57">
        <f>IF(AND('GA55 Check &amp; Edit'!Q22=""),"",'GA55 Check &amp; Edit'!Q22)</f>
        <v>0</v>
      </c>
      <c r="P20" s="57" t="str">
        <f>IF(AND('GA55 Check &amp; Edit'!R22=""),"",'GA55 Check &amp; Edit'!R22)</f>
        <v/>
      </c>
      <c r="Q20" s="57" t="str">
        <f>IF(AND('GA55 Check &amp; Edit'!S22=""),"",'GA55 Check &amp; Edit'!S22)</f>
        <v/>
      </c>
      <c r="R20" s="57" t="str">
        <f>IF(AND('GA55 Check &amp; Edit'!T22=""),"",'GA55 Check &amp; Edit'!T22)</f>
        <v/>
      </c>
      <c r="S20" s="57" t="str">
        <f>IF(AND('GA55 Check &amp; Edit'!U22=""),"",'GA55 Check &amp; Edit'!U22)</f>
        <v/>
      </c>
      <c r="T20" s="57" t="str">
        <f>IF(AND('GA55 Check &amp; Edit'!V22=""),"",'GA55 Check &amp; Edit'!V22)</f>
        <v/>
      </c>
      <c r="U20" s="57" t="str">
        <f>IF(AND('GA55 Check &amp; Edit'!W22=""),"",'GA55 Check &amp; Edit'!W22)</f>
        <v/>
      </c>
      <c r="V20" s="57" t="str">
        <f>IF(AND('GA55 Check &amp; Edit'!X22=""),"",'GA55 Check &amp; Edit'!X22)</f>
        <v/>
      </c>
      <c r="W20" s="57" t="str">
        <f>IF(AND('GA55 Check &amp; Edit'!Y22=""),"",'GA55 Check &amp; Edit'!Y22)</f>
        <v/>
      </c>
      <c r="X20" s="57" t="str">
        <f>IF(AND('GA55 Check &amp; Edit'!Z22=""),"",'GA55 Check &amp; Edit'!Z22)</f>
        <v/>
      </c>
      <c r="Y20" s="57" t="str">
        <f>IF(AND('GA55 Check &amp; Edit'!AA22=""),"",'GA55 Check &amp; Edit'!AA22)</f>
        <v/>
      </c>
      <c r="Z20" s="57">
        <f>IF(AND('GA55 Check &amp; Edit'!AB22=""),"",'GA55 Check &amp; Edit'!AB22)</f>
        <v>0</v>
      </c>
      <c r="AA20" s="57">
        <f>IF(AND('GA55 Check &amp; Edit'!AC22=""),"",'GA55 Check &amp; Edit'!AC22)</f>
        <v>0</v>
      </c>
      <c r="AB20" s="57" t="str">
        <f>IF(AND('GA55 Check &amp; Edit'!AD22=""),"",'GA55 Check &amp; Edit'!AD22)</f>
        <v/>
      </c>
      <c r="AC20" s="196" t="str">
        <f>IF(AND('GA55 Check &amp; Edit'!AE22=""),"",'GA55 Check &amp; Edit'!AE22)</f>
        <v/>
      </c>
    </row>
    <row r="21" spans="1:29" ht="21.95" customHeight="1">
      <c r="A21" s="56">
        <v>16</v>
      </c>
      <c r="B21" s="108" t="str">
        <f>IF(AND('GA55 Check &amp; Edit'!D23=""),"",'GA55 Check &amp; Edit'!D23)</f>
        <v>Fixation arear</v>
      </c>
      <c r="C21" s="57">
        <f>IF(AND('GA55 Check &amp; Edit'!E23=""),"",'GA55 Check &amp; Edit'!E23)</f>
        <v>0</v>
      </c>
      <c r="D21" s="57">
        <f>IF(AND('GA55 Check &amp; Edit'!F23=""),"",'GA55 Check &amp; Edit'!F23)</f>
        <v>0</v>
      </c>
      <c r="E21" s="57" t="str">
        <f>IF(AND('GA55 Check &amp; Edit'!G23=""),"",'GA55 Check &amp; Edit'!G23)</f>
        <v/>
      </c>
      <c r="F21" s="57" t="str">
        <f>IF(AND('GA55 Check &amp; Edit'!H23=""),"",'GA55 Check &amp; Edit'!H23)</f>
        <v/>
      </c>
      <c r="G21" s="57" t="str">
        <f>IF(AND('GA55 Check &amp; Edit'!I23=""),"",'GA55 Check &amp; Edit'!I23)</f>
        <v/>
      </c>
      <c r="H21" s="57" t="str">
        <f>IF(AND('GA55 Check &amp; Edit'!J23=""),"",'GA55 Check &amp; Edit'!J23)</f>
        <v/>
      </c>
      <c r="I21" s="57" t="str">
        <f>IF(AND('GA55 Check &amp; Edit'!K23=""),"",'GA55 Check &amp; Edit'!K23)</f>
        <v/>
      </c>
      <c r="J21" s="57" t="str">
        <f>IF(AND('GA55 Check &amp; Edit'!L23=""),"",'GA55 Check &amp; Edit'!L23)</f>
        <v/>
      </c>
      <c r="K21" s="57" t="str">
        <f>IF(AND('GA55 Check &amp; Edit'!M23=""),"",'GA55 Check &amp; Edit'!M23)</f>
        <v/>
      </c>
      <c r="L21" s="57" t="str">
        <f>IF(AND('GA55 Check &amp; Edit'!N23=""),"",'GA55 Check &amp; Edit'!N23)</f>
        <v/>
      </c>
      <c r="M21" s="57">
        <f>IF(AND('GA55 Check &amp; Edit'!O23=""),"",'GA55 Check &amp; Edit'!O23)</f>
        <v>0</v>
      </c>
      <c r="N21" s="57" t="str">
        <f>IF(AND('GA55 Check &amp; Edit'!P23=""),"",'GA55 Check &amp; Edit'!P23)</f>
        <v/>
      </c>
      <c r="O21" s="57">
        <f>IF(AND('GA55 Check &amp; Edit'!Q23=""),"",'GA55 Check &amp; Edit'!Q23)</f>
        <v>0</v>
      </c>
      <c r="P21" s="57" t="str">
        <f>IF(AND('GA55 Check &amp; Edit'!R23=""),"",'GA55 Check &amp; Edit'!R23)</f>
        <v/>
      </c>
      <c r="Q21" s="57" t="str">
        <f>IF(AND('GA55 Check &amp; Edit'!S23=""),"",'GA55 Check &amp; Edit'!S23)</f>
        <v/>
      </c>
      <c r="R21" s="57" t="str">
        <f>IF(AND('GA55 Check &amp; Edit'!T23=""),"",'GA55 Check &amp; Edit'!T23)</f>
        <v/>
      </c>
      <c r="S21" s="57" t="str">
        <f>IF(AND('GA55 Check &amp; Edit'!U23=""),"",'GA55 Check &amp; Edit'!U23)</f>
        <v/>
      </c>
      <c r="T21" s="57" t="str">
        <f>IF(AND('GA55 Check &amp; Edit'!V23=""),"",'GA55 Check &amp; Edit'!V23)</f>
        <v/>
      </c>
      <c r="U21" s="57" t="str">
        <f>IF(AND('GA55 Check &amp; Edit'!W23=""),"",'GA55 Check &amp; Edit'!W23)</f>
        <v/>
      </c>
      <c r="V21" s="57" t="str">
        <f>IF(AND('GA55 Check &amp; Edit'!X23=""),"",'GA55 Check &amp; Edit'!X23)</f>
        <v/>
      </c>
      <c r="W21" s="57" t="str">
        <f>IF(AND('GA55 Check &amp; Edit'!Y23=""),"",'GA55 Check &amp; Edit'!Y23)</f>
        <v/>
      </c>
      <c r="X21" s="57" t="str">
        <f>IF(AND('GA55 Check &amp; Edit'!Z23=""),"",'GA55 Check &amp; Edit'!Z23)</f>
        <v/>
      </c>
      <c r="Y21" s="57" t="str">
        <f>IF(AND('GA55 Check &amp; Edit'!AA23=""),"",'GA55 Check &amp; Edit'!AA23)</f>
        <v/>
      </c>
      <c r="Z21" s="57">
        <f>IF(AND('GA55 Check &amp; Edit'!AB23=""),"",'GA55 Check &amp; Edit'!AB23)</f>
        <v>0</v>
      </c>
      <c r="AA21" s="57">
        <f>IF(AND('GA55 Check &amp; Edit'!AC23=""),"",'GA55 Check &amp; Edit'!AC23)</f>
        <v>0</v>
      </c>
      <c r="AB21" s="57" t="str">
        <f>IF(AND('GA55 Check &amp; Edit'!AD23=""),"",'GA55 Check &amp; Edit'!AD23)</f>
        <v/>
      </c>
      <c r="AC21" s="196" t="str">
        <f>IF(AND('GA55 Check &amp; Edit'!AE23=""),"",'GA55 Check &amp; Edit'!AE23)</f>
        <v/>
      </c>
    </row>
    <row r="22" spans="1:29" ht="21.95" customHeight="1">
      <c r="A22" s="56">
        <v>17</v>
      </c>
      <c r="B22" s="108" t="str">
        <f>IF(AND('GA55 Check &amp; Edit'!D24=""),"",'GA55 Check &amp; Edit'!D24)</f>
        <v>Other Arrear</v>
      </c>
      <c r="C22" s="57" t="str">
        <f>IF(AND('GA55 Check &amp; Edit'!E24=""),"",'GA55 Check &amp; Edit'!E24)</f>
        <v/>
      </c>
      <c r="D22" s="57" t="str">
        <f>IF(AND('GA55 Check &amp; Edit'!F24=""),"",'GA55 Check &amp; Edit'!F24)</f>
        <v/>
      </c>
      <c r="E22" s="57" t="str">
        <f>IF(AND('GA55 Check &amp; Edit'!G24=""),"",'GA55 Check &amp; Edit'!G24)</f>
        <v/>
      </c>
      <c r="F22" s="57" t="str">
        <f>IF(AND('GA55 Check &amp; Edit'!H24=""),"",'GA55 Check &amp; Edit'!H24)</f>
        <v/>
      </c>
      <c r="G22" s="57" t="str">
        <f>IF(AND('GA55 Check &amp; Edit'!I24=""),"",'GA55 Check &amp; Edit'!I24)</f>
        <v/>
      </c>
      <c r="H22" s="57" t="str">
        <f>IF(AND('GA55 Check &amp; Edit'!J24=""),"",'GA55 Check &amp; Edit'!J24)</f>
        <v/>
      </c>
      <c r="I22" s="57" t="str">
        <f>IF(AND('GA55 Check &amp; Edit'!K24=""),"",'GA55 Check &amp; Edit'!K24)</f>
        <v/>
      </c>
      <c r="J22" s="57" t="str">
        <f>IF(AND('GA55 Check &amp; Edit'!L24=""),"",'GA55 Check &amp; Edit'!L24)</f>
        <v/>
      </c>
      <c r="K22" s="57" t="str">
        <f>IF(AND('GA55 Check &amp; Edit'!M24=""),"",'GA55 Check &amp; Edit'!M24)</f>
        <v/>
      </c>
      <c r="L22" s="57" t="str">
        <f>IF(AND('GA55 Check &amp; Edit'!N24=""),"",'GA55 Check &amp; Edit'!N24)</f>
        <v/>
      </c>
      <c r="M22" s="57">
        <f>IF(AND('GA55 Check &amp; Edit'!O24=""),"",'GA55 Check &amp; Edit'!O24)</f>
        <v>0</v>
      </c>
      <c r="N22" s="57" t="str">
        <f>IF(AND('GA55 Check &amp; Edit'!P24=""),"",'GA55 Check &amp; Edit'!P24)</f>
        <v/>
      </c>
      <c r="O22" s="57">
        <f>IF(AND('GA55 Check &amp; Edit'!Q24=""),"",'GA55 Check &amp; Edit'!Q24)</f>
        <v>0</v>
      </c>
      <c r="P22" s="57" t="str">
        <f>IF(AND('GA55 Check &amp; Edit'!R24=""),"",'GA55 Check &amp; Edit'!R24)</f>
        <v/>
      </c>
      <c r="Q22" s="57" t="str">
        <f>IF(AND('GA55 Check &amp; Edit'!S24=""),"",'GA55 Check &amp; Edit'!S24)</f>
        <v/>
      </c>
      <c r="R22" s="57" t="str">
        <f>IF(AND('GA55 Check &amp; Edit'!T24=""),"",'GA55 Check &amp; Edit'!T24)</f>
        <v/>
      </c>
      <c r="S22" s="57" t="str">
        <f>IF(AND('GA55 Check &amp; Edit'!U24=""),"",'GA55 Check &amp; Edit'!U24)</f>
        <v/>
      </c>
      <c r="T22" s="57" t="str">
        <f>IF(AND('GA55 Check &amp; Edit'!V24=""),"",'GA55 Check &amp; Edit'!V24)</f>
        <v/>
      </c>
      <c r="U22" s="57" t="str">
        <f>IF(AND('GA55 Check &amp; Edit'!W24=""),"",'GA55 Check &amp; Edit'!W24)</f>
        <v/>
      </c>
      <c r="V22" s="57" t="str">
        <f>IF(AND('GA55 Check &amp; Edit'!X24=""),"",'GA55 Check &amp; Edit'!X24)</f>
        <v/>
      </c>
      <c r="W22" s="57" t="str">
        <f>IF(AND('GA55 Check &amp; Edit'!Y24=""),"",'GA55 Check &amp; Edit'!Y24)</f>
        <v/>
      </c>
      <c r="X22" s="57" t="str">
        <f>IF(AND('GA55 Check &amp; Edit'!Z24=""),"",'GA55 Check &amp; Edit'!Z24)</f>
        <v/>
      </c>
      <c r="Y22" s="57" t="str">
        <f>IF(AND('GA55 Check &amp; Edit'!AA24=""),"",'GA55 Check &amp; Edit'!AA24)</f>
        <v/>
      </c>
      <c r="Z22" s="57">
        <f>IF(AND('GA55 Check &amp; Edit'!AB24=""),"",'GA55 Check &amp; Edit'!AB24)</f>
        <v>0</v>
      </c>
      <c r="AA22" s="57">
        <f>IF(AND('GA55 Check &amp; Edit'!AC24=""),"",'GA55 Check &amp; Edit'!AC24)</f>
        <v>0</v>
      </c>
      <c r="AB22" s="57" t="str">
        <f>IF(AND('GA55 Check &amp; Edit'!AD24=""),"",'GA55 Check &amp; Edit'!AD24)</f>
        <v/>
      </c>
      <c r="AC22" s="196" t="str">
        <f>IF(AND('GA55 Check &amp; Edit'!AE24=""),"",'GA55 Check &amp; Edit'!AE24)</f>
        <v/>
      </c>
    </row>
    <row r="23" spans="1:29" ht="21.95" customHeight="1">
      <c r="A23" s="56">
        <v>18</v>
      </c>
      <c r="B23" s="108" t="str">
        <f>IF(AND('GA55 Check &amp; Edit'!D25=""),"",'GA55 Check &amp; Edit'!D25)</f>
        <v/>
      </c>
      <c r="C23" s="57" t="str">
        <f>IF(AND('GA55 Check &amp; Edit'!E25=""),"",'GA55 Check &amp; Edit'!E25)</f>
        <v/>
      </c>
      <c r="D23" s="57" t="str">
        <f>IF(AND('GA55 Check &amp; Edit'!F25=""),"",'GA55 Check &amp; Edit'!F25)</f>
        <v/>
      </c>
      <c r="E23" s="57" t="str">
        <f>IF(AND('GA55 Check &amp; Edit'!G25=""),"",'GA55 Check &amp; Edit'!G25)</f>
        <v/>
      </c>
      <c r="F23" s="57" t="str">
        <f>IF(AND('GA55 Check &amp; Edit'!H25=""),"",'GA55 Check &amp; Edit'!H25)</f>
        <v/>
      </c>
      <c r="G23" s="57" t="str">
        <f>IF(AND('GA55 Check &amp; Edit'!I25=""),"",'GA55 Check &amp; Edit'!I25)</f>
        <v/>
      </c>
      <c r="H23" s="57" t="str">
        <f>IF(AND('GA55 Check &amp; Edit'!J25=""),"",'GA55 Check &amp; Edit'!J25)</f>
        <v/>
      </c>
      <c r="I23" s="57" t="str">
        <f>IF(AND('GA55 Check &amp; Edit'!K25=""),"",'GA55 Check &amp; Edit'!K25)</f>
        <v/>
      </c>
      <c r="J23" s="57" t="str">
        <f>IF(AND('GA55 Check &amp; Edit'!L25=""),"",'GA55 Check &amp; Edit'!L25)</f>
        <v/>
      </c>
      <c r="K23" s="57" t="str">
        <f>IF(AND('GA55 Check &amp; Edit'!M25=""),"",'GA55 Check &amp; Edit'!M25)</f>
        <v/>
      </c>
      <c r="L23" s="57" t="str">
        <f>IF(AND('GA55 Check &amp; Edit'!N25=""),"",'GA55 Check &amp; Edit'!N25)</f>
        <v/>
      </c>
      <c r="M23" s="57" t="str">
        <f>IF(AND('GA55 Check &amp; Edit'!O25=""),"",'GA55 Check &amp; Edit'!O25)</f>
        <v/>
      </c>
      <c r="N23" s="57" t="str">
        <f>IF(AND('GA55 Check &amp; Edit'!P25=""),"",'GA55 Check &amp; Edit'!P25)</f>
        <v/>
      </c>
      <c r="O23" s="57" t="str">
        <f>IF(AND('GA55 Check &amp; Edit'!Q25=""),"",'GA55 Check &amp; Edit'!Q25)</f>
        <v/>
      </c>
      <c r="P23" s="57" t="str">
        <f>IF(AND('GA55 Check &amp; Edit'!R25=""),"",'GA55 Check &amp; Edit'!R25)</f>
        <v/>
      </c>
      <c r="Q23" s="57" t="str">
        <f>IF(AND('GA55 Check &amp; Edit'!S25=""),"",'GA55 Check &amp; Edit'!S25)</f>
        <v/>
      </c>
      <c r="R23" s="57" t="str">
        <f>IF(AND('GA55 Check &amp; Edit'!T25=""),"",'GA55 Check &amp; Edit'!T25)</f>
        <v/>
      </c>
      <c r="S23" s="57" t="str">
        <f>IF(AND('GA55 Check &amp; Edit'!U25=""),"",'GA55 Check &amp; Edit'!U25)</f>
        <v/>
      </c>
      <c r="T23" s="57" t="str">
        <f>IF(AND('GA55 Check &amp; Edit'!V25=""),"",'GA55 Check &amp; Edit'!V25)</f>
        <v/>
      </c>
      <c r="U23" s="57" t="str">
        <f>IF(AND('GA55 Check &amp; Edit'!W25=""),"",'GA55 Check &amp; Edit'!W25)</f>
        <v/>
      </c>
      <c r="V23" s="57" t="str">
        <f>IF(AND('GA55 Check &amp; Edit'!X25=""),"",'GA55 Check &amp; Edit'!X25)</f>
        <v/>
      </c>
      <c r="W23" s="57" t="str">
        <f>IF(AND('GA55 Check &amp; Edit'!Y25=""),"",'GA55 Check &amp; Edit'!Y25)</f>
        <v/>
      </c>
      <c r="X23" s="57" t="str">
        <f>IF(AND('GA55 Check &amp; Edit'!Z25=""),"",'GA55 Check &amp; Edit'!Z25)</f>
        <v/>
      </c>
      <c r="Y23" s="57" t="str">
        <f>IF(AND('GA55 Check &amp; Edit'!AA25=""),"",'GA55 Check &amp; Edit'!AA25)</f>
        <v/>
      </c>
      <c r="Z23" s="57" t="str">
        <f>IF(AND('GA55 Check &amp; Edit'!AB25=""),"",'GA55 Check &amp; Edit'!AB25)</f>
        <v/>
      </c>
      <c r="AA23" s="57" t="str">
        <f>IF(AND('GA55 Check &amp; Edit'!AC25=""),"",'GA55 Check &amp; Edit'!AC25)</f>
        <v/>
      </c>
      <c r="AB23" s="57" t="str">
        <f>IF(AND('GA55 Check &amp; Edit'!AD25=""),"",'GA55 Check &amp; Edit'!AD25)</f>
        <v/>
      </c>
      <c r="AC23" s="196" t="str">
        <f>IF(AND('GA55 Check &amp; Edit'!AE25=""),"",'GA55 Check &amp; Edit'!AE25)</f>
        <v/>
      </c>
    </row>
    <row r="24" spans="1:29" ht="21.95" customHeight="1">
      <c r="A24" s="56">
        <v>19</v>
      </c>
      <c r="B24" s="108" t="str">
        <f>IF(AND('GA55 Check &amp; Edit'!D26=""),"",'GA55 Check &amp; Edit'!D26)</f>
        <v/>
      </c>
      <c r="C24" s="57" t="str">
        <f>IF(AND('GA55 Check &amp; Edit'!E26=""),"",'GA55 Check &amp; Edit'!E26)</f>
        <v/>
      </c>
      <c r="D24" s="57" t="str">
        <f>IF(AND('GA55 Check &amp; Edit'!F26=""),"",'GA55 Check &amp; Edit'!F26)</f>
        <v/>
      </c>
      <c r="E24" s="57" t="str">
        <f>IF(AND('GA55 Check &amp; Edit'!G26=""),"",'GA55 Check &amp; Edit'!G26)</f>
        <v/>
      </c>
      <c r="F24" s="57" t="str">
        <f>IF(AND('GA55 Check &amp; Edit'!H26=""),"",'GA55 Check &amp; Edit'!H26)</f>
        <v/>
      </c>
      <c r="G24" s="57" t="str">
        <f>IF(AND('GA55 Check &amp; Edit'!I26=""),"",'GA55 Check &amp; Edit'!I26)</f>
        <v/>
      </c>
      <c r="H24" s="57" t="str">
        <f>IF(AND('GA55 Check &amp; Edit'!J26=""),"",'GA55 Check &amp; Edit'!J26)</f>
        <v/>
      </c>
      <c r="I24" s="57" t="str">
        <f>IF(AND('GA55 Check &amp; Edit'!K26=""),"",'GA55 Check &amp; Edit'!K26)</f>
        <v/>
      </c>
      <c r="J24" s="57" t="str">
        <f>IF(AND('GA55 Check &amp; Edit'!L26=""),"",'GA55 Check &amp; Edit'!L26)</f>
        <v/>
      </c>
      <c r="K24" s="57" t="str">
        <f>IF(AND('GA55 Check &amp; Edit'!M26=""),"",'GA55 Check &amp; Edit'!M26)</f>
        <v/>
      </c>
      <c r="L24" s="57" t="str">
        <f>IF(AND('GA55 Check &amp; Edit'!N26=""),"",'GA55 Check &amp; Edit'!N26)</f>
        <v/>
      </c>
      <c r="M24" s="57" t="str">
        <f>IF(AND('GA55 Check &amp; Edit'!O26=""),"",'GA55 Check &amp; Edit'!O26)</f>
        <v/>
      </c>
      <c r="N24" s="57" t="str">
        <f>IF(AND('GA55 Check &amp; Edit'!P26=""),"",'GA55 Check &amp; Edit'!P26)</f>
        <v/>
      </c>
      <c r="O24" s="57" t="str">
        <f>IF(AND('GA55 Check &amp; Edit'!Q26=""),"",'GA55 Check &amp; Edit'!Q26)</f>
        <v/>
      </c>
      <c r="P24" s="57" t="str">
        <f>IF(AND('GA55 Check &amp; Edit'!R26=""),"",'GA55 Check &amp; Edit'!R26)</f>
        <v/>
      </c>
      <c r="Q24" s="57" t="str">
        <f>IF(AND('GA55 Check &amp; Edit'!S26=""),"",'GA55 Check &amp; Edit'!S26)</f>
        <v/>
      </c>
      <c r="R24" s="57" t="str">
        <f>IF(AND('GA55 Check &amp; Edit'!T26=""),"",'GA55 Check &amp; Edit'!T26)</f>
        <v/>
      </c>
      <c r="S24" s="57" t="str">
        <f>IF(AND('GA55 Check &amp; Edit'!U26=""),"",'GA55 Check &amp; Edit'!U26)</f>
        <v/>
      </c>
      <c r="T24" s="57" t="str">
        <f>IF(AND('GA55 Check &amp; Edit'!V26=""),"",'GA55 Check &amp; Edit'!V26)</f>
        <v/>
      </c>
      <c r="U24" s="57" t="str">
        <f>IF(AND('GA55 Check &amp; Edit'!W26=""),"",'GA55 Check &amp; Edit'!W26)</f>
        <v/>
      </c>
      <c r="V24" s="57" t="str">
        <f>IF(AND('GA55 Check &amp; Edit'!X26=""),"",'GA55 Check &amp; Edit'!X26)</f>
        <v/>
      </c>
      <c r="W24" s="57" t="str">
        <f>IF(AND('GA55 Check &amp; Edit'!Y26=""),"",'GA55 Check &amp; Edit'!Y26)</f>
        <v/>
      </c>
      <c r="X24" s="57" t="str">
        <f>IF(AND('GA55 Check &amp; Edit'!Z26=""),"",'GA55 Check &amp; Edit'!Z26)</f>
        <v/>
      </c>
      <c r="Y24" s="57" t="str">
        <f>IF(AND('GA55 Check &amp; Edit'!AA26=""),"",'GA55 Check &amp; Edit'!AA26)</f>
        <v/>
      </c>
      <c r="Z24" s="57" t="str">
        <f>IF(AND('GA55 Check &amp; Edit'!AB26=""),"",'GA55 Check &amp; Edit'!AB26)</f>
        <v/>
      </c>
      <c r="AA24" s="57" t="str">
        <f>IF(AND('GA55 Check &amp; Edit'!AC26=""),"",'GA55 Check &amp; Edit'!AC26)</f>
        <v/>
      </c>
      <c r="AB24" s="57" t="str">
        <f>IF(AND('GA55 Check &amp; Edit'!AD26=""),"",'GA55 Check &amp; Edit'!AD26)</f>
        <v/>
      </c>
      <c r="AC24" s="196" t="str">
        <f>IF(AND('GA55 Check &amp; Edit'!AE26=""),"",'GA55 Check &amp; Edit'!AE26)</f>
        <v/>
      </c>
    </row>
    <row r="25" spans="1:29" ht="21.95" customHeight="1">
      <c r="A25" s="56">
        <v>20</v>
      </c>
      <c r="B25" s="108" t="str">
        <f>IF(AND('GA55 Check &amp; Edit'!D27=""),"",'GA55 Check &amp; Edit'!D27)</f>
        <v/>
      </c>
      <c r="C25" s="57" t="str">
        <f>IF(AND('GA55 Check &amp; Edit'!E27=""),"",'GA55 Check &amp; Edit'!E27)</f>
        <v/>
      </c>
      <c r="D25" s="57" t="str">
        <f>IF(AND('GA55 Check &amp; Edit'!F27=""),"",'GA55 Check &amp; Edit'!F27)</f>
        <v/>
      </c>
      <c r="E25" s="57" t="str">
        <f>IF(AND('GA55 Check &amp; Edit'!G27=""),"",'GA55 Check &amp; Edit'!G27)</f>
        <v/>
      </c>
      <c r="F25" s="57" t="str">
        <f>IF(AND('GA55 Check &amp; Edit'!H27=""),"",'GA55 Check &amp; Edit'!H27)</f>
        <v/>
      </c>
      <c r="G25" s="57" t="str">
        <f>IF(AND('GA55 Check &amp; Edit'!I27=""),"",'GA55 Check &amp; Edit'!I27)</f>
        <v/>
      </c>
      <c r="H25" s="57" t="str">
        <f>IF(AND('GA55 Check &amp; Edit'!J27=""),"",'GA55 Check &amp; Edit'!J27)</f>
        <v/>
      </c>
      <c r="I25" s="57" t="str">
        <f>IF(AND('GA55 Check &amp; Edit'!K27=""),"",'GA55 Check &amp; Edit'!K27)</f>
        <v/>
      </c>
      <c r="J25" s="57" t="str">
        <f>IF(AND('GA55 Check &amp; Edit'!L27=""),"",'GA55 Check &amp; Edit'!L27)</f>
        <v/>
      </c>
      <c r="K25" s="57" t="str">
        <f>IF(AND('GA55 Check &amp; Edit'!M27=""),"",'GA55 Check &amp; Edit'!M27)</f>
        <v/>
      </c>
      <c r="L25" s="57" t="str">
        <f>IF(AND('GA55 Check &amp; Edit'!N27=""),"",'GA55 Check &amp; Edit'!N27)</f>
        <v/>
      </c>
      <c r="M25" s="57" t="str">
        <f>IF(AND('GA55 Check &amp; Edit'!O27=""),"",'GA55 Check &amp; Edit'!O27)</f>
        <v/>
      </c>
      <c r="N25" s="57" t="str">
        <f>IF(AND('GA55 Check &amp; Edit'!P27=""),"",'GA55 Check &amp; Edit'!P27)</f>
        <v/>
      </c>
      <c r="O25" s="57" t="str">
        <f>IF(AND('GA55 Check &amp; Edit'!Q27=""),"",'GA55 Check &amp; Edit'!Q27)</f>
        <v/>
      </c>
      <c r="P25" s="57" t="str">
        <f>IF(AND('GA55 Check &amp; Edit'!R27=""),"",'GA55 Check &amp; Edit'!R27)</f>
        <v/>
      </c>
      <c r="Q25" s="57" t="str">
        <f>IF(AND('GA55 Check &amp; Edit'!S27=""),"",'GA55 Check &amp; Edit'!S27)</f>
        <v/>
      </c>
      <c r="R25" s="57" t="str">
        <f>IF(AND('GA55 Check &amp; Edit'!T27=""),"",'GA55 Check &amp; Edit'!T27)</f>
        <v/>
      </c>
      <c r="S25" s="57" t="str">
        <f>IF(AND('GA55 Check &amp; Edit'!U27=""),"",'GA55 Check &amp; Edit'!U27)</f>
        <v/>
      </c>
      <c r="T25" s="57" t="str">
        <f>IF(AND('GA55 Check &amp; Edit'!V27=""),"",'GA55 Check &amp; Edit'!V27)</f>
        <v/>
      </c>
      <c r="U25" s="57" t="str">
        <f>IF(AND('GA55 Check &amp; Edit'!W27=""),"",'GA55 Check &amp; Edit'!W27)</f>
        <v/>
      </c>
      <c r="V25" s="57" t="str">
        <f>IF(AND('GA55 Check &amp; Edit'!X27=""),"",'GA55 Check &amp; Edit'!X27)</f>
        <v/>
      </c>
      <c r="W25" s="57" t="str">
        <f>IF(AND('GA55 Check &amp; Edit'!Y27=""),"",'GA55 Check &amp; Edit'!Y27)</f>
        <v/>
      </c>
      <c r="X25" s="57" t="str">
        <f>IF(AND('GA55 Check &amp; Edit'!Z27=""),"",'GA55 Check &amp; Edit'!Z27)</f>
        <v/>
      </c>
      <c r="Y25" s="57" t="str">
        <f>IF(AND('GA55 Check &amp; Edit'!AA27=""),"",'GA55 Check &amp; Edit'!AA27)</f>
        <v/>
      </c>
      <c r="Z25" s="57" t="str">
        <f>IF(AND('GA55 Check &amp; Edit'!AB27=""),"",'GA55 Check &amp; Edit'!AB27)</f>
        <v/>
      </c>
      <c r="AA25" s="57" t="str">
        <f>IF(AND('GA55 Check &amp; Edit'!AC27=""),"",'GA55 Check &amp; Edit'!AC27)</f>
        <v/>
      </c>
      <c r="AB25" s="57" t="str">
        <f>IF(AND('GA55 Check &amp; Edit'!AD27=""),"",'GA55 Check &amp; Edit'!AD27)</f>
        <v/>
      </c>
      <c r="AC25" s="196" t="str">
        <f>IF(AND('GA55 Check &amp; Edit'!AE27=""),"",'GA55 Check &amp; Edit'!AE27)</f>
        <v/>
      </c>
    </row>
    <row r="26" spans="1:29" ht="21.95" customHeight="1">
      <c r="A26" s="56">
        <v>21</v>
      </c>
      <c r="B26" s="108" t="str">
        <f>IF(AND('GA55 Check &amp; Edit'!D28=""),"",'GA55 Check &amp; Edit'!D28)</f>
        <v/>
      </c>
      <c r="C26" s="57" t="str">
        <f>IF(AND('GA55 Check &amp; Edit'!E28=""),"",'GA55 Check &amp; Edit'!E28)</f>
        <v/>
      </c>
      <c r="D26" s="57" t="str">
        <f>IF(AND('GA55 Check &amp; Edit'!F28=""),"",'GA55 Check &amp; Edit'!F28)</f>
        <v/>
      </c>
      <c r="E26" s="57" t="str">
        <f>IF(AND('GA55 Check &amp; Edit'!G28=""),"",'GA55 Check &amp; Edit'!G28)</f>
        <v/>
      </c>
      <c r="F26" s="57" t="str">
        <f>IF(AND('GA55 Check &amp; Edit'!H28=""),"",'GA55 Check &amp; Edit'!H28)</f>
        <v/>
      </c>
      <c r="G26" s="57" t="str">
        <f>IF(AND('GA55 Check &amp; Edit'!I28=""),"",'GA55 Check &amp; Edit'!I28)</f>
        <v/>
      </c>
      <c r="H26" s="57" t="str">
        <f>IF(AND('GA55 Check &amp; Edit'!J28=""),"",'GA55 Check &amp; Edit'!J28)</f>
        <v/>
      </c>
      <c r="I26" s="57" t="str">
        <f>IF(AND('GA55 Check &amp; Edit'!K28=""),"",'GA55 Check &amp; Edit'!K28)</f>
        <v/>
      </c>
      <c r="J26" s="57" t="str">
        <f>IF(AND('GA55 Check &amp; Edit'!L28=""),"",'GA55 Check &amp; Edit'!L28)</f>
        <v/>
      </c>
      <c r="K26" s="57" t="str">
        <f>IF(AND('GA55 Check &amp; Edit'!M28=""),"",'GA55 Check &amp; Edit'!M28)</f>
        <v/>
      </c>
      <c r="L26" s="57" t="str">
        <f>IF(AND('GA55 Check &amp; Edit'!N28=""),"",'GA55 Check &amp; Edit'!N28)</f>
        <v/>
      </c>
      <c r="M26" s="57" t="str">
        <f>IF(AND('GA55 Check &amp; Edit'!O28=""),"",'GA55 Check &amp; Edit'!O28)</f>
        <v/>
      </c>
      <c r="N26" s="57" t="str">
        <f>IF(AND('GA55 Check &amp; Edit'!P28=""),"",'GA55 Check &amp; Edit'!P28)</f>
        <v/>
      </c>
      <c r="O26" s="57" t="str">
        <f>IF(AND('GA55 Check &amp; Edit'!Q28=""),"",'GA55 Check &amp; Edit'!Q28)</f>
        <v/>
      </c>
      <c r="P26" s="57" t="str">
        <f>IF(AND('GA55 Check &amp; Edit'!R28=""),"",'GA55 Check &amp; Edit'!R28)</f>
        <v/>
      </c>
      <c r="Q26" s="57" t="str">
        <f>IF(AND('GA55 Check &amp; Edit'!S28=""),"",'GA55 Check &amp; Edit'!S28)</f>
        <v/>
      </c>
      <c r="R26" s="57" t="str">
        <f>IF(AND('GA55 Check &amp; Edit'!T28=""),"",'GA55 Check &amp; Edit'!T28)</f>
        <v/>
      </c>
      <c r="S26" s="57" t="str">
        <f>IF(AND('GA55 Check &amp; Edit'!U28=""),"",'GA55 Check &amp; Edit'!U28)</f>
        <v/>
      </c>
      <c r="T26" s="57" t="str">
        <f>IF(AND('GA55 Check &amp; Edit'!V28=""),"",'GA55 Check &amp; Edit'!V28)</f>
        <v/>
      </c>
      <c r="U26" s="57" t="str">
        <f>IF(AND('GA55 Check &amp; Edit'!W28=""),"",'GA55 Check &amp; Edit'!W28)</f>
        <v/>
      </c>
      <c r="V26" s="57" t="str">
        <f>IF(AND('GA55 Check &amp; Edit'!X28=""),"",'GA55 Check &amp; Edit'!X28)</f>
        <v/>
      </c>
      <c r="W26" s="57" t="str">
        <f>IF(AND('GA55 Check &amp; Edit'!Y28=""),"",'GA55 Check &amp; Edit'!Y28)</f>
        <v/>
      </c>
      <c r="X26" s="57" t="str">
        <f>IF(AND('GA55 Check &amp; Edit'!Z28=""),"",'GA55 Check &amp; Edit'!Z28)</f>
        <v/>
      </c>
      <c r="Y26" s="57" t="str">
        <f>IF(AND('GA55 Check &amp; Edit'!AA28=""),"",'GA55 Check &amp; Edit'!AA28)</f>
        <v/>
      </c>
      <c r="Z26" s="57" t="str">
        <f>IF(AND('GA55 Check &amp; Edit'!AB28=""),"",'GA55 Check &amp; Edit'!AB28)</f>
        <v/>
      </c>
      <c r="AA26" s="57" t="str">
        <f>IF(AND('GA55 Check &amp; Edit'!AC28=""),"",'GA55 Check &amp; Edit'!AC28)</f>
        <v/>
      </c>
      <c r="AB26" s="57" t="str">
        <f>IF(AND('GA55 Check &amp; Edit'!AD28=""),"",'GA55 Check &amp; Edit'!AD28)</f>
        <v/>
      </c>
      <c r="AC26" s="196" t="str">
        <f>IF(AND('GA55 Check &amp; Edit'!AE28=""),"",'GA55 Check &amp; Edit'!AE28)</f>
        <v/>
      </c>
    </row>
    <row r="27" spans="1:29" ht="28.5" customHeight="1">
      <c r="A27" s="59"/>
      <c r="B27" s="60" t="s">
        <v>110</v>
      </c>
      <c r="C27" s="61">
        <f>IF(AND($D$2=""),"",SUM(C6:C26))</f>
        <v>631200</v>
      </c>
      <c r="D27" s="61">
        <f>IF(AND($D$2=""),"",SUM(D6:D26))</f>
        <v>154384</v>
      </c>
      <c r="E27" s="61">
        <f t="shared" ref="E27:AA27" si="0">IF(AND($D$2=""),"",SUM(E6:E26))</f>
        <v>50496</v>
      </c>
      <c r="F27" s="61">
        <f t="shared" si="0"/>
        <v>0</v>
      </c>
      <c r="G27" s="61">
        <f t="shared" si="0"/>
        <v>0</v>
      </c>
      <c r="H27" s="61">
        <f t="shared" si="0"/>
        <v>0</v>
      </c>
      <c r="I27" s="61">
        <f t="shared" si="0"/>
        <v>0</v>
      </c>
      <c r="J27" s="61">
        <f t="shared" si="0"/>
        <v>0</v>
      </c>
      <c r="K27" s="61">
        <f t="shared" si="0"/>
        <v>6774</v>
      </c>
      <c r="L27" s="61">
        <f t="shared" si="0"/>
        <v>0</v>
      </c>
      <c r="M27" s="61">
        <f t="shared" si="0"/>
        <v>842854</v>
      </c>
      <c r="N27" s="61">
        <f t="shared" si="0"/>
        <v>84000</v>
      </c>
      <c r="O27" s="61">
        <f t="shared" si="0"/>
        <v>47981</v>
      </c>
      <c r="P27" s="61">
        <f t="shared" si="0"/>
        <v>22560</v>
      </c>
      <c r="Q27" s="61">
        <f t="shared" si="0"/>
        <v>7896</v>
      </c>
      <c r="R27" s="61">
        <f t="shared" si="0"/>
        <v>0</v>
      </c>
      <c r="S27" s="61">
        <f t="shared" si="0"/>
        <v>0</v>
      </c>
      <c r="T27" s="61">
        <f t="shared" si="0"/>
        <v>0</v>
      </c>
      <c r="U27" s="61">
        <f t="shared" si="0"/>
        <v>0</v>
      </c>
      <c r="V27" s="61">
        <f t="shared" si="0"/>
        <v>0</v>
      </c>
      <c r="W27" s="61">
        <f t="shared" si="0"/>
        <v>0</v>
      </c>
      <c r="X27" s="61">
        <f t="shared" si="0"/>
        <v>6000</v>
      </c>
      <c r="Y27" s="61">
        <f>IF(AND($D$2=""),"",SUM(Y6:Y26))</f>
        <v>220</v>
      </c>
      <c r="Z27" s="61">
        <f t="shared" si="0"/>
        <v>168657</v>
      </c>
      <c r="AA27" s="61">
        <f t="shared" si="0"/>
        <v>674197</v>
      </c>
      <c r="AB27" s="62"/>
      <c r="AC27" s="197"/>
    </row>
    <row r="28" spans="1:29" ht="34.5" customHeight="1">
      <c r="A28" s="63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20.25" customHeight="1">
      <c r="A29" s="63"/>
      <c r="B29" s="222"/>
      <c r="C29" s="438" t="str">
        <f>UPPER(IF('Master Data'!D6="","",'Master Data'!D6))</f>
        <v>HEERALAL JAT</v>
      </c>
      <c r="D29" s="438"/>
      <c r="E29" s="438"/>
      <c r="F29" s="438"/>
      <c r="G29" s="438"/>
      <c r="H29" s="438"/>
      <c r="I29" s="222"/>
      <c r="J29" s="222"/>
      <c r="K29" s="222"/>
      <c r="L29" s="222"/>
      <c r="M29" s="222"/>
      <c r="N29" s="222"/>
      <c r="O29" s="222"/>
      <c r="P29" s="222"/>
      <c r="Q29" s="64"/>
      <c r="R29" s="64"/>
      <c r="S29" s="439" t="str">
        <f>IF(AND('Master Data'!H8=""),"",CONCATENATE("( ",UPPER('Master Data'!H8), " )",))</f>
        <v>( USHA PALIYA )</v>
      </c>
      <c r="T29" s="439"/>
      <c r="U29" s="439"/>
      <c r="V29" s="439"/>
      <c r="W29" s="439"/>
      <c r="X29" s="439"/>
      <c r="Y29" s="439"/>
      <c r="Z29" s="439"/>
      <c r="AA29" s="439"/>
      <c r="AB29" s="66"/>
      <c r="AC29" s="65"/>
    </row>
    <row r="30" spans="1:29" ht="21" customHeight="1" thickBot="1">
      <c r="A30" s="67"/>
      <c r="B30" s="68"/>
      <c r="C30" s="440" t="s">
        <v>111</v>
      </c>
      <c r="D30" s="440"/>
      <c r="E30" s="440"/>
      <c r="F30" s="440"/>
      <c r="G30" s="440"/>
      <c r="H30" s="440"/>
      <c r="I30" s="69"/>
      <c r="J30" s="69"/>
      <c r="K30" s="68"/>
      <c r="L30" s="68"/>
      <c r="M30" s="68"/>
      <c r="N30" s="68"/>
      <c r="O30" s="68"/>
      <c r="P30" s="68"/>
      <c r="Q30" s="70"/>
      <c r="R30" s="70"/>
      <c r="S30" s="441" t="s">
        <v>112</v>
      </c>
      <c r="T30" s="441"/>
      <c r="U30" s="441"/>
      <c r="V30" s="441"/>
      <c r="W30" s="441"/>
      <c r="X30" s="441"/>
      <c r="Y30" s="441"/>
      <c r="Z30" s="441"/>
      <c r="AA30" s="441"/>
      <c r="AB30" s="71"/>
      <c r="AC30" s="72"/>
    </row>
    <row r="31" spans="1:29" ht="15">
      <c r="AA31" s="47"/>
      <c r="AB31" s="47"/>
    </row>
    <row r="32" spans="1:29" ht="15">
      <c r="AA32" s="47"/>
      <c r="AB32" s="47"/>
    </row>
  </sheetData>
  <sheetProtection password="C1FB" sheet="1" objects="1" scenarios="1" formatCells="0" formatColumns="0" formatRows="0"/>
  <mergeCells count="26"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</mergeCells>
  <pageMargins left="0.49" right="0.27" top="0.37" bottom="0.12" header="0.19" footer="0.3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zoomScaleSheetLayoutView="100" workbookViewId="0">
      <selection activeCell="R16" sqref="R16"/>
    </sheetView>
  </sheetViews>
  <sheetFormatPr defaultColWidth="9.125" defaultRowHeight="15"/>
  <cols>
    <col min="1" max="1" width="4" style="33" customWidth="1"/>
    <col min="2" max="2" width="4.375" style="33" customWidth="1"/>
    <col min="3" max="3" width="10.125" style="33" customWidth="1"/>
    <col min="4" max="4" width="11.125" style="33" customWidth="1"/>
    <col min="5" max="5" width="8.625" style="33" customWidth="1"/>
    <col min="6" max="6" width="3.125" style="33" customWidth="1"/>
    <col min="7" max="7" width="12.375" style="33" customWidth="1"/>
    <col min="8" max="8" width="4.625" style="33" customWidth="1"/>
    <col min="9" max="9" width="12.125" style="33" customWidth="1"/>
    <col min="10" max="10" width="11.125" style="33" customWidth="1"/>
    <col min="11" max="11" width="9.25" style="33" customWidth="1"/>
    <col min="12" max="12" width="3.25" style="33" customWidth="1"/>
    <col min="13" max="13" width="10.25" style="33" customWidth="1"/>
    <col min="14" max="14" width="3" style="33" customWidth="1"/>
    <col min="15" max="15" width="15.625" style="33" customWidth="1"/>
    <col min="16" max="16" width="9.125" style="33"/>
    <col min="17" max="17" width="5.125" style="33" customWidth="1"/>
    <col min="18" max="18" width="10.375" style="33" customWidth="1"/>
    <col min="19" max="19" width="10.625" style="33" customWidth="1"/>
    <col min="20" max="20" width="8.875" style="33" hidden="1" customWidth="1"/>
    <col min="21" max="21" width="11.625" style="33" customWidth="1"/>
    <col min="22" max="23" width="7.375" style="33" customWidth="1"/>
    <col min="24" max="33" width="9.125" style="33" hidden="1" customWidth="1"/>
    <col min="34" max="34" width="10.875" style="33" customWidth="1"/>
    <col min="35" max="35" width="11" style="33" customWidth="1"/>
    <col min="36" max="36" width="12" style="33" customWidth="1"/>
    <col min="37" max="37" width="10.625" style="33" customWidth="1"/>
    <col min="38" max="16384" width="9.125" style="33"/>
  </cols>
  <sheetData>
    <row r="1" spans="1:23" ht="18.75">
      <c r="A1" s="468" t="str">
        <f>IF(AND('Master Data'!D4=""),"",CONCATENATE("Office Name :- ",PROPER('Master Data'!D4)))</f>
        <v>Office Name :- Mahatma Gandhi Govt. School (English Medium) Bar, Pali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T1" s="232">
        <v>2</v>
      </c>
    </row>
    <row r="2" spans="1:23" ht="21" customHeight="1" thickBot="1">
      <c r="A2" s="223"/>
      <c r="B2" s="223"/>
      <c r="C2" s="474" t="s">
        <v>166</v>
      </c>
      <c r="D2" s="474"/>
      <c r="E2" s="474"/>
      <c r="F2" s="475" t="s">
        <v>327</v>
      </c>
      <c r="G2" s="475"/>
      <c r="H2" s="474" t="s">
        <v>167</v>
      </c>
      <c r="I2" s="474"/>
      <c r="J2" s="478" t="s">
        <v>328</v>
      </c>
      <c r="K2" s="478"/>
      <c r="L2" s="476" t="str">
        <f>IF(T14=T2,"Old Tax Regime","New Tax Regime")</f>
        <v>Old Tax Regime</v>
      </c>
      <c r="M2" s="477"/>
      <c r="N2" s="477"/>
      <c r="O2" s="477"/>
      <c r="T2" s="232">
        <v>1</v>
      </c>
    </row>
    <row r="3" spans="1:23" ht="17.25" thickTop="1" thickBot="1">
      <c r="A3" s="217">
        <v>1</v>
      </c>
      <c r="B3" s="469" t="s">
        <v>168</v>
      </c>
      <c r="C3" s="469"/>
      <c r="D3" s="470" t="str">
        <f>UPPER('Master Data'!D6)</f>
        <v>HEERALAL JAT</v>
      </c>
      <c r="E3" s="470"/>
      <c r="F3" s="470"/>
      <c r="G3" s="470"/>
      <c r="H3" s="470"/>
      <c r="I3" s="208" t="s">
        <v>169</v>
      </c>
      <c r="J3" s="471" t="str">
        <f>UPPER('Master Data'!H6)</f>
        <v>SR TEACHER</v>
      </c>
      <c r="K3" s="471"/>
      <c r="L3" s="471"/>
      <c r="M3" s="209" t="s">
        <v>117</v>
      </c>
      <c r="N3" s="472" t="str">
        <f>UPPER('Master Data'!D12)</f>
        <v>ABCDE1234H</v>
      </c>
      <c r="O3" s="473"/>
      <c r="P3" s="155"/>
      <c r="Q3" s="155"/>
      <c r="T3" s="180"/>
    </row>
    <row r="4" spans="1:23" ht="18.75" customHeight="1">
      <c r="A4" s="499">
        <v>2</v>
      </c>
      <c r="B4" s="501" t="s">
        <v>170</v>
      </c>
      <c r="C4" s="502"/>
      <c r="D4" s="502"/>
      <c r="E4" s="502"/>
      <c r="F4" s="502"/>
      <c r="G4" s="502"/>
      <c r="H4" s="502"/>
      <c r="I4" s="502"/>
      <c r="J4" s="497" t="str">
        <f>IF('Master Data'!H18="Yes","सरकार द्वारा देय NPS की राशि सहित कुल वेतन -","")</f>
        <v/>
      </c>
      <c r="K4" s="497"/>
      <c r="L4" s="497"/>
      <c r="M4" s="498"/>
      <c r="N4" s="210" t="s">
        <v>189</v>
      </c>
      <c r="O4" s="156">
        <f>'GA55 Only Print'!M27</f>
        <v>842854</v>
      </c>
      <c r="P4" s="157"/>
      <c r="Q4" s="75"/>
      <c r="R4" s="485" t="s">
        <v>140</v>
      </c>
      <c r="S4" s="486"/>
      <c r="T4" s="486"/>
      <c r="U4" s="486"/>
      <c r="V4" s="487"/>
      <c r="W4" s="120"/>
    </row>
    <row r="5" spans="1:23" ht="15.75" customHeight="1">
      <c r="A5" s="500"/>
      <c r="B5" s="496" t="str">
        <f>IF('Master Data'!H18="Yes","","सरकार द्वारा देय NPS की राशि :-")</f>
        <v>सरकार द्वारा देय NPS की राशि :-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8"/>
      <c r="N5" s="210" t="s">
        <v>189</v>
      </c>
      <c r="O5" s="156">
        <f>IF('Master Data'!H18="Yes",0,IF('Master Data'!I30='GA55 Check &amp; Edit'!AN6,'GA55 Only Print'!O27,0))</f>
        <v>0</v>
      </c>
      <c r="P5" s="157"/>
      <c r="Q5" s="75"/>
      <c r="R5" s="488"/>
      <c r="S5" s="489"/>
      <c r="T5" s="489"/>
      <c r="U5" s="489"/>
      <c r="V5" s="490"/>
      <c r="W5" s="120"/>
    </row>
    <row r="6" spans="1:23" ht="15.75" customHeight="1">
      <c r="A6" s="218">
        <v>3</v>
      </c>
      <c r="B6" s="493" t="s">
        <v>171</v>
      </c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210" t="s">
        <v>189</v>
      </c>
      <c r="O6" s="244">
        <f>IF(T14=T2,SUM('Extra Ded. '!I7+'Extra Ded. '!E6+'GA55 Only Print'!G27),"0")</f>
        <v>0</v>
      </c>
      <c r="P6" s="158"/>
      <c r="Q6" s="75" t="s">
        <v>118</v>
      </c>
      <c r="R6" s="488"/>
      <c r="S6" s="489"/>
      <c r="T6" s="489"/>
      <c r="U6" s="489"/>
      <c r="V6" s="490"/>
      <c r="W6" s="120"/>
    </row>
    <row r="7" spans="1:23" ht="18.75">
      <c r="A7" s="218">
        <v>4</v>
      </c>
      <c r="B7" s="481" t="s">
        <v>172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210" t="s">
        <v>189</v>
      </c>
      <c r="O7" s="156">
        <f>(O4+O5)-O6</f>
        <v>842854</v>
      </c>
      <c r="P7" s="158"/>
      <c r="Q7" s="158"/>
      <c r="R7" s="488"/>
      <c r="S7" s="489"/>
      <c r="T7" s="489"/>
      <c r="U7" s="489"/>
      <c r="V7" s="490"/>
      <c r="W7" s="120"/>
    </row>
    <row r="8" spans="1:23" ht="19.5" thickBot="1">
      <c r="A8" s="482">
        <v>5</v>
      </c>
      <c r="B8" s="479" t="s">
        <v>173</v>
      </c>
      <c r="C8" s="479"/>
      <c r="D8" s="479"/>
      <c r="E8" s="479"/>
      <c r="F8" s="479"/>
      <c r="G8" s="479"/>
      <c r="H8" s="479"/>
      <c r="I8" s="479"/>
      <c r="J8" s="479"/>
      <c r="K8" s="484">
        <f>IF(T14=T2,'Extra Ded. '!E8,"0")</f>
        <v>0</v>
      </c>
      <c r="L8" s="484"/>
      <c r="M8" s="484"/>
      <c r="N8" s="494"/>
      <c r="O8" s="495"/>
      <c r="P8" s="159"/>
      <c r="Q8" s="159"/>
      <c r="R8" s="488"/>
      <c r="S8" s="489"/>
      <c r="T8" s="491"/>
      <c r="U8" s="491"/>
      <c r="V8" s="492"/>
      <c r="W8" s="120"/>
    </row>
    <row r="9" spans="1:23" ht="18.75">
      <c r="A9" s="482"/>
      <c r="B9" s="479" t="s">
        <v>257</v>
      </c>
      <c r="C9" s="479"/>
      <c r="D9" s="479"/>
      <c r="E9" s="479"/>
      <c r="F9" s="479"/>
      <c r="G9" s="479"/>
      <c r="H9" s="479"/>
      <c r="I9" s="479"/>
      <c r="J9" s="479"/>
      <c r="K9" s="484">
        <f>IF(T14=T2,'Extra Ded. '!E9,"0")</f>
        <v>0</v>
      </c>
      <c r="L9" s="484"/>
      <c r="M9" s="484"/>
      <c r="N9" s="494"/>
      <c r="O9" s="495"/>
      <c r="P9" s="159"/>
      <c r="Q9" s="159"/>
      <c r="R9" s="556" t="s">
        <v>317</v>
      </c>
      <c r="S9" s="557"/>
      <c r="T9" s="76"/>
      <c r="U9" s="76"/>
      <c r="V9" s="76"/>
      <c r="W9" s="76"/>
    </row>
    <row r="10" spans="1:23" ht="20.25">
      <c r="A10" s="482"/>
      <c r="B10" s="479" t="s">
        <v>258</v>
      </c>
      <c r="C10" s="479"/>
      <c r="D10" s="479"/>
      <c r="E10" s="479"/>
      <c r="F10" s="479"/>
      <c r="G10" s="479"/>
      <c r="H10" s="479"/>
      <c r="I10" s="479"/>
      <c r="J10" s="479"/>
      <c r="K10" s="480">
        <f>IF(T14=T2,'Extra Ded. '!E7,"0")</f>
        <v>50000</v>
      </c>
      <c r="L10" s="480"/>
      <c r="M10" s="480"/>
      <c r="N10" s="210" t="s">
        <v>189</v>
      </c>
      <c r="O10" s="156">
        <f>SUM(K8:M10)</f>
        <v>50000</v>
      </c>
      <c r="P10" s="158"/>
      <c r="Q10" s="158"/>
      <c r="R10" s="558"/>
      <c r="S10" s="559"/>
      <c r="T10" s="109"/>
      <c r="U10" s="109"/>
      <c r="V10" s="109"/>
      <c r="W10" s="109"/>
    </row>
    <row r="11" spans="1:23" ht="17.25" customHeight="1" thickBot="1">
      <c r="A11" s="218">
        <v>6</v>
      </c>
      <c r="B11" s="481" t="s">
        <v>174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210" t="s">
        <v>189</v>
      </c>
      <c r="O11" s="156">
        <f>O7-O10</f>
        <v>792854</v>
      </c>
      <c r="P11" s="158"/>
      <c r="Q11" s="158"/>
      <c r="R11" s="554" t="s">
        <v>254</v>
      </c>
      <c r="S11" s="555"/>
      <c r="T11" s="181"/>
      <c r="U11" s="110"/>
      <c r="V11" s="110"/>
      <c r="W11" s="110"/>
    </row>
    <row r="12" spans="1:23" ht="15.75">
      <c r="A12" s="482">
        <v>7</v>
      </c>
      <c r="B12" s="479" t="s">
        <v>175</v>
      </c>
      <c r="C12" s="479"/>
      <c r="D12" s="479"/>
      <c r="E12" s="479"/>
      <c r="F12" s="479"/>
      <c r="G12" s="479"/>
      <c r="H12" s="479"/>
      <c r="I12" s="483" t="s">
        <v>180</v>
      </c>
      <c r="J12" s="483"/>
      <c r="K12" s="484">
        <f>'Extra Ded. '!E10</f>
        <v>0</v>
      </c>
      <c r="L12" s="484"/>
      <c r="M12" s="484"/>
      <c r="N12" s="505"/>
      <c r="O12" s="506"/>
      <c r="P12" s="160"/>
      <c r="Q12" s="160"/>
      <c r="T12" s="180"/>
    </row>
    <row r="13" spans="1:23" ht="15" customHeight="1">
      <c r="A13" s="482"/>
      <c r="B13" s="507" t="s">
        <v>214</v>
      </c>
      <c r="C13" s="508"/>
      <c r="D13" s="483" t="s">
        <v>176</v>
      </c>
      <c r="E13" s="483"/>
      <c r="F13" s="511" t="s">
        <v>177</v>
      </c>
      <c r="G13" s="512"/>
      <c r="H13" s="513"/>
      <c r="I13" s="483" t="s">
        <v>178</v>
      </c>
      <c r="J13" s="483"/>
      <c r="K13" s="511" t="s">
        <v>179</v>
      </c>
      <c r="L13" s="512"/>
      <c r="M13" s="513"/>
      <c r="N13" s="505"/>
      <c r="O13" s="506"/>
      <c r="P13" s="160"/>
      <c r="Q13" s="160"/>
      <c r="T13" s="180"/>
    </row>
    <row r="14" spans="1:23" ht="15.75">
      <c r="A14" s="482"/>
      <c r="B14" s="509"/>
      <c r="C14" s="510"/>
      <c r="D14" s="484">
        <f>IF(T14=T2,ROUND(K12*0.3,0),"0")</f>
        <v>0</v>
      </c>
      <c r="E14" s="484"/>
      <c r="F14" s="484">
        <f>IF(T14=T2,'Extra Ded. '!E13,"0")</f>
        <v>0</v>
      </c>
      <c r="G14" s="484"/>
      <c r="H14" s="484"/>
      <c r="I14" s="484">
        <f>IF(T14=T2,'Extra Ded. '!E11,"0")</f>
        <v>0</v>
      </c>
      <c r="J14" s="484"/>
      <c r="K14" s="484">
        <f>D14+F14+I14</f>
        <v>0</v>
      </c>
      <c r="L14" s="484"/>
      <c r="M14" s="484"/>
      <c r="N14" s="505"/>
      <c r="O14" s="506"/>
      <c r="P14" s="160"/>
      <c r="Q14" s="160"/>
      <c r="T14" s="232">
        <f>IF(R11="New Tax Regime",2,IF(R11="Old Tax Regime",1,""))</f>
        <v>1</v>
      </c>
    </row>
    <row r="15" spans="1:23" ht="15.75">
      <c r="A15" s="218"/>
      <c r="B15" s="503" t="s">
        <v>181</v>
      </c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210" t="s">
        <v>189</v>
      </c>
      <c r="O15" s="156">
        <f>K12-K14</f>
        <v>0</v>
      </c>
      <c r="P15" s="158"/>
      <c r="Q15" s="158"/>
      <c r="T15" s="180"/>
    </row>
    <row r="16" spans="1:23" ht="15.75">
      <c r="A16" s="218">
        <v>8</v>
      </c>
      <c r="B16" s="501" t="s">
        <v>182</v>
      </c>
      <c r="C16" s="502"/>
      <c r="D16" s="504"/>
      <c r="E16" s="514">
        <f>'Extra Ded. '!I21</f>
        <v>1500</v>
      </c>
      <c r="F16" s="514"/>
      <c r="G16" s="531" t="s">
        <v>183</v>
      </c>
      <c r="H16" s="531"/>
      <c r="I16" s="216">
        <f>'Extra Ded. '!E24</f>
        <v>0</v>
      </c>
      <c r="J16" s="503" t="s">
        <v>186</v>
      </c>
      <c r="K16" s="503"/>
      <c r="L16" s="503"/>
      <c r="M16" s="503"/>
      <c r="N16" s="210" t="s">
        <v>189</v>
      </c>
      <c r="O16" s="156">
        <f>O11+O15</f>
        <v>792854</v>
      </c>
      <c r="P16" s="158"/>
      <c r="Q16" s="158"/>
      <c r="T16" s="180"/>
    </row>
    <row r="17" spans="1:37" ht="15.75">
      <c r="A17" s="218">
        <v>9</v>
      </c>
      <c r="B17" s="501" t="s">
        <v>184</v>
      </c>
      <c r="C17" s="502"/>
      <c r="D17" s="504"/>
      <c r="E17" s="529">
        <f>'Extra Ded. '!I23</f>
        <v>0</v>
      </c>
      <c r="F17" s="530"/>
      <c r="G17" s="511" t="s">
        <v>185</v>
      </c>
      <c r="H17" s="513"/>
      <c r="I17" s="213">
        <f>'Extra Ded. '!E23</f>
        <v>0</v>
      </c>
      <c r="J17" s="496" t="s">
        <v>187</v>
      </c>
      <c r="K17" s="497"/>
      <c r="L17" s="497"/>
      <c r="M17" s="498"/>
      <c r="N17" s="210" t="s">
        <v>189</v>
      </c>
      <c r="O17" s="156">
        <f>E16+E17+I16+I17</f>
        <v>1500</v>
      </c>
      <c r="P17" s="158"/>
      <c r="Q17" s="158"/>
      <c r="T17" s="180"/>
    </row>
    <row r="18" spans="1:37" ht="15.75">
      <c r="A18" s="218">
        <v>10</v>
      </c>
      <c r="B18" s="532" t="s">
        <v>188</v>
      </c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4"/>
      <c r="N18" s="210" t="s">
        <v>189</v>
      </c>
      <c r="O18" s="156">
        <f>O16+O17</f>
        <v>794354</v>
      </c>
      <c r="P18" s="157"/>
      <c r="Q18" s="157"/>
      <c r="T18" s="180"/>
    </row>
    <row r="19" spans="1:37" ht="15.75">
      <c r="A19" s="482">
        <v>11</v>
      </c>
      <c r="B19" s="516" t="s">
        <v>190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7"/>
      <c r="P19" s="161"/>
      <c r="Q19" s="161"/>
      <c r="R19" s="563"/>
      <c r="S19" s="563"/>
      <c r="T19" s="180"/>
    </row>
    <row r="20" spans="1:37">
      <c r="A20" s="482"/>
      <c r="B20" s="493" t="s">
        <v>191</v>
      </c>
      <c r="C20" s="493"/>
      <c r="D20" s="493"/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519"/>
      <c r="P20" s="162"/>
      <c r="Q20" s="162"/>
      <c r="T20" s="180"/>
    </row>
    <row r="21" spans="1:37" ht="15.75">
      <c r="A21" s="482"/>
      <c r="B21" s="211" t="s">
        <v>119</v>
      </c>
      <c r="C21" s="493" t="s">
        <v>192</v>
      </c>
      <c r="D21" s="493"/>
      <c r="E21" s="493"/>
      <c r="F21" s="210" t="s">
        <v>189</v>
      </c>
      <c r="G21" s="163">
        <f>IF(T14=T2,SUM('GA55 Only Print'!N27+'GA55 Only Print'!V27),"0")</f>
        <v>84000</v>
      </c>
      <c r="H21" s="224" t="s">
        <v>120</v>
      </c>
      <c r="I21" s="520" t="s">
        <v>203</v>
      </c>
      <c r="J21" s="521"/>
      <c r="K21" s="522"/>
      <c r="L21" s="210" t="s">
        <v>189</v>
      </c>
      <c r="M21" s="242">
        <f>IF('Master Data'!I30='GA55 Check &amp; Edit'!AN5,0,IF(T14=T1,0,IF(R33="Yes",AA27,AB23)))</f>
        <v>0</v>
      </c>
      <c r="N21" s="523"/>
      <c r="O21" s="524"/>
      <c r="P21" s="164"/>
      <c r="Q21" s="164"/>
      <c r="R21" s="203"/>
      <c r="S21" s="203"/>
      <c r="T21" s="204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</row>
    <row r="22" spans="1:37" ht="15.75" customHeight="1">
      <c r="A22" s="482"/>
      <c r="B22" s="211" t="s">
        <v>121</v>
      </c>
      <c r="C22" s="493" t="s">
        <v>193</v>
      </c>
      <c r="D22" s="493"/>
      <c r="E22" s="493"/>
      <c r="F22" s="210" t="s">
        <v>189</v>
      </c>
      <c r="G22" s="163">
        <f>IF(T14=T2,'GA55 Only Print'!P27,"0")</f>
        <v>22560</v>
      </c>
      <c r="H22" s="224" t="s">
        <v>122</v>
      </c>
      <c r="I22" s="525" t="s">
        <v>202</v>
      </c>
      <c r="J22" s="525"/>
      <c r="K22" s="525"/>
      <c r="L22" s="210" t="s">
        <v>189</v>
      </c>
      <c r="M22" s="163">
        <f>IF(T14=T2,'Extra Ded. '!I12,"0")</f>
        <v>0</v>
      </c>
      <c r="N22" s="523"/>
      <c r="O22" s="524"/>
      <c r="P22" s="164"/>
      <c r="Q22" s="457" t="s">
        <v>154</v>
      </c>
      <c r="R22" s="457"/>
      <c r="S22" s="457"/>
      <c r="T22" s="457"/>
      <c r="U22" s="457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</row>
    <row r="23" spans="1:37" ht="15.75" customHeight="1">
      <c r="A23" s="482"/>
      <c r="B23" s="211" t="s">
        <v>123</v>
      </c>
      <c r="C23" s="493" t="s">
        <v>194</v>
      </c>
      <c r="D23" s="493"/>
      <c r="E23" s="493"/>
      <c r="F23" s="210" t="s">
        <v>189</v>
      </c>
      <c r="G23" s="163">
        <f>IF(T14=T2,'Extra Ded. '!E18,"0")</f>
        <v>0</v>
      </c>
      <c r="H23" s="224" t="s">
        <v>124</v>
      </c>
      <c r="I23" s="525" t="s">
        <v>204</v>
      </c>
      <c r="J23" s="525"/>
      <c r="K23" s="525"/>
      <c r="L23" s="210" t="s">
        <v>189</v>
      </c>
      <c r="M23" s="165">
        <f>IF(T14=T2,'Extra Ded. '!E19,"0")</f>
        <v>0</v>
      </c>
      <c r="N23" s="523"/>
      <c r="O23" s="524"/>
      <c r="P23" s="164"/>
      <c r="Q23" s="457"/>
      <c r="R23" s="457"/>
      <c r="S23" s="457"/>
      <c r="T23" s="457"/>
      <c r="U23" s="457"/>
      <c r="V23" s="203"/>
      <c r="W23" s="203"/>
      <c r="X23" s="203"/>
      <c r="Y23" s="203"/>
      <c r="Z23" s="203">
        <f>IF(AA23&gt;AB23,AB23,AA23)</f>
        <v>0</v>
      </c>
      <c r="AA23" s="203">
        <f>IF('Master Data'!I30='GA55 Check &amp; Edit'!AN5,0,ROUND(10%*'GA55 Only Print'!M27,0))</f>
        <v>0</v>
      </c>
      <c r="AB23" s="203">
        <f>IF('Master Data'!I30='GA55 Check &amp; Edit'!AN6,'GA55 Only Print'!O27,0)</f>
        <v>0</v>
      </c>
      <c r="AC23" s="203"/>
      <c r="AD23" s="203"/>
      <c r="AE23" s="203"/>
      <c r="AF23" s="203"/>
      <c r="AG23" s="203"/>
      <c r="AH23" s="458" t="s">
        <v>155</v>
      </c>
      <c r="AI23" s="458"/>
      <c r="AJ23" s="458"/>
      <c r="AK23" s="458"/>
    </row>
    <row r="24" spans="1:37" ht="15.75">
      <c r="A24" s="482"/>
      <c r="B24" s="211" t="s">
        <v>125</v>
      </c>
      <c r="C24" s="493" t="s">
        <v>195</v>
      </c>
      <c r="D24" s="493"/>
      <c r="E24" s="493"/>
      <c r="F24" s="210" t="s">
        <v>189</v>
      </c>
      <c r="G24" s="163">
        <f>IF(T14=T2,'Extra Ded. '!E20,"0")</f>
        <v>0</v>
      </c>
      <c r="H24" s="224" t="s">
        <v>126</v>
      </c>
      <c r="I24" s="525" t="s">
        <v>205</v>
      </c>
      <c r="J24" s="525"/>
      <c r="K24" s="525"/>
      <c r="L24" s="210" t="s">
        <v>189</v>
      </c>
      <c r="M24" s="165">
        <f>IF(T14=T2,'Extra Ded. '!E16,"0")</f>
        <v>0</v>
      </c>
      <c r="N24" s="523"/>
      <c r="O24" s="524"/>
      <c r="P24" s="164"/>
      <c r="Q24" s="457"/>
      <c r="R24" s="457"/>
      <c r="S24" s="457"/>
      <c r="T24" s="457"/>
      <c r="U24" s="457"/>
      <c r="V24" s="203"/>
      <c r="W24" s="203"/>
      <c r="X24" s="203"/>
      <c r="Y24" s="203"/>
      <c r="Z24" s="205">
        <f>SUM(G21:G31)+SUM(M22:M30)+O33</f>
        <v>154761</v>
      </c>
      <c r="AA24" s="203">
        <f>IF('Extra Ded. '!I14&gt;50000,50000,'Extra Ded. '!I14)</f>
        <v>50000</v>
      </c>
      <c r="AB24" s="203">
        <f>IF(Z24&gt;150000,Z24-150000,0)</f>
        <v>4761</v>
      </c>
      <c r="AC24" s="203"/>
      <c r="AD24" s="203"/>
      <c r="AE24" s="203"/>
      <c r="AF24" s="203"/>
      <c r="AG24" s="203"/>
      <c r="AH24" s="458"/>
      <c r="AI24" s="458"/>
      <c r="AJ24" s="458"/>
      <c r="AK24" s="458"/>
    </row>
    <row r="25" spans="1:37" ht="16.5" thickBot="1">
      <c r="A25" s="482"/>
      <c r="B25" s="211" t="s">
        <v>127</v>
      </c>
      <c r="C25" s="493" t="s">
        <v>196</v>
      </c>
      <c r="D25" s="493"/>
      <c r="E25" s="493"/>
      <c r="F25" s="210" t="s">
        <v>189</v>
      </c>
      <c r="G25" s="163">
        <f>IF(T14=T2,'Extra Ded. '!E21,"0")</f>
        <v>0</v>
      </c>
      <c r="H25" s="224" t="s">
        <v>128</v>
      </c>
      <c r="I25" s="525" t="s">
        <v>206</v>
      </c>
      <c r="J25" s="525"/>
      <c r="K25" s="525"/>
      <c r="L25" s="210" t="s">
        <v>189</v>
      </c>
      <c r="M25" s="163">
        <f>IF(T14=T2,'Extra Ded. '!I6,"0")</f>
        <v>0</v>
      </c>
      <c r="N25" s="523"/>
      <c r="O25" s="524"/>
      <c r="P25" s="159"/>
      <c r="Q25" s="159"/>
      <c r="S25" s="113"/>
    </row>
    <row r="26" spans="1:37" ht="15.75">
      <c r="A26" s="482"/>
      <c r="B26" s="211" t="s">
        <v>129</v>
      </c>
      <c r="C26" s="493" t="s">
        <v>197</v>
      </c>
      <c r="D26" s="493"/>
      <c r="E26" s="493"/>
      <c r="F26" s="210" t="s">
        <v>189</v>
      </c>
      <c r="G26" s="163">
        <f>IF(AND(T14=T2,'Master Data'!I30='GA55 Check &amp; Edit'!AN5),'GA55 Only Print'!O27,"0")</f>
        <v>47981</v>
      </c>
      <c r="H26" s="224" t="s">
        <v>130</v>
      </c>
      <c r="I26" s="525" t="s">
        <v>207</v>
      </c>
      <c r="J26" s="525"/>
      <c r="K26" s="525"/>
      <c r="L26" s="210" t="s">
        <v>189</v>
      </c>
      <c r="M26" s="163">
        <f>IF(T14=T2,'Extra Ded. '!I8,"0")</f>
        <v>0</v>
      </c>
      <c r="N26" s="523"/>
      <c r="O26" s="524"/>
      <c r="P26" s="159"/>
      <c r="Q26" s="459" t="s">
        <v>145</v>
      </c>
      <c r="R26" s="460"/>
      <c r="S26" s="461"/>
    </row>
    <row r="27" spans="1:37" ht="15.75" customHeight="1">
      <c r="A27" s="482"/>
      <c r="B27" s="211" t="s">
        <v>131</v>
      </c>
      <c r="C27" s="493" t="s">
        <v>198</v>
      </c>
      <c r="D27" s="493"/>
      <c r="E27" s="493"/>
      <c r="F27" s="210" t="s">
        <v>189</v>
      </c>
      <c r="G27" s="165">
        <f>IF(T14=T2,'GA55 Only Print'!Y27,"0")</f>
        <v>220</v>
      </c>
      <c r="H27" s="224" t="s">
        <v>132</v>
      </c>
      <c r="I27" s="526" t="s">
        <v>208</v>
      </c>
      <c r="J27" s="526"/>
      <c r="K27" s="526"/>
      <c r="L27" s="210" t="s">
        <v>189</v>
      </c>
      <c r="M27" s="163">
        <f>IF(T14=T2,'Extra Ded. '!E15,"0")</f>
        <v>0</v>
      </c>
      <c r="N27" s="523"/>
      <c r="O27" s="524"/>
      <c r="P27" s="159"/>
      <c r="Q27" s="462"/>
      <c r="R27" s="463"/>
      <c r="S27" s="464"/>
      <c r="AA27" s="33">
        <f>IFERROR(SUM(Z23)-MIN(AA24,AB24),0)</f>
        <v>-4761</v>
      </c>
      <c r="AC27" s="33">
        <f>MIN(AA24,AB24)</f>
        <v>4761</v>
      </c>
    </row>
    <row r="28" spans="1:37" ht="15.75" customHeight="1">
      <c r="A28" s="482"/>
      <c r="B28" s="211" t="s">
        <v>133</v>
      </c>
      <c r="C28" s="493" t="s">
        <v>199</v>
      </c>
      <c r="D28" s="493"/>
      <c r="E28" s="493"/>
      <c r="F28" s="210" t="s">
        <v>189</v>
      </c>
      <c r="G28" s="165">
        <f>IF(T14=T2,'Extra Ded. '!E17,"0")</f>
        <v>0</v>
      </c>
      <c r="H28" s="224" t="s">
        <v>134</v>
      </c>
      <c r="I28" s="527" t="s">
        <v>209</v>
      </c>
      <c r="J28" s="527"/>
      <c r="K28" s="527"/>
      <c r="L28" s="210" t="s">
        <v>189</v>
      </c>
      <c r="M28" s="163">
        <f>IF(T14=T2,'Extra Ded. '!I13,"0")</f>
        <v>0</v>
      </c>
      <c r="N28" s="523"/>
      <c r="O28" s="524"/>
      <c r="P28" s="159"/>
      <c r="Q28" s="462"/>
      <c r="R28" s="463"/>
      <c r="S28" s="464"/>
    </row>
    <row r="29" spans="1:37" ht="15.75">
      <c r="A29" s="482"/>
      <c r="B29" s="211" t="s">
        <v>135</v>
      </c>
      <c r="C29" s="493" t="s">
        <v>200</v>
      </c>
      <c r="D29" s="493"/>
      <c r="E29" s="493"/>
      <c r="F29" s="210" t="s">
        <v>189</v>
      </c>
      <c r="G29" s="165">
        <f>IF(T14=T2,'Extra Ded. '!E12,"0")</f>
        <v>0</v>
      </c>
      <c r="H29" s="224" t="s">
        <v>136</v>
      </c>
      <c r="I29" s="527" t="s">
        <v>210</v>
      </c>
      <c r="J29" s="527"/>
      <c r="K29" s="527"/>
      <c r="L29" s="210" t="s">
        <v>189</v>
      </c>
      <c r="M29" s="163">
        <f>IF(T14=T2,'Extra Ded. '!E22,"0")</f>
        <v>0</v>
      </c>
      <c r="N29" s="523"/>
      <c r="O29" s="524"/>
      <c r="P29" s="159"/>
      <c r="Q29" s="462"/>
      <c r="R29" s="463"/>
      <c r="S29" s="464"/>
      <c r="AA29" s="33">
        <f>IF(Z24&gt;=200000,50000,AC27)</f>
        <v>4761</v>
      </c>
    </row>
    <row r="30" spans="1:37" ht="15.75">
      <c r="A30" s="482"/>
      <c r="B30" s="211" t="s">
        <v>137</v>
      </c>
      <c r="C30" s="493" t="s">
        <v>201</v>
      </c>
      <c r="D30" s="493"/>
      <c r="E30" s="493"/>
      <c r="F30" s="210" t="s">
        <v>189</v>
      </c>
      <c r="G30" s="163">
        <f>IF(T14=T2,'Extra Ded. '!E14,"0")</f>
        <v>0</v>
      </c>
      <c r="H30" s="224" t="s">
        <v>138</v>
      </c>
      <c r="I30" s="526" t="s">
        <v>211</v>
      </c>
      <c r="J30" s="526"/>
      <c r="K30" s="526"/>
      <c r="L30" s="210" t="s">
        <v>189</v>
      </c>
      <c r="M30" s="163">
        <f>IF(T14=T2,'Extra Ded. '!I10,"0")</f>
        <v>0</v>
      </c>
      <c r="N30" s="523"/>
      <c r="O30" s="524"/>
      <c r="P30" s="159"/>
      <c r="Q30" s="462"/>
      <c r="R30" s="463"/>
      <c r="S30" s="464"/>
    </row>
    <row r="31" spans="1:37" ht="16.5" thickBot="1">
      <c r="A31" s="482"/>
      <c r="B31" s="211" t="s">
        <v>157</v>
      </c>
      <c r="C31" s="535" t="str">
        <f>IF('Master Data'!M43="Yes","बोनस से कटोती GPF-2004 ","")</f>
        <v/>
      </c>
      <c r="D31" s="536"/>
      <c r="E31" s="249" t="str">
        <f>IF('Master Data'!M43="Yes","(GPF-2004 )","")</f>
        <v/>
      </c>
      <c r="F31" s="210" t="s">
        <v>189</v>
      </c>
      <c r="G31" s="163" t="str">
        <f>IF('Master Data'!M43="No","",IF(T14=T2,'GA55 Only Print'!T27,"0"))</f>
        <v/>
      </c>
      <c r="H31" s="560" t="s">
        <v>247</v>
      </c>
      <c r="I31" s="561"/>
      <c r="J31" s="561"/>
      <c r="K31" s="562"/>
      <c r="L31" s="210" t="s">
        <v>189</v>
      </c>
      <c r="M31" s="166">
        <f>SUM(G21:G31)+SUM(M21:M30)</f>
        <v>154761</v>
      </c>
      <c r="N31" s="523"/>
      <c r="O31" s="524"/>
      <c r="P31" s="159"/>
      <c r="Q31" s="465"/>
      <c r="R31" s="466"/>
      <c r="S31" s="467"/>
      <c r="T31" s="237"/>
      <c r="AA31" s="33">
        <f>('Extra Ded. '!I23+'Extra Ded. '!I21)</f>
        <v>1500</v>
      </c>
    </row>
    <row r="32" spans="1:37" ht="15.75" customHeight="1" thickBot="1">
      <c r="A32" s="482"/>
      <c r="B32" s="503" t="s">
        <v>212</v>
      </c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210" t="s">
        <v>189</v>
      </c>
      <c r="O32" s="156">
        <f>IF(M31&lt;150001,ROUND(M31,0),150000)</f>
        <v>150000</v>
      </c>
      <c r="P32" s="157"/>
      <c r="Q32" s="75"/>
      <c r="R32" s="241" t="s">
        <v>144</v>
      </c>
      <c r="S32" s="564" t="s">
        <v>294</v>
      </c>
      <c r="T32" s="238"/>
      <c r="U32" s="116"/>
      <c r="V32" s="116"/>
      <c r="W32" s="116"/>
      <c r="AA32" s="33">
        <f>IF(AA31&gt;10000,10000,AA31)</f>
        <v>1500</v>
      </c>
      <c r="AB32" s="33">
        <f>IF(AA31&gt;50000,50000,AA31)</f>
        <v>1500</v>
      </c>
    </row>
    <row r="33" spans="1:28" ht="15.75" customHeight="1">
      <c r="A33" s="482"/>
      <c r="B33" s="518" t="s">
        <v>213</v>
      </c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210" t="s">
        <v>189</v>
      </c>
      <c r="O33" s="156">
        <f>IF('Master Data'!I30='GA55 Check &amp; Edit'!AN6,'GA55 Only Print'!O27,0)</f>
        <v>0</v>
      </c>
      <c r="P33" s="158"/>
      <c r="Q33" s="75"/>
      <c r="R33" s="455" t="s">
        <v>74</v>
      </c>
      <c r="S33" s="564"/>
      <c r="T33" s="238"/>
      <c r="U33" s="116"/>
      <c r="V33" s="116"/>
      <c r="W33" s="116"/>
      <c r="AA33" s="33">
        <f>IF('Master Data'!E24="Under 60",AA32,IF('Master Data'!E24="Above 60",AB32,IF('Master Data'!E24="Above 80",AB32,0)))</f>
        <v>1500</v>
      </c>
    </row>
    <row r="34" spans="1:28" ht="15.75" customHeight="1" thickBot="1">
      <c r="A34" s="482"/>
      <c r="B34" s="528" t="s">
        <v>215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210" t="s">
        <v>189</v>
      </c>
      <c r="O34" s="243">
        <f>IF(T14=T1,0,IF(R33="Yes",AB35,0))</f>
        <v>0</v>
      </c>
      <c r="P34" s="158"/>
      <c r="Q34" s="158"/>
      <c r="R34" s="456"/>
      <c r="S34" s="565"/>
      <c r="T34" s="238"/>
      <c r="U34" s="116"/>
      <c r="V34" s="116"/>
      <c r="W34" s="116"/>
    </row>
    <row r="35" spans="1:28" ht="17.25" customHeight="1">
      <c r="A35" s="482"/>
      <c r="B35" s="481" t="s">
        <v>216</v>
      </c>
      <c r="C35" s="481"/>
      <c r="D35" s="481"/>
      <c r="E35" s="481"/>
      <c r="F35" s="481"/>
      <c r="G35" s="481"/>
      <c r="H35" s="481"/>
      <c r="I35" s="481"/>
      <c r="J35" s="481"/>
      <c r="K35" s="481"/>
      <c r="L35" s="481"/>
      <c r="M35" s="481"/>
      <c r="N35" s="210" t="s">
        <v>189</v>
      </c>
      <c r="O35" s="156">
        <f>SUM(O32:O34)</f>
        <v>150000</v>
      </c>
      <c r="P35" s="157"/>
      <c r="Q35" s="157"/>
      <c r="R35" s="116"/>
      <c r="S35" s="116"/>
      <c r="T35" s="238"/>
      <c r="U35" s="116"/>
      <c r="V35" s="116"/>
      <c r="W35" s="116"/>
      <c r="AB35" s="33">
        <f>IF('Master Data'!I30='GA55 Check &amp; Edit'!AN6,AA29,0)</f>
        <v>0</v>
      </c>
    </row>
    <row r="36" spans="1:28" ht="15.75" customHeight="1">
      <c r="A36" s="482">
        <v>12</v>
      </c>
      <c r="B36" s="516" t="s">
        <v>217</v>
      </c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7"/>
      <c r="P36" s="161"/>
      <c r="Q36" s="161"/>
      <c r="R36" s="116"/>
      <c r="S36" s="116"/>
      <c r="T36" s="238"/>
      <c r="U36" s="116"/>
      <c r="V36" s="116"/>
      <c r="W36" s="116"/>
    </row>
    <row r="37" spans="1:28" s="77" customFormat="1" ht="15.75" customHeight="1">
      <c r="A37" s="482"/>
      <c r="B37" s="493" t="s">
        <v>218</v>
      </c>
      <c r="C37" s="493"/>
      <c r="D37" s="493"/>
      <c r="E37" s="493"/>
      <c r="F37" s="493"/>
      <c r="G37" s="493"/>
      <c r="H37" s="493"/>
      <c r="I37" s="493"/>
      <c r="J37" s="493"/>
      <c r="K37" s="493"/>
      <c r="L37" s="493"/>
      <c r="M37" s="493"/>
      <c r="N37" s="210" t="s">
        <v>189</v>
      </c>
      <c r="O37" s="167">
        <f>IF(T14=T2,'Extra Ded. '!I15,"0")</f>
        <v>0</v>
      </c>
      <c r="P37" s="158"/>
      <c r="Q37" s="158"/>
      <c r="R37" s="116"/>
      <c r="S37" s="116"/>
      <c r="T37" s="239"/>
      <c r="U37" s="116"/>
      <c r="V37" s="116"/>
      <c r="W37" s="116"/>
    </row>
    <row r="38" spans="1:28" s="77" customFormat="1" ht="15.75">
      <c r="A38" s="482"/>
      <c r="B38" s="493" t="s">
        <v>219</v>
      </c>
      <c r="C38" s="493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210" t="s">
        <v>189</v>
      </c>
      <c r="O38" s="167">
        <f>IF(T14=T2,'Extra Ded. '!I16,"0")</f>
        <v>0</v>
      </c>
      <c r="P38" s="158"/>
      <c r="Q38" s="158"/>
      <c r="T38" s="240"/>
      <c r="AB38" s="114">
        <f>'GA55 Only Print'!N27+'GA55 Only Print'!P27+'Extra Ded. '!E18+'Extra Ded. '!E20+'Extra Ded. '!E21+'GA55 Only Print'!O27+'GA55 Only Print'!Y27+'Extra Ded. '!E17+'Extra Ded. '!E12+'Extra Ded. '!E14+'Extra Ded. '!I12+'Extra Ded. '!E19+'Extra Ded. '!E16+'Extra Ded. '!I6+'Extra Ded. '!I8+'Extra Ded. '!E15+'Extra Ded. '!I10+'Extra Ded. '!E22+'Extra Ded. '!E24</f>
        <v>154761</v>
      </c>
    </row>
    <row r="39" spans="1:28" s="77" customFormat="1" ht="15.75">
      <c r="A39" s="482"/>
      <c r="B39" s="493" t="s">
        <v>220</v>
      </c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210" t="s">
        <v>189</v>
      </c>
      <c r="O39" s="167">
        <f>IF(T14=T2,'Extra Ded. '!I17,"0")</f>
        <v>0</v>
      </c>
      <c r="P39" s="158"/>
      <c r="Q39" s="158"/>
      <c r="R39" s="96"/>
      <c r="S39" s="96"/>
      <c r="T39" s="96"/>
      <c r="U39" s="96"/>
      <c r="V39" s="96"/>
      <c r="W39" s="96"/>
    </row>
    <row r="40" spans="1:28" s="77" customFormat="1" ht="15.75">
      <c r="A40" s="482"/>
      <c r="B40" s="493" t="s">
        <v>221</v>
      </c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210" t="s">
        <v>189</v>
      </c>
      <c r="O40" s="167">
        <f>IF(T14=T2,'Extra Ded. '!I18,"0")</f>
        <v>0</v>
      </c>
      <c r="P40" s="158"/>
      <c r="Q40" s="158"/>
      <c r="R40" s="96"/>
      <c r="S40" s="96"/>
      <c r="T40" s="96"/>
      <c r="U40" s="96"/>
      <c r="V40" s="96"/>
      <c r="W40" s="96"/>
      <c r="AB40" s="115">
        <f>'Extra Ded. '!I15+'Extra Ded. '!I16+'Extra Ded. '!I17+'Extra Ded. '!I18+('Extra Ded. '!I19+'GA55 Only Print'!U27)+'Extra Ded. '!I20+AA33+'Extra Ded. '!I22</f>
        <v>1500</v>
      </c>
    </row>
    <row r="41" spans="1:28" s="77" customFormat="1" ht="15.75">
      <c r="A41" s="482"/>
      <c r="B41" s="493" t="s">
        <v>222</v>
      </c>
      <c r="C41" s="493"/>
      <c r="D41" s="493"/>
      <c r="E41" s="493"/>
      <c r="F41" s="493"/>
      <c r="G41" s="493"/>
      <c r="H41" s="493"/>
      <c r="I41" s="493"/>
      <c r="J41" s="493"/>
      <c r="K41" s="493"/>
      <c r="L41" s="493"/>
      <c r="M41" s="493"/>
      <c r="N41" s="210" t="s">
        <v>189</v>
      </c>
      <c r="O41" s="167">
        <f>IF(T14=T2,('Extra Ded. '!I19+'GA55 Only Print'!U27),"0")</f>
        <v>0</v>
      </c>
      <c r="P41" s="158"/>
      <c r="Q41" s="158"/>
      <c r="R41" s="566"/>
      <c r="S41" s="566"/>
      <c r="T41" s="566"/>
      <c r="U41" s="566"/>
      <c r="V41" s="566"/>
      <c r="W41" s="96"/>
    </row>
    <row r="42" spans="1:28" s="77" customFormat="1" ht="15.75">
      <c r="A42" s="482"/>
      <c r="B42" s="493" t="s">
        <v>223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210" t="s">
        <v>189</v>
      </c>
      <c r="O42" s="167">
        <f>IF(T14=T2,'Extra Ded. '!I20,"0")</f>
        <v>0</v>
      </c>
      <c r="P42" s="158"/>
      <c r="Q42" s="158"/>
      <c r="R42" s="566"/>
      <c r="S42" s="566"/>
      <c r="T42" s="566"/>
      <c r="U42" s="566"/>
      <c r="V42" s="566"/>
      <c r="W42" s="96"/>
    </row>
    <row r="43" spans="1:28" s="77" customFormat="1" ht="15.75">
      <c r="A43" s="482"/>
      <c r="B43" s="493" t="s">
        <v>224</v>
      </c>
      <c r="C43" s="493"/>
      <c r="D43" s="493"/>
      <c r="E43" s="493"/>
      <c r="F43" s="493"/>
      <c r="G43" s="493"/>
      <c r="H43" s="493"/>
      <c r="I43" s="493"/>
      <c r="J43" s="493"/>
      <c r="K43" s="493"/>
      <c r="L43" s="493"/>
      <c r="M43" s="493"/>
      <c r="N43" s="210" t="s">
        <v>189</v>
      </c>
      <c r="O43" s="167">
        <f>IF(T14=T2,AA33,"0")</f>
        <v>1500</v>
      </c>
      <c r="P43" s="158"/>
      <c r="Q43" s="158"/>
      <c r="R43" s="566"/>
      <c r="S43" s="566"/>
      <c r="T43" s="566"/>
      <c r="U43" s="566"/>
      <c r="V43" s="566"/>
      <c r="W43" s="96"/>
    </row>
    <row r="44" spans="1:28" ht="15.75">
      <c r="A44" s="482"/>
      <c r="B44" s="493" t="s">
        <v>225</v>
      </c>
      <c r="C44" s="493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210" t="s">
        <v>189</v>
      </c>
      <c r="O44" s="167">
        <f>IF(T14=T2,'Extra Ded. '!I22,"0")</f>
        <v>0</v>
      </c>
      <c r="P44" s="158"/>
      <c r="Q44" s="158"/>
      <c r="R44" s="567"/>
      <c r="S44" s="567"/>
      <c r="T44" s="233"/>
      <c r="U44" s="234"/>
      <c r="V44" s="234"/>
      <c r="W44" s="97"/>
    </row>
    <row r="45" spans="1:28" ht="15.75">
      <c r="A45" s="482"/>
      <c r="B45" s="568" t="s">
        <v>226</v>
      </c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210" t="s">
        <v>189</v>
      </c>
      <c r="O45" s="168">
        <f>SUM(O37:O44)</f>
        <v>1500</v>
      </c>
      <c r="P45" s="169"/>
      <c r="Q45" s="169"/>
      <c r="R45" s="567"/>
      <c r="S45" s="567"/>
      <c r="T45" s="233"/>
      <c r="U45" s="234"/>
      <c r="V45" s="234"/>
      <c r="W45" s="97"/>
    </row>
    <row r="46" spans="1:28" ht="15.75">
      <c r="A46" s="218">
        <v>13</v>
      </c>
      <c r="B46" s="515" t="s">
        <v>227</v>
      </c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210" t="s">
        <v>189</v>
      </c>
      <c r="O46" s="156">
        <f>O35+O45</f>
        <v>151500</v>
      </c>
      <c r="P46" s="158"/>
      <c r="Q46" s="158"/>
      <c r="R46" s="97"/>
      <c r="S46" s="97"/>
      <c r="T46" s="97"/>
      <c r="U46" s="97"/>
      <c r="V46" s="97"/>
      <c r="W46" s="97"/>
    </row>
    <row r="47" spans="1:28" ht="15.75">
      <c r="A47" s="218">
        <v>14</v>
      </c>
      <c r="B47" s="493" t="s">
        <v>228</v>
      </c>
      <c r="C47" s="493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210" t="s">
        <v>189</v>
      </c>
      <c r="O47" s="156">
        <f>(O18-O46)</f>
        <v>642854</v>
      </c>
      <c r="P47" s="158"/>
      <c r="Q47" s="158"/>
      <c r="R47" s="97"/>
      <c r="S47" s="97"/>
      <c r="T47" s="97"/>
      <c r="U47" s="97"/>
      <c r="V47" s="97"/>
      <c r="W47" s="97"/>
    </row>
    <row r="48" spans="1:28" s="77" customFormat="1" ht="15.75">
      <c r="A48" s="218">
        <v>15</v>
      </c>
      <c r="B48" s="515" t="s">
        <v>229</v>
      </c>
      <c r="C48" s="515"/>
      <c r="D48" s="515"/>
      <c r="E48" s="515"/>
      <c r="F48" s="515"/>
      <c r="G48" s="515"/>
      <c r="H48" s="515"/>
      <c r="I48" s="515"/>
      <c r="J48" s="515"/>
      <c r="K48" s="515"/>
      <c r="L48" s="515"/>
      <c r="M48" s="515"/>
      <c r="N48" s="210" t="s">
        <v>189</v>
      </c>
      <c r="O48" s="156">
        <f>ROUND(O47,-1)</f>
        <v>642850</v>
      </c>
      <c r="P48" s="157"/>
      <c r="Q48" s="157"/>
    </row>
    <row r="49" spans="1:31" s="77" customFormat="1" ht="15.75">
      <c r="A49" s="482">
        <v>16</v>
      </c>
      <c r="B49" s="493" t="s">
        <v>230</v>
      </c>
      <c r="C49" s="493"/>
      <c r="D49" s="493"/>
      <c r="E49" s="493"/>
      <c r="F49" s="493"/>
      <c r="G49" s="493"/>
      <c r="H49" s="493"/>
      <c r="I49" s="493"/>
      <c r="J49" s="493"/>
      <c r="K49" s="493"/>
      <c r="L49" s="493"/>
      <c r="M49" s="493"/>
      <c r="N49" s="493"/>
      <c r="O49" s="519"/>
      <c r="P49" s="170"/>
      <c r="Q49" s="170"/>
      <c r="X49" s="546" t="s">
        <v>142</v>
      </c>
      <c r="Y49" s="546"/>
      <c r="Z49" s="546"/>
      <c r="AB49" s="546" t="s">
        <v>143</v>
      </c>
      <c r="AC49" s="546"/>
      <c r="AD49" s="546"/>
    </row>
    <row r="50" spans="1:31" s="77" customFormat="1" ht="15.75">
      <c r="A50" s="482"/>
      <c r="B50" s="544" t="s">
        <v>231</v>
      </c>
      <c r="C50" s="544"/>
      <c r="D50" s="544"/>
      <c r="E50" s="544"/>
      <c r="F50" s="544" t="s">
        <v>232</v>
      </c>
      <c r="G50" s="544"/>
      <c r="H50" s="544"/>
      <c r="I50" s="544"/>
      <c r="J50" s="544" t="s">
        <v>233</v>
      </c>
      <c r="K50" s="544"/>
      <c r="L50" s="544"/>
      <c r="M50" s="544"/>
      <c r="N50" s="219"/>
      <c r="O50" s="225"/>
      <c r="P50" s="171"/>
      <c r="Q50" s="235"/>
      <c r="R50" s="96"/>
      <c r="S50" s="96"/>
      <c r="T50" s="96"/>
      <c r="U50" s="96"/>
      <c r="V50" s="96"/>
      <c r="W50" s="96"/>
      <c r="X50" s="77">
        <v>0</v>
      </c>
      <c r="Y50" s="77">
        <v>0</v>
      </c>
      <c r="Z50" s="77">
        <v>0</v>
      </c>
      <c r="AA50" s="111">
        <v>0</v>
      </c>
      <c r="AB50" s="77">
        <v>0</v>
      </c>
      <c r="AC50" s="77">
        <v>0</v>
      </c>
      <c r="AD50" s="77">
        <v>0</v>
      </c>
      <c r="AE50" s="112">
        <v>0</v>
      </c>
    </row>
    <row r="51" spans="1:31" s="77" customFormat="1" ht="15.75">
      <c r="A51" s="482"/>
      <c r="B51" s="483" t="s">
        <v>139</v>
      </c>
      <c r="C51" s="483"/>
      <c r="D51" s="483"/>
      <c r="E51" s="172">
        <v>0</v>
      </c>
      <c r="F51" s="483" t="str">
        <f>IF(T14=T2,"Up to Rs. 3,00,000","Up to Rs. 2,50,000")</f>
        <v>Up to Rs. 3,00,000</v>
      </c>
      <c r="G51" s="483"/>
      <c r="H51" s="483"/>
      <c r="I51" s="172">
        <v>0</v>
      </c>
      <c r="J51" s="483" t="str">
        <f>IF(T14=T2,"","Up to Rs. 2,50,000")</f>
        <v/>
      </c>
      <c r="K51" s="483"/>
      <c r="L51" s="483"/>
      <c r="M51" s="172">
        <v>0</v>
      </c>
      <c r="N51" s="210" t="s">
        <v>189</v>
      </c>
      <c r="O51" s="173">
        <v>0</v>
      </c>
      <c r="P51" s="174"/>
      <c r="Q51" s="233"/>
      <c r="R51" s="96"/>
      <c r="S51" s="96"/>
      <c r="T51" s="96"/>
      <c r="U51" s="96"/>
      <c r="V51" s="96"/>
      <c r="W51" s="96"/>
      <c r="X51" s="77">
        <f>ROUND(IF(O48&lt;=250000,0,IF(O48&gt;=500000,12500,IF(O48&lt;=500000,0+(O48-250000)*0.05))),0)</f>
        <v>12500</v>
      </c>
      <c r="Y51" s="77">
        <f>ROUND(IF(O48&lt;=300000,0,IF(O48&gt;=500000,10000,IF(O48&lt;=500000,(O48-300000)*0.05))),0)</f>
        <v>10000</v>
      </c>
      <c r="Z51" s="77">
        <v>0</v>
      </c>
      <c r="AA51" s="111">
        <f>IF('Master Data'!$E$24="Under 60",X51,IF('Master Data'!$E$24="Above 60",Y51,Z51))</f>
        <v>12500</v>
      </c>
      <c r="AB51" s="77">
        <f>ROUND(IF(O48&lt;250001,0,IF(O48&gt;500000,12500,((O48-250000)*0.05))),0)</f>
        <v>12500</v>
      </c>
      <c r="AC51" s="77">
        <f>ROUND(IF(O48&lt;250001,0,IF(O48&gt;500000,12500,((O48-250000)*0.05))),0)</f>
        <v>12500</v>
      </c>
      <c r="AD51" s="77">
        <f>ROUND(IF(O48&lt;250001,0,IF(O48&gt;500000,12500,((O48-250000)*0.05))),0)</f>
        <v>12500</v>
      </c>
      <c r="AE51" s="112">
        <f>IF('Master Data'!$E$24="Under 60",AB51,IF('Master Data'!$E$24="Above 60",AC51,AD51))</f>
        <v>12500</v>
      </c>
    </row>
    <row r="52" spans="1:31" s="77" customFormat="1" ht="15.75">
      <c r="A52" s="482"/>
      <c r="B52" s="483" t="s">
        <v>141</v>
      </c>
      <c r="C52" s="483"/>
      <c r="D52" s="483"/>
      <c r="E52" s="172">
        <v>0.05</v>
      </c>
      <c r="F52" s="483" t="str">
        <f>IF(T14=T2,"3,00,001 to 5,00,000"," 2,50,001 to  5,00,000")</f>
        <v>3,00,001 to 5,00,000</v>
      </c>
      <c r="G52" s="483"/>
      <c r="H52" s="483"/>
      <c r="I52" s="172">
        <v>0.05</v>
      </c>
      <c r="J52" s="483" t="str">
        <f>IF(T14=T2,"Up to Rs. 5,00,000","2,50,001 to  5,00,000")</f>
        <v>Up to Rs. 5,00,000</v>
      </c>
      <c r="K52" s="483"/>
      <c r="L52" s="483"/>
      <c r="M52" s="214" t="str">
        <f>IF(T14=T2,"0%","5%")</f>
        <v>0%</v>
      </c>
      <c r="N52" s="210" t="s">
        <v>189</v>
      </c>
      <c r="O52" s="173">
        <f>IF($T$14=$T$2,AA51,AE51)</f>
        <v>12500</v>
      </c>
      <c r="P52" s="174"/>
      <c r="Q52" s="233"/>
      <c r="R52" s="96"/>
      <c r="S52" s="96"/>
      <c r="T52" s="96"/>
      <c r="U52" s="96"/>
      <c r="V52" s="96"/>
      <c r="W52" s="96"/>
      <c r="X52" s="77">
        <f>ROUND(IF(O48&lt;=500000,0,IF(O48&gt;=1000000,100000,IF(O48&lt;=1000000,(O48-500000)*0.2,"0"))),0)</f>
        <v>28570</v>
      </c>
      <c r="Y52" s="77">
        <f>ROUND(IF(O48&lt;=500000,0,IF(O48&gt;=1000000,100000,IF(O48&lt;=1000000,(O48-500000)*0.2,"0"))),0)</f>
        <v>28570</v>
      </c>
      <c r="Z52" s="77">
        <f>ROUND(IF(O48&lt;=500000,0,IF(O48&gt;=1000000,100000,IF(O48&lt;=1000000,(O48-500000)*0.2,"0"))),0)</f>
        <v>28570</v>
      </c>
      <c r="AA52" s="111">
        <f>IF('Master Data'!$E$24="Under 60",X52,IF('Master Data'!$E$24="Above 60",Y52,Z52))</f>
        <v>28570</v>
      </c>
      <c r="AB52" s="77">
        <f>ROUND(IF(O48&lt;500001,0,IF(O48&gt;750000,25000,((O48-500000)*0.1))),0)</f>
        <v>14285</v>
      </c>
      <c r="AC52" s="77">
        <f>ROUND(IF(O48&lt;500001,0,IF(O48&gt;750000,25000,((O48-500000)*0.1))),0)</f>
        <v>14285</v>
      </c>
      <c r="AD52" s="77">
        <f>ROUND(IF(O48&lt;500001,0,IF(O48&gt;750000,25000,((O48-500000)*0.1))),0)</f>
        <v>14285</v>
      </c>
      <c r="AE52" s="112">
        <f>IF('Master Data'!$E$24="Under 60",AB52,IF('Master Data'!$E$24="Above 60",AC52,AD52))</f>
        <v>14285</v>
      </c>
    </row>
    <row r="53" spans="1:31" s="77" customFormat="1" ht="15.75">
      <c r="A53" s="482"/>
      <c r="B53" s="483" t="str">
        <f>IF(T14=T2,"5,00,001 to 10,00,000","5,00,001  to  7,50,000")</f>
        <v>5,00,001 to 10,00,000</v>
      </c>
      <c r="C53" s="483"/>
      <c r="D53" s="483"/>
      <c r="E53" s="172" t="str">
        <f>IF(T14=T2,"20%","10%")</f>
        <v>20%</v>
      </c>
      <c r="F53" s="483" t="str">
        <f>IF(T14=T2,"5,00,001 to 10,00,000","5,00,001  to  7,50,000")</f>
        <v>5,00,001 to 10,00,000</v>
      </c>
      <c r="G53" s="483"/>
      <c r="H53" s="483"/>
      <c r="I53" s="172" t="str">
        <f>IF(T14=T2,"20%","10%")</f>
        <v>20%</v>
      </c>
      <c r="J53" s="483" t="str">
        <f>IF(T14=T2,"5,00,001 to 10,00,000","5,00,001  to  7,50,000")</f>
        <v>5,00,001 to 10,00,000</v>
      </c>
      <c r="K53" s="483"/>
      <c r="L53" s="483"/>
      <c r="M53" s="172" t="str">
        <f>IF(T14=T2,"20%","10%")</f>
        <v>20%</v>
      </c>
      <c r="N53" s="210" t="s">
        <v>189</v>
      </c>
      <c r="O53" s="173">
        <f t="shared" ref="O53:O56" si="0">IF($T$14=$T$2,AA52,AE52)</f>
        <v>28570</v>
      </c>
      <c r="P53" s="174"/>
      <c r="Q53" s="233"/>
      <c r="R53" s="96"/>
      <c r="S53" s="96"/>
      <c r="T53" s="96"/>
      <c r="U53" s="96"/>
      <c r="V53" s="96"/>
      <c r="W53" s="96"/>
      <c r="X53" s="77">
        <f>ROUND(IF(O48&gt;1000000,(O48-1000000)*0.3,"0"),0)</f>
        <v>0</v>
      </c>
      <c r="Y53" s="77">
        <f>ROUND(IF(O48&gt;1000000,(O48-1000000)*0.3,"0"),0)</f>
        <v>0</v>
      </c>
      <c r="Z53" s="77">
        <f>ROUND(IF(O48&gt;1000000,(O48-1000000)*0.3,"0"),0)</f>
        <v>0</v>
      </c>
      <c r="AA53" s="111">
        <f>IF('Master Data'!$E$24="Under 60",X53,IF('Master Data'!$E$24="Above 60",Y53,Z53))</f>
        <v>0</v>
      </c>
      <c r="AB53" s="77">
        <f>ROUND(IF(O48&lt;750001,0,IF(O48&gt;1000000,37500,((O48-750000)*0.15))),0)</f>
        <v>0</v>
      </c>
      <c r="AC53" s="77">
        <f>ROUND(IF(O48&lt;750001,0,IF(O48&gt;1000000,37500,((O48-750000)*0.15))),0)</f>
        <v>0</v>
      </c>
      <c r="AD53" s="77">
        <f>ROUND(IF(O48&lt;750001,0,IF(O48&gt;1000000,37500,((O48-750000)*0.15))),0)</f>
        <v>0</v>
      </c>
      <c r="AE53" s="112">
        <f>IF('Master Data'!$E$24="Under 60",AB53,IF('Master Data'!$E$24="Above 60",AC53,AD53))</f>
        <v>0</v>
      </c>
    </row>
    <row r="54" spans="1:31" s="77" customFormat="1" ht="15.75">
      <c r="A54" s="482"/>
      <c r="B54" s="483" t="str">
        <f>IF(T14=T2,"Above  10,00,000"," 7,50,001 to  10,00,000")</f>
        <v>Above  10,00,000</v>
      </c>
      <c r="C54" s="545"/>
      <c r="D54" s="545"/>
      <c r="E54" s="172" t="str">
        <f>IF(T14=T2,"30%","15%")</f>
        <v>30%</v>
      </c>
      <c r="F54" s="483" t="str">
        <f>IF(T14=T2,"Above  10,00,000"," 7,50,001 to  10,00,000")</f>
        <v>Above  10,00,000</v>
      </c>
      <c r="G54" s="483"/>
      <c r="H54" s="483"/>
      <c r="I54" s="172" t="str">
        <f>IF(T14=T2,"30%","15%")</f>
        <v>30%</v>
      </c>
      <c r="J54" s="483" t="str">
        <f>IF(T14=T2,"Above  10,00,000"," 7,50,001 to  10,00,000")</f>
        <v>Above  10,00,000</v>
      </c>
      <c r="K54" s="483"/>
      <c r="L54" s="483"/>
      <c r="M54" s="172" t="str">
        <f>IF(T14=T2,"30%","15%")</f>
        <v>30%</v>
      </c>
      <c r="N54" s="210" t="s">
        <v>189</v>
      </c>
      <c r="O54" s="173">
        <f t="shared" si="0"/>
        <v>0</v>
      </c>
      <c r="P54" s="174"/>
      <c r="Q54" s="233"/>
      <c r="R54" s="96"/>
      <c r="S54" s="96"/>
      <c r="T54" s="96"/>
      <c r="U54" s="96"/>
      <c r="V54" s="96"/>
      <c r="W54" s="96"/>
      <c r="AA54" s="111">
        <f>IF('Master Data'!$E$24="Under 60",X54,IF('Master Data'!$E$24="Above 60",Y54,Z54))</f>
        <v>0</v>
      </c>
      <c r="AB54" s="77">
        <f>ROUND(IF(O48&lt;1000001,0,IF(O48&gt;1250000,50000,((O48-1000000)*0.2))),0)</f>
        <v>0</v>
      </c>
      <c r="AC54" s="77">
        <f>ROUND(IF(O48&lt;1000001,0,IF(O48&gt;1250000,50000,((O48-1000000)*0.2))),0)</f>
        <v>0</v>
      </c>
      <c r="AD54" s="77">
        <f>ROUND(IF(O48&lt;1000001,0,IF(O48&gt;1250000,50000,((O48-1000000)*0.2))),0)</f>
        <v>0</v>
      </c>
      <c r="AE54" s="112">
        <f>IF('Master Data'!$E$24="Under 60",AB54,IF('Master Data'!$E$24="Above 60",AC54,AD54))</f>
        <v>0</v>
      </c>
    </row>
    <row r="55" spans="1:31" s="77" customFormat="1" ht="15.75">
      <c r="A55" s="482"/>
      <c r="B55" s="483" t="str">
        <f>IF(T14=T2," ","10,00,001 to  12,50,000")</f>
        <v xml:space="preserve"> </v>
      </c>
      <c r="C55" s="545"/>
      <c r="D55" s="545"/>
      <c r="E55" s="172" t="str">
        <f>IF(T14=T2," ","20%")</f>
        <v xml:space="preserve"> </v>
      </c>
      <c r="F55" s="483" t="str">
        <f>IF(T14=T2," ","10,00,001 to  12,50,000")</f>
        <v xml:space="preserve"> </v>
      </c>
      <c r="G55" s="483"/>
      <c r="H55" s="483"/>
      <c r="I55" s="172" t="str">
        <f>IF(T14=T2," ","20%")</f>
        <v xml:space="preserve"> </v>
      </c>
      <c r="J55" s="483" t="str">
        <f>IF(T14=T2," ","10,00,001 to  12,50,000")</f>
        <v xml:space="preserve"> </v>
      </c>
      <c r="K55" s="483"/>
      <c r="L55" s="483"/>
      <c r="M55" s="172" t="str">
        <f>IF(T14=T2," ","20%")</f>
        <v xml:space="preserve"> </v>
      </c>
      <c r="N55" s="215" t="str">
        <f>IF(T14=T2," ","रु.")</f>
        <v xml:space="preserve"> </v>
      </c>
      <c r="O55" s="173">
        <f>IF($T$14=$T$2,AA54,AE54)</f>
        <v>0</v>
      </c>
      <c r="P55" s="174"/>
      <c r="Q55" s="233"/>
      <c r="R55" s="552"/>
      <c r="S55" s="552"/>
      <c r="T55" s="552"/>
      <c r="U55" s="552"/>
      <c r="V55" s="552"/>
      <c r="W55" s="96"/>
      <c r="AA55" s="111">
        <f>IF('Master Data'!$E$24="Under 60",X55,IF('Master Data'!$E$24="Above 60",Y55,Z55))</f>
        <v>0</v>
      </c>
      <c r="AB55" s="77">
        <f>ROUND(IF(O48&lt;1250001,0,IF(O48&gt;1500000,62500,((O48-1250000)*0.25))),0)</f>
        <v>0</v>
      </c>
      <c r="AC55" s="77">
        <f>ROUND(IF(O48&lt;1250001,0,IF(O48&gt;1500000,62500,((O48-1250000)*0.25))),0)</f>
        <v>0</v>
      </c>
      <c r="AD55" s="77">
        <f>ROUND(IF(O48&lt;1250001,0,IF(O48&gt;1500000,62500,((O48-1250000)*0.25))),0)</f>
        <v>0</v>
      </c>
      <c r="AE55" s="112">
        <f>IF('Master Data'!$E$24="Under 60",AB55,IF('Master Data'!$E$24="Above 60",AC55,AD55))</f>
        <v>0</v>
      </c>
    </row>
    <row r="56" spans="1:31" s="77" customFormat="1" ht="16.5" customHeight="1">
      <c r="A56" s="482"/>
      <c r="B56" s="483" t="str">
        <f>IF(T14=T2," ","12,50,001 to  15,00,000")</f>
        <v xml:space="preserve"> </v>
      </c>
      <c r="C56" s="545"/>
      <c r="D56" s="545"/>
      <c r="E56" s="172" t="str">
        <f>IF(T14=T2," ","25%")</f>
        <v xml:space="preserve"> </v>
      </c>
      <c r="F56" s="483" t="str">
        <f>IF(T14=T2," ","12,50,001 to  15,00,000")</f>
        <v xml:space="preserve"> </v>
      </c>
      <c r="G56" s="483"/>
      <c r="H56" s="483"/>
      <c r="I56" s="172" t="str">
        <f>IF(T14=T2," ","25%")</f>
        <v xml:space="preserve"> </v>
      </c>
      <c r="J56" s="483" t="str">
        <f>IF(T14=T2," ","12,50,001 to  15,00,000")</f>
        <v xml:space="preserve"> </v>
      </c>
      <c r="K56" s="483"/>
      <c r="L56" s="483"/>
      <c r="M56" s="172" t="str">
        <f>IF(T14=T2," ","25%")</f>
        <v xml:space="preserve"> </v>
      </c>
      <c r="N56" s="215" t="str">
        <f>IF(T14=T2," ","रु.")</f>
        <v xml:space="preserve"> </v>
      </c>
      <c r="O56" s="173">
        <f t="shared" si="0"/>
        <v>0</v>
      </c>
      <c r="P56" s="174"/>
      <c r="Q56" s="233"/>
      <c r="R56" s="552"/>
      <c r="S56" s="552"/>
      <c r="T56" s="552"/>
      <c r="U56" s="552"/>
      <c r="V56" s="552"/>
      <c r="W56" s="96"/>
      <c r="AA56" s="111">
        <f>IF('Master Data'!$E$24="Under 60",X56,IF('Master Data'!$E$24="Above 60",Y56,Z56))</f>
        <v>0</v>
      </c>
      <c r="AB56" s="77">
        <f>ROUND(IF(O48&lt;1500001,0,(O48-1500000)*0.3),0)</f>
        <v>0</v>
      </c>
      <c r="AC56" s="77">
        <f>ROUND(IF(O48&lt;1500001,0,(O48-1500000)*0.3),0)</f>
        <v>0</v>
      </c>
      <c r="AD56" s="77">
        <f>ROUND(IF(O48&lt;1500001,0,(O48-1500000)*0.3),0)</f>
        <v>0</v>
      </c>
      <c r="AE56" s="112">
        <f>IF('Master Data'!$E$24="Under 60",AB56,IF('Master Data'!$E$24="Above 60",AC56,AD56))</f>
        <v>0</v>
      </c>
    </row>
    <row r="57" spans="1:31" s="77" customFormat="1" ht="15.75">
      <c r="A57" s="482"/>
      <c r="B57" s="483" t="str">
        <f>IF(T14=T2," ","Above Rs. 15,00,000")</f>
        <v xml:space="preserve"> </v>
      </c>
      <c r="C57" s="545"/>
      <c r="D57" s="545"/>
      <c r="E57" s="172" t="str">
        <f>IF(T14=T2," ","30%")</f>
        <v xml:space="preserve"> </v>
      </c>
      <c r="F57" s="483" t="str">
        <f>IF(T14=T2," ","Above Rs. 15,00,000")</f>
        <v xml:space="preserve"> </v>
      </c>
      <c r="G57" s="483"/>
      <c r="H57" s="483"/>
      <c r="I57" s="172" t="str">
        <f>IF(T14=T2," ","30%")</f>
        <v xml:space="preserve"> </v>
      </c>
      <c r="J57" s="483" t="str">
        <f>IF(T14=T2," ","Above Rs. 15,00,000")</f>
        <v xml:space="preserve"> </v>
      </c>
      <c r="K57" s="483"/>
      <c r="L57" s="483"/>
      <c r="M57" s="172" t="str">
        <f>IF(T14=T2," ","30%")</f>
        <v xml:space="preserve"> </v>
      </c>
      <c r="N57" s="215" t="str">
        <f>IF(T14=T2," ","रु.")</f>
        <v xml:space="preserve"> </v>
      </c>
      <c r="O57" s="173">
        <f>IF($T$14=$T$2,AA56,AE56)</f>
        <v>0</v>
      </c>
      <c r="P57" s="174"/>
      <c r="Q57" s="233"/>
      <c r="R57" s="552"/>
      <c r="S57" s="552"/>
      <c r="T57" s="552"/>
      <c r="U57" s="552"/>
      <c r="V57" s="552"/>
      <c r="W57" s="96"/>
      <c r="X57" s="77">
        <f>SUM(X50:X53)</f>
        <v>41070</v>
      </c>
      <c r="Y57" s="77">
        <f t="shared" ref="Y57:Z57" si="1">SUM(Y50:Y53)</f>
        <v>38570</v>
      </c>
      <c r="Z57" s="77">
        <f t="shared" si="1"/>
        <v>28570</v>
      </c>
      <c r="AA57" s="111">
        <f>IF('Master Data'!$E$24="Under 60",X57,IF('Master Data'!$E$24="Above 60",Y57,Z57))</f>
        <v>41070</v>
      </c>
      <c r="AB57" s="77">
        <f>SUM(AB50:AB56)</f>
        <v>26785</v>
      </c>
      <c r="AC57" s="77">
        <f t="shared" ref="AC57:AD57" si="2">SUM(AC50:AC56)</f>
        <v>26785</v>
      </c>
      <c r="AD57" s="77">
        <f t="shared" si="2"/>
        <v>26785</v>
      </c>
      <c r="AE57" s="112">
        <f>IF('Master Data'!$E$24="Under 60",AB57,IF('Master Data'!$E$24="Above 60",AC57,AD57))</f>
        <v>26785</v>
      </c>
    </row>
    <row r="58" spans="1:31" s="77" customFormat="1" ht="15.75">
      <c r="A58" s="482"/>
      <c r="B58" s="553" t="s">
        <v>234</v>
      </c>
      <c r="C58" s="553"/>
      <c r="D58" s="553"/>
      <c r="E58" s="553"/>
      <c r="F58" s="553"/>
      <c r="G58" s="553"/>
      <c r="H58" s="553"/>
      <c r="I58" s="553"/>
      <c r="J58" s="553"/>
      <c r="K58" s="553"/>
      <c r="L58" s="553"/>
      <c r="M58" s="553"/>
      <c r="N58" s="210" t="s">
        <v>189</v>
      </c>
      <c r="O58" s="156">
        <f>SUM(O51:O57)</f>
        <v>41070</v>
      </c>
      <c r="P58" s="157"/>
      <c r="Q58" s="236"/>
      <c r="R58" s="96"/>
      <c r="S58" s="96"/>
      <c r="T58" s="96"/>
      <c r="U58" s="96"/>
      <c r="V58" s="96"/>
      <c r="W58" s="96"/>
    </row>
    <row r="59" spans="1:31" s="77" customFormat="1" ht="15.75">
      <c r="A59" s="482"/>
      <c r="B59" s="538" t="s">
        <v>235</v>
      </c>
      <c r="C59" s="538"/>
      <c r="D59" s="538"/>
      <c r="E59" s="538"/>
      <c r="F59" s="538"/>
      <c r="G59" s="538"/>
      <c r="H59" s="538"/>
      <c r="I59" s="538"/>
      <c r="J59" s="538"/>
      <c r="K59" s="538"/>
      <c r="L59" s="538"/>
      <c r="M59" s="538"/>
      <c r="N59" s="210" t="s">
        <v>189</v>
      </c>
      <c r="O59" s="156">
        <f>IF(O48&gt;500000,0,IF(O58&lt;12500,O58,12500))</f>
        <v>0</v>
      </c>
      <c r="P59" s="158"/>
      <c r="Q59" s="551"/>
      <c r="R59" s="551"/>
      <c r="S59" s="551"/>
      <c r="T59" s="96"/>
      <c r="U59" s="96"/>
      <c r="V59" s="96"/>
      <c r="W59" s="96"/>
      <c r="X59" s="77">
        <f>ROUND(IF(O48&lt;=250000,0,IF(O48&lt;=500000,(O48-250000)*0.05,IF(O48&lt;=1000000,12500+(O48-500000)*0.2,IF(O48&gt;1000000,112500+(O48-1000000)*0.3,"0")))),0)</f>
        <v>41070</v>
      </c>
      <c r="Y59" s="77">
        <f>ROUND(IF(O48&lt;=300000,0,IF(O48&lt;=500000,(O48-300000)*0.05,IF(O48&lt;=1000000,10000+(O48-500000)*0.2,IF(O48&gt;1000000,110000+(O48-1000000)*0.3,"0")))),0)</f>
        <v>38570</v>
      </c>
      <c r="Z59" s="77">
        <f>ROUND(IF(O48&lt;=250000,0,IF(O48&lt;=500000,(O48-250000)*0.05,IF(O48&lt;=1000000,0+(O48-500000)*0.2,IF(O48&gt;1000000,100000+(O48-1000000)*0.3,"0")))),0)</f>
        <v>28570</v>
      </c>
    </row>
    <row r="60" spans="1:31" s="77" customFormat="1" ht="15.75">
      <c r="A60" s="482"/>
      <c r="B60" s="553" t="s">
        <v>236</v>
      </c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210" t="s">
        <v>189</v>
      </c>
      <c r="O60" s="156">
        <f>O58-O59</f>
        <v>41070</v>
      </c>
      <c r="P60" s="157"/>
      <c r="Q60" s="551"/>
      <c r="R60" s="551"/>
      <c r="S60" s="551"/>
      <c r="T60" s="96"/>
      <c r="U60" s="96"/>
      <c r="V60" s="96"/>
      <c r="W60" s="96"/>
      <c r="Y60" s="77">
        <f>IF(T63&gt;350000,0,IF(T63&lt;2501,T63,2500))</f>
        <v>0</v>
      </c>
    </row>
    <row r="61" spans="1:31" ht="15.75">
      <c r="A61" s="482"/>
      <c r="B61" s="220" t="s">
        <v>237</v>
      </c>
      <c r="C61" s="538" t="s">
        <v>248</v>
      </c>
      <c r="D61" s="538"/>
      <c r="E61" s="538"/>
      <c r="F61" s="538"/>
      <c r="G61" s="538"/>
      <c r="H61" s="538"/>
      <c r="I61" s="538"/>
      <c r="J61" s="538"/>
      <c r="K61" s="538"/>
      <c r="L61" s="538"/>
      <c r="M61" s="538"/>
      <c r="N61" s="210" t="s">
        <v>189</v>
      </c>
      <c r="O61" s="156">
        <f>ROUND((O60*0.04),0)</f>
        <v>1643</v>
      </c>
      <c r="P61" s="158"/>
      <c r="Q61" s="158"/>
    </row>
    <row r="62" spans="1:31" ht="15.75">
      <c r="A62" s="482"/>
      <c r="B62" s="539" t="s">
        <v>239</v>
      </c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1"/>
      <c r="N62" s="210" t="s">
        <v>189</v>
      </c>
      <c r="O62" s="156">
        <f>SUM(O60:O61)</f>
        <v>42713</v>
      </c>
      <c r="P62" s="157"/>
      <c r="Q62" s="157"/>
    </row>
    <row r="63" spans="1:31" ht="15.75">
      <c r="A63" s="218">
        <v>17</v>
      </c>
      <c r="B63" s="479" t="s">
        <v>238</v>
      </c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210" t="s">
        <v>189</v>
      </c>
      <c r="O63" s="156">
        <f>'Extra Ded. '!I24</f>
        <v>0</v>
      </c>
      <c r="P63" s="158"/>
      <c r="Q63" s="158"/>
    </row>
    <row r="64" spans="1:31" ht="15.75">
      <c r="A64" s="218">
        <v>18</v>
      </c>
      <c r="B64" s="516" t="s">
        <v>240</v>
      </c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210" t="s">
        <v>189</v>
      </c>
      <c r="O64" s="156">
        <f>O62-O63</f>
        <v>42713</v>
      </c>
      <c r="P64" s="157"/>
      <c r="Q64" s="157"/>
    </row>
    <row r="65" spans="1:26" ht="36" customHeight="1">
      <c r="A65" s="482">
        <v>19</v>
      </c>
      <c r="B65" s="547" t="s">
        <v>241</v>
      </c>
      <c r="C65" s="547"/>
      <c r="D65" s="547"/>
      <c r="E65" s="547" t="s">
        <v>249</v>
      </c>
      <c r="F65" s="547"/>
      <c r="G65" s="547"/>
      <c r="H65" s="548" t="s">
        <v>250</v>
      </c>
      <c r="I65" s="549"/>
      <c r="J65" s="231" t="s">
        <v>251</v>
      </c>
      <c r="K65" s="548" t="s">
        <v>252</v>
      </c>
      <c r="L65" s="549"/>
      <c r="M65" s="547" t="s">
        <v>253</v>
      </c>
      <c r="N65" s="547"/>
      <c r="O65" s="221" t="s">
        <v>243</v>
      </c>
      <c r="P65" s="175"/>
      <c r="Q65" s="175"/>
    </row>
    <row r="66" spans="1:26" ht="15.75">
      <c r="A66" s="482"/>
      <c r="B66" s="547"/>
      <c r="C66" s="547"/>
      <c r="D66" s="547"/>
      <c r="E66" s="550">
        <f>SUM('GA55 Check &amp; Edit'!BX12:BX18)</f>
        <v>6000</v>
      </c>
      <c r="F66" s="550"/>
      <c r="G66" s="550"/>
      <c r="H66" s="550">
        <f>SUM('GA55 Check &amp; Edit'!BX19:BX21)</f>
        <v>0</v>
      </c>
      <c r="I66" s="550"/>
      <c r="J66" s="212">
        <f>'GA55 Check &amp; Edit'!BX22</f>
        <v>0</v>
      </c>
      <c r="K66" s="550">
        <f>'GA55 Check &amp; Edit'!BX23</f>
        <v>0</v>
      </c>
      <c r="L66" s="550"/>
      <c r="M66" s="550">
        <f>SUM('GA55 Only Print'!X27-(E66+H66+J66+K66))+'Extra Ded. '!I9</f>
        <v>0</v>
      </c>
      <c r="N66" s="550"/>
      <c r="O66" s="176">
        <f>SUM(E66,H66,J66,K66,M66)</f>
        <v>6000</v>
      </c>
      <c r="P66" s="177"/>
      <c r="Q66" s="177"/>
    </row>
    <row r="67" spans="1:26" ht="19.5" thickBot="1">
      <c r="A67" s="542" t="str">
        <f>IF(O64&gt;O66,"Income Tax Payable",IF(O64&lt;O66,"Income Tax Refundable","Income Tax Payble/Refundable"))</f>
        <v>Income Tax Payable</v>
      </c>
      <c r="B67" s="543"/>
      <c r="C67" s="543"/>
      <c r="D67" s="543"/>
      <c r="E67" s="543"/>
      <c r="F67" s="543"/>
      <c r="G67" s="543"/>
      <c r="H67" s="543"/>
      <c r="I67" s="543"/>
      <c r="J67" s="543"/>
      <c r="K67" s="543"/>
      <c r="L67" s="543"/>
      <c r="M67" s="543"/>
      <c r="N67" s="210" t="s">
        <v>189</v>
      </c>
      <c r="O67" s="178">
        <f>IF(O64&gt;O66,O64-O66,O66-O64)</f>
        <v>36713</v>
      </c>
      <c r="P67" s="158"/>
      <c r="Q67" s="158"/>
    </row>
    <row r="68" spans="1:26" ht="16.5" thickTop="1">
      <c r="A68" s="179"/>
      <c r="B68" s="179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7"/>
      <c r="O68" s="158"/>
      <c r="P68" s="158"/>
      <c r="Q68" s="158"/>
    </row>
    <row r="69" spans="1:26" ht="17.25">
      <c r="A69" s="78"/>
      <c r="B69" s="79"/>
      <c r="C69" s="228"/>
      <c r="D69" s="229"/>
      <c r="E69" s="228"/>
      <c r="F69" s="228"/>
      <c r="G69" s="228"/>
      <c r="H69" s="228"/>
      <c r="I69" s="228"/>
      <c r="J69" s="228"/>
      <c r="K69" s="228"/>
      <c r="L69" s="537" t="s">
        <v>242</v>
      </c>
      <c r="M69" s="537"/>
      <c r="N69" s="537"/>
      <c r="O69" s="230"/>
      <c r="P69" s="81"/>
      <c r="Q69" s="81"/>
    </row>
    <row r="70" spans="1:26" ht="16.5">
      <c r="A70" s="78"/>
      <c r="B70" s="79"/>
      <c r="C70" s="79"/>
      <c r="D70" s="80"/>
      <c r="E70" s="79"/>
      <c r="F70" s="79"/>
      <c r="G70" s="79"/>
      <c r="H70" s="79"/>
      <c r="I70" s="79"/>
      <c r="J70" s="79"/>
      <c r="K70" s="79"/>
      <c r="L70" s="82"/>
      <c r="M70" s="83"/>
      <c r="N70" s="84"/>
      <c r="O70" s="81"/>
      <c r="P70" s="81"/>
      <c r="Q70" s="81"/>
    </row>
    <row r="71" spans="1:26" ht="15.7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7"/>
      <c r="P71" s="87"/>
      <c r="Q71" s="8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5.75">
      <c r="A72" s="88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7"/>
      <c r="P72" s="87"/>
      <c r="Q72" s="8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5.75">
      <c r="A73" s="85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7"/>
      <c r="P73" s="87"/>
      <c r="Q73" s="8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5.75">
      <c r="A74" s="85"/>
      <c r="B74" s="89"/>
      <c r="C74" s="89"/>
      <c r="D74" s="89"/>
      <c r="E74" s="89"/>
      <c r="F74" s="89"/>
      <c r="G74" s="89"/>
      <c r="H74" s="89"/>
      <c r="I74" s="90"/>
      <c r="J74" s="90"/>
      <c r="K74" s="90"/>
      <c r="L74" s="90"/>
      <c r="M74" s="90"/>
      <c r="N74" s="90"/>
      <c r="O74" s="87"/>
      <c r="P74" s="87"/>
      <c r="Q74" s="8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5.75">
      <c r="A75" s="85"/>
      <c r="B75" s="89"/>
      <c r="C75" s="89"/>
      <c r="D75" s="89"/>
      <c r="E75" s="89"/>
      <c r="F75" s="89"/>
      <c r="G75" s="89"/>
      <c r="H75" s="89"/>
      <c r="I75" s="90"/>
      <c r="J75" s="90"/>
      <c r="K75" s="90"/>
      <c r="L75" s="90"/>
      <c r="M75" s="90"/>
      <c r="N75" s="90"/>
      <c r="O75" s="87"/>
      <c r="P75" s="87"/>
      <c r="Q75" s="8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5.75">
      <c r="A76" s="85"/>
      <c r="B76" s="89"/>
      <c r="C76" s="89"/>
      <c r="D76" s="89"/>
      <c r="E76" s="89"/>
      <c r="F76" s="89"/>
      <c r="G76" s="89"/>
      <c r="H76" s="89"/>
      <c r="I76" s="90"/>
      <c r="J76" s="90"/>
      <c r="K76" s="90"/>
      <c r="L76" s="90"/>
      <c r="M76" s="90"/>
      <c r="N76" s="90"/>
      <c r="O76" s="87"/>
      <c r="P76" s="87"/>
      <c r="Q76" s="8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5.75">
      <c r="A77" s="85"/>
      <c r="B77" s="89"/>
      <c r="C77" s="89"/>
      <c r="D77" s="89"/>
      <c r="E77" s="89"/>
      <c r="F77" s="89"/>
      <c r="G77" s="89"/>
      <c r="H77" s="89"/>
      <c r="I77" s="90"/>
      <c r="J77" s="90"/>
      <c r="K77" s="90"/>
      <c r="L77" s="90"/>
      <c r="M77" s="90"/>
      <c r="N77" s="90"/>
      <c r="O77" s="87"/>
      <c r="P77" s="87"/>
      <c r="Q77" s="8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5.75">
      <c r="A78" s="85"/>
      <c r="B78" s="89"/>
      <c r="C78" s="89"/>
      <c r="D78" s="89"/>
      <c r="E78" s="89"/>
      <c r="F78" s="89"/>
      <c r="G78" s="89"/>
      <c r="H78" s="89"/>
      <c r="I78" s="90"/>
      <c r="J78" s="90"/>
      <c r="K78" s="90"/>
      <c r="L78" s="90"/>
      <c r="M78" s="90"/>
      <c r="N78" s="90"/>
      <c r="O78" s="87"/>
      <c r="P78" s="87"/>
      <c r="Q78" s="8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5.75">
      <c r="A79" s="88"/>
      <c r="B79" s="91"/>
      <c r="C79" s="92"/>
      <c r="D79" s="92"/>
      <c r="E79" s="92"/>
      <c r="F79" s="92"/>
      <c r="G79" s="92"/>
      <c r="H79" s="91"/>
      <c r="I79" s="90"/>
      <c r="J79" s="90"/>
      <c r="K79" s="90"/>
      <c r="L79" s="90"/>
      <c r="M79" s="90"/>
      <c r="N79" s="90"/>
      <c r="O79" s="87"/>
      <c r="P79" s="87"/>
      <c r="Q79" s="87"/>
      <c r="R79" s="77"/>
      <c r="S79" s="77"/>
      <c r="T79" s="77"/>
      <c r="U79" s="77"/>
      <c r="V79" s="77"/>
      <c r="W79" s="77"/>
      <c r="X79" s="77"/>
      <c r="Y79" s="77"/>
      <c r="Z79" s="77"/>
    </row>
    <row r="80" spans="1:26" s="97" customFormat="1" ht="15.75">
      <c r="A80" s="93"/>
      <c r="B80" s="94"/>
      <c r="C80" s="94"/>
      <c r="D80" s="94"/>
      <c r="E80" s="94"/>
      <c r="F80" s="94"/>
      <c r="G80" s="94"/>
      <c r="H80" s="94"/>
      <c r="I80" s="90"/>
      <c r="J80" s="90"/>
      <c r="K80" s="90"/>
      <c r="L80" s="90"/>
      <c r="M80" s="90"/>
      <c r="N80" s="90"/>
      <c r="O80" s="95"/>
      <c r="P80" s="95"/>
      <c r="Q80" s="95"/>
      <c r="R80" s="96"/>
      <c r="S80" s="96"/>
      <c r="T80" s="96"/>
      <c r="U80" s="96"/>
      <c r="V80" s="96"/>
      <c r="W80" s="96"/>
      <c r="X80" s="96"/>
      <c r="Y80" s="96"/>
      <c r="Z80" s="96"/>
    </row>
    <row r="81" spans="1:26" s="97" customFormat="1" ht="15.75">
      <c r="A81" s="93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8"/>
      <c r="N81" s="99"/>
      <c r="O81" s="95"/>
      <c r="P81" s="95"/>
      <c r="Q81" s="95"/>
      <c r="R81" s="96"/>
      <c r="S81" s="96"/>
      <c r="T81" s="96"/>
      <c r="U81" s="96"/>
      <c r="V81" s="96"/>
      <c r="W81" s="96"/>
      <c r="X81" s="96"/>
      <c r="Y81" s="96"/>
      <c r="Z81" s="96"/>
    </row>
    <row r="82" spans="1:26" s="97" customFormat="1" ht="15.75">
      <c r="A82" s="93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8"/>
      <c r="N82" s="99"/>
      <c r="O82" s="95"/>
      <c r="P82" s="95"/>
      <c r="Q82" s="95"/>
      <c r="R82" s="96"/>
      <c r="S82" s="96"/>
      <c r="T82" s="96"/>
      <c r="U82" s="96"/>
      <c r="V82" s="96"/>
      <c r="W82" s="96"/>
      <c r="X82" s="96"/>
      <c r="Y82" s="96"/>
      <c r="Z82" s="96"/>
    </row>
    <row r="83" spans="1:26" s="97" customFormat="1" ht="15.75">
      <c r="A83" s="93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8"/>
      <c r="N83" s="99"/>
      <c r="O83" s="95"/>
      <c r="P83" s="95"/>
      <c r="Q83" s="95"/>
      <c r="R83" s="96"/>
      <c r="S83" s="96"/>
      <c r="T83" s="96"/>
      <c r="U83" s="96"/>
      <c r="V83" s="96"/>
      <c r="W83" s="96"/>
      <c r="X83" s="96"/>
      <c r="Y83" s="96"/>
      <c r="Z83" s="96"/>
    </row>
    <row r="84" spans="1:26" s="97" customFormat="1" ht="15.75">
      <c r="A84" s="93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100"/>
      <c r="M84" s="98"/>
      <c r="N84" s="101"/>
      <c r="O84" s="95"/>
      <c r="P84" s="95"/>
      <c r="Q84" s="95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5.75">
      <c r="A85" s="102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4"/>
      <c r="N85" s="105"/>
      <c r="O85" s="81"/>
      <c r="P85" s="81"/>
      <c r="Q85" s="81"/>
      <c r="R85" s="77"/>
      <c r="S85" s="77"/>
      <c r="T85" s="77"/>
      <c r="U85" s="77"/>
      <c r="V85" s="77"/>
      <c r="W85" s="77"/>
      <c r="X85" s="77"/>
      <c r="Y85" s="77"/>
      <c r="Z85" s="77"/>
    </row>
    <row r="86" spans="1:26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77"/>
      <c r="S86" s="77"/>
      <c r="T86" s="77"/>
      <c r="U86" s="77"/>
      <c r="V86" s="77"/>
      <c r="W86" s="77"/>
      <c r="X86" s="77"/>
      <c r="Y86" s="77"/>
      <c r="Z86" s="77"/>
    </row>
    <row r="87" spans="1:26">
      <c r="A87" s="106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77"/>
      <c r="S87" s="77"/>
      <c r="T87" s="77"/>
      <c r="U87" s="77"/>
      <c r="V87" s="77"/>
      <c r="W87" s="77"/>
      <c r="X87" s="77"/>
      <c r="Y87" s="77"/>
      <c r="Z87" s="77"/>
    </row>
    <row r="88" spans="1:26">
      <c r="A88" s="106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77"/>
      <c r="S88" s="77"/>
      <c r="T88" s="77"/>
      <c r="U88" s="77"/>
      <c r="V88" s="77"/>
      <c r="W88" s="77"/>
      <c r="X88" s="77"/>
      <c r="Y88" s="77"/>
      <c r="Z88" s="77"/>
    </row>
    <row r="89" spans="1:26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</sheetData>
  <sheetProtection password="C1FB" sheet="1" objects="1" scenarios="1" formatCells="0" formatColumns="0" formatRows="0"/>
  <mergeCells count="153">
    <mergeCell ref="R11:S11"/>
    <mergeCell ref="R9:S10"/>
    <mergeCell ref="A36:A45"/>
    <mergeCell ref="F54:H54"/>
    <mergeCell ref="J54:L54"/>
    <mergeCell ref="B58:M58"/>
    <mergeCell ref="H31:K31"/>
    <mergeCell ref="X49:Z49"/>
    <mergeCell ref="R19:S19"/>
    <mergeCell ref="S32:S34"/>
    <mergeCell ref="R41:V43"/>
    <mergeCell ref="R44:S45"/>
    <mergeCell ref="B46:M46"/>
    <mergeCell ref="B47:M47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B37:M37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B53:D53"/>
    <mergeCell ref="F53:H53"/>
    <mergeCell ref="J53:L53"/>
    <mergeCell ref="B52:D52"/>
    <mergeCell ref="F52:H52"/>
    <mergeCell ref="J52:L52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J51:L51"/>
    <mergeCell ref="F51:H51"/>
    <mergeCell ref="B38:M38"/>
    <mergeCell ref="B39:M39"/>
    <mergeCell ref="I29:K29"/>
    <mergeCell ref="E17:F17"/>
    <mergeCell ref="G16:H16"/>
    <mergeCell ref="G17:H17"/>
    <mergeCell ref="J17:M17"/>
    <mergeCell ref="B18:M18"/>
    <mergeCell ref="B35:M35"/>
    <mergeCell ref="I24:K24"/>
    <mergeCell ref="C31:D31"/>
    <mergeCell ref="B43:M43"/>
    <mergeCell ref="B44:M44"/>
    <mergeCell ref="B48:M48"/>
    <mergeCell ref="B36:O36"/>
    <mergeCell ref="B33:M33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A8:A10"/>
    <mergeCell ref="B8:J8"/>
    <mergeCell ref="K8:M8"/>
    <mergeCell ref="N8:O9"/>
    <mergeCell ref="B9:J9"/>
    <mergeCell ref="K9:M9"/>
    <mergeCell ref="B5:M5"/>
    <mergeCell ref="A4:A5"/>
    <mergeCell ref="B4:I4"/>
    <mergeCell ref="J4:M4"/>
    <mergeCell ref="R33:R34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errorTitle="इनपुट ओल्ड एंड न्यू टैक्स regime" error="नई व पुराणी आयकर कर में से कोई एक सलेक्ट करे " sqref="R11:S11">
      <formula1>"New Tax Regime, Old Tax Regime"</formula1>
    </dataValidation>
    <dataValidation type="list" allowBlank="1" showInputMessage="1" showErrorMessage="1" sqref="R33">
      <formula1>"Yes, No"</formula1>
    </dataValidation>
  </dataValidations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Master Data</vt:lpstr>
      <vt:lpstr>GA55 Check &amp; Edit</vt:lpstr>
      <vt:lpstr>Extra Ded. </vt:lpstr>
      <vt:lpstr>GA55 Only Print</vt:lpstr>
      <vt:lpstr>COMPUTATION</vt:lpstr>
      <vt:lpstr>CCA</vt:lpstr>
      <vt:lpstr>gp</vt:lpstr>
      <vt:lpstr>level</vt:lpstr>
      <vt:lpstr>Month</vt:lpstr>
      <vt:lpstr>Month1</vt:lpstr>
      <vt:lpstr>pay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2020-10-31T07:52:58Z</cp:lastPrinted>
  <dcterms:created xsi:type="dcterms:W3CDTF">2020-09-27T00:42:28Z</dcterms:created>
  <dcterms:modified xsi:type="dcterms:W3CDTF">2021-08-03T11:41:06Z</dcterms:modified>
</cp:coreProperties>
</file>