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bookViews>
  <sheets>
    <sheet name="For Help" sheetId="15" r:id="rId1"/>
    <sheet name="Basic Data" sheetId="1" r:id="rId2"/>
    <sheet name="Exemp.(HRA+Other) &amp; Other incom" sheetId="6" r:id="rId3"/>
    <sheet name="GA-55" sheetId="2" r:id="rId4"/>
    <sheet name="New Regime Calc. Report" sheetId="12" r:id="rId5"/>
    <sheet name="Old Regime Calc. Report" sheetId="8" r:id="rId6"/>
    <sheet name="Form-16 As New Regime" sheetId="18" r:id="rId7"/>
    <sheet name="Form-16 As Old Regime" sheetId="10" r:id="rId8"/>
    <sheet name="OLD REGIME" sheetId="13" state="hidden" r:id="rId9"/>
    <sheet name="10 E Us 89(1) " sheetId="14" r:id="rId10"/>
    <sheet name="HRA Receipt" sheetId="7" r:id="rId11"/>
    <sheet name="HRA Calculator" sheetId="16" r:id="rId12"/>
    <sheet name="Itax Calculate For All Emp." sheetId="17" r:id="rId13"/>
  </sheets>
  <externalReferences>
    <externalReference r:id="rId14"/>
  </externalReferences>
  <definedNames>
    <definedName name="_xlnm.Print_Area" localSheetId="9">'10 E Us 89(1) '!$G$1:$BF$48</definedName>
    <definedName name="_xlnm.Print_Area" localSheetId="2">'Exemp.(HRA+Other) &amp; Other incom'!$R$1:$AB$28</definedName>
    <definedName name="_xlnm.Print_Area" localSheetId="3">'GA-55'!$B$1:$AC$32</definedName>
    <definedName name="_xlnm.Print_Area" localSheetId="10">'HRA Receipt'!$A$1:$AV$55,'HRA Receipt'!$A$56:$W$80</definedName>
    <definedName name="_xlnm.Print_Area" localSheetId="12">'Itax Calculate For All Emp.'!$D$2:$AO$106</definedName>
    <definedName name="_xlnm.Print_Area" localSheetId="4">'New Regime Calc. Report'!$B$1:$R$75</definedName>
    <definedName name="_xlnm.Print_Area" localSheetId="5">'Old Regime Calc. Report'!$B$1:$Q$71</definedName>
    <definedName name="rstatus">[1]data!$N$4:$N$6</definedName>
    <definedName name="Yes">'[1]Annexure-I'!$I$23:$I$24</definedName>
  </definedNames>
  <calcPr calcId="124519"/>
</workbook>
</file>

<file path=xl/calcChain.xml><?xml version="1.0" encoding="utf-8"?>
<calcChain xmlns="http://schemas.openxmlformats.org/spreadsheetml/2006/main">
  <c r="E10" i="14"/>
  <c r="Z55" i="12"/>
  <c r="X42" l="1"/>
  <c r="K9" i="2"/>
  <c r="K10" s="1"/>
  <c r="K11" s="1"/>
  <c r="K12" s="1"/>
  <c r="K13" s="1"/>
  <c r="K14" s="1"/>
  <c r="K15" s="1"/>
  <c r="K16" s="1"/>
  <c r="K17" s="1"/>
  <c r="K18" s="1"/>
  <c r="K19" s="1"/>
  <c r="K20" s="1"/>
  <c r="Q66" i="7"/>
  <c r="AY106" i="17" l="1"/>
  <c r="AX106"/>
  <c r="AW106"/>
  <c r="AS106"/>
  <c r="AR106"/>
  <c r="AQ106"/>
  <c r="AY105"/>
  <c r="AX105"/>
  <c r="AW105"/>
  <c r="AS105"/>
  <c r="AR105"/>
  <c r="AQ105"/>
  <c r="AY104"/>
  <c r="AX104"/>
  <c r="AW104"/>
  <c r="AS104"/>
  <c r="AR104"/>
  <c r="AQ104"/>
  <c r="AY103"/>
  <c r="AX103"/>
  <c r="AW103"/>
  <c r="AS103"/>
  <c r="AR103"/>
  <c r="AQ103"/>
  <c r="AY102"/>
  <c r="AX102"/>
  <c r="AW102"/>
  <c r="AS102"/>
  <c r="AR102"/>
  <c r="AQ102"/>
  <c r="AY101"/>
  <c r="AX101"/>
  <c r="AW101"/>
  <c r="AS101"/>
  <c r="AR101"/>
  <c r="AQ101"/>
  <c r="AY100"/>
  <c r="AX100"/>
  <c r="AW100"/>
  <c r="AS100"/>
  <c r="AR100"/>
  <c r="AQ100"/>
  <c r="AY99"/>
  <c r="AX99"/>
  <c r="AW99"/>
  <c r="AS99"/>
  <c r="AR99"/>
  <c r="AQ99"/>
  <c r="AY98"/>
  <c r="AX98"/>
  <c r="AW98"/>
  <c r="AS98"/>
  <c r="AR98"/>
  <c r="AQ98"/>
  <c r="AY97"/>
  <c r="AX97"/>
  <c r="AW97"/>
  <c r="AS97"/>
  <c r="AR97"/>
  <c r="AQ97"/>
  <c r="AY96"/>
  <c r="AX96"/>
  <c r="AW96"/>
  <c r="AS96"/>
  <c r="AR96"/>
  <c r="AQ96"/>
  <c r="AY95"/>
  <c r="AX95"/>
  <c r="AW95"/>
  <c r="AS95"/>
  <c r="AR95"/>
  <c r="AQ95"/>
  <c r="AY94"/>
  <c r="AX94"/>
  <c r="AW94"/>
  <c r="AS94"/>
  <c r="AR94"/>
  <c r="AQ94"/>
  <c r="AY93"/>
  <c r="AX93"/>
  <c r="AW93"/>
  <c r="AS93"/>
  <c r="AR93"/>
  <c r="AQ93"/>
  <c r="AY92"/>
  <c r="AX92"/>
  <c r="AW92"/>
  <c r="AS92"/>
  <c r="AR92"/>
  <c r="AQ92"/>
  <c r="AY91"/>
  <c r="AX91"/>
  <c r="AW91"/>
  <c r="AS91"/>
  <c r="AR91"/>
  <c r="AQ91"/>
  <c r="AY90"/>
  <c r="AX90"/>
  <c r="AW90"/>
  <c r="AS90"/>
  <c r="AR90"/>
  <c r="AQ90"/>
  <c r="AY89"/>
  <c r="AX89"/>
  <c r="AW89"/>
  <c r="AS89"/>
  <c r="AR89"/>
  <c r="AQ89"/>
  <c r="AY88"/>
  <c r="AX88"/>
  <c r="AW88"/>
  <c r="AS88"/>
  <c r="AR88"/>
  <c r="AQ88"/>
  <c r="AY87"/>
  <c r="AX87"/>
  <c r="AW87"/>
  <c r="AS87"/>
  <c r="AR87"/>
  <c r="AQ87"/>
  <c r="AY86"/>
  <c r="AX86"/>
  <c r="AW86"/>
  <c r="AS86"/>
  <c r="AR86"/>
  <c r="AQ86"/>
  <c r="AY85"/>
  <c r="AX85"/>
  <c r="AW85"/>
  <c r="AS85"/>
  <c r="AR85"/>
  <c r="AQ85"/>
  <c r="AY84"/>
  <c r="AX84"/>
  <c r="AW84"/>
  <c r="AS84"/>
  <c r="AR84"/>
  <c r="AQ84"/>
  <c r="AY83"/>
  <c r="AX83"/>
  <c r="AW83"/>
  <c r="AS83"/>
  <c r="AR83"/>
  <c r="AQ83"/>
  <c r="AY82"/>
  <c r="AX82"/>
  <c r="AW82"/>
  <c r="AS82"/>
  <c r="AR82"/>
  <c r="AQ82"/>
  <c r="AY81"/>
  <c r="AX81"/>
  <c r="AW81"/>
  <c r="AS81"/>
  <c r="AR81"/>
  <c r="AQ81"/>
  <c r="AY80"/>
  <c r="AX80"/>
  <c r="AW80"/>
  <c r="AS80"/>
  <c r="AR80"/>
  <c r="AQ80"/>
  <c r="AY79"/>
  <c r="AX79"/>
  <c r="AW79"/>
  <c r="AS79"/>
  <c r="AR79"/>
  <c r="AQ79"/>
  <c r="AY78"/>
  <c r="AX78"/>
  <c r="AW78"/>
  <c r="AS78"/>
  <c r="AR78"/>
  <c r="AQ78"/>
  <c r="AY77"/>
  <c r="AX77"/>
  <c r="AW77"/>
  <c r="AS77"/>
  <c r="AR77"/>
  <c r="AQ77"/>
  <c r="AY76"/>
  <c r="AX76"/>
  <c r="AW76"/>
  <c r="AS76"/>
  <c r="AR76"/>
  <c r="AQ76"/>
  <c r="AY75"/>
  <c r="AX75"/>
  <c r="AW75"/>
  <c r="AS75"/>
  <c r="AR75"/>
  <c r="AQ75"/>
  <c r="AY74"/>
  <c r="AX74"/>
  <c r="AW74"/>
  <c r="AS74"/>
  <c r="AR74"/>
  <c r="AQ74"/>
  <c r="AY73"/>
  <c r="AX73"/>
  <c r="AW73"/>
  <c r="AS73"/>
  <c r="AR73"/>
  <c r="AQ73"/>
  <c r="AY72"/>
  <c r="AX72"/>
  <c r="AW72"/>
  <c r="AS72"/>
  <c r="AR72"/>
  <c r="AQ72"/>
  <c r="AY71"/>
  <c r="AX71"/>
  <c r="AW71"/>
  <c r="AS71"/>
  <c r="AR71"/>
  <c r="AQ71"/>
  <c r="AY70"/>
  <c r="AX70"/>
  <c r="AW70"/>
  <c r="AS70"/>
  <c r="AR70"/>
  <c r="AQ70"/>
  <c r="AY69"/>
  <c r="AX69"/>
  <c r="AW69"/>
  <c r="AS69"/>
  <c r="AR69"/>
  <c r="AQ69"/>
  <c r="AY68"/>
  <c r="AX68"/>
  <c r="AW68"/>
  <c r="AS68"/>
  <c r="AR68"/>
  <c r="AQ68"/>
  <c r="AY67"/>
  <c r="AX67"/>
  <c r="AW67"/>
  <c r="AS67"/>
  <c r="AR67"/>
  <c r="AQ67"/>
  <c r="AY66"/>
  <c r="AX66"/>
  <c r="AW66"/>
  <c r="AS66"/>
  <c r="AR66"/>
  <c r="AQ66"/>
  <c r="AY65"/>
  <c r="AX65"/>
  <c r="AW65"/>
  <c r="AS65"/>
  <c r="AR65"/>
  <c r="AQ65"/>
  <c r="AY64"/>
  <c r="AX64"/>
  <c r="AW64"/>
  <c r="AS64"/>
  <c r="AR64"/>
  <c r="AQ64"/>
  <c r="AY63"/>
  <c r="AX63"/>
  <c r="AW63"/>
  <c r="AS63"/>
  <c r="AR63"/>
  <c r="AQ63"/>
  <c r="AY62"/>
  <c r="AX62"/>
  <c r="AW62"/>
  <c r="AS62"/>
  <c r="AR62"/>
  <c r="AQ62"/>
  <c r="AY61"/>
  <c r="AX61"/>
  <c r="AW61"/>
  <c r="AS61"/>
  <c r="AR61"/>
  <c r="AQ61"/>
  <c r="AY60"/>
  <c r="AX60"/>
  <c r="AW60"/>
  <c r="AS60"/>
  <c r="AR60"/>
  <c r="AQ60"/>
  <c r="AY59"/>
  <c r="AX59"/>
  <c r="AW59"/>
  <c r="AS59"/>
  <c r="AR59"/>
  <c r="AQ59"/>
  <c r="AY58"/>
  <c r="AX58"/>
  <c r="AW58"/>
  <c r="AS58"/>
  <c r="AR58"/>
  <c r="AQ58"/>
  <c r="AY57"/>
  <c r="AX57"/>
  <c r="AW57"/>
  <c r="AS57"/>
  <c r="AR57"/>
  <c r="AQ57"/>
  <c r="AY56"/>
  <c r="AX56"/>
  <c r="AW56"/>
  <c r="AS56"/>
  <c r="AR56"/>
  <c r="AQ56"/>
  <c r="AY55"/>
  <c r="AX55"/>
  <c r="AW55"/>
  <c r="AS55"/>
  <c r="AR55"/>
  <c r="AQ55"/>
  <c r="AY54"/>
  <c r="AX54"/>
  <c r="AW54"/>
  <c r="AS54"/>
  <c r="AR54"/>
  <c r="AQ54"/>
  <c r="AY53"/>
  <c r="AX53"/>
  <c r="AW53"/>
  <c r="AS53"/>
  <c r="AR53"/>
  <c r="AQ53"/>
  <c r="AY52"/>
  <c r="AX52"/>
  <c r="AW52"/>
  <c r="AS52"/>
  <c r="AR52"/>
  <c r="AQ52"/>
  <c r="AY51"/>
  <c r="AX51"/>
  <c r="AW51"/>
  <c r="AS51"/>
  <c r="AR51"/>
  <c r="AQ51"/>
  <c r="AY50"/>
  <c r="AX50"/>
  <c r="AW50"/>
  <c r="AS50"/>
  <c r="AR50"/>
  <c r="AQ50"/>
  <c r="AY49"/>
  <c r="AX49"/>
  <c r="AW49"/>
  <c r="AS49"/>
  <c r="AR49"/>
  <c r="AQ49"/>
  <c r="AY48"/>
  <c r="AX48"/>
  <c r="AW48"/>
  <c r="AS48"/>
  <c r="AR48"/>
  <c r="AQ48"/>
  <c r="AY47"/>
  <c r="AX47"/>
  <c r="AW47"/>
  <c r="AS47"/>
  <c r="AR47"/>
  <c r="AQ47"/>
  <c r="AY46"/>
  <c r="AX46"/>
  <c r="AW46"/>
  <c r="AS46"/>
  <c r="AR46"/>
  <c r="AQ46"/>
  <c r="AY45"/>
  <c r="AX45"/>
  <c r="AW45"/>
  <c r="AS45"/>
  <c r="AR45"/>
  <c r="AQ45"/>
  <c r="AY44"/>
  <c r="AX44"/>
  <c r="AW44"/>
  <c r="AS44"/>
  <c r="AR44"/>
  <c r="AQ44"/>
  <c r="AY43"/>
  <c r="AX43"/>
  <c r="AW43"/>
  <c r="AS43"/>
  <c r="AR43"/>
  <c r="AQ43"/>
  <c r="AY42"/>
  <c r="AX42"/>
  <c r="AW42"/>
  <c r="AS42"/>
  <c r="AR42"/>
  <c r="AQ42"/>
  <c r="AY41"/>
  <c r="AX41"/>
  <c r="AW41"/>
  <c r="AS41"/>
  <c r="AR41"/>
  <c r="AQ41"/>
  <c r="AY40"/>
  <c r="AX40"/>
  <c r="AW40"/>
  <c r="AS40"/>
  <c r="AR40"/>
  <c r="AQ40"/>
  <c r="AY39"/>
  <c r="AX39"/>
  <c r="AW39"/>
  <c r="AS39"/>
  <c r="AR39"/>
  <c r="AQ39"/>
  <c r="AY38"/>
  <c r="AX38"/>
  <c r="AW38"/>
  <c r="AS38"/>
  <c r="AR38"/>
  <c r="AQ38"/>
  <c r="AY37"/>
  <c r="AX37"/>
  <c r="AW37"/>
  <c r="AS37"/>
  <c r="AR37"/>
  <c r="AQ37"/>
  <c r="AY36"/>
  <c r="AX36"/>
  <c r="AW36"/>
  <c r="AS36"/>
  <c r="AR36"/>
  <c r="AQ36"/>
  <c r="AY35"/>
  <c r="AX35"/>
  <c r="AW35"/>
  <c r="AS35"/>
  <c r="AR35"/>
  <c r="AQ35"/>
  <c r="AY34"/>
  <c r="AX34"/>
  <c r="AW34"/>
  <c r="AS34"/>
  <c r="AR34"/>
  <c r="AQ34"/>
  <c r="AY33"/>
  <c r="AX33"/>
  <c r="AW33"/>
  <c r="AS33"/>
  <c r="AR33"/>
  <c r="AQ33"/>
  <c r="AY32"/>
  <c r="AX32"/>
  <c r="AW32"/>
  <c r="AS32"/>
  <c r="AR32"/>
  <c r="AQ32"/>
  <c r="AY31"/>
  <c r="AX31"/>
  <c r="AW31"/>
  <c r="AS31"/>
  <c r="AR31"/>
  <c r="AQ31"/>
  <c r="AY30"/>
  <c r="AX30"/>
  <c r="AW30"/>
  <c r="AS30"/>
  <c r="AR30"/>
  <c r="AQ30"/>
  <c r="AY29"/>
  <c r="AX29"/>
  <c r="AW29"/>
  <c r="AS29"/>
  <c r="AR29"/>
  <c r="AQ29"/>
  <c r="AY28"/>
  <c r="AX28"/>
  <c r="AW28"/>
  <c r="AS28"/>
  <c r="AR28"/>
  <c r="AQ28"/>
  <c r="AY27"/>
  <c r="AX27"/>
  <c r="AW27"/>
  <c r="AS27"/>
  <c r="AR27"/>
  <c r="AQ27"/>
  <c r="AY26"/>
  <c r="AX26"/>
  <c r="AW26"/>
  <c r="AS26"/>
  <c r="AR26"/>
  <c r="AQ26"/>
  <c r="AY25"/>
  <c r="AX25"/>
  <c r="AW25"/>
  <c r="AS25"/>
  <c r="AR25"/>
  <c r="AQ25"/>
  <c r="AY24"/>
  <c r="AX24"/>
  <c r="AW24"/>
  <c r="AS24"/>
  <c r="AR24"/>
  <c r="AQ24"/>
  <c r="AY23"/>
  <c r="AX23"/>
  <c r="AW23"/>
  <c r="AS23"/>
  <c r="AR23"/>
  <c r="AQ23"/>
  <c r="AY22"/>
  <c r="AX22"/>
  <c r="AW22"/>
  <c r="AS22"/>
  <c r="AR22"/>
  <c r="AQ22"/>
  <c r="AY21"/>
  <c r="AX21"/>
  <c r="AW21"/>
  <c r="AS21"/>
  <c r="AR21"/>
  <c r="AQ21"/>
  <c r="AY20"/>
  <c r="AX20"/>
  <c r="AW20"/>
  <c r="AS20"/>
  <c r="AR20"/>
  <c r="AQ20"/>
  <c r="AY19"/>
  <c r="AX19"/>
  <c r="AW19"/>
  <c r="AS19"/>
  <c r="AR19"/>
  <c r="AQ19"/>
  <c r="AY18"/>
  <c r="AX18"/>
  <c r="AW18"/>
  <c r="AS18"/>
  <c r="AR18"/>
  <c r="AQ18"/>
  <c r="AY17"/>
  <c r="AX17"/>
  <c r="AW17"/>
  <c r="AS17"/>
  <c r="AR17"/>
  <c r="AQ17"/>
  <c r="AY16"/>
  <c r="AX16"/>
  <c r="AW16"/>
  <c r="AS16"/>
  <c r="AR16"/>
  <c r="AQ16"/>
  <c r="AY15"/>
  <c r="AX15"/>
  <c r="AW15"/>
  <c r="AS15"/>
  <c r="AR15"/>
  <c r="AQ15"/>
  <c r="AY14"/>
  <c r="AX14"/>
  <c r="AW14"/>
  <c r="AS14"/>
  <c r="AR14"/>
  <c r="AQ14"/>
  <c r="AY13"/>
  <c r="AX13"/>
  <c r="AW13"/>
  <c r="AS13"/>
  <c r="AR13"/>
  <c r="AQ13"/>
  <c r="AY12"/>
  <c r="AX12"/>
  <c r="AW12"/>
  <c r="AS12"/>
  <c r="AR12"/>
  <c r="AQ12"/>
  <c r="AY11"/>
  <c r="AX11"/>
  <c r="AW11"/>
  <c r="AS11"/>
  <c r="AR11"/>
  <c r="AQ11"/>
  <c r="AY10"/>
  <c r="AX10"/>
  <c r="AW10"/>
  <c r="AS10"/>
  <c r="AR10"/>
  <c r="AQ10"/>
  <c r="AX9"/>
  <c r="AW9"/>
  <c r="AR9"/>
  <c r="AQ9"/>
  <c r="AY8"/>
  <c r="AX8"/>
  <c r="AW8"/>
  <c r="AS8"/>
  <c r="AR8"/>
  <c r="AQ8"/>
  <c r="AX7"/>
  <c r="AY7"/>
  <c r="AW7"/>
  <c r="AR7"/>
  <c r="AQ7"/>
  <c r="AS7"/>
  <c r="AZ10" l="1"/>
  <c r="BA10" s="1"/>
  <c r="BB10" s="1"/>
  <c r="AZ12"/>
  <c r="BA12" s="1"/>
  <c r="BB12" s="1"/>
  <c r="AZ14"/>
  <c r="BA14" s="1"/>
  <c r="BB14" s="1"/>
  <c r="AZ16"/>
  <c r="BA16" s="1"/>
  <c r="BB16" s="1"/>
  <c r="AZ18"/>
  <c r="BA18" s="1"/>
  <c r="BB18" s="1"/>
  <c r="AZ20"/>
  <c r="BA20" s="1"/>
  <c r="BB20" s="1"/>
  <c r="AZ22"/>
  <c r="BA22" s="1"/>
  <c r="BB22" s="1"/>
  <c r="AZ24"/>
  <c r="BA24" s="1"/>
  <c r="BB24" s="1"/>
  <c r="AZ26"/>
  <c r="BA26" s="1"/>
  <c r="BB26" s="1"/>
  <c r="AZ28"/>
  <c r="BA28" s="1"/>
  <c r="BB28" s="1"/>
  <c r="AZ30"/>
  <c r="BA30" s="1"/>
  <c r="BB30" s="1"/>
  <c r="AZ32"/>
  <c r="BA32" s="1"/>
  <c r="BB32" s="1"/>
  <c r="AZ34"/>
  <c r="BA34" s="1"/>
  <c r="BB34" s="1"/>
  <c r="AZ36"/>
  <c r="BA36" s="1"/>
  <c r="BB36" s="1"/>
  <c r="AZ38"/>
  <c r="BA38" s="1"/>
  <c r="BB38" s="1"/>
  <c r="AZ40"/>
  <c r="BA40" s="1"/>
  <c r="BB40" s="1"/>
  <c r="AZ42"/>
  <c r="BA42" s="1"/>
  <c r="BB42" s="1"/>
  <c r="AZ44"/>
  <c r="BA44" s="1"/>
  <c r="BB44" s="1"/>
  <c r="AZ46"/>
  <c r="BA46" s="1"/>
  <c r="BB46" s="1"/>
  <c r="AZ48"/>
  <c r="BA48" s="1"/>
  <c r="BB48" s="1"/>
  <c r="AZ50"/>
  <c r="BA50" s="1"/>
  <c r="BB50" s="1"/>
  <c r="AZ52"/>
  <c r="BA52" s="1"/>
  <c r="BB52" s="1"/>
  <c r="AZ54"/>
  <c r="BA54" s="1"/>
  <c r="BB54" s="1"/>
  <c r="AZ56"/>
  <c r="BA56" s="1"/>
  <c r="BB56" s="1"/>
  <c r="AZ58"/>
  <c r="BA58" s="1"/>
  <c r="BB58" s="1"/>
  <c r="AZ60"/>
  <c r="BA60" s="1"/>
  <c r="BB60" s="1"/>
  <c r="AZ62"/>
  <c r="BA62" s="1"/>
  <c r="BB62" s="1"/>
  <c r="AZ64"/>
  <c r="BA64" s="1"/>
  <c r="BB64" s="1"/>
  <c r="AZ66"/>
  <c r="BA66" s="1"/>
  <c r="BB66" s="1"/>
  <c r="AZ68"/>
  <c r="BA68" s="1"/>
  <c r="BB68" s="1"/>
  <c r="AZ70"/>
  <c r="BA70" s="1"/>
  <c r="BB70" s="1"/>
  <c r="AZ72"/>
  <c r="BA72" s="1"/>
  <c r="BB72" s="1"/>
  <c r="AZ74"/>
  <c r="BA74" s="1"/>
  <c r="BB74" s="1"/>
  <c r="AZ76"/>
  <c r="BA76" s="1"/>
  <c r="BB76" s="1"/>
  <c r="AZ78"/>
  <c r="BA78" s="1"/>
  <c r="BB78" s="1"/>
  <c r="AZ80"/>
  <c r="BA80" s="1"/>
  <c r="BB80" s="1"/>
  <c r="AZ82"/>
  <c r="BA82" s="1"/>
  <c r="BB82" s="1"/>
  <c r="AZ84"/>
  <c r="BA84" s="1"/>
  <c r="BB84" s="1"/>
  <c r="AZ86"/>
  <c r="BA86" s="1"/>
  <c r="BB86" s="1"/>
  <c r="AZ88"/>
  <c r="BA88" s="1"/>
  <c r="BB88" s="1"/>
  <c r="AZ90"/>
  <c r="BA90" s="1"/>
  <c r="BB90" s="1"/>
  <c r="AZ92"/>
  <c r="BA92" s="1"/>
  <c r="BB92" s="1"/>
  <c r="AZ94"/>
  <c r="BA94" s="1"/>
  <c r="BB94" s="1"/>
  <c r="AZ96"/>
  <c r="BA96" s="1"/>
  <c r="BB96" s="1"/>
  <c r="AZ98"/>
  <c r="BA98" s="1"/>
  <c r="BB98" s="1"/>
  <c r="AZ100"/>
  <c r="BA100" s="1"/>
  <c r="BB100" s="1"/>
  <c r="AZ102"/>
  <c r="BA102" s="1"/>
  <c r="BB102" s="1"/>
  <c r="AZ104"/>
  <c r="BA104" s="1"/>
  <c r="BB104" s="1"/>
  <c r="AZ106"/>
  <c r="BA106" s="1"/>
  <c r="BB106" s="1"/>
  <c r="AT11"/>
  <c r="AU11" s="1"/>
  <c r="AV11" s="1"/>
  <c r="AT13"/>
  <c r="AU13" s="1"/>
  <c r="AV13" s="1"/>
  <c r="AT15"/>
  <c r="AU15" s="1"/>
  <c r="AV15" s="1"/>
  <c r="AT17"/>
  <c r="AU17" s="1"/>
  <c r="AV17" s="1"/>
  <c r="AT19"/>
  <c r="AU19" s="1"/>
  <c r="AV19" s="1"/>
  <c r="AZ8"/>
  <c r="BA8" s="1"/>
  <c r="BB8" s="1"/>
  <c r="AZ11"/>
  <c r="BA11" s="1"/>
  <c r="BB11" s="1"/>
  <c r="AZ15"/>
  <c r="BA15" s="1"/>
  <c r="BB15" s="1"/>
  <c r="AZ17"/>
  <c r="BA17" s="1"/>
  <c r="BB17" s="1"/>
  <c r="AZ21"/>
  <c r="BA21" s="1"/>
  <c r="BB21" s="1"/>
  <c r="AZ25"/>
  <c r="BA25" s="1"/>
  <c r="BB25" s="1"/>
  <c r="AZ29"/>
  <c r="BA29" s="1"/>
  <c r="BB29" s="1"/>
  <c r="AZ33"/>
  <c r="BA33" s="1"/>
  <c r="BB33" s="1"/>
  <c r="AZ35"/>
  <c r="BA35" s="1"/>
  <c r="BB35" s="1"/>
  <c r="AZ37"/>
  <c r="BA37" s="1"/>
  <c r="BB37" s="1"/>
  <c r="AZ39"/>
  <c r="BA39" s="1"/>
  <c r="BB39" s="1"/>
  <c r="AZ41"/>
  <c r="BA41" s="1"/>
  <c r="BB41" s="1"/>
  <c r="AZ43"/>
  <c r="BA43" s="1"/>
  <c r="BB43" s="1"/>
  <c r="AZ45"/>
  <c r="BA45" s="1"/>
  <c r="BB45" s="1"/>
  <c r="AZ47"/>
  <c r="BA47" s="1"/>
  <c r="BB47" s="1"/>
  <c r="AZ49"/>
  <c r="BA49" s="1"/>
  <c r="BB49" s="1"/>
  <c r="AZ51"/>
  <c r="BA51" s="1"/>
  <c r="BB51" s="1"/>
  <c r="AZ53"/>
  <c r="BA53" s="1"/>
  <c r="BB53" s="1"/>
  <c r="AZ55"/>
  <c r="BA55" s="1"/>
  <c r="BB55" s="1"/>
  <c r="AZ57"/>
  <c r="BA57" s="1"/>
  <c r="BB57" s="1"/>
  <c r="AZ59"/>
  <c r="BA59" s="1"/>
  <c r="BB59" s="1"/>
  <c r="AZ61"/>
  <c r="BA61" s="1"/>
  <c r="BB61" s="1"/>
  <c r="AZ63"/>
  <c r="BA63" s="1"/>
  <c r="BB63" s="1"/>
  <c r="AZ65"/>
  <c r="BA65" s="1"/>
  <c r="BB65" s="1"/>
  <c r="AZ67"/>
  <c r="BA67" s="1"/>
  <c r="BB67" s="1"/>
  <c r="AZ69"/>
  <c r="BA69" s="1"/>
  <c r="BB69" s="1"/>
  <c r="AZ71"/>
  <c r="BA71" s="1"/>
  <c r="BB71" s="1"/>
  <c r="AZ73"/>
  <c r="BA73" s="1"/>
  <c r="BB73" s="1"/>
  <c r="AZ75"/>
  <c r="BA75" s="1"/>
  <c r="BB75" s="1"/>
  <c r="AZ77"/>
  <c r="BA77" s="1"/>
  <c r="BB77" s="1"/>
  <c r="AZ79"/>
  <c r="BA79" s="1"/>
  <c r="BB79" s="1"/>
  <c r="AZ81"/>
  <c r="BA81" s="1"/>
  <c r="BB81" s="1"/>
  <c r="AZ83"/>
  <c r="BA83" s="1"/>
  <c r="BB83" s="1"/>
  <c r="AZ85"/>
  <c r="BA85" s="1"/>
  <c r="BB85" s="1"/>
  <c r="AZ87"/>
  <c r="BA87" s="1"/>
  <c r="BB87" s="1"/>
  <c r="AZ89"/>
  <c r="BA89" s="1"/>
  <c r="BB89" s="1"/>
  <c r="AZ91"/>
  <c r="BA91" s="1"/>
  <c r="BB91" s="1"/>
  <c r="AZ93"/>
  <c r="BA93" s="1"/>
  <c r="BB93" s="1"/>
  <c r="AZ95"/>
  <c r="BA95" s="1"/>
  <c r="BB95" s="1"/>
  <c r="AZ97"/>
  <c r="BA97" s="1"/>
  <c r="BB97" s="1"/>
  <c r="AZ99"/>
  <c r="BA99" s="1"/>
  <c r="BB99" s="1"/>
  <c r="AZ101"/>
  <c r="BA101" s="1"/>
  <c r="BB101" s="1"/>
  <c r="AZ103"/>
  <c r="BA103" s="1"/>
  <c r="BB103" s="1"/>
  <c r="AZ105"/>
  <c r="BA105" s="1"/>
  <c r="BB105" s="1"/>
  <c r="AT8"/>
  <c r="AU8" s="1"/>
  <c r="AV8" s="1"/>
  <c r="AZ13"/>
  <c r="BA13" s="1"/>
  <c r="BB13" s="1"/>
  <c r="AZ19"/>
  <c r="BA19" s="1"/>
  <c r="BB19" s="1"/>
  <c r="AZ23"/>
  <c r="BA23" s="1"/>
  <c r="BB23" s="1"/>
  <c r="AZ27"/>
  <c r="BA27" s="1"/>
  <c r="BB27" s="1"/>
  <c r="AZ31"/>
  <c r="BA31" s="1"/>
  <c r="BB31" s="1"/>
  <c r="AT10"/>
  <c r="AU10" s="1"/>
  <c r="AV10" s="1"/>
  <c r="AT12"/>
  <c r="AU12" s="1"/>
  <c r="AV12" s="1"/>
  <c r="AT14"/>
  <c r="AU14" s="1"/>
  <c r="AV14" s="1"/>
  <c r="AT16"/>
  <c r="AU16" s="1"/>
  <c r="AV16" s="1"/>
  <c r="AT18"/>
  <c r="AU18" s="1"/>
  <c r="AV18" s="1"/>
  <c r="AT20"/>
  <c r="AU20" s="1"/>
  <c r="AV20" s="1"/>
  <c r="AT22"/>
  <c r="AU22" s="1"/>
  <c r="AV22" s="1"/>
  <c r="AT24"/>
  <c r="AU24" s="1"/>
  <c r="AV24" s="1"/>
  <c r="AT26"/>
  <c r="AU26" s="1"/>
  <c r="AV26" s="1"/>
  <c r="AT28"/>
  <c r="AU28" s="1"/>
  <c r="AV28" s="1"/>
  <c r="AT30"/>
  <c r="AU30" s="1"/>
  <c r="AV30" s="1"/>
  <c r="AT32"/>
  <c r="AU32" s="1"/>
  <c r="AV32" s="1"/>
  <c r="AT34"/>
  <c r="AU34" s="1"/>
  <c r="AV34" s="1"/>
  <c r="AT36"/>
  <c r="AU36" s="1"/>
  <c r="AV36" s="1"/>
  <c r="AT38"/>
  <c r="AU38" s="1"/>
  <c r="AV38" s="1"/>
  <c r="AT40"/>
  <c r="AU40" s="1"/>
  <c r="AV40" s="1"/>
  <c r="AT42"/>
  <c r="AU42" s="1"/>
  <c r="AV42" s="1"/>
  <c r="AT44"/>
  <c r="AU44" s="1"/>
  <c r="AV44" s="1"/>
  <c r="AT46"/>
  <c r="AU46" s="1"/>
  <c r="AV46" s="1"/>
  <c r="AT48"/>
  <c r="AU48" s="1"/>
  <c r="AV48" s="1"/>
  <c r="AT50"/>
  <c r="AU50" s="1"/>
  <c r="AV50" s="1"/>
  <c r="AT52"/>
  <c r="AU52" s="1"/>
  <c r="AV52" s="1"/>
  <c r="AT54"/>
  <c r="AU54" s="1"/>
  <c r="AV54" s="1"/>
  <c r="AT56"/>
  <c r="AU56" s="1"/>
  <c r="AV56" s="1"/>
  <c r="AT58"/>
  <c r="AU58" s="1"/>
  <c r="AV58" s="1"/>
  <c r="AT60"/>
  <c r="AU60" s="1"/>
  <c r="AV60" s="1"/>
  <c r="AT62"/>
  <c r="AU62" s="1"/>
  <c r="AV62" s="1"/>
  <c r="AT64"/>
  <c r="AU64" s="1"/>
  <c r="AV64" s="1"/>
  <c r="AT66"/>
  <c r="AU66" s="1"/>
  <c r="AV66" s="1"/>
  <c r="AT68"/>
  <c r="AU68" s="1"/>
  <c r="AV68" s="1"/>
  <c r="AT70"/>
  <c r="AU70" s="1"/>
  <c r="AV70" s="1"/>
  <c r="AT72"/>
  <c r="AU72" s="1"/>
  <c r="AV72" s="1"/>
  <c r="AT74"/>
  <c r="AU74" s="1"/>
  <c r="AV74" s="1"/>
  <c r="AT76"/>
  <c r="AU76" s="1"/>
  <c r="AV76" s="1"/>
  <c r="AT78"/>
  <c r="AU78" s="1"/>
  <c r="AV78" s="1"/>
  <c r="AT80"/>
  <c r="AU80" s="1"/>
  <c r="AV80" s="1"/>
  <c r="AT82"/>
  <c r="AU82" s="1"/>
  <c r="AV82" s="1"/>
  <c r="AT84"/>
  <c r="AU84" s="1"/>
  <c r="AV84" s="1"/>
  <c r="AT86"/>
  <c r="AU86" s="1"/>
  <c r="AV86" s="1"/>
  <c r="AT88"/>
  <c r="AU88" s="1"/>
  <c r="AV88" s="1"/>
  <c r="AT90"/>
  <c r="AU90" s="1"/>
  <c r="AV90" s="1"/>
  <c r="AT92"/>
  <c r="AU92" s="1"/>
  <c r="AV92" s="1"/>
  <c r="AT94"/>
  <c r="AU94" s="1"/>
  <c r="AV94" s="1"/>
  <c r="AT96"/>
  <c r="AU96" s="1"/>
  <c r="AV96" s="1"/>
  <c r="AT98"/>
  <c r="AU98" s="1"/>
  <c r="AV98" s="1"/>
  <c r="AT100"/>
  <c r="AU100" s="1"/>
  <c r="AV100" s="1"/>
  <c r="AT102"/>
  <c r="AU102" s="1"/>
  <c r="AV102" s="1"/>
  <c r="AT104"/>
  <c r="AU104" s="1"/>
  <c r="AV104" s="1"/>
  <c r="AT106"/>
  <c r="AU106" s="1"/>
  <c r="AV106" s="1"/>
  <c r="AT21"/>
  <c r="AU21" s="1"/>
  <c r="AV21" s="1"/>
  <c r="AT23"/>
  <c r="AU23" s="1"/>
  <c r="AV23" s="1"/>
  <c r="AT25"/>
  <c r="AU25" s="1"/>
  <c r="AV25" s="1"/>
  <c r="AT27"/>
  <c r="AU27" s="1"/>
  <c r="AV27" s="1"/>
  <c r="AT29"/>
  <c r="AU29" s="1"/>
  <c r="AV29" s="1"/>
  <c r="AT31"/>
  <c r="AU31" s="1"/>
  <c r="AV31" s="1"/>
  <c r="AT33"/>
  <c r="AU33" s="1"/>
  <c r="AV33" s="1"/>
  <c r="AT35"/>
  <c r="AU35" s="1"/>
  <c r="AV35" s="1"/>
  <c r="AT37"/>
  <c r="AU37" s="1"/>
  <c r="AV37" s="1"/>
  <c r="AT39"/>
  <c r="AU39" s="1"/>
  <c r="AV39" s="1"/>
  <c r="AT41"/>
  <c r="AU41" s="1"/>
  <c r="AV41" s="1"/>
  <c r="AT43"/>
  <c r="AU43" s="1"/>
  <c r="AV43" s="1"/>
  <c r="AT45"/>
  <c r="AU45" s="1"/>
  <c r="AV45" s="1"/>
  <c r="AT47"/>
  <c r="AU47" s="1"/>
  <c r="AV47" s="1"/>
  <c r="AT49"/>
  <c r="AU49" s="1"/>
  <c r="AV49" s="1"/>
  <c r="AT51"/>
  <c r="AU51" s="1"/>
  <c r="AV51" s="1"/>
  <c r="AT53"/>
  <c r="AU53" s="1"/>
  <c r="AV53" s="1"/>
  <c r="AT55"/>
  <c r="AU55" s="1"/>
  <c r="AV55" s="1"/>
  <c r="AT57"/>
  <c r="AU57" s="1"/>
  <c r="AV57" s="1"/>
  <c r="AT59"/>
  <c r="AU59" s="1"/>
  <c r="AV59" s="1"/>
  <c r="AT61"/>
  <c r="AU61" s="1"/>
  <c r="AV61" s="1"/>
  <c r="AT63"/>
  <c r="AU63" s="1"/>
  <c r="AV63" s="1"/>
  <c r="AT65"/>
  <c r="AU65" s="1"/>
  <c r="AV65" s="1"/>
  <c r="AT67"/>
  <c r="AU67" s="1"/>
  <c r="AV67" s="1"/>
  <c r="AT69"/>
  <c r="AU69" s="1"/>
  <c r="AV69" s="1"/>
  <c r="AT71"/>
  <c r="AU71" s="1"/>
  <c r="AV71" s="1"/>
  <c r="AT73"/>
  <c r="AU73" s="1"/>
  <c r="AV73" s="1"/>
  <c r="AT75"/>
  <c r="AU75" s="1"/>
  <c r="AV75" s="1"/>
  <c r="AT77"/>
  <c r="AU77" s="1"/>
  <c r="AV77" s="1"/>
  <c r="AT79"/>
  <c r="AU79" s="1"/>
  <c r="AV79" s="1"/>
  <c r="AT81"/>
  <c r="AU81" s="1"/>
  <c r="AV81" s="1"/>
  <c r="AT83"/>
  <c r="AU83" s="1"/>
  <c r="AV83" s="1"/>
  <c r="AT85"/>
  <c r="AU85" s="1"/>
  <c r="AV85" s="1"/>
  <c r="AT87"/>
  <c r="AU87" s="1"/>
  <c r="AV87" s="1"/>
  <c r="AT89"/>
  <c r="AU89" s="1"/>
  <c r="AV89" s="1"/>
  <c r="AT91"/>
  <c r="AU91" s="1"/>
  <c r="AV91" s="1"/>
  <c r="AT93"/>
  <c r="AU93" s="1"/>
  <c r="AV93" s="1"/>
  <c r="AT95"/>
  <c r="AU95" s="1"/>
  <c r="AV95" s="1"/>
  <c r="AT97"/>
  <c r="AU97" s="1"/>
  <c r="AV97" s="1"/>
  <c r="AT99"/>
  <c r="AU99" s="1"/>
  <c r="AV99" s="1"/>
  <c r="AT101"/>
  <c r="AU101" s="1"/>
  <c r="AV101" s="1"/>
  <c r="AT103"/>
  <c r="AU103" s="1"/>
  <c r="AV103" s="1"/>
  <c r="AT105"/>
  <c r="AU105" s="1"/>
  <c r="AV105" s="1"/>
  <c r="AJ5"/>
  <c r="AI5"/>
  <c r="AA106"/>
  <c r="Z106"/>
  <c r="Y106"/>
  <c r="X106"/>
  <c r="W106"/>
  <c r="V106"/>
  <c r="AA105"/>
  <c r="Z105"/>
  <c r="Y105"/>
  <c r="X105"/>
  <c r="W105"/>
  <c r="V105"/>
  <c r="AA104"/>
  <c r="Z104"/>
  <c r="Y104"/>
  <c r="X104"/>
  <c r="W104"/>
  <c r="V104"/>
  <c r="AA103"/>
  <c r="Z103"/>
  <c r="Y103"/>
  <c r="X103"/>
  <c r="W103"/>
  <c r="V103"/>
  <c r="AA102"/>
  <c r="Z102"/>
  <c r="Y102"/>
  <c r="X102"/>
  <c r="W102"/>
  <c r="V102"/>
  <c r="AA101"/>
  <c r="Z101"/>
  <c r="Y101"/>
  <c r="X101"/>
  <c r="W101"/>
  <c r="V101"/>
  <c r="AA100"/>
  <c r="Z100"/>
  <c r="Y100"/>
  <c r="X100"/>
  <c r="W100"/>
  <c r="V100"/>
  <c r="AA99"/>
  <c r="Z99"/>
  <c r="Y99"/>
  <c r="X99"/>
  <c r="W99"/>
  <c r="V99"/>
  <c r="AA98"/>
  <c r="Z98"/>
  <c r="Y98"/>
  <c r="X98"/>
  <c r="W98"/>
  <c r="V98"/>
  <c r="AA97"/>
  <c r="Z97"/>
  <c r="Y97"/>
  <c r="X97"/>
  <c r="W97"/>
  <c r="V97"/>
  <c r="AA96"/>
  <c r="Z96"/>
  <c r="Y96"/>
  <c r="X96"/>
  <c r="W96"/>
  <c r="V96"/>
  <c r="AA95"/>
  <c r="Z95"/>
  <c r="Y95"/>
  <c r="X95"/>
  <c r="W95"/>
  <c r="V95"/>
  <c r="AA94"/>
  <c r="Z94"/>
  <c r="Y94"/>
  <c r="X94"/>
  <c r="W94"/>
  <c r="V94"/>
  <c r="AA93"/>
  <c r="Z93"/>
  <c r="Y93"/>
  <c r="X93"/>
  <c r="W93"/>
  <c r="V93"/>
  <c r="AA92"/>
  <c r="Z92"/>
  <c r="Y92"/>
  <c r="X92"/>
  <c r="W92"/>
  <c r="V92"/>
  <c r="AA91"/>
  <c r="Z91"/>
  <c r="Y91"/>
  <c r="X91"/>
  <c r="W91"/>
  <c r="V91"/>
  <c r="AA90"/>
  <c r="Z90"/>
  <c r="Y90"/>
  <c r="X90"/>
  <c r="W90"/>
  <c r="V90"/>
  <c r="AA89"/>
  <c r="Z89"/>
  <c r="Y89"/>
  <c r="X89"/>
  <c r="W89"/>
  <c r="V89"/>
  <c r="AA88"/>
  <c r="Z88"/>
  <c r="Y88"/>
  <c r="X88"/>
  <c r="W88"/>
  <c r="V88"/>
  <c r="AA87"/>
  <c r="Z87"/>
  <c r="Y87"/>
  <c r="X87"/>
  <c r="W87"/>
  <c r="V87"/>
  <c r="AA86"/>
  <c r="Z86"/>
  <c r="Y86"/>
  <c r="X86"/>
  <c r="W86"/>
  <c r="V86"/>
  <c r="AA85"/>
  <c r="Z85"/>
  <c r="Y85"/>
  <c r="X85"/>
  <c r="W85"/>
  <c r="V85"/>
  <c r="AA84"/>
  <c r="Z84"/>
  <c r="Y84"/>
  <c r="X84"/>
  <c r="W84"/>
  <c r="V84"/>
  <c r="AA83"/>
  <c r="Z83"/>
  <c r="Y83"/>
  <c r="X83"/>
  <c r="W83"/>
  <c r="V83"/>
  <c r="AA82"/>
  <c r="Z82"/>
  <c r="Y82"/>
  <c r="X82"/>
  <c r="W82"/>
  <c r="V82"/>
  <c r="AA81"/>
  <c r="Z81"/>
  <c r="Y81"/>
  <c r="X81"/>
  <c r="W81"/>
  <c r="V81"/>
  <c r="AA80"/>
  <c r="Z80"/>
  <c r="Y80"/>
  <c r="X80"/>
  <c r="W80"/>
  <c r="V80"/>
  <c r="AA79"/>
  <c r="Z79"/>
  <c r="Y79"/>
  <c r="X79"/>
  <c r="W79"/>
  <c r="V79"/>
  <c r="AA78"/>
  <c r="Z78"/>
  <c r="Y78"/>
  <c r="X78"/>
  <c r="W78"/>
  <c r="V78"/>
  <c r="AA77"/>
  <c r="Z77"/>
  <c r="Y77"/>
  <c r="X77"/>
  <c r="W77"/>
  <c r="V77"/>
  <c r="AA76"/>
  <c r="Z76"/>
  <c r="Y76"/>
  <c r="X76"/>
  <c r="W76"/>
  <c r="V76"/>
  <c r="AA75"/>
  <c r="Z75"/>
  <c r="Y75"/>
  <c r="X75"/>
  <c r="W75"/>
  <c r="V75"/>
  <c r="AA74"/>
  <c r="Z74"/>
  <c r="Y74"/>
  <c r="X74"/>
  <c r="W74"/>
  <c r="V74"/>
  <c r="AA73"/>
  <c r="Z73"/>
  <c r="Y73"/>
  <c r="X73"/>
  <c r="W73"/>
  <c r="V73"/>
  <c r="AA72"/>
  <c r="Z72"/>
  <c r="Y72"/>
  <c r="X72"/>
  <c r="W72"/>
  <c r="V72"/>
  <c r="AA71"/>
  <c r="Z71"/>
  <c r="Y71"/>
  <c r="X71"/>
  <c r="W71"/>
  <c r="V71"/>
  <c r="AA70"/>
  <c r="Z70"/>
  <c r="Y70"/>
  <c r="X70"/>
  <c r="W70"/>
  <c r="V70"/>
  <c r="AA69"/>
  <c r="Z69"/>
  <c r="Y69"/>
  <c r="X69"/>
  <c r="W69"/>
  <c r="V69"/>
  <c r="AA68"/>
  <c r="Z68"/>
  <c r="Y68"/>
  <c r="X68"/>
  <c r="W68"/>
  <c r="V68"/>
  <c r="AA67"/>
  <c r="Z67"/>
  <c r="Y67"/>
  <c r="X67"/>
  <c r="W67"/>
  <c r="V67"/>
  <c r="AA66"/>
  <c r="Z66"/>
  <c r="Y66"/>
  <c r="X66"/>
  <c r="W66"/>
  <c r="V66"/>
  <c r="AA65"/>
  <c r="Z65"/>
  <c r="Y65"/>
  <c r="X65"/>
  <c r="W65"/>
  <c r="V65"/>
  <c r="AA64"/>
  <c r="Z64"/>
  <c r="Y64"/>
  <c r="X64"/>
  <c r="W64"/>
  <c r="V64"/>
  <c r="AA63"/>
  <c r="Z63"/>
  <c r="Y63"/>
  <c r="X63"/>
  <c r="W63"/>
  <c r="V63"/>
  <c r="AA62"/>
  <c r="Z62"/>
  <c r="Y62"/>
  <c r="X62"/>
  <c r="W62"/>
  <c r="V62"/>
  <c r="AA61"/>
  <c r="Z61"/>
  <c r="Y61"/>
  <c r="X61"/>
  <c r="W61"/>
  <c r="V61"/>
  <c r="AA60"/>
  <c r="Z60"/>
  <c r="Y60"/>
  <c r="X60"/>
  <c r="W60"/>
  <c r="V60"/>
  <c r="AA59"/>
  <c r="Z59"/>
  <c r="Y59"/>
  <c r="X59"/>
  <c r="W59"/>
  <c r="V59"/>
  <c r="AA58"/>
  <c r="Z58"/>
  <c r="Y58"/>
  <c r="X58"/>
  <c r="W58"/>
  <c r="V58"/>
  <c r="AA57"/>
  <c r="Z57"/>
  <c r="Y57"/>
  <c r="X57"/>
  <c r="W57"/>
  <c r="V57"/>
  <c r="AA56"/>
  <c r="Z56"/>
  <c r="Y56"/>
  <c r="X56"/>
  <c r="W56"/>
  <c r="V56"/>
  <c r="AA55"/>
  <c r="Z55"/>
  <c r="Y55"/>
  <c r="X55"/>
  <c r="W55"/>
  <c r="V55"/>
  <c r="AA54"/>
  <c r="Z54"/>
  <c r="Y54"/>
  <c r="X54"/>
  <c r="W54"/>
  <c r="V54"/>
  <c r="AA53"/>
  <c r="Z53"/>
  <c r="Y53"/>
  <c r="X53"/>
  <c r="W53"/>
  <c r="V53"/>
  <c r="AA52"/>
  <c r="Z52"/>
  <c r="Y52"/>
  <c r="X52"/>
  <c r="W52"/>
  <c r="V52"/>
  <c r="AA51"/>
  <c r="Z51"/>
  <c r="Y51"/>
  <c r="X51"/>
  <c r="W51"/>
  <c r="V51"/>
  <c r="AA50"/>
  <c r="Z50"/>
  <c r="Y50"/>
  <c r="X50"/>
  <c r="W50"/>
  <c r="V50"/>
  <c r="AA49"/>
  <c r="Z49"/>
  <c r="Y49"/>
  <c r="X49"/>
  <c r="W49"/>
  <c r="V49"/>
  <c r="AA48"/>
  <c r="Z48"/>
  <c r="Y48"/>
  <c r="X48"/>
  <c r="W48"/>
  <c r="V48"/>
  <c r="AA47"/>
  <c r="Z47"/>
  <c r="Y47"/>
  <c r="X47"/>
  <c r="W47"/>
  <c r="V47"/>
  <c r="AA46"/>
  <c r="Z46"/>
  <c r="Y46"/>
  <c r="X46"/>
  <c r="W46"/>
  <c r="V46"/>
  <c r="AA45"/>
  <c r="Z45"/>
  <c r="Y45"/>
  <c r="X45"/>
  <c r="W45"/>
  <c r="V45"/>
  <c r="AA44"/>
  <c r="Z44"/>
  <c r="Y44"/>
  <c r="X44"/>
  <c r="W44"/>
  <c r="V44"/>
  <c r="AA43"/>
  <c r="Z43"/>
  <c r="Y43"/>
  <c r="X43"/>
  <c r="W43"/>
  <c r="V43"/>
  <c r="AA42"/>
  <c r="Z42"/>
  <c r="Y42"/>
  <c r="X42"/>
  <c r="W42"/>
  <c r="V42"/>
  <c r="AA41"/>
  <c r="Z41"/>
  <c r="Y41"/>
  <c r="X41"/>
  <c r="W41"/>
  <c r="V41"/>
  <c r="AA40"/>
  <c r="Z40"/>
  <c r="Y40"/>
  <c r="X40"/>
  <c r="W40"/>
  <c r="V40"/>
  <c r="AA39"/>
  <c r="Z39"/>
  <c r="Y39"/>
  <c r="X39"/>
  <c r="W39"/>
  <c r="V39"/>
  <c r="AA38"/>
  <c r="Z38"/>
  <c r="Y38"/>
  <c r="X38"/>
  <c r="W38"/>
  <c r="V38"/>
  <c r="AA37"/>
  <c r="Z37"/>
  <c r="Y37"/>
  <c r="X37"/>
  <c r="W37"/>
  <c r="V37"/>
  <c r="AA36"/>
  <c r="Z36"/>
  <c r="Y36"/>
  <c r="X36"/>
  <c r="W36"/>
  <c r="V36"/>
  <c r="AA35"/>
  <c r="Z35"/>
  <c r="Y35"/>
  <c r="X35"/>
  <c r="W35"/>
  <c r="V35"/>
  <c r="AA34"/>
  <c r="Z34"/>
  <c r="Y34"/>
  <c r="X34"/>
  <c r="W34"/>
  <c r="V34"/>
  <c r="AA33"/>
  <c r="Z33"/>
  <c r="Y33"/>
  <c r="X33"/>
  <c r="W33"/>
  <c r="V33"/>
  <c r="AA32"/>
  <c r="Z32"/>
  <c r="Y32"/>
  <c r="X32"/>
  <c r="W32"/>
  <c r="V32"/>
  <c r="AA31"/>
  <c r="Z31"/>
  <c r="Y31"/>
  <c r="X31"/>
  <c r="W31"/>
  <c r="V31"/>
  <c r="AA30"/>
  <c r="Z30"/>
  <c r="Y30"/>
  <c r="X30"/>
  <c r="W30"/>
  <c r="V30"/>
  <c r="AA29"/>
  <c r="Z29"/>
  <c r="Y29"/>
  <c r="X29"/>
  <c r="W29"/>
  <c r="V29"/>
  <c r="AA28"/>
  <c r="Z28"/>
  <c r="Y28"/>
  <c r="X28"/>
  <c r="W28"/>
  <c r="V28"/>
  <c r="AA27"/>
  <c r="Z27"/>
  <c r="Y27"/>
  <c r="X27"/>
  <c r="W27"/>
  <c r="V27"/>
  <c r="AA26"/>
  <c r="Z26"/>
  <c r="Y26"/>
  <c r="X26"/>
  <c r="W26"/>
  <c r="V26"/>
  <c r="AA25"/>
  <c r="Z25"/>
  <c r="Y25"/>
  <c r="X25"/>
  <c r="W25"/>
  <c r="V25"/>
  <c r="AA24"/>
  <c r="Z24"/>
  <c r="Y24"/>
  <c r="X24"/>
  <c r="W24"/>
  <c r="V24"/>
  <c r="AA23"/>
  <c r="Z23"/>
  <c r="Y23"/>
  <c r="X23"/>
  <c r="W23"/>
  <c r="V23"/>
  <c r="AA22"/>
  <c r="Z22"/>
  <c r="Y22"/>
  <c r="X22"/>
  <c r="W22"/>
  <c r="V22"/>
  <c r="AA21"/>
  <c r="Z21"/>
  <c r="Y21"/>
  <c r="X21"/>
  <c r="W21"/>
  <c r="V21"/>
  <c r="AA20"/>
  <c r="Z20"/>
  <c r="Y20"/>
  <c r="X20"/>
  <c r="W20"/>
  <c r="V20"/>
  <c r="AA19"/>
  <c r="Z19"/>
  <c r="Y19"/>
  <c r="X19"/>
  <c r="W19"/>
  <c r="V19"/>
  <c r="AA18"/>
  <c r="Z18"/>
  <c r="Y18"/>
  <c r="X18"/>
  <c r="W18"/>
  <c r="V18"/>
  <c r="AA17"/>
  <c r="Z17"/>
  <c r="Y17"/>
  <c r="X17"/>
  <c r="W17"/>
  <c r="V17"/>
  <c r="AA16"/>
  <c r="Z16"/>
  <c r="Y16"/>
  <c r="X16"/>
  <c r="W16"/>
  <c r="V16"/>
  <c r="AA15"/>
  <c r="Z15"/>
  <c r="Y15"/>
  <c r="X15"/>
  <c r="W15"/>
  <c r="V15"/>
  <c r="AA14"/>
  <c r="Z14"/>
  <c r="Y14"/>
  <c r="X14"/>
  <c r="W14"/>
  <c r="V14"/>
  <c r="AA13"/>
  <c r="Z13"/>
  <c r="Y13"/>
  <c r="X13"/>
  <c r="W13"/>
  <c r="V13"/>
  <c r="AA12"/>
  <c r="Z12"/>
  <c r="Y12"/>
  <c r="X12"/>
  <c r="W12"/>
  <c r="V12"/>
  <c r="AA11"/>
  <c r="Z11"/>
  <c r="Y11"/>
  <c r="X11"/>
  <c r="W11"/>
  <c r="V11"/>
  <c r="AA10"/>
  <c r="Z10"/>
  <c r="Y10"/>
  <c r="X10"/>
  <c r="W10"/>
  <c r="V10"/>
  <c r="Z8"/>
  <c r="Y8"/>
  <c r="X8"/>
  <c r="W8"/>
  <c r="AA8" s="1"/>
  <c r="V8"/>
  <c r="X7"/>
  <c r="N106"/>
  <c r="M106"/>
  <c r="N105"/>
  <c r="M105"/>
  <c r="N104"/>
  <c r="M104"/>
  <c r="N103"/>
  <c r="M103"/>
  <c r="N102"/>
  <c r="M102"/>
  <c r="N101"/>
  <c r="M101"/>
  <c r="N100"/>
  <c r="M100"/>
  <c r="N99"/>
  <c r="M99"/>
  <c r="N98"/>
  <c r="M98"/>
  <c r="N97"/>
  <c r="M97"/>
  <c r="N96"/>
  <c r="M96"/>
  <c r="N95"/>
  <c r="M95"/>
  <c r="N94"/>
  <c r="M94"/>
  <c r="N93"/>
  <c r="M93"/>
  <c r="N92"/>
  <c r="M92"/>
  <c r="N91"/>
  <c r="M91"/>
  <c r="N90"/>
  <c r="M90"/>
  <c r="N89"/>
  <c r="M89"/>
  <c r="N88"/>
  <c r="M88"/>
  <c r="N87"/>
  <c r="M87"/>
  <c r="N86"/>
  <c r="M86"/>
  <c r="N85"/>
  <c r="M85"/>
  <c r="N84"/>
  <c r="M84"/>
  <c r="N83"/>
  <c r="M83"/>
  <c r="N82"/>
  <c r="M82"/>
  <c r="N81"/>
  <c r="M81"/>
  <c r="N80"/>
  <c r="M80"/>
  <c r="N79"/>
  <c r="M79"/>
  <c r="N78"/>
  <c r="M78"/>
  <c r="N77"/>
  <c r="M77"/>
  <c r="N76"/>
  <c r="M76"/>
  <c r="N75"/>
  <c r="M75"/>
  <c r="N74"/>
  <c r="M74"/>
  <c r="N73"/>
  <c r="M73"/>
  <c r="N72"/>
  <c r="M72"/>
  <c r="N71"/>
  <c r="M71"/>
  <c r="N70"/>
  <c r="M70"/>
  <c r="N69"/>
  <c r="M69"/>
  <c r="N68"/>
  <c r="M68"/>
  <c r="N67"/>
  <c r="M67"/>
  <c r="N66"/>
  <c r="M66"/>
  <c r="N65"/>
  <c r="M65"/>
  <c r="N64"/>
  <c r="M64"/>
  <c r="N63"/>
  <c r="M63"/>
  <c r="N62"/>
  <c r="M62"/>
  <c r="N61"/>
  <c r="M61"/>
  <c r="N60"/>
  <c r="M60"/>
  <c r="N59"/>
  <c r="M59"/>
  <c r="N58"/>
  <c r="M58"/>
  <c r="N57"/>
  <c r="M57"/>
  <c r="N56"/>
  <c r="M56"/>
  <c r="N55"/>
  <c r="M55"/>
  <c r="N54"/>
  <c r="M54"/>
  <c r="N53"/>
  <c r="M53"/>
  <c r="N52"/>
  <c r="M52"/>
  <c r="N51"/>
  <c r="M51"/>
  <c r="N50"/>
  <c r="M50"/>
  <c r="N49"/>
  <c r="M49"/>
  <c r="N48"/>
  <c r="M48"/>
  <c r="N47"/>
  <c r="M47"/>
  <c r="N46"/>
  <c r="M46"/>
  <c r="N45"/>
  <c r="M45"/>
  <c r="N44"/>
  <c r="M44"/>
  <c r="N43"/>
  <c r="M43"/>
  <c r="N42"/>
  <c r="M42"/>
  <c r="N41"/>
  <c r="M41"/>
  <c r="N40"/>
  <c r="M40"/>
  <c r="N39"/>
  <c r="M39"/>
  <c r="N38"/>
  <c r="M38"/>
  <c r="N37"/>
  <c r="M37"/>
  <c r="N36"/>
  <c r="M36"/>
  <c r="N35"/>
  <c r="M35"/>
  <c r="N34"/>
  <c r="M34"/>
  <c r="N33"/>
  <c r="M33"/>
  <c r="N32"/>
  <c r="M32"/>
  <c r="N31"/>
  <c r="M31"/>
  <c r="N30"/>
  <c r="M30"/>
  <c r="N29"/>
  <c r="M29"/>
  <c r="N28"/>
  <c r="M28"/>
  <c r="N27"/>
  <c r="M27"/>
  <c r="N26"/>
  <c r="M26"/>
  <c r="N25"/>
  <c r="M25"/>
  <c r="N24"/>
  <c r="M24"/>
  <c r="N23"/>
  <c r="M23"/>
  <c r="N22"/>
  <c r="M22"/>
  <c r="N21"/>
  <c r="M21"/>
  <c r="N20"/>
  <c r="M20"/>
  <c r="N19"/>
  <c r="M19"/>
  <c r="N18"/>
  <c r="M18"/>
  <c r="N17"/>
  <c r="M17"/>
  <c r="N16"/>
  <c r="M16"/>
  <c r="N15"/>
  <c r="M15"/>
  <c r="N14"/>
  <c r="M14"/>
  <c r="N13"/>
  <c r="M13"/>
  <c r="N12"/>
  <c r="M12"/>
  <c r="N11"/>
  <c r="M11"/>
  <c r="N10"/>
  <c r="M10"/>
  <c r="N9"/>
  <c r="Y9" s="1"/>
  <c r="M9"/>
  <c r="N8"/>
  <c r="M8"/>
  <c r="N7"/>
  <c r="V7" s="1"/>
  <c r="M7"/>
  <c r="G13" i="14"/>
  <c r="H13"/>
  <c r="J13" s="1"/>
  <c r="L13"/>
  <c r="P13"/>
  <c r="U13"/>
  <c r="V13"/>
  <c r="Y13" s="1"/>
  <c r="X13"/>
  <c r="Z13"/>
  <c r="AB13"/>
  <c r="AD13"/>
  <c r="H92" i="18"/>
  <c r="S161"/>
  <c r="U161" s="1"/>
  <c r="R161"/>
  <c r="U160"/>
  <c r="S160"/>
  <c r="R160"/>
  <c r="S159"/>
  <c r="U159" s="1"/>
  <c r="R159"/>
  <c r="U158"/>
  <c r="S158"/>
  <c r="R158"/>
  <c r="S157"/>
  <c r="U157" s="1"/>
  <c r="R157"/>
  <c r="U156"/>
  <c r="S156"/>
  <c r="R156"/>
  <c r="S155"/>
  <c r="U155" s="1"/>
  <c r="V155" s="1"/>
  <c r="R155"/>
  <c r="U154"/>
  <c r="V154" s="1"/>
  <c r="W154" s="1"/>
  <c r="Q154" s="1"/>
  <c r="S154"/>
  <c r="R154"/>
  <c r="J153"/>
  <c r="C153"/>
  <c r="C152"/>
  <c r="S151"/>
  <c r="U151" s="1"/>
  <c r="R151"/>
  <c r="S150"/>
  <c r="U150" s="1"/>
  <c r="R150"/>
  <c r="S149"/>
  <c r="U149" s="1"/>
  <c r="R149"/>
  <c r="S148"/>
  <c r="U148" s="1"/>
  <c r="R148"/>
  <c r="S147"/>
  <c r="U147" s="1"/>
  <c r="R147"/>
  <c r="S146"/>
  <c r="U146" s="1"/>
  <c r="R146"/>
  <c r="S145"/>
  <c r="U145" s="1"/>
  <c r="R145"/>
  <c r="S144"/>
  <c r="U144" s="1"/>
  <c r="R144"/>
  <c r="B144"/>
  <c r="U143"/>
  <c r="S143"/>
  <c r="R143"/>
  <c r="H143"/>
  <c r="S142"/>
  <c r="U142" s="1"/>
  <c r="R142"/>
  <c r="S141"/>
  <c r="U141" s="1"/>
  <c r="R141"/>
  <c r="R140"/>
  <c r="R138"/>
  <c r="S137"/>
  <c r="U137" s="1"/>
  <c r="R137"/>
  <c r="S136"/>
  <c r="U136" s="1"/>
  <c r="R136"/>
  <c r="S135"/>
  <c r="U135" s="1"/>
  <c r="R135"/>
  <c r="R134"/>
  <c r="R133"/>
  <c r="M128"/>
  <c r="J116"/>
  <c r="L116" s="1"/>
  <c r="H116"/>
  <c r="M100"/>
  <c r="M99"/>
  <c r="H94"/>
  <c r="H93"/>
  <c r="R92"/>
  <c r="R91"/>
  <c r="C57"/>
  <c r="C143" s="1"/>
  <c r="J152" s="1"/>
  <c r="J54"/>
  <c r="H54"/>
  <c r="F54"/>
  <c r="C54"/>
  <c r="L54" s="1"/>
  <c r="J53"/>
  <c r="H53"/>
  <c r="F53"/>
  <c r="C53"/>
  <c r="L53" s="1"/>
  <c r="J52"/>
  <c r="H52"/>
  <c r="F52"/>
  <c r="C52"/>
  <c r="L52" s="1"/>
  <c r="J51"/>
  <c r="H51"/>
  <c r="F51"/>
  <c r="C51"/>
  <c r="C55" s="1"/>
  <c r="R17" s="1"/>
  <c r="C44"/>
  <c r="G26"/>
  <c r="J19"/>
  <c r="H19"/>
  <c r="K18"/>
  <c r="R16"/>
  <c r="H16"/>
  <c r="E16"/>
  <c r="M9"/>
  <c r="B8"/>
  <c r="H28" i="2"/>
  <c r="C54" i="12"/>
  <c r="C53"/>
  <c r="C52"/>
  <c r="X9" i="17" l="1"/>
  <c r="W9"/>
  <c r="V9"/>
  <c r="Z9"/>
  <c r="W7"/>
  <c r="AA13" i="14"/>
  <c r="W13"/>
  <c r="O13"/>
  <c r="K13"/>
  <c r="AC13"/>
  <c r="M13"/>
  <c r="I13"/>
  <c r="N13"/>
  <c r="J95" i="18"/>
  <c r="J107"/>
  <c r="L107" s="1"/>
  <c r="V156"/>
  <c r="W156" s="1"/>
  <c r="Q156" s="1"/>
  <c r="W155"/>
  <c r="Q155" s="1"/>
  <c r="L51"/>
  <c r="AA9" i="17" l="1"/>
  <c r="AF13" i="14"/>
  <c r="AH13" s="1"/>
  <c r="AJ13" s="1"/>
  <c r="AE13"/>
  <c r="AG13" s="1"/>
  <c r="R13"/>
  <c r="T13" s="1"/>
  <c r="AI13" s="1"/>
  <c r="AK13" s="1"/>
  <c r="AL13" s="1"/>
  <c r="AM13" s="1"/>
  <c r="Q13"/>
  <c r="S13" s="1"/>
  <c r="V157" i="18"/>
  <c r="V158" l="1"/>
  <c r="W157"/>
  <c r="Q157" s="1"/>
  <c r="W158" l="1"/>
  <c r="Q158" s="1"/>
  <c r="V159"/>
  <c r="V160" l="1"/>
  <c r="W159"/>
  <c r="Q159" s="1"/>
  <c r="J108"/>
  <c r="L108" s="1"/>
  <c r="W160" l="1"/>
  <c r="Q160" s="1"/>
  <c r="V161"/>
  <c r="W161" s="1"/>
  <c r="J109" l="1"/>
  <c r="L109" s="1"/>
  <c r="Q161"/>
  <c r="D123"/>
  <c r="D121"/>
  <c r="H125" l="1"/>
  <c r="J125" s="1"/>
  <c r="L125" s="1"/>
  <c r="H124"/>
  <c r="J124" s="1"/>
  <c r="L124" s="1"/>
  <c r="H120"/>
  <c r="J120" s="1"/>
  <c r="L120" s="1"/>
  <c r="D124"/>
  <c r="H123"/>
  <c r="J123" s="1"/>
  <c r="L123" s="1"/>
  <c r="H122"/>
  <c r="J122" s="1"/>
  <c r="L122" s="1"/>
  <c r="D122"/>
  <c r="D125"/>
  <c r="H121"/>
  <c r="J121" s="1"/>
  <c r="L121" s="1"/>
  <c r="D120"/>
  <c r="M126" l="1"/>
  <c r="G22" i="2" l="1"/>
  <c r="E13" i="12"/>
  <c r="AE106" i="17"/>
  <c r="AD106"/>
  <c r="AC106"/>
  <c r="AB106"/>
  <c r="AE105"/>
  <c r="AD105"/>
  <c r="AC105"/>
  <c r="AB105"/>
  <c r="AE104"/>
  <c r="AD104"/>
  <c r="AC104"/>
  <c r="AB104"/>
  <c r="AE103"/>
  <c r="AD103"/>
  <c r="AC103"/>
  <c r="AB103"/>
  <c r="AE102"/>
  <c r="AD102"/>
  <c r="AC102"/>
  <c r="AB102"/>
  <c r="AE101"/>
  <c r="AD101"/>
  <c r="AC101"/>
  <c r="AB101"/>
  <c r="AE100"/>
  <c r="AD100"/>
  <c r="AC100"/>
  <c r="AB100"/>
  <c r="AE99"/>
  <c r="AD99"/>
  <c r="AC99"/>
  <c r="AB99"/>
  <c r="AE98"/>
  <c r="AD98"/>
  <c r="AC98"/>
  <c r="AB98"/>
  <c r="AE97"/>
  <c r="AD97"/>
  <c r="AC97"/>
  <c r="AB97"/>
  <c r="AE96"/>
  <c r="AD96"/>
  <c r="AC96"/>
  <c r="AB96"/>
  <c r="AE95"/>
  <c r="AD95"/>
  <c r="AC95"/>
  <c r="AB95"/>
  <c r="AE94"/>
  <c r="AD94"/>
  <c r="AC94"/>
  <c r="AB94"/>
  <c r="AE93"/>
  <c r="AD93"/>
  <c r="AC93"/>
  <c r="AB93"/>
  <c r="AE92"/>
  <c r="AD92"/>
  <c r="AC92"/>
  <c r="AB92"/>
  <c r="AE91"/>
  <c r="AD91"/>
  <c r="AC91"/>
  <c r="AB91"/>
  <c r="AE90"/>
  <c r="AD90"/>
  <c r="AC90"/>
  <c r="AB90"/>
  <c r="AE89"/>
  <c r="AD89"/>
  <c r="AC89"/>
  <c r="AB89"/>
  <c r="AE88"/>
  <c r="AD88"/>
  <c r="AC88"/>
  <c r="AB88"/>
  <c r="AE87"/>
  <c r="AD87"/>
  <c r="AC87"/>
  <c r="AB87"/>
  <c r="AE86"/>
  <c r="AD86"/>
  <c r="AC86"/>
  <c r="AB86"/>
  <c r="AE85"/>
  <c r="AD85"/>
  <c r="AC85"/>
  <c r="AB85"/>
  <c r="AE84"/>
  <c r="AD84"/>
  <c r="AC84"/>
  <c r="AB84"/>
  <c r="AE83"/>
  <c r="AD83"/>
  <c r="AC83"/>
  <c r="AB83"/>
  <c r="AE82"/>
  <c r="AD82"/>
  <c r="AC82"/>
  <c r="AB82"/>
  <c r="AE81"/>
  <c r="AD81"/>
  <c r="AC81"/>
  <c r="AB81"/>
  <c r="AE80"/>
  <c r="AD80"/>
  <c r="AC80"/>
  <c r="AB80"/>
  <c r="AE79"/>
  <c r="AD79"/>
  <c r="AC79"/>
  <c r="AB79"/>
  <c r="AE78"/>
  <c r="AD78"/>
  <c r="AC78"/>
  <c r="AB78"/>
  <c r="AE77"/>
  <c r="AD77"/>
  <c r="AC77"/>
  <c r="AB77"/>
  <c r="AE76"/>
  <c r="AD76"/>
  <c r="AC76"/>
  <c r="AB76"/>
  <c r="AE75"/>
  <c r="AD75"/>
  <c r="AC75"/>
  <c r="AB75"/>
  <c r="AE74"/>
  <c r="AD74"/>
  <c r="AC74"/>
  <c r="AB74"/>
  <c r="AE73"/>
  <c r="AD73"/>
  <c r="AC73"/>
  <c r="AB73"/>
  <c r="AE72"/>
  <c r="AD72"/>
  <c r="AC72"/>
  <c r="AB72"/>
  <c r="AE71"/>
  <c r="AD71"/>
  <c r="AC71"/>
  <c r="AB71"/>
  <c r="AE70"/>
  <c r="AD70"/>
  <c r="AC70"/>
  <c r="AB70"/>
  <c r="AE69"/>
  <c r="AD69"/>
  <c r="AC69"/>
  <c r="AB69"/>
  <c r="AE68"/>
  <c r="AD68"/>
  <c r="AC68"/>
  <c r="AB68"/>
  <c r="AE67"/>
  <c r="AD67"/>
  <c r="AC67"/>
  <c r="AB67"/>
  <c r="AE66"/>
  <c r="AD66"/>
  <c r="AC66"/>
  <c r="AB66"/>
  <c r="AE65"/>
  <c r="AD65"/>
  <c r="AC65"/>
  <c r="AB65"/>
  <c r="AE64"/>
  <c r="AD64"/>
  <c r="AC64"/>
  <c r="AB64"/>
  <c r="AE63"/>
  <c r="AD63"/>
  <c r="AC63"/>
  <c r="AB63"/>
  <c r="AE62"/>
  <c r="AD62"/>
  <c r="AC62"/>
  <c r="AB62"/>
  <c r="AE61"/>
  <c r="AD61"/>
  <c r="AC61"/>
  <c r="AB61"/>
  <c r="AE60"/>
  <c r="AD60"/>
  <c r="AC60"/>
  <c r="AB60"/>
  <c r="AE59"/>
  <c r="AD59"/>
  <c r="AC59"/>
  <c r="AB59"/>
  <c r="AE58"/>
  <c r="AD58"/>
  <c r="AC58"/>
  <c r="AB58"/>
  <c r="AE57"/>
  <c r="AD57"/>
  <c r="AC57"/>
  <c r="AB57"/>
  <c r="AE56"/>
  <c r="AD56"/>
  <c r="AC56"/>
  <c r="AB56"/>
  <c r="AE55"/>
  <c r="AD55"/>
  <c r="AC55"/>
  <c r="AB55"/>
  <c r="AE54"/>
  <c r="AD54"/>
  <c r="AC54"/>
  <c r="AB54"/>
  <c r="AE53"/>
  <c r="AD53"/>
  <c r="AC53"/>
  <c r="AB53"/>
  <c r="AE52"/>
  <c r="AD52"/>
  <c r="AC52"/>
  <c r="AB52"/>
  <c r="AE51"/>
  <c r="AD51"/>
  <c r="AC51"/>
  <c r="AB51"/>
  <c r="AE50"/>
  <c r="AD50"/>
  <c r="AC50"/>
  <c r="AB50"/>
  <c r="AE49"/>
  <c r="AD49"/>
  <c r="AC49"/>
  <c r="AB49"/>
  <c r="AE48"/>
  <c r="AD48"/>
  <c r="AC48"/>
  <c r="AB48"/>
  <c r="AE47"/>
  <c r="AD47"/>
  <c r="AC47"/>
  <c r="AB47"/>
  <c r="AE46"/>
  <c r="AD46"/>
  <c r="AC46"/>
  <c r="AB46"/>
  <c r="AE45"/>
  <c r="AD45"/>
  <c r="AC45"/>
  <c r="AB45"/>
  <c r="AE44"/>
  <c r="AD44"/>
  <c r="AC44"/>
  <c r="AB44"/>
  <c r="AE43"/>
  <c r="AD43"/>
  <c r="AC43"/>
  <c r="AB43"/>
  <c r="AE42"/>
  <c r="AD42"/>
  <c r="AC42"/>
  <c r="AB42"/>
  <c r="AE41"/>
  <c r="AD41"/>
  <c r="AC41"/>
  <c r="AB41"/>
  <c r="AE40"/>
  <c r="AD40"/>
  <c r="AC40"/>
  <c r="AB40"/>
  <c r="AE39"/>
  <c r="AD39"/>
  <c r="AC39"/>
  <c r="AB39"/>
  <c r="AE38"/>
  <c r="AD38"/>
  <c r="AC38"/>
  <c r="AB38"/>
  <c r="AE37"/>
  <c r="AD37"/>
  <c r="AC37"/>
  <c r="AB37"/>
  <c r="AE36"/>
  <c r="AD36"/>
  <c r="AC36"/>
  <c r="AB36"/>
  <c r="AE35"/>
  <c r="AD35"/>
  <c r="AC35"/>
  <c r="AB35"/>
  <c r="AE34"/>
  <c r="AD34"/>
  <c r="AC34"/>
  <c r="AB34"/>
  <c r="AE33"/>
  <c r="AD33"/>
  <c r="AC33"/>
  <c r="AB33"/>
  <c r="AE32"/>
  <c r="AD32"/>
  <c r="AC32"/>
  <c r="AB32"/>
  <c r="AE31"/>
  <c r="AD31"/>
  <c r="AC31"/>
  <c r="AB31"/>
  <c r="AE30"/>
  <c r="AD30"/>
  <c r="AC30"/>
  <c r="AB30"/>
  <c r="AE29"/>
  <c r="AD29"/>
  <c r="AC29"/>
  <c r="AB29"/>
  <c r="AE28"/>
  <c r="AD28"/>
  <c r="AC28"/>
  <c r="AB28"/>
  <c r="AE27"/>
  <c r="AD27"/>
  <c r="AC27"/>
  <c r="AB27"/>
  <c r="AE26"/>
  <c r="AD26"/>
  <c r="AC26"/>
  <c r="AB26"/>
  <c r="AE25"/>
  <c r="AD25"/>
  <c r="AC25"/>
  <c r="AB25"/>
  <c r="AE24"/>
  <c r="AD24"/>
  <c r="AC24"/>
  <c r="AB24"/>
  <c r="AE23"/>
  <c r="AD23"/>
  <c r="AC23"/>
  <c r="AB23"/>
  <c r="AE22"/>
  <c r="AD22"/>
  <c r="AC22"/>
  <c r="AB22"/>
  <c r="AE21"/>
  <c r="AD21"/>
  <c r="AC21"/>
  <c r="AB21"/>
  <c r="AE20"/>
  <c r="AD20"/>
  <c r="AC20"/>
  <c r="AB20"/>
  <c r="AE19"/>
  <c r="AD19"/>
  <c r="AC19"/>
  <c r="AB19"/>
  <c r="AE18"/>
  <c r="AD18"/>
  <c r="AC18"/>
  <c r="AB18"/>
  <c r="AE17"/>
  <c r="AD17"/>
  <c r="AC17"/>
  <c r="AB17"/>
  <c r="AE16"/>
  <c r="AD16"/>
  <c r="AC16"/>
  <c r="AB16"/>
  <c r="AE15"/>
  <c r="AD15"/>
  <c r="AC15"/>
  <c r="AB15"/>
  <c r="AE14"/>
  <c r="AD14"/>
  <c r="AC14"/>
  <c r="AB14"/>
  <c r="AE13"/>
  <c r="AD13"/>
  <c r="AC13"/>
  <c r="AB13"/>
  <c r="AE12"/>
  <c r="AD12"/>
  <c r="AC12"/>
  <c r="AB12"/>
  <c r="AE11"/>
  <c r="AD11"/>
  <c r="AC11"/>
  <c r="AB11"/>
  <c r="AE10"/>
  <c r="AD10"/>
  <c r="AC10"/>
  <c r="AB10"/>
  <c r="AB9"/>
  <c r="AC9" s="1"/>
  <c r="AD9" s="1"/>
  <c r="AY9" s="1"/>
  <c r="AZ9" s="1"/>
  <c r="BA9" s="1"/>
  <c r="BB9" s="1"/>
  <c r="AH106"/>
  <c r="R106"/>
  <c r="U106" s="1"/>
  <c r="Q106"/>
  <c r="AH105"/>
  <c r="R105"/>
  <c r="T105" s="1"/>
  <c r="P105"/>
  <c r="AH104"/>
  <c r="R104"/>
  <c r="S104" s="1"/>
  <c r="O104"/>
  <c r="AH103"/>
  <c r="R103"/>
  <c r="S103" s="1"/>
  <c r="Q103"/>
  <c r="AH102"/>
  <c r="R102"/>
  <c r="U102" s="1"/>
  <c r="Q102"/>
  <c r="AH101"/>
  <c r="R101"/>
  <c r="T101" s="1"/>
  <c r="P101"/>
  <c r="AH100"/>
  <c r="R100"/>
  <c r="S100" s="1"/>
  <c r="O100"/>
  <c r="AH99"/>
  <c r="T99"/>
  <c r="R99"/>
  <c r="U99" s="1"/>
  <c r="Q99"/>
  <c r="AH98"/>
  <c r="R98"/>
  <c r="U98" s="1"/>
  <c r="Q98"/>
  <c r="AH97"/>
  <c r="R97"/>
  <c r="T97" s="1"/>
  <c r="P97"/>
  <c r="AH96"/>
  <c r="R96"/>
  <c r="S96" s="1"/>
  <c r="O96"/>
  <c r="AH95"/>
  <c r="R95"/>
  <c r="T95" s="1"/>
  <c r="Q95"/>
  <c r="AH94"/>
  <c r="R94"/>
  <c r="U94" s="1"/>
  <c r="Q94"/>
  <c r="AH93"/>
  <c r="R93"/>
  <c r="T93" s="1"/>
  <c r="P93"/>
  <c r="AH92"/>
  <c r="R92"/>
  <c r="S92" s="1"/>
  <c r="O92"/>
  <c r="AH91"/>
  <c r="R91"/>
  <c r="T91" s="1"/>
  <c r="Q91"/>
  <c r="AH90"/>
  <c r="R90"/>
  <c r="U90" s="1"/>
  <c r="Q90"/>
  <c r="AH89"/>
  <c r="S89"/>
  <c r="R89"/>
  <c r="T89" s="1"/>
  <c r="P89"/>
  <c r="AH88"/>
  <c r="R88"/>
  <c r="S88" s="1"/>
  <c r="O88"/>
  <c r="AH87"/>
  <c r="R87"/>
  <c r="T87" s="1"/>
  <c r="Q87"/>
  <c r="AH86"/>
  <c r="R86"/>
  <c r="U86" s="1"/>
  <c r="Q86"/>
  <c r="AH85"/>
  <c r="R85"/>
  <c r="T85" s="1"/>
  <c r="P85"/>
  <c r="AH84"/>
  <c r="R84"/>
  <c r="S84" s="1"/>
  <c r="O84"/>
  <c r="AH83"/>
  <c r="R83"/>
  <c r="T83" s="1"/>
  <c r="Q83"/>
  <c r="AH82"/>
  <c r="R82"/>
  <c r="U82" s="1"/>
  <c r="Q82"/>
  <c r="AH81"/>
  <c r="R81"/>
  <c r="T81" s="1"/>
  <c r="P81"/>
  <c r="AH80"/>
  <c r="R80"/>
  <c r="S80" s="1"/>
  <c r="O80"/>
  <c r="AH79"/>
  <c r="R79"/>
  <c r="T79" s="1"/>
  <c r="Q79"/>
  <c r="AH78"/>
  <c r="R78"/>
  <c r="U78" s="1"/>
  <c r="Q78"/>
  <c r="AH77"/>
  <c r="R77"/>
  <c r="S77" s="1"/>
  <c r="P77"/>
  <c r="AH76"/>
  <c r="R76"/>
  <c r="Q76"/>
  <c r="AH75"/>
  <c r="S75"/>
  <c r="R75"/>
  <c r="T75" s="1"/>
  <c r="AH74"/>
  <c r="R74"/>
  <c r="U74" s="1"/>
  <c r="Q74"/>
  <c r="AH73"/>
  <c r="R73"/>
  <c r="T73" s="1"/>
  <c r="P73"/>
  <c r="AH72"/>
  <c r="R72"/>
  <c r="T72" s="1"/>
  <c r="O72"/>
  <c r="AH71"/>
  <c r="R71"/>
  <c r="T71" s="1"/>
  <c r="P71"/>
  <c r="AH70"/>
  <c r="R70"/>
  <c r="T70" s="1"/>
  <c r="P70"/>
  <c r="Q70"/>
  <c r="AH69"/>
  <c r="R69"/>
  <c r="T69" s="1"/>
  <c r="P69"/>
  <c r="AH68"/>
  <c r="R68"/>
  <c r="T68" s="1"/>
  <c r="O68"/>
  <c r="AH67"/>
  <c r="R67"/>
  <c r="T67" s="1"/>
  <c r="P67"/>
  <c r="AH66"/>
  <c r="R66"/>
  <c r="T66" s="1"/>
  <c r="Q66"/>
  <c r="AH65"/>
  <c r="U65"/>
  <c r="R65"/>
  <c r="T65" s="1"/>
  <c r="Q65"/>
  <c r="P65"/>
  <c r="AH64"/>
  <c r="R64"/>
  <c r="T64" s="1"/>
  <c r="Q64"/>
  <c r="AH63"/>
  <c r="U63"/>
  <c r="R63"/>
  <c r="T63" s="1"/>
  <c r="P63"/>
  <c r="AH62"/>
  <c r="R62"/>
  <c r="T62" s="1"/>
  <c r="Q62"/>
  <c r="AH61"/>
  <c r="R61"/>
  <c r="T61" s="1"/>
  <c r="P61"/>
  <c r="AH60"/>
  <c r="R60"/>
  <c r="T60" s="1"/>
  <c r="O60"/>
  <c r="AH59"/>
  <c r="R59"/>
  <c r="T59" s="1"/>
  <c r="Q59"/>
  <c r="AH58"/>
  <c r="R58"/>
  <c r="U58" s="1"/>
  <c r="Q58"/>
  <c r="AH57"/>
  <c r="R57"/>
  <c r="T57" s="1"/>
  <c r="P57"/>
  <c r="AH56"/>
  <c r="R56"/>
  <c r="S56" s="1"/>
  <c r="O56"/>
  <c r="AH55"/>
  <c r="R55"/>
  <c r="T55" s="1"/>
  <c r="Q55"/>
  <c r="AH54"/>
  <c r="R54"/>
  <c r="U54" s="1"/>
  <c r="Q54"/>
  <c r="AH53"/>
  <c r="R53"/>
  <c r="T53" s="1"/>
  <c r="P53"/>
  <c r="AH52"/>
  <c r="R52"/>
  <c r="S52" s="1"/>
  <c r="O52"/>
  <c r="AH51"/>
  <c r="T51"/>
  <c r="R51"/>
  <c r="S51" s="1"/>
  <c r="Q51"/>
  <c r="AH50"/>
  <c r="T50"/>
  <c r="R50"/>
  <c r="U50" s="1"/>
  <c r="P50"/>
  <c r="Q50"/>
  <c r="AH49"/>
  <c r="R49"/>
  <c r="T49" s="1"/>
  <c r="P49"/>
  <c r="AH48"/>
  <c r="R48"/>
  <c r="S48" s="1"/>
  <c r="O48"/>
  <c r="AH47"/>
  <c r="R47"/>
  <c r="T47" s="1"/>
  <c r="Q47"/>
  <c r="AH46"/>
  <c r="R46"/>
  <c r="U46" s="1"/>
  <c r="Q46"/>
  <c r="AH45"/>
  <c r="R45"/>
  <c r="T45" s="1"/>
  <c r="O45"/>
  <c r="P45"/>
  <c r="AH44"/>
  <c r="R44"/>
  <c r="S44" s="1"/>
  <c r="O44"/>
  <c r="AH43"/>
  <c r="R43"/>
  <c r="T43" s="1"/>
  <c r="Q43"/>
  <c r="AH42"/>
  <c r="R42"/>
  <c r="U42" s="1"/>
  <c r="Q42"/>
  <c r="AH41"/>
  <c r="R41"/>
  <c r="T41" s="1"/>
  <c r="P41"/>
  <c r="AH40"/>
  <c r="R40"/>
  <c r="S40" s="1"/>
  <c r="O40"/>
  <c r="AH39"/>
  <c r="U39"/>
  <c r="R39"/>
  <c r="T39" s="1"/>
  <c r="Q39"/>
  <c r="AH38"/>
  <c r="R38"/>
  <c r="U38" s="1"/>
  <c r="Q38"/>
  <c r="AH37"/>
  <c r="R37"/>
  <c r="T37" s="1"/>
  <c r="P37"/>
  <c r="AH36"/>
  <c r="R36"/>
  <c r="T36" s="1"/>
  <c r="Q36"/>
  <c r="AH35"/>
  <c r="U35"/>
  <c r="R35"/>
  <c r="T35" s="1"/>
  <c r="P35"/>
  <c r="AH34"/>
  <c r="R34"/>
  <c r="T34" s="1"/>
  <c r="Q34"/>
  <c r="AH33"/>
  <c r="R33"/>
  <c r="T33" s="1"/>
  <c r="P33"/>
  <c r="AH32"/>
  <c r="R32"/>
  <c r="T32" s="1"/>
  <c r="Q32"/>
  <c r="AH31"/>
  <c r="R31"/>
  <c r="T31" s="1"/>
  <c r="P31"/>
  <c r="AH30"/>
  <c r="R30"/>
  <c r="T30" s="1"/>
  <c r="Q30"/>
  <c r="AH29"/>
  <c r="R29"/>
  <c r="T29" s="1"/>
  <c r="P29"/>
  <c r="AH28"/>
  <c r="R28"/>
  <c r="T28" s="1"/>
  <c r="Q28"/>
  <c r="AH27"/>
  <c r="R27"/>
  <c r="T27" s="1"/>
  <c r="P27"/>
  <c r="AH26"/>
  <c r="R26"/>
  <c r="T26" s="1"/>
  <c r="Q26"/>
  <c r="AH25"/>
  <c r="R25"/>
  <c r="T25" s="1"/>
  <c r="P25"/>
  <c r="AH24"/>
  <c r="R24"/>
  <c r="T24" s="1"/>
  <c r="Q24"/>
  <c r="AH23"/>
  <c r="R23"/>
  <c r="T23" s="1"/>
  <c r="P23"/>
  <c r="AH22"/>
  <c r="R22"/>
  <c r="Q22"/>
  <c r="AH21"/>
  <c r="R21"/>
  <c r="T21" s="1"/>
  <c r="P21"/>
  <c r="AH20"/>
  <c r="R20"/>
  <c r="T20" s="1"/>
  <c r="O20"/>
  <c r="AH19"/>
  <c r="R19"/>
  <c r="T19" s="1"/>
  <c r="P19"/>
  <c r="AH18"/>
  <c r="R18"/>
  <c r="U18" s="1"/>
  <c r="Q18"/>
  <c r="AH17"/>
  <c r="T17"/>
  <c r="R17"/>
  <c r="S17" s="1"/>
  <c r="O17"/>
  <c r="AH16"/>
  <c r="R16"/>
  <c r="S16" s="1"/>
  <c r="Q16"/>
  <c r="AH15"/>
  <c r="R15"/>
  <c r="T15" s="1"/>
  <c r="Q15"/>
  <c r="AH14"/>
  <c r="R14"/>
  <c r="U14" s="1"/>
  <c r="Q14"/>
  <c r="AH13"/>
  <c r="R13"/>
  <c r="T13" s="1"/>
  <c r="O13"/>
  <c r="AH12"/>
  <c r="R12"/>
  <c r="S12" s="1"/>
  <c r="Q12"/>
  <c r="AH11"/>
  <c r="R11"/>
  <c r="T11" s="1"/>
  <c r="P11"/>
  <c r="AH10"/>
  <c r="R10"/>
  <c r="U10" s="1"/>
  <c r="Q10"/>
  <c r="AH9"/>
  <c r="P9"/>
  <c r="AH8"/>
  <c r="Q8"/>
  <c r="U21" l="1"/>
  <c r="S33"/>
  <c r="T54"/>
  <c r="S59"/>
  <c r="S65"/>
  <c r="S73"/>
  <c r="U25"/>
  <c r="S25"/>
  <c r="S27"/>
  <c r="U29"/>
  <c r="S55"/>
  <c r="T58"/>
  <c r="U69"/>
  <c r="U73"/>
  <c r="T77"/>
  <c r="S97"/>
  <c r="U33"/>
  <c r="S11"/>
  <c r="P38"/>
  <c r="S39"/>
  <c r="U41"/>
  <c r="P44"/>
  <c r="S45"/>
  <c r="T46"/>
  <c r="P48"/>
  <c r="O50"/>
  <c r="U55"/>
  <c r="U57"/>
  <c r="O65"/>
  <c r="O67"/>
  <c r="O71"/>
  <c r="P74"/>
  <c r="U77"/>
  <c r="U79"/>
  <c r="S81"/>
  <c r="T82"/>
  <c r="T90"/>
  <c r="P96"/>
  <c r="S101"/>
  <c r="U15"/>
  <c r="Q27"/>
  <c r="U47"/>
  <c r="P52"/>
  <c r="P54"/>
  <c r="P60"/>
  <c r="U83"/>
  <c r="O89"/>
  <c r="P92"/>
  <c r="U105"/>
  <c r="O11"/>
  <c r="S15"/>
  <c r="P22"/>
  <c r="S29"/>
  <c r="P36"/>
  <c r="S37"/>
  <c r="T38"/>
  <c r="S47"/>
  <c r="U59"/>
  <c r="P66"/>
  <c r="P82"/>
  <c r="S83"/>
  <c r="U85"/>
  <c r="S91"/>
  <c r="U95"/>
  <c r="O101"/>
  <c r="S105"/>
  <c r="U11"/>
  <c r="O16"/>
  <c r="Q25"/>
  <c r="Q33"/>
  <c r="P58"/>
  <c r="O64"/>
  <c r="O93"/>
  <c r="U101"/>
  <c r="AM99"/>
  <c r="AN99" s="1"/>
  <c r="AO99" s="1"/>
  <c r="AM55"/>
  <c r="AN55" s="1"/>
  <c r="AO55" s="1"/>
  <c r="AM79"/>
  <c r="AN79" s="1"/>
  <c r="AO79" s="1"/>
  <c r="AM95"/>
  <c r="AN95" s="1"/>
  <c r="AO95" s="1"/>
  <c r="P8"/>
  <c r="O15"/>
  <c r="U19"/>
  <c r="AM19" s="1"/>
  <c r="AN19" s="1"/>
  <c r="AO19" s="1"/>
  <c r="P20"/>
  <c r="P10"/>
  <c r="T12"/>
  <c r="S13"/>
  <c r="P16"/>
  <c r="U17"/>
  <c r="P18"/>
  <c r="S19"/>
  <c r="O21"/>
  <c r="S23"/>
  <c r="O25"/>
  <c r="P30"/>
  <c r="S31"/>
  <c r="O33"/>
  <c r="Q35"/>
  <c r="U37"/>
  <c r="O41"/>
  <c r="T42"/>
  <c r="S43"/>
  <c r="S49"/>
  <c r="U51"/>
  <c r="S53"/>
  <c r="O54"/>
  <c r="O57"/>
  <c r="S61"/>
  <c r="P64"/>
  <c r="S67"/>
  <c r="O69"/>
  <c r="S71"/>
  <c r="T74"/>
  <c r="U75"/>
  <c r="AM75" s="1"/>
  <c r="AN75" s="1"/>
  <c r="AO75" s="1"/>
  <c r="P76"/>
  <c r="T78"/>
  <c r="S79"/>
  <c r="P80"/>
  <c r="S85"/>
  <c r="P86"/>
  <c r="U89"/>
  <c r="T94"/>
  <c r="S95"/>
  <c r="T98"/>
  <c r="S99"/>
  <c r="P102"/>
  <c r="U103"/>
  <c r="AM103" s="1"/>
  <c r="AN103" s="1"/>
  <c r="AO103" s="1"/>
  <c r="P104"/>
  <c r="T106"/>
  <c r="O76"/>
  <c r="O77"/>
  <c r="O81"/>
  <c r="P84"/>
  <c r="U87"/>
  <c r="AM87" s="1"/>
  <c r="AN87" s="1"/>
  <c r="AO87" s="1"/>
  <c r="P90"/>
  <c r="U93"/>
  <c r="O97"/>
  <c r="O102"/>
  <c r="T103"/>
  <c r="O105"/>
  <c r="P12"/>
  <c r="U13"/>
  <c r="AM13" s="1"/>
  <c r="AN13" s="1"/>
  <c r="AO13" s="1"/>
  <c r="P14"/>
  <c r="T16"/>
  <c r="S21"/>
  <c r="P24"/>
  <c r="U27"/>
  <c r="P28"/>
  <c r="P32"/>
  <c r="S35"/>
  <c r="O36"/>
  <c r="S41"/>
  <c r="P42"/>
  <c r="AM42"/>
  <c r="AN42" s="1"/>
  <c r="AO42" s="1"/>
  <c r="U45"/>
  <c r="O49"/>
  <c r="O53"/>
  <c r="S57"/>
  <c r="O58"/>
  <c r="S63"/>
  <c r="S69"/>
  <c r="P78"/>
  <c r="U81"/>
  <c r="O85"/>
  <c r="T86"/>
  <c r="S87"/>
  <c r="P88"/>
  <c r="U91"/>
  <c r="S93"/>
  <c r="P94"/>
  <c r="U97"/>
  <c r="P98"/>
  <c r="P100"/>
  <c r="T102"/>
  <c r="P106"/>
  <c r="O12"/>
  <c r="U23"/>
  <c r="O24"/>
  <c r="P26"/>
  <c r="O28"/>
  <c r="U31"/>
  <c r="O32"/>
  <c r="P34"/>
  <c r="O37"/>
  <c r="P40"/>
  <c r="U43"/>
  <c r="P46"/>
  <c r="U49"/>
  <c r="U53"/>
  <c r="P56"/>
  <c r="U61"/>
  <c r="P62"/>
  <c r="U67"/>
  <c r="P68"/>
  <c r="U71"/>
  <c r="P72"/>
  <c r="O98"/>
  <c r="O106"/>
  <c r="O8"/>
  <c r="R8" s="1"/>
  <c r="AM18"/>
  <c r="AN18" s="1"/>
  <c r="AO18" s="1"/>
  <c r="AM14"/>
  <c r="AN14" s="1"/>
  <c r="AO14" s="1"/>
  <c r="AM10"/>
  <c r="AN10" s="1"/>
  <c r="AO10" s="1"/>
  <c r="U22"/>
  <c r="S22"/>
  <c r="U26"/>
  <c r="S26"/>
  <c r="S32"/>
  <c r="U32"/>
  <c r="AM38"/>
  <c r="AN38" s="1"/>
  <c r="AO38" s="1"/>
  <c r="AM58"/>
  <c r="AN58" s="1"/>
  <c r="AO58" s="1"/>
  <c r="O9"/>
  <c r="R9" s="1"/>
  <c r="S9" s="1"/>
  <c r="T10"/>
  <c r="Q11"/>
  <c r="T14"/>
  <c r="AM15"/>
  <c r="AN15" s="1"/>
  <c r="AO15" s="1"/>
  <c r="T18"/>
  <c r="O10"/>
  <c r="S10"/>
  <c r="U12"/>
  <c r="O14"/>
  <c r="S14"/>
  <c r="P15"/>
  <c r="U16"/>
  <c r="O18"/>
  <c r="S18"/>
  <c r="Q19"/>
  <c r="Q21"/>
  <c r="AM21"/>
  <c r="AN21" s="1"/>
  <c r="AO21" s="1"/>
  <c r="Q23"/>
  <c r="AM23"/>
  <c r="AN23" s="1"/>
  <c r="AO23" s="1"/>
  <c r="Q29"/>
  <c r="O35"/>
  <c r="AM51"/>
  <c r="AN51" s="1"/>
  <c r="AO51" s="1"/>
  <c r="U30"/>
  <c r="S30"/>
  <c r="S36"/>
  <c r="U36"/>
  <c r="Q9"/>
  <c r="Q13"/>
  <c r="AM17"/>
  <c r="AN17" s="1"/>
  <c r="AO17" s="1"/>
  <c r="O19"/>
  <c r="O23"/>
  <c r="O29"/>
  <c r="S24"/>
  <c r="U24"/>
  <c r="U34"/>
  <c r="S34"/>
  <c r="AM46"/>
  <c r="AN46" s="1"/>
  <c r="AO46" s="1"/>
  <c r="AM50"/>
  <c r="AN50" s="1"/>
  <c r="AO50" s="1"/>
  <c r="AM54"/>
  <c r="AN54" s="1"/>
  <c r="AO54" s="1"/>
  <c r="Q17"/>
  <c r="P13"/>
  <c r="P17"/>
  <c r="T22"/>
  <c r="O27"/>
  <c r="Q31"/>
  <c r="AM31"/>
  <c r="AN31" s="1"/>
  <c r="AO31" s="1"/>
  <c r="AM39"/>
  <c r="AN39" s="1"/>
  <c r="AO39" s="1"/>
  <c r="S20"/>
  <c r="U20"/>
  <c r="S28"/>
  <c r="U28"/>
  <c r="O31"/>
  <c r="AM74"/>
  <c r="AN74" s="1"/>
  <c r="AO74" s="1"/>
  <c r="S76"/>
  <c r="T76"/>
  <c r="U76"/>
  <c r="AM90"/>
  <c r="AN90" s="1"/>
  <c r="AO90" s="1"/>
  <c r="Q20"/>
  <c r="O22"/>
  <c r="O26"/>
  <c r="O30"/>
  <c r="O34"/>
  <c r="O38"/>
  <c r="S38"/>
  <c r="P39"/>
  <c r="Q40"/>
  <c r="U40"/>
  <c r="O42"/>
  <c r="S42"/>
  <c r="P43"/>
  <c r="Q44"/>
  <c r="U44"/>
  <c r="O46"/>
  <c r="S46"/>
  <c r="P47"/>
  <c r="Q48"/>
  <c r="U48"/>
  <c r="S50"/>
  <c r="P51"/>
  <c r="Q52"/>
  <c r="U52"/>
  <c r="S54"/>
  <c r="P55"/>
  <c r="Q56"/>
  <c r="U56"/>
  <c r="S58"/>
  <c r="P59"/>
  <c r="AM59"/>
  <c r="AN59" s="1"/>
  <c r="AO59" s="1"/>
  <c r="Q61"/>
  <c r="AM61"/>
  <c r="AN61" s="1"/>
  <c r="AO61" s="1"/>
  <c r="Q63"/>
  <c r="AM63"/>
  <c r="AN63" s="1"/>
  <c r="AO63" s="1"/>
  <c r="AM83"/>
  <c r="AN83" s="1"/>
  <c r="AO83" s="1"/>
  <c r="U66"/>
  <c r="S66"/>
  <c r="S68"/>
  <c r="U68"/>
  <c r="U70"/>
  <c r="S70"/>
  <c r="S72"/>
  <c r="U72"/>
  <c r="O75"/>
  <c r="P75"/>
  <c r="AM78"/>
  <c r="AN78" s="1"/>
  <c r="AO78" s="1"/>
  <c r="AM94"/>
  <c r="AN94" s="1"/>
  <c r="AO94" s="1"/>
  <c r="AM98"/>
  <c r="AN98" s="1"/>
  <c r="AO98" s="1"/>
  <c r="AM106"/>
  <c r="AN106" s="1"/>
  <c r="AO106" s="1"/>
  <c r="Q37"/>
  <c r="O39"/>
  <c r="T40"/>
  <c r="Q41"/>
  <c r="O43"/>
  <c r="T44"/>
  <c r="Q45"/>
  <c r="O47"/>
  <c r="T48"/>
  <c r="Q49"/>
  <c r="O51"/>
  <c r="T52"/>
  <c r="Q53"/>
  <c r="O55"/>
  <c r="T56"/>
  <c r="Q57"/>
  <c r="O59"/>
  <c r="O61"/>
  <c r="O63"/>
  <c r="S64"/>
  <c r="U64"/>
  <c r="AM82"/>
  <c r="AN82" s="1"/>
  <c r="AO82" s="1"/>
  <c r="AM65"/>
  <c r="AN65" s="1"/>
  <c r="AO65" s="1"/>
  <c r="Q67"/>
  <c r="AM67"/>
  <c r="AN67" s="1"/>
  <c r="AO67" s="1"/>
  <c r="Q69"/>
  <c r="AM69"/>
  <c r="AN69" s="1"/>
  <c r="AO69" s="1"/>
  <c r="Q71"/>
  <c r="AM71"/>
  <c r="AN71" s="1"/>
  <c r="AO71" s="1"/>
  <c r="Q73"/>
  <c r="AM91"/>
  <c r="AN91" s="1"/>
  <c r="AO91" s="1"/>
  <c r="S60"/>
  <c r="U60"/>
  <c r="U62"/>
  <c r="S62"/>
  <c r="AM86"/>
  <c r="AN86" s="1"/>
  <c r="AO86" s="1"/>
  <c r="AM102"/>
  <c r="AN102" s="1"/>
  <c r="AO102" s="1"/>
  <c r="O73"/>
  <c r="Q75"/>
  <c r="Q60"/>
  <c r="O62"/>
  <c r="O66"/>
  <c r="Q68"/>
  <c r="O70"/>
  <c r="Q72"/>
  <c r="O74"/>
  <c r="S74"/>
  <c r="O78"/>
  <c r="S78"/>
  <c r="P79"/>
  <c r="Q80"/>
  <c r="U80"/>
  <c r="O82"/>
  <c r="S82"/>
  <c r="P83"/>
  <c r="Q84"/>
  <c r="U84"/>
  <c r="O86"/>
  <c r="S86"/>
  <c r="P87"/>
  <c r="Q88"/>
  <c r="U88"/>
  <c r="O90"/>
  <c r="S90"/>
  <c r="P91"/>
  <c r="Q92"/>
  <c r="U92"/>
  <c r="O94"/>
  <c r="S94"/>
  <c r="P95"/>
  <c r="Q96"/>
  <c r="U96"/>
  <c r="S98"/>
  <c r="P99"/>
  <c r="Q100"/>
  <c r="U100"/>
  <c r="S102"/>
  <c r="P103"/>
  <c r="Q104"/>
  <c r="U104"/>
  <c r="S106"/>
  <c r="Q77"/>
  <c r="O79"/>
  <c r="T80"/>
  <c r="Q81"/>
  <c r="O83"/>
  <c r="T84"/>
  <c r="Q85"/>
  <c r="O87"/>
  <c r="T88"/>
  <c r="Q89"/>
  <c r="O91"/>
  <c r="T92"/>
  <c r="Q93"/>
  <c r="O95"/>
  <c r="T96"/>
  <c r="Q97"/>
  <c r="O99"/>
  <c r="T100"/>
  <c r="Q101"/>
  <c r="O103"/>
  <c r="T104"/>
  <c r="Q105"/>
  <c r="T9" l="1"/>
  <c r="AS9" s="1"/>
  <c r="AT9" s="1"/>
  <c r="AU9" s="1"/>
  <c r="AM85"/>
  <c r="AN85" s="1"/>
  <c r="AO85" s="1"/>
  <c r="AM105"/>
  <c r="AN105" s="1"/>
  <c r="AO105" s="1"/>
  <c r="AM101"/>
  <c r="AN101" s="1"/>
  <c r="AO101" s="1"/>
  <c r="AM37"/>
  <c r="AN37" s="1"/>
  <c r="AO37" s="1"/>
  <c r="AB8"/>
  <c r="AC8" s="1"/>
  <c r="AD8" s="1"/>
  <c r="S8"/>
  <c r="T8" s="1"/>
  <c r="U8" s="1"/>
  <c r="AM11"/>
  <c r="AN11" s="1"/>
  <c r="AO11" s="1"/>
  <c r="AM47"/>
  <c r="AN47" s="1"/>
  <c r="AO47" s="1"/>
  <c r="AM43"/>
  <c r="AN43" s="1"/>
  <c r="AO43" s="1"/>
  <c r="AM70"/>
  <c r="AN70" s="1"/>
  <c r="AO70" s="1"/>
  <c r="AM66"/>
  <c r="AN66" s="1"/>
  <c r="AO66" s="1"/>
  <c r="AM52"/>
  <c r="AN52" s="1"/>
  <c r="AO52" s="1"/>
  <c r="AM76"/>
  <c r="AN76" s="1"/>
  <c r="AO76" s="1"/>
  <c r="AM20"/>
  <c r="AN20" s="1"/>
  <c r="AO20" s="1"/>
  <c r="AM16"/>
  <c r="AN16" s="1"/>
  <c r="AO16" s="1"/>
  <c r="AM22"/>
  <c r="AN22" s="1"/>
  <c r="AO22" s="1"/>
  <c r="AM89"/>
  <c r="AN89" s="1"/>
  <c r="AO89" s="1"/>
  <c r="AM57"/>
  <c r="AN57" s="1"/>
  <c r="AO57" s="1"/>
  <c r="AM80"/>
  <c r="AN80" s="1"/>
  <c r="AO80" s="1"/>
  <c r="AM60"/>
  <c r="AN60" s="1"/>
  <c r="AO60" s="1"/>
  <c r="AM100"/>
  <c r="AN100" s="1"/>
  <c r="AO100" s="1"/>
  <c r="AM92"/>
  <c r="AN92" s="1"/>
  <c r="AO92" s="1"/>
  <c r="AM62"/>
  <c r="AN62" s="1"/>
  <c r="AO62" s="1"/>
  <c r="AM56"/>
  <c r="AN56" s="1"/>
  <c r="AO56" s="1"/>
  <c r="AM27"/>
  <c r="AN27" s="1"/>
  <c r="AO27" s="1"/>
  <c r="AM36"/>
  <c r="AN36" s="1"/>
  <c r="AO36" s="1"/>
  <c r="AM32"/>
  <c r="AN32" s="1"/>
  <c r="AO32" s="1"/>
  <c r="AM93"/>
  <c r="AN93" s="1"/>
  <c r="AO93" s="1"/>
  <c r="AM97"/>
  <c r="AN97" s="1"/>
  <c r="AO97" s="1"/>
  <c r="AM45"/>
  <c r="AN45" s="1"/>
  <c r="AO45" s="1"/>
  <c r="AM53"/>
  <c r="AN53" s="1"/>
  <c r="AO53" s="1"/>
  <c r="AM25"/>
  <c r="AN25" s="1"/>
  <c r="AO25" s="1"/>
  <c r="AM104"/>
  <c r="AN104" s="1"/>
  <c r="AO104" s="1"/>
  <c r="AM88"/>
  <c r="AN88" s="1"/>
  <c r="AO88" s="1"/>
  <c r="AM64"/>
  <c r="AN64" s="1"/>
  <c r="AO64" s="1"/>
  <c r="AM48"/>
  <c r="AN48" s="1"/>
  <c r="AO48" s="1"/>
  <c r="AM44"/>
  <c r="AN44" s="1"/>
  <c r="AO44" s="1"/>
  <c r="AM40"/>
  <c r="AN40" s="1"/>
  <c r="AO40" s="1"/>
  <c r="AM28"/>
  <c r="AN28" s="1"/>
  <c r="AO28" s="1"/>
  <c r="AM24"/>
  <c r="AN24" s="1"/>
  <c r="AO24" s="1"/>
  <c r="AM30"/>
  <c r="AN30" s="1"/>
  <c r="AO30" s="1"/>
  <c r="AM26"/>
  <c r="AN26" s="1"/>
  <c r="AO26" s="1"/>
  <c r="AM96"/>
  <c r="AN96" s="1"/>
  <c r="AO96" s="1"/>
  <c r="AM84"/>
  <c r="AN84" s="1"/>
  <c r="AO84" s="1"/>
  <c r="AM73"/>
  <c r="AN73" s="1"/>
  <c r="AO73" s="1"/>
  <c r="AM72"/>
  <c r="AN72" s="1"/>
  <c r="AO72" s="1"/>
  <c r="AM68"/>
  <c r="AN68" s="1"/>
  <c r="AO68" s="1"/>
  <c r="AM34"/>
  <c r="AN34" s="1"/>
  <c r="AO34" s="1"/>
  <c r="AM35"/>
  <c r="AN35" s="1"/>
  <c r="AO35" s="1"/>
  <c r="AM12"/>
  <c r="AN12" s="1"/>
  <c r="AO12" s="1"/>
  <c r="AM81"/>
  <c r="AN81" s="1"/>
  <c r="AO81" s="1"/>
  <c r="AM77"/>
  <c r="AN77" s="1"/>
  <c r="AO77" s="1"/>
  <c r="U9" l="1"/>
  <c r="AV9" s="1"/>
  <c r="AE8"/>
  <c r="AM41"/>
  <c r="AN41" s="1"/>
  <c r="AO41" s="1"/>
  <c r="AM29"/>
  <c r="AN29" s="1"/>
  <c r="AO29" s="1"/>
  <c r="AM33"/>
  <c r="AN33" s="1"/>
  <c r="AO33" s="1"/>
  <c r="AM49"/>
  <c r="AN49" s="1"/>
  <c r="AO49" s="1"/>
  <c r="AM8"/>
  <c r="AE9" l="1"/>
  <c r="AM9"/>
  <c r="J9" i="2"/>
  <c r="C3" i="16"/>
  <c r="D2" i="1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AH7"/>
  <c r="D13" i="16"/>
  <c r="M5"/>
  <c r="H5"/>
  <c r="H13" s="1"/>
  <c r="N4"/>
  <c r="N10" s="1"/>
  <c r="N11" s="1"/>
  <c r="M4"/>
  <c r="M10" s="1"/>
  <c r="M11" s="1"/>
  <c r="N5" l="1"/>
  <c r="N7" s="1"/>
  <c r="N8" s="1"/>
  <c r="M12"/>
  <c r="H4" s="1"/>
  <c r="I4" s="1"/>
  <c r="M7"/>
  <c r="M8" s="1"/>
  <c r="M9" l="1"/>
  <c r="H7" s="1"/>
  <c r="AI47" i="17" l="1"/>
  <c r="AK47"/>
  <c r="AJ47"/>
  <c r="AK88"/>
  <c r="AJ88"/>
  <c r="AI88"/>
  <c r="AJ12"/>
  <c r="AK12"/>
  <c r="AI12"/>
  <c r="AK23"/>
  <c r="AJ23"/>
  <c r="AI23"/>
  <c r="AK74"/>
  <c r="AJ74"/>
  <c r="AI74"/>
  <c r="AI83"/>
  <c r="AJ83"/>
  <c r="AK83"/>
  <c r="AJ24"/>
  <c r="AK24"/>
  <c r="AI24"/>
  <c r="AI41"/>
  <c r="AJ41"/>
  <c r="AK41"/>
  <c r="AK58"/>
  <c r="A58"/>
  <c r="AJ58"/>
  <c r="AI58"/>
  <c r="AK46"/>
  <c r="AI46"/>
  <c r="AJ46"/>
  <c r="AI55"/>
  <c r="AK55"/>
  <c r="AJ55"/>
  <c r="AJ36"/>
  <c r="AK36"/>
  <c r="AI36"/>
  <c r="AK100"/>
  <c r="AJ100"/>
  <c r="AI100"/>
  <c r="AK72"/>
  <c r="AI72"/>
  <c r="AJ72"/>
  <c r="AK104"/>
  <c r="AJ104"/>
  <c r="AI104"/>
  <c r="AK84"/>
  <c r="AJ84"/>
  <c r="AI84"/>
  <c r="AI17"/>
  <c r="AJ17"/>
  <c r="AK17"/>
  <c r="AI63"/>
  <c r="AK63"/>
  <c r="AJ63"/>
  <c r="AK66"/>
  <c r="A66"/>
  <c r="AI66"/>
  <c r="AJ66"/>
  <c r="AJ40"/>
  <c r="AK40"/>
  <c r="AI40"/>
  <c r="AI45"/>
  <c r="AJ45"/>
  <c r="AK45"/>
  <c r="AK8"/>
  <c r="AI8"/>
  <c r="AJ8"/>
  <c r="AK27"/>
  <c r="AJ27"/>
  <c r="AI27"/>
  <c r="AK96"/>
  <c r="AJ96"/>
  <c r="AI96"/>
  <c r="AJ44"/>
  <c r="AI44"/>
  <c r="AK44"/>
  <c r="AK92"/>
  <c r="AJ92"/>
  <c r="AI92"/>
  <c r="AI71"/>
  <c r="AK71"/>
  <c r="AJ71"/>
  <c r="AJ32"/>
  <c r="AK32"/>
  <c r="AI32"/>
  <c r="AK11"/>
  <c r="AJ11"/>
  <c r="AI11"/>
  <c r="A72"/>
  <c r="AI33"/>
  <c r="AJ33"/>
  <c r="AK33"/>
  <c r="AI99"/>
  <c r="AJ99"/>
  <c r="AK99"/>
  <c r="AI25"/>
  <c r="AJ25"/>
  <c r="AK25"/>
  <c r="A24"/>
  <c r="AI29"/>
  <c r="AJ29"/>
  <c r="AK29"/>
  <c r="A16"/>
  <c r="A104"/>
  <c r="A32"/>
  <c r="A44"/>
  <c r="A96"/>
  <c r="AJ16"/>
  <c r="AK16"/>
  <c r="AI16"/>
  <c r="A84"/>
  <c r="AI13"/>
  <c r="AJ13"/>
  <c r="AK13"/>
  <c r="AI21"/>
  <c r="AJ21"/>
  <c r="AK21"/>
  <c r="A12"/>
  <c r="AI37"/>
  <c r="AJ37"/>
  <c r="AK37"/>
  <c r="A40"/>
  <c r="A36"/>
  <c r="A46"/>
  <c r="A74"/>
  <c r="A80"/>
  <c r="A88"/>
  <c r="A11"/>
  <c r="A23"/>
  <c r="A27"/>
  <c r="A39"/>
  <c r="A92"/>
  <c r="A100"/>
  <c r="AK35"/>
  <c r="AJ35"/>
  <c r="AI35"/>
  <c r="AK68"/>
  <c r="AI68"/>
  <c r="AJ68"/>
  <c r="AK43"/>
  <c r="AI43"/>
  <c r="AJ43"/>
  <c r="AK80"/>
  <c r="AJ80"/>
  <c r="AI80"/>
  <c r="AK78"/>
  <c r="AJ78"/>
  <c r="AI78"/>
  <c r="AK62"/>
  <c r="AI62"/>
  <c r="AJ62"/>
  <c r="AK39"/>
  <c r="AJ39"/>
  <c r="AI39"/>
  <c r="H8" i="16"/>
  <c r="I8" s="1"/>
  <c r="I5"/>
  <c r="AL100" i="17" l="1"/>
  <c r="AL58"/>
  <c r="AL88"/>
  <c r="AL78"/>
  <c r="AL80"/>
  <c r="AL43"/>
  <c r="AL29"/>
  <c r="AL11"/>
  <c r="AL71"/>
  <c r="AL23"/>
  <c r="AL63"/>
  <c r="AL84"/>
  <c r="AL36"/>
  <c r="AL35"/>
  <c r="AL92"/>
  <c r="AL68"/>
  <c r="AL16"/>
  <c r="AL99"/>
  <c r="AL32"/>
  <c r="AL96"/>
  <c r="AL40"/>
  <c r="AL66"/>
  <c r="AL17"/>
  <c r="AL104"/>
  <c r="AL72"/>
  <c r="AL46"/>
  <c r="AL39"/>
  <c r="AL62"/>
  <c r="AL37"/>
  <c r="AL21"/>
  <c r="AL25"/>
  <c r="AL33"/>
  <c r="AL27"/>
  <c r="AL45"/>
  <c r="AL41"/>
  <c r="AL74"/>
  <c r="AL13"/>
  <c r="AL44"/>
  <c r="AL55"/>
  <c r="AL83"/>
  <c r="AL24"/>
  <c r="AL12"/>
  <c r="AL47"/>
  <c r="AL8"/>
  <c r="AN8" s="1"/>
  <c r="AO8" s="1"/>
  <c r="AK70"/>
  <c r="AI70"/>
  <c r="AJ70"/>
  <c r="AK82"/>
  <c r="AJ82"/>
  <c r="AI82"/>
  <c r="AK106"/>
  <c r="AJ106"/>
  <c r="AI106"/>
  <c r="AI75"/>
  <c r="AK75"/>
  <c r="AJ75"/>
  <c r="AI105"/>
  <c r="AJ105"/>
  <c r="AK105"/>
  <c r="AK86"/>
  <c r="AJ86"/>
  <c r="AI86"/>
  <c r="AI103"/>
  <c r="AJ103"/>
  <c r="AK103"/>
  <c r="AK64"/>
  <c r="AI64"/>
  <c r="AJ64"/>
  <c r="AJ28"/>
  <c r="AK28"/>
  <c r="AI28"/>
  <c r="AI69"/>
  <c r="AJ69"/>
  <c r="AK69"/>
  <c r="AK60"/>
  <c r="AI60"/>
  <c r="AJ60"/>
  <c r="AI10"/>
  <c r="AJ10"/>
  <c r="AK10"/>
  <c r="AI91"/>
  <c r="AJ91"/>
  <c r="AK91"/>
  <c r="AK94"/>
  <c r="AJ94"/>
  <c r="AI94"/>
  <c r="AJ9"/>
  <c r="AI9"/>
  <c r="AK9"/>
  <c r="AI22"/>
  <c r="AJ22"/>
  <c r="AK22"/>
  <c r="AI30"/>
  <c r="AJ30"/>
  <c r="AK30"/>
  <c r="AK102"/>
  <c r="AJ102"/>
  <c r="AI102"/>
  <c r="AI49"/>
  <c r="AJ49"/>
  <c r="AK49"/>
  <c r="AI87"/>
  <c r="AJ87"/>
  <c r="AK87"/>
  <c r="AK54"/>
  <c r="AJ54"/>
  <c r="AI54"/>
  <c r="AK31"/>
  <c r="AJ31"/>
  <c r="AI31"/>
  <c r="AI89"/>
  <c r="AJ89"/>
  <c r="AK89"/>
  <c r="AI61"/>
  <c r="AJ61"/>
  <c r="AK61"/>
  <c r="AK50"/>
  <c r="AI50"/>
  <c r="AJ50"/>
  <c r="AI59"/>
  <c r="AK59"/>
  <c r="AJ59"/>
  <c r="AK15"/>
  <c r="AJ15"/>
  <c r="AI15"/>
  <c r="AI51"/>
  <c r="AK51"/>
  <c r="AJ51"/>
  <c r="AK76"/>
  <c r="AI76"/>
  <c r="AJ76"/>
  <c r="AI38"/>
  <c r="AJ38"/>
  <c r="AK38"/>
  <c r="AI65"/>
  <c r="AJ65"/>
  <c r="AK65"/>
  <c r="AI42"/>
  <c r="AJ42"/>
  <c r="AK42"/>
  <c r="AI77"/>
  <c r="AJ77"/>
  <c r="AK77"/>
  <c r="AI79"/>
  <c r="AJ79"/>
  <c r="AK79"/>
  <c r="AI18"/>
  <c r="AJ18"/>
  <c r="AK18"/>
  <c r="A25"/>
  <c r="A99"/>
  <c r="A33"/>
  <c r="A71"/>
  <c r="A45"/>
  <c r="A63"/>
  <c r="A17"/>
  <c r="A55"/>
  <c r="A41"/>
  <c r="A83"/>
  <c r="A47"/>
  <c r="A68"/>
  <c r="A62"/>
  <c r="AI67"/>
  <c r="AK67"/>
  <c r="AJ67"/>
  <c r="AI95"/>
  <c r="AJ95"/>
  <c r="AK95"/>
  <c r="AI26"/>
  <c r="AJ26"/>
  <c r="AK26"/>
  <c r="AI14"/>
  <c r="AJ14"/>
  <c r="AK14"/>
  <c r="AI34"/>
  <c r="AJ34"/>
  <c r="AK34"/>
  <c r="A21"/>
  <c r="A13"/>
  <c r="A78"/>
  <c r="A43"/>
  <c r="A35"/>
  <c r="AK19"/>
  <c r="AJ19"/>
  <c r="AI19"/>
  <c r="A37"/>
  <c r="A29"/>
  <c r="AK48"/>
  <c r="AI48"/>
  <c r="AJ48"/>
  <c r="AK90"/>
  <c r="AJ90"/>
  <c r="AI90"/>
  <c r="AK98"/>
  <c r="AJ98"/>
  <c r="AI98"/>
  <c r="AK56"/>
  <c r="AI56"/>
  <c r="AJ56"/>
  <c r="AJ20"/>
  <c r="AK20"/>
  <c r="AI20"/>
  <c r="AK52"/>
  <c r="AI52"/>
  <c r="AJ52"/>
  <c r="A8"/>
  <c r="P4" i="16"/>
  <c r="H10" s="1"/>
  <c r="AL48" i="17" l="1"/>
  <c r="AL38"/>
  <c r="AL59"/>
  <c r="AL9"/>
  <c r="AN9" s="1"/>
  <c r="AO9" s="1"/>
  <c r="AL60"/>
  <c r="AL76"/>
  <c r="AL50"/>
  <c r="AL94"/>
  <c r="AL70"/>
  <c r="AL52"/>
  <c r="AL98"/>
  <c r="AL34"/>
  <c r="AL67"/>
  <c r="AL77"/>
  <c r="AL15"/>
  <c r="AL30"/>
  <c r="AL91"/>
  <c r="AL105"/>
  <c r="AL106"/>
  <c r="AL42"/>
  <c r="AL51"/>
  <c r="AL61"/>
  <c r="AL31"/>
  <c r="AL87"/>
  <c r="AL102"/>
  <c r="AL22"/>
  <c r="AL10"/>
  <c r="AL86"/>
  <c r="AL75"/>
  <c r="AL82"/>
  <c r="AL90"/>
  <c r="AL19"/>
  <c r="AL14"/>
  <c r="AL20"/>
  <c r="AL56"/>
  <c r="AL26"/>
  <c r="AL18"/>
  <c r="AL65"/>
  <c r="AL89"/>
  <c r="AL54"/>
  <c r="AL49"/>
  <c r="AL28"/>
  <c r="AL64"/>
  <c r="AL103"/>
  <c r="AL95"/>
  <c r="AL79"/>
  <c r="AL69"/>
  <c r="AI97"/>
  <c r="AJ97"/>
  <c r="AK97"/>
  <c r="AI85"/>
  <c r="AJ85"/>
  <c r="AK85"/>
  <c r="AI81"/>
  <c r="AJ81"/>
  <c r="AK81"/>
  <c r="A34"/>
  <c r="A26"/>
  <c r="A95"/>
  <c r="A67"/>
  <c r="AI93"/>
  <c r="AJ93"/>
  <c r="AK93"/>
  <c r="A52"/>
  <c r="A20"/>
  <c r="AI73"/>
  <c r="AJ73"/>
  <c r="AK73"/>
  <c r="A56"/>
  <c r="A98"/>
  <c r="A90"/>
  <c r="A48"/>
  <c r="A91"/>
  <c r="A10"/>
  <c r="A69"/>
  <c r="A103"/>
  <c r="A105"/>
  <c r="A75"/>
  <c r="AI53"/>
  <c r="AJ53"/>
  <c r="AK53"/>
  <c r="AI57"/>
  <c r="AJ57"/>
  <c r="AK57"/>
  <c r="AI101"/>
  <c r="AJ101"/>
  <c r="AK101"/>
  <c r="A14"/>
  <c r="A15"/>
  <c r="A31"/>
  <c r="A54"/>
  <c r="A9"/>
  <c r="A94"/>
  <c r="A60"/>
  <c r="A64"/>
  <c r="A86"/>
  <c r="A106"/>
  <c r="A82"/>
  <c r="A19"/>
  <c r="A76"/>
  <c r="A102"/>
  <c r="A70"/>
  <c r="A18"/>
  <c r="A79"/>
  <c r="A77"/>
  <c r="A42"/>
  <c r="A65"/>
  <c r="A38"/>
  <c r="A51"/>
  <c r="A59"/>
  <c r="A50"/>
  <c r="A61"/>
  <c r="A89"/>
  <c r="A87"/>
  <c r="A49"/>
  <c r="A30"/>
  <c r="A22"/>
  <c r="A28"/>
  <c r="AL73" l="1"/>
  <c r="AL57"/>
  <c r="AL53"/>
  <c r="AL85"/>
  <c r="AL97"/>
  <c r="AL101"/>
  <c r="AL93"/>
  <c r="AL81"/>
  <c r="A101"/>
  <c r="A57"/>
  <c r="A53"/>
  <c r="A93"/>
  <c r="A81"/>
  <c r="A85"/>
  <c r="A97"/>
  <c r="A73"/>
  <c r="N19" i="1" l="1"/>
  <c r="O66" i="13" s="1"/>
  <c r="G14" i="14"/>
  <c r="U14"/>
  <c r="H14"/>
  <c r="M14" s="1"/>
  <c r="G15"/>
  <c r="H92" i="10"/>
  <c r="B32" i="2"/>
  <c r="B70" i="8" s="1"/>
  <c r="U48" i="13"/>
  <c r="M56"/>
  <c r="K56"/>
  <c r="I56"/>
  <c r="C56"/>
  <c r="M55"/>
  <c r="K55"/>
  <c r="I55"/>
  <c r="C55"/>
  <c r="M54"/>
  <c r="K54"/>
  <c r="I54"/>
  <c r="C54"/>
  <c r="M53"/>
  <c r="K53"/>
  <c r="I53"/>
  <c r="C53"/>
  <c r="M52"/>
  <c r="K52"/>
  <c r="I52"/>
  <c r="C52"/>
  <c r="M51"/>
  <c r="K51"/>
  <c r="I51"/>
  <c r="C51"/>
  <c r="M56" i="12"/>
  <c r="K56"/>
  <c r="I56"/>
  <c r="C56"/>
  <c r="M55"/>
  <c r="K55"/>
  <c r="I55"/>
  <c r="C55"/>
  <c r="M54"/>
  <c r="K54"/>
  <c r="I54"/>
  <c r="M53"/>
  <c r="K53"/>
  <c r="I53"/>
  <c r="M52"/>
  <c r="K52"/>
  <c r="I52"/>
  <c r="M51"/>
  <c r="K51"/>
  <c r="I51"/>
  <c r="C51"/>
  <c r="P14" i="14" l="1"/>
  <c r="K14"/>
  <c r="O14"/>
  <c r="L14"/>
  <c r="J14"/>
  <c r="N14"/>
  <c r="V14"/>
  <c r="I14"/>
  <c r="AC30" i="2"/>
  <c r="AC29"/>
  <c r="AC26"/>
  <c r="AB30"/>
  <c r="AB29"/>
  <c r="AB28"/>
  <c r="AB26"/>
  <c r="AB24"/>
  <c r="O30"/>
  <c r="O29"/>
  <c r="O26"/>
  <c r="X18"/>
  <c r="O22"/>
  <c r="C15" i="1"/>
  <c r="X14" i="14" l="1"/>
  <c r="AC14"/>
  <c r="Y14"/>
  <c r="AD14"/>
  <c r="Z14"/>
  <c r="AA14"/>
  <c r="W14"/>
  <c r="AB14"/>
  <c r="Q14"/>
  <c r="S14" s="1"/>
  <c r="R14"/>
  <c r="T14" s="1"/>
  <c r="J19" i="10"/>
  <c r="H19"/>
  <c r="N21" i="2"/>
  <c r="O21" s="1"/>
  <c r="I10" i="1"/>
  <c r="AC3" i="8"/>
  <c r="AD3" s="1"/>
  <c r="AC2"/>
  <c r="AD2" s="1"/>
  <c r="B2"/>
  <c r="AB2" i="2"/>
  <c r="AE14" i="14" l="1"/>
  <c r="AG14" s="1"/>
  <c r="AF14"/>
  <c r="AH14" s="1"/>
  <c r="AC4" i="8"/>
  <c r="C19" i="1"/>
  <c r="AA9" i="2"/>
  <c r="P63" i="7"/>
  <c r="D63"/>
  <c r="P32"/>
  <c r="D32"/>
  <c r="D8"/>
  <c r="R9" i="2"/>
  <c r="AF10"/>
  <c r="AF11"/>
  <c r="AF12"/>
  <c r="AF13"/>
  <c r="AJ13" s="1"/>
  <c r="AF14"/>
  <c r="AJ14" s="1"/>
  <c r="AF15"/>
  <c r="AF16"/>
  <c r="AJ16" s="1"/>
  <c r="AF17"/>
  <c r="AF18"/>
  <c r="AF19"/>
  <c r="AF20"/>
  <c r="AF9"/>
  <c r="F9"/>
  <c r="G9" s="1"/>
  <c r="Q43" i="13"/>
  <c r="BC48" i="14"/>
  <c r="BB42"/>
  <c r="H15"/>
  <c r="I15" s="1"/>
  <c r="D24"/>
  <c r="C24"/>
  <c r="U18"/>
  <c r="O16"/>
  <c r="M15"/>
  <c r="H16"/>
  <c r="J16" s="1"/>
  <c r="U16"/>
  <c r="H17"/>
  <c r="I17" s="1"/>
  <c r="U17"/>
  <c r="H18"/>
  <c r="I18" s="1"/>
  <c r="H19"/>
  <c r="U19"/>
  <c r="H20"/>
  <c r="J20" s="1"/>
  <c r="U20"/>
  <c r="H21"/>
  <c r="L21" s="1"/>
  <c r="M21" s="1"/>
  <c r="U21"/>
  <c r="H22"/>
  <c r="I22" s="1"/>
  <c r="U22"/>
  <c r="H23"/>
  <c r="J23" s="1"/>
  <c r="U23"/>
  <c r="G16"/>
  <c r="G17"/>
  <c r="G18"/>
  <c r="G19"/>
  <c r="G20"/>
  <c r="G21"/>
  <c r="G22"/>
  <c r="G23"/>
  <c r="U15"/>
  <c r="E6"/>
  <c r="M9" i="10"/>
  <c r="J153"/>
  <c r="C153"/>
  <c r="C152"/>
  <c r="B144"/>
  <c r="H143"/>
  <c r="R155"/>
  <c r="R156"/>
  <c r="R157"/>
  <c r="R158"/>
  <c r="R159"/>
  <c r="R160"/>
  <c r="R161"/>
  <c r="R154"/>
  <c r="S151"/>
  <c r="U151" s="1"/>
  <c r="R143"/>
  <c r="R133"/>
  <c r="R144"/>
  <c r="R145"/>
  <c r="R146"/>
  <c r="R147"/>
  <c r="R148"/>
  <c r="R149"/>
  <c r="R150"/>
  <c r="R151"/>
  <c r="R134"/>
  <c r="R135"/>
  <c r="R136"/>
  <c r="R137"/>
  <c r="R138"/>
  <c r="R140"/>
  <c r="R141"/>
  <c r="R142"/>
  <c r="C57"/>
  <c r="C143" s="1"/>
  <c r="J152" s="1"/>
  <c r="J52"/>
  <c r="J53"/>
  <c r="J54"/>
  <c r="J51"/>
  <c r="H52"/>
  <c r="H53"/>
  <c r="H54"/>
  <c r="H51"/>
  <c r="F52"/>
  <c r="F53"/>
  <c r="F54"/>
  <c r="F51"/>
  <c r="C52"/>
  <c r="L52" s="1"/>
  <c r="C53"/>
  <c r="L53" s="1"/>
  <c r="C54"/>
  <c r="L54" s="1"/>
  <c r="C51"/>
  <c r="H16"/>
  <c r="BE9" i="14" s="1"/>
  <c r="E16" i="10"/>
  <c r="M128"/>
  <c r="C44"/>
  <c r="R16" s="1"/>
  <c r="G26"/>
  <c r="B68" i="13"/>
  <c r="M66"/>
  <c r="Q44"/>
  <c r="Q42"/>
  <c r="Q41"/>
  <c r="Q39"/>
  <c r="Q38"/>
  <c r="Q37"/>
  <c r="Q34"/>
  <c r="I31"/>
  <c r="I30"/>
  <c r="O29"/>
  <c r="O28"/>
  <c r="I27"/>
  <c r="O26"/>
  <c r="I26"/>
  <c r="O25"/>
  <c r="I25"/>
  <c r="O24"/>
  <c r="O23"/>
  <c r="Q18"/>
  <c r="E18"/>
  <c r="Q17"/>
  <c r="E17"/>
  <c r="Q16"/>
  <c r="Q19" s="1"/>
  <c r="E16"/>
  <c r="K13"/>
  <c r="H13"/>
  <c r="M11"/>
  <c r="E13" s="1"/>
  <c r="M8"/>
  <c r="M7"/>
  <c r="B73" i="12"/>
  <c r="O71"/>
  <c r="M71"/>
  <c r="Q34"/>
  <c r="Q33"/>
  <c r="I31"/>
  <c r="O30"/>
  <c r="I30"/>
  <c r="O29"/>
  <c r="I29"/>
  <c r="O28"/>
  <c r="I28"/>
  <c r="O27"/>
  <c r="I27"/>
  <c r="O26"/>
  <c r="I26"/>
  <c r="O25"/>
  <c r="I25"/>
  <c r="O24"/>
  <c r="I24"/>
  <c r="O23"/>
  <c r="I23"/>
  <c r="Q18"/>
  <c r="E18"/>
  <c r="Q17"/>
  <c r="E17"/>
  <c r="Q16"/>
  <c r="E16"/>
  <c r="K13"/>
  <c r="H13"/>
  <c r="M11"/>
  <c r="M8"/>
  <c r="M7"/>
  <c r="Q5"/>
  <c r="XFD9" i="6"/>
  <c r="XFD8"/>
  <c r="M11" i="8"/>
  <c r="M99" i="10" s="1"/>
  <c r="Q35" i="12" l="1"/>
  <c r="Q9"/>
  <c r="AA10" i="2"/>
  <c r="D19" i="1"/>
  <c r="I16" i="14"/>
  <c r="Q19" i="12"/>
  <c r="Q9" i="13"/>
  <c r="K2" i="8"/>
  <c r="K18" i="10"/>
  <c r="P8" i="7"/>
  <c r="U24" i="14"/>
  <c r="AR10" s="1"/>
  <c r="K15"/>
  <c r="M16"/>
  <c r="J15"/>
  <c r="L16"/>
  <c r="K16"/>
  <c r="P16"/>
  <c r="L15"/>
  <c r="N16"/>
  <c r="K19"/>
  <c r="J18"/>
  <c r="L17"/>
  <c r="I19"/>
  <c r="I20"/>
  <c r="L22"/>
  <c r="M22" s="1"/>
  <c r="K20"/>
  <c r="J19"/>
  <c r="I21"/>
  <c r="J22"/>
  <c r="K22" s="1"/>
  <c r="Q22" s="1"/>
  <c r="I23"/>
  <c r="K17"/>
  <c r="J17"/>
  <c r="J21"/>
  <c r="K21" s="1"/>
  <c r="K23"/>
  <c r="H24"/>
  <c r="K18"/>
  <c r="R16"/>
  <c r="T16" s="1"/>
  <c r="O15"/>
  <c r="P15"/>
  <c r="N15"/>
  <c r="V17"/>
  <c r="V22"/>
  <c r="V15"/>
  <c r="V20"/>
  <c r="V18"/>
  <c r="V19"/>
  <c r="V23"/>
  <c r="V21"/>
  <c r="V16"/>
  <c r="C55" i="10"/>
  <c r="R17" s="1"/>
  <c r="L51"/>
  <c r="M13" i="12"/>
  <c r="Q14" s="1"/>
  <c r="O32"/>
  <c r="M13" i="13"/>
  <c r="Q14" s="1"/>
  <c r="XFD10" i="6"/>
  <c r="E19" i="1" l="1"/>
  <c r="AA11" i="2"/>
  <c r="Q16" i="14"/>
  <c r="S16" s="1"/>
  <c r="S22"/>
  <c r="AI22" s="1"/>
  <c r="AK22" s="1"/>
  <c r="Q23"/>
  <c r="S23" s="1"/>
  <c r="AI23" s="1"/>
  <c r="AK23" s="1"/>
  <c r="Z21"/>
  <c r="AA21" s="1"/>
  <c r="W21"/>
  <c r="X21"/>
  <c r="Y21" s="1"/>
  <c r="X20"/>
  <c r="Y20"/>
  <c r="W20"/>
  <c r="Q17"/>
  <c r="S17" s="1"/>
  <c r="AI17" s="1"/>
  <c r="AK17" s="1"/>
  <c r="Q21"/>
  <c r="S21" s="1"/>
  <c r="AI21" s="1"/>
  <c r="AK21" s="1"/>
  <c r="X16"/>
  <c r="AC16"/>
  <c r="Y16"/>
  <c r="AD16"/>
  <c r="W16"/>
  <c r="Z16"/>
  <c r="AA16"/>
  <c r="AB16"/>
  <c r="Q18"/>
  <c r="S18" s="1"/>
  <c r="AI18" s="1"/>
  <c r="AK18" s="1"/>
  <c r="AL18" s="1"/>
  <c r="AM18" s="1"/>
  <c r="Y19"/>
  <c r="Z19"/>
  <c r="W19"/>
  <c r="X19"/>
  <c r="X22"/>
  <c r="Y22" s="1"/>
  <c r="Z22"/>
  <c r="AA22" s="1"/>
  <c r="W22"/>
  <c r="W23"/>
  <c r="X23"/>
  <c r="Y23"/>
  <c r="Q19"/>
  <c r="S19" s="1"/>
  <c r="AI19" s="1"/>
  <c r="AK19" s="1"/>
  <c r="AL19" s="1"/>
  <c r="AM19" s="1"/>
  <c r="Q20"/>
  <c r="S20" s="1"/>
  <c r="AI20" s="1"/>
  <c r="AK20" s="1"/>
  <c r="X18"/>
  <c r="W18"/>
  <c r="Y18"/>
  <c r="Z18"/>
  <c r="W17"/>
  <c r="X17"/>
  <c r="Y17"/>
  <c r="Z17"/>
  <c r="AA15"/>
  <c r="X15"/>
  <c r="Y15"/>
  <c r="V24"/>
  <c r="W15"/>
  <c r="Z15"/>
  <c r="AD15"/>
  <c r="AC15"/>
  <c r="AB15"/>
  <c r="R15"/>
  <c r="T15" s="1"/>
  <c r="Q15"/>
  <c r="S15" s="1"/>
  <c r="Q45" i="12"/>
  <c r="Q46" s="1"/>
  <c r="F19" i="1" l="1"/>
  <c r="AA12" i="2"/>
  <c r="D71" i="12"/>
  <c r="D66" i="13"/>
  <c r="AL17" i="14"/>
  <c r="AM17" s="1"/>
  <c r="AE23"/>
  <c r="AE22"/>
  <c r="AG22" s="1"/>
  <c r="AJ22" s="1"/>
  <c r="AL22" s="1"/>
  <c r="AM22" s="1"/>
  <c r="AE20"/>
  <c r="AG20" s="1"/>
  <c r="AJ20" s="1"/>
  <c r="AL20" s="1"/>
  <c r="AM20" s="1"/>
  <c r="AE21"/>
  <c r="AG21" s="1"/>
  <c r="AJ21" s="1"/>
  <c r="AL21" s="1"/>
  <c r="AM21" s="1"/>
  <c r="AE16"/>
  <c r="AG16" s="1"/>
  <c r="AF16"/>
  <c r="AH16" s="1"/>
  <c r="AE19"/>
  <c r="AG19" s="1"/>
  <c r="AJ19" s="1"/>
  <c r="AE17"/>
  <c r="AG17" s="1"/>
  <c r="AE18"/>
  <c r="AG18" s="1"/>
  <c r="AJ18" s="1"/>
  <c r="AG23"/>
  <c r="AJ23" s="1"/>
  <c r="AL23" s="1"/>
  <c r="AM23" s="1"/>
  <c r="AE15"/>
  <c r="AG15" s="1"/>
  <c r="AF15"/>
  <c r="AH15" s="1"/>
  <c r="P32" i="2"/>
  <c r="O68" i="8"/>
  <c r="M68"/>
  <c r="AF48"/>
  <c r="T48" i="13" s="1"/>
  <c r="V48" s="1"/>
  <c r="U10" i="2"/>
  <c r="T9"/>
  <c r="S9"/>
  <c r="Q9"/>
  <c r="P9"/>
  <c r="J10"/>
  <c r="J11" s="1"/>
  <c r="J12" s="1"/>
  <c r="J13" s="1"/>
  <c r="J14" s="1"/>
  <c r="J15" s="1"/>
  <c r="J16" s="1"/>
  <c r="J17" s="1"/>
  <c r="J18" s="1"/>
  <c r="J19" s="1"/>
  <c r="J20" s="1"/>
  <c r="M11"/>
  <c r="M12" s="1"/>
  <c r="M13" s="1"/>
  <c r="M14" s="1"/>
  <c r="M15" s="1"/>
  <c r="M16" s="1"/>
  <c r="M17" s="1"/>
  <c r="M18" s="1"/>
  <c r="M19" s="1"/>
  <c r="M20" s="1"/>
  <c r="N11"/>
  <c r="N12"/>
  <c r="N13" s="1"/>
  <c r="N14" s="1"/>
  <c r="N15" s="1"/>
  <c r="N16" s="1"/>
  <c r="N17" s="1"/>
  <c r="N18" s="1"/>
  <c r="N19" s="1"/>
  <c r="N20" s="1"/>
  <c r="N10"/>
  <c r="M10"/>
  <c r="I10"/>
  <c r="I11" s="1"/>
  <c r="I12" s="1"/>
  <c r="I13" s="1"/>
  <c r="I14" s="1"/>
  <c r="I15" s="1"/>
  <c r="I16" s="1"/>
  <c r="I17" s="1"/>
  <c r="I18" s="1"/>
  <c r="I19" s="1"/>
  <c r="I20" s="1"/>
  <c r="Q17" i="8"/>
  <c r="Q18"/>
  <c r="Q16"/>
  <c r="E18"/>
  <c r="E17"/>
  <c r="E16"/>
  <c r="G19" i="1" l="1"/>
  <c r="AA13" i="2"/>
  <c r="AB9"/>
  <c r="K68" i="13"/>
  <c r="K73" i="12"/>
  <c r="K70" i="8"/>
  <c r="AJ17" i="14"/>
  <c r="Q19" i="8"/>
  <c r="H19" i="1" l="1"/>
  <c r="AA14" i="2"/>
  <c r="F66" i="13" s="1"/>
  <c r="M8" i="8"/>
  <c r="H94" i="10" s="1"/>
  <c r="M7" i="8"/>
  <c r="V31" i="2" a="1"/>
  <c r="V31" s="1"/>
  <c r="W31" a="1"/>
  <c r="W31" s="1"/>
  <c r="X31" a="1"/>
  <c r="X31" s="1"/>
  <c r="Y31" a="1"/>
  <c r="Y31" s="1"/>
  <c r="K31" a="1"/>
  <c r="K31" s="1"/>
  <c r="L31" a="1"/>
  <c r="L31" s="1"/>
  <c r="M31" a="1"/>
  <c r="M31" s="1"/>
  <c r="F5"/>
  <c r="F3"/>
  <c r="H93" i="10" l="1"/>
  <c r="R92"/>
  <c r="F71" i="12"/>
  <c r="I19" i="1"/>
  <c r="AA15" i="2"/>
  <c r="Q9" i="8"/>
  <c r="R91" i="10" s="1"/>
  <c r="P3" i="8"/>
  <c r="P3" i="13"/>
  <c r="P3" i="12"/>
  <c r="E3" i="8"/>
  <c r="E3" i="13"/>
  <c r="E3" i="12"/>
  <c r="S76" i="7"/>
  <c r="G76"/>
  <c r="P70"/>
  <c r="D70"/>
  <c r="P61"/>
  <c r="D61"/>
  <c r="I74" s="1"/>
  <c r="S45"/>
  <c r="P39"/>
  <c r="P30"/>
  <c r="U43" s="1"/>
  <c r="G45"/>
  <c r="D39"/>
  <c r="D30"/>
  <c r="I43" s="1"/>
  <c r="S21"/>
  <c r="P15"/>
  <c r="P6"/>
  <c r="D6"/>
  <c r="I19" s="1"/>
  <c r="G21"/>
  <c r="D15"/>
  <c r="J19" i="1" l="1"/>
  <c r="AA16" i="2"/>
  <c r="U19" i="7"/>
  <c r="U74"/>
  <c r="K19" i="1" l="1"/>
  <c r="AA17" i="2"/>
  <c r="I71" i="12" s="1"/>
  <c r="D4" i="6"/>
  <c r="H13" i="18" s="1"/>
  <c r="C4" i="6"/>
  <c r="A4"/>
  <c r="B1" i="2"/>
  <c r="A1" i="6" s="1"/>
  <c r="B11" i="18" s="1"/>
  <c r="H11" l="1"/>
  <c r="I66" i="13"/>
  <c r="L19" i="1"/>
  <c r="AA18" i="2"/>
  <c r="H11" i="10"/>
  <c r="D4" i="14" s="1"/>
  <c r="D5"/>
  <c r="H13" i="10"/>
  <c r="B1" i="8"/>
  <c r="BC47" i="14"/>
  <c r="B1" i="12"/>
  <c r="B11" i="10"/>
  <c r="B1" i="13"/>
  <c r="W62" i="7"/>
  <c r="W31"/>
  <c r="K7"/>
  <c r="K31"/>
  <c r="K62"/>
  <c r="W7"/>
  <c r="H31"/>
  <c r="H62"/>
  <c r="T7"/>
  <c r="T62"/>
  <c r="T31"/>
  <c r="H7"/>
  <c r="J71" i="12" l="1"/>
  <c r="J66" i="13"/>
  <c r="M19" i="1"/>
  <c r="AA20" i="2" s="1"/>
  <c r="AA19"/>
  <c r="BE7" i="14"/>
  <c r="AA5" i="2"/>
  <c r="P5"/>
  <c r="AA3"/>
  <c r="P3"/>
  <c r="AI10"/>
  <c r="AI11"/>
  <c r="AI12"/>
  <c r="AI17"/>
  <c r="AI19"/>
  <c r="AI20"/>
  <c r="L71" i="12" l="1"/>
  <c r="L66" i="13"/>
  <c r="K71" i="12"/>
  <c r="K66" i="13"/>
  <c r="L3" i="8"/>
  <c r="L3" i="12"/>
  <c r="L3" i="13"/>
  <c r="AG12" i="2"/>
  <c r="AI9"/>
  <c r="AG17"/>
  <c r="AH9"/>
  <c r="AH17"/>
  <c r="AG19"/>
  <c r="AG10"/>
  <c r="AH19"/>
  <c r="AH11"/>
  <c r="AG9"/>
  <c r="AH10"/>
  <c r="AG20"/>
  <c r="AG11"/>
  <c r="AH20"/>
  <c r="AH12"/>
  <c r="Q66" i="13" l="1"/>
  <c r="Q71" i="12"/>
  <c r="P22" i="2"/>
  <c r="AB22" s="1"/>
  <c r="AC22" s="1"/>
  <c r="Z10"/>
  <c r="Z11" s="1"/>
  <c r="U11"/>
  <c r="U12" s="1"/>
  <c r="U13" s="1"/>
  <c r="U14" s="1"/>
  <c r="U15" s="1"/>
  <c r="U16" s="1"/>
  <c r="U17" s="1"/>
  <c r="U18" s="1"/>
  <c r="U19" s="1"/>
  <c r="U20" s="1"/>
  <c r="L68" i="8"/>
  <c r="K68"/>
  <c r="J68"/>
  <c r="AA31" i="2" a="1"/>
  <c r="T10"/>
  <c r="T11" s="1"/>
  <c r="T12" s="1"/>
  <c r="T13" s="1"/>
  <c r="T14" s="1"/>
  <c r="T15" s="1"/>
  <c r="T16" s="1"/>
  <c r="T17" s="1"/>
  <c r="T18" s="1"/>
  <c r="T19" s="1"/>
  <c r="T20" s="1"/>
  <c r="S10"/>
  <c r="S11" s="1"/>
  <c r="S12" s="1"/>
  <c r="S13" s="1"/>
  <c r="S14" s="1"/>
  <c r="S15" s="1"/>
  <c r="S16" s="1"/>
  <c r="S17" s="1"/>
  <c r="S18" s="1"/>
  <c r="S19" s="1"/>
  <c r="S20" s="1"/>
  <c r="R10"/>
  <c r="R11" s="1"/>
  <c r="R12" s="1"/>
  <c r="R13" s="1"/>
  <c r="R14" s="1"/>
  <c r="R15" s="1"/>
  <c r="R16" s="1"/>
  <c r="R17" s="1"/>
  <c r="R18" s="1"/>
  <c r="R19" s="1"/>
  <c r="R20" s="1"/>
  <c r="Q10"/>
  <c r="Q11" s="1"/>
  <c r="Q12" s="1"/>
  <c r="Q13" s="1"/>
  <c r="Q14" s="1"/>
  <c r="Q15" s="1"/>
  <c r="Q16" s="1"/>
  <c r="Q17" s="1"/>
  <c r="Q18" s="1"/>
  <c r="Q19" s="1"/>
  <c r="Q20" s="1"/>
  <c r="P10"/>
  <c r="AB10" s="1"/>
  <c r="T31" a="1"/>
  <c r="S31" a="1"/>
  <c r="Q31" a="1"/>
  <c r="N31" a="1"/>
  <c r="J31" a="1"/>
  <c r="J31" s="1"/>
  <c r="I31" a="1"/>
  <c r="I31" s="1"/>
  <c r="I25" i="18" l="1"/>
  <c r="L25" s="1"/>
  <c r="P11" i="2"/>
  <c r="AB11" s="1"/>
  <c r="I25" i="10"/>
  <c r="L25" s="1"/>
  <c r="D68" i="8"/>
  <c r="I22" i="18" s="1"/>
  <c r="F68" i="8"/>
  <c r="I68"/>
  <c r="Z12" i="2"/>
  <c r="Z13" s="1"/>
  <c r="Z14" s="1"/>
  <c r="Z15" s="1"/>
  <c r="Z16" s="1"/>
  <c r="Z17" s="1"/>
  <c r="Z18" s="1"/>
  <c r="Z19" s="1"/>
  <c r="Z20" s="1"/>
  <c r="R31" a="1"/>
  <c r="N31"/>
  <c r="U31" a="1"/>
  <c r="U31" s="1"/>
  <c r="I29" i="13" s="1"/>
  <c r="H9" i="2"/>
  <c r="F10"/>
  <c r="G10" s="1"/>
  <c r="S31"/>
  <c r="Q31"/>
  <c r="I23" i="13" s="1"/>
  <c r="R31" i="2"/>
  <c r="T31"/>
  <c r="I24" i="13" s="1"/>
  <c r="AA31" i="2"/>
  <c r="I23" i="10" l="1"/>
  <c r="L23" s="1"/>
  <c r="I23" i="18"/>
  <c r="L23" s="1"/>
  <c r="I24" i="10"/>
  <c r="L24" s="1"/>
  <c r="I24" i="18"/>
  <c r="L24" s="1"/>
  <c r="I26"/>
  <c r="R15" s="1"/>
  <c r="R18" s="1"/>
  <c r="L22"/>
  <c r="L26" s="1"/>
  <c r="P12" i="2"/>
  <c r="AB12" s="1"/>
  <c r="Q68" i="8"/>
  <c r="I22" i="10"/>
  <c r="Z31" i="2" a="1"/>
  <c r="Z31" s="1"/>
  <c r="H10"/>
  <c r="O9"/>
  <c r="AC9" s="1"/>
  <c r="P21"/>
  <c r="AB21" s="1"/>
  <c r="AC21" s="1"/>
  <c r="F11"/>
  <c r="G11" s="1"/>
  <c r="J58" i="18" l="1"/>
  <c r="M140"/>
  <c r="O10" i="2"/>
  <c r="AC10" s="1"/>
  <c r="P13"/>
  <c r="AB13" s="1"/>
  <c r="M140" i="10"/>
  <c r="J58"/>
  <c r="I26"/>
  <c r="R15" s="1"/>
  <c r="R18" s="1"/>
  <c r="L22"/>
  <c r="L26" s="1"/>
  <c r="F12" i="2"/>
  <c r="H11"/>
  <c r="O11" l="1"/>
  <c r="AC11" s="1"/>
  <c r="G12"/>
  <c r="P14"/>
  <c r="AB14" s="1"/>
  <c r="H12"/>
  <c r="F13"/>
  <c r="O28" l="1"/>
  <c r="AC28" s="1"/>
  <c r="G23"/>
  <c r="O23" s="1"/>
  <c r="O12"/>
  <c r="AC12" s="1"/>
  <c r="G13"/>
  <c r="P15"/>
  <c r="AB15" s="1"/>
  <c r="AG13"/>
  <c r="F14"/>
  <c r="AG14" s="1"/>
  <c r="H13"/>
  <c r="AH13"/>
  <c r="O13" l="1"/>
  <c r="AC13" s="1"/>
  <c r="G14"/>
  <c r="AH14" s="1"/>
  <c r="AK14" s="1"/>
  <c r="P16"/>
  <c r="AB16" s="1"/>
  <c r="AI13"/>
  <c r="AK13"/>
  <c r="P23"/>
  <c r="AB23" s="1"/>
  <c r="AC23" s="1"/>
  <c r="F15"/>
  <c r="AJ15" s="1"/>
  <c r="AI14"/>
  <c r="H14"/>
  <c r="AG15" l="1"/>
  <c r="O14"/>
  <c r="AC14" s="1"/>
  <c r="G15"/>
  <c r="AH15" s="1"/>
  <c r="AK15" s="1"/>
  <c r="P17"/>
  <c r="AB17" s="1"/>
  <c r="P31" a="1"/>
  <c r="H15"/>
  <c r="F16"/>
  <c r="AB31" a="1"/>
  <c r="G16" l="1"/>
  <c r="AH16" s="1"/>
  <c r="AK16" s="1"/>
  <c r="AK21" s="1"/>
  <c r="AJ21"/>
  <c r="G25" s="1"/>
  <c r="O25" s="1"/>
  <c r="AG16"/>
  <c r="G27"/>
  <c r="O27" s="1"/>
  <c r="P27" s="1"/>
  <c r="AB27" s="1"/>
  <c r="AC27" s="1"/>
  <c r="AI15"/>
  <c r="O15"/>
  <c r="AC15" s="1"/>
  <c r="P18"/>
  <c r="AB18" s="1"/>
  <c r="H16"/>
  <c r="F17"/>
  <c r="H17" s="1"/>
  <c r="AI16" l="1"/>
  <c r="P25"/>
  <c r="AB25" s="1"/>
  <c r="AC25" s="1"/>
  <c r="O16"/>
  <c r="AC16" s="1"/>
  <c r="G17"/>
  <c r="P19"/>
  <c r="AB19" s="1"/>
  <c r="F18"/>
  <c r="H18" s="1"/>
  <c r="O17" l="1"/>
  <c r="AC17" s="1"/>
  <c r="G18"/>
  <c r="P20"/>
  <c r="AB20" s="1"/>
  <c r="AG18"/>
  <c r="AG21" s="1"/>
  <c r="F24" s="1"/>
  <c r="F19"/>
  <c r="H19" s="1"/>
  <c r="AH18"/>
  <c r="AH21" s="1"/>
  <c r="G24" s="1"/>
  <c r="O18" l="1"/>
  <c r="AC18" s="1"/>
  <c r="G19"/>
  <c r="O24"/>
  <c r="AC24" s="1"/>
  <c r="AB31"/>
  <c r="P31"/>
  <c r="I28" i="13" s="1"/>
  <c r="AI18" i="2"/>
  <c r="AI21" s="1"/>
  <c r="F20"/>
  <c r="H20" s="1"/>
  <c r="O19" l="1"/>
  <c r="AC19" s="1"/>
  <c r="E4" i="6"/>
  <c r="G20" i="2"/>
  <c r="F4" i="6" s="1"/>
  <c r="F31" i="2" a="1"/>
  <c r="I4" i="6"/>
  <c r="F31" i="2"/>
  <c r="O20" l="1"/>
  <c r="AC20" s="1"/>
  <c r="G4" i="6"/>
  <c r="H4" s="1"/>
  <c r="H31" i="2" a="1"/>
  <c r="G31" a="1"/>
  <c r="G31" s="1"/>
  <c r="O31" a="1"/>
  <c r="H31"/>
  <c r="J4" i="6" l="1"/>
  <c r="M4" s="1"/>
  <c r="O31" i="2"/>
  <c r="Q4" i="8" s="1"/>
  <c r="Q4" i="12" l="1"/>
  <c r="Q4" i="13"/>
  <c r="J79" i="10"/>
  <c r="K84" s="1"/>
  <c r="AC31" i="2" a="1"/>
  <c r="AC31" s="1"/>
  <c r="Q6" i="12" l="1"/>
  <c r="Q10" s="1"/>
  <c r="Q15" s="1"/>
  <c r="Q20" s="1"/>
  <c r="Q47" s="1"/>
  <c r="Q48" s="1"/>
  <c r="M130" i="18" s="1"/>
  <c r="J79"/>
  <c r="K84" s="1"/>
  <c r="K89" s="1"/>
  <c r="M97" s="1"/>
  <c r="M102" s="1"/>
  <c r="Y62" i="12" l="1"/>
  <c r="AE55"/>
  <c r="Q63" s="1"/>
  <c r="X54"/>
  <c r="X55" s="1"/>
  <c r="Q52" s="1"/>
  <c r="Z54"/>
  <c r="Y54"/>
  <c r="Y42"/>
  <c r="Y43" s="1"/>
  <c r="C57"/>
  <c r="P57"/>
  <c r="Q57"/>
  <c r="AB42"/>
  <c r="AB43" s="1"/>
  <c r="AC54"/>
  <c r="AA42"/>
  <c r="AA43" s="1"/>
  <c r="AA54"/>
  <c r="AA55" s="1"/>
  <c r="Q55" s="1"/>
  <c r="AI53"/>
  <c r="AL53" s="1"/>
  <c r="AL55" s="1"/>
  <c r="X43"/>
  <c r="Z42"/>
  <c r="Z43" s="1"/>
  <c r="AB54"/>
  <c r="AD54"/>
  <c r="AD55" s="1"/>
  <c r="Y55" l="1"/>
  <c r="Q53" s="1"/>
  <c r="Q54"/>
  <c r="AJ53"/>
  <c r="AC55"/>
  <c r="AK53"/>
  <c r="AK55" s="1"/>
  <c r="AB55"/>
  <c r="O27" i="13"/>
  <c r="Q56" i="12" l="1"/>
  <c r="AH55"/>
  <c r="AH56" s="1"/>
  <c r="Q40" i="13"/>
  <c r="Q45" s="1"/>
  <c r="Q58" i="12" l="1"/>
  <c r="M132" i="18" s="1"/>
  <c r="AH58" i="12"/>
  <c r="AH59"/>
  <c r="O30" i="13"/>
  <c r="O32" s="1"/>
  <c r="Q33" s="1"/>
  <c r="Q35" s="1"/>
  <c r="Q46" s="1"/>
  <c r="Q59" i="12" l="1"/>
  <c r="AJ55"/>
  <c r="AJ58" s="1"/>
  <c r="J47" i="7"/>
  <c r="J78"/>
  <c r="V23"/>
  <c r="J23"/>
  <c r="V47"/>
  <c r="V78"/>
  <c r="S65" l="1"/>
  <c r="G10"/>
  <c r="G9" s="1"/>
  <c r="S10"/>
  <c r="N4" i="6"/>
  <c r="G65" i="7"/>
  <c r="G64" s="1"/>
  <c r="G34"/>
  <c r="G33" s="1"/>
  <c r="D37" s="1"/>
  <c r="S34"/>
  <c r="S33" s="1"/>
  <c r="P37" s="1"/>
  <c r="L4" i="6"/>
  <c r="T4" s="1"/>
  <c r="K4" l="1"/>
  <c r="Q5" i="8" s="1"/>
  <c r="S9" i="7"/>
  <c r="S64"/>
  <c r="P68"/>
  <c r="D68"/>
  <c r="P13"/>
  <c r="D13"/>
  <c r="Q5" i="13" l="1"/>
  <c r="Q6" s="1"/>
  <c r="Q10" s="1"/>
  <c r="Q15" s="1"/>
  <c r="Q20" s="1"/>
  <c r="Q47" s="1"/>
  <c r="Q48" s="1"/>
  <c r="Z42" l="1"/>
  <c r="W42"/>
  <c r="W43" s="1"/>
  <c r="Q52" s="1"/>
  <c r="Y42"/>
  <c r="X42"/>
  <c r="X43" l="1"/>
  <c r="Q53" s="1"/>
  <c r="X44"/>
  <c r="Z43"/>
  <c r="Q55" s="1"/>
  <c r="Z44"/>
  <c r="Z45"/>
  <c r="Y44"/>
  <c r="Y45"/>
  <c r="Y43"/>
  <c r="Q54" s="1"/>
  <c r="Q57" l="1"/>
  <c r="Q58" s="1"/>
  <c r="Q59" l="1"/>
  <c r="Q60" l="1"/>
  <c r="Q61" s="1"/>
  <c r="M51" i="8"/>
  <c r="C51"/>
  <c r="C55"/>
  <c r="H13"/>
  <c r="K52"/>
  <c r="C54"/>
  <c r="M56"/>
  <c r="M52"/>
  <c r="I51"/>
  <c r="I54"/>
  <c r="C56"/>
  <c r="C52"/>
  <c r="I56"/>
  <c r="I55"/>
  <c r="K56"/>
  <c r="K53"/>
  <c r="K51"/>
  <c r="K55"/>
  <c r="M55"/>
  <c r="I53"/>
  <c r="K54"/>
  <c r="K13"/>
  <c r="C53"/>
  <c r="M54"/>
  <c r="M53"/>
  <c r="I52"/>
  <c r="E13"/>
  <c r="Q34"/>
  <c r="H116" i="10" s="1"/>
  <c r="J116" s="1"/>
  <c r="L116" s="1"/>
  <c r="I24" i="8"/>
  <c r="I25"/>
  <c r="S135" i="10" s="1"/>
  <c r="U135" s="1"/>
  <c r="Q38" i="8"/>
  <c r="S155" i="10" s="1"/>
  <c r="U155" s="1"/>
  <c r="I26" i="8"/>
  <c r="S136" i="10" s="1"/>
  <c r="U136" s="1"/>
  <c r="Q39" i="8"/>
  <c r="S156" i="10" s="1"/>
  <c r="U156" s="1"/>
  <c r="Q40" i="8"/>
  <c r="S157" i="10" s="1"/>
  <c r="U157" s="1"/>
  <c r="I27" i="8"/>
  <c r="S137" i="10" s="1"/>
  <c r="U137" s="1"/>
  <c r="Q41" i="8"/>
  <c r="S158" i="10" s="1"/>
  <c r="U158" s="1"/>
  <c r="I28" i="8"/>
  <c r="Q42"/>
  <c r="S159" i="10" s="1"/>
  <c r="U159" s="1"/>
  <c r="I29" i="8"/>
  <c r="Q43"/>
  <c r="S160" i="10" s="1"/>
  <c r="U160" s="1"/>
  <c r="I30" i="8"/>
  <c r="S141" i="10" s="1"/>
  <c r="U141" s="1"/>
  <c r="Q44" i="8"/>
  <c r="S161" i="10" s="1"/>
  <c r="U161" s="1"/>
  <c r="I31" i="8"/>
  <c r="S142" i="10" s="1"/>
  <c r="U142" s="1"/>
  <c r="O23" i="8"/>
  <c r="S143" i="10" s="1"/>
  <c r="U143" s="1"/>
  <c r="Q37" i="8"/>
  <c r="S154" i="10" s="1"/>
  <c r="U154" s="1"/>
  <c r="V154" s="1"/>
  <c r="W154" s="1"/>
  <c r="Q154" s="1"/>
  <c r="O24" i="8"/>
  <c r="S144" i="10" s="1"/>
  <c r="U144" s="1"/>
  <c r="O25" i="8"/>
  <c r="S145" i="10" s="1"/>
  <c r="U145" s="1"/>
  <c r="O26" i="8"/>
  <c r="S146" i="10" s="1"/>
  <c r="U146" s="1"/>
  <c r="O27" i="8"/>
  <c r="S147" i="10" s="1"/>
  <c r="U147" s="1"/>
  <c r="O28" i="8"/>
  <c r="S148" i="10" s="1"/>
  <c r="U148" s="1"/>
  <c r="O29" i="8"/>
  <c r="S149" i="10" s="1"/>
  <c r="U149" s="1"/>
  <c r="O30" i="8"/>
  <c r="S150" i="10" s="1"/>
  <c r="U150" s="1"/>
  <c r="I23" i="8"/>
  <c r="J87" i="10"/>
  <c r="K89" s="1"/>
  <c r="AE48" i="8"/>
  <c r="AG48" s="1"/>
  <c r="S133" i="10" l="1"/>
  <c r="U133" s="1"/>
  <c r="V133" s="1"/>
  <c r="W133" s="1"/>
  <c r="Q133" s="1"/>
  <c r="S133" i="18"/>
  <c r="U133" s="1"/>
  <c r="V133" s="1"/>
  <c r="W133" s="1"/>
  <c r="Q133" s="1"/>
  <c r="S134" i="10"/>
  <c r="U134" s="1"/>
  <c r="S134" i="18"/>
  <c r="U134" s="1"/>
  <c r="S140" i="10"/>
  <c r="U140" s="1"/>
  <c r="S140" i="18"/>
  <c r="U140" s="1"/>
  <c r="S138" i="10"/>
  <c r="U138" s="1"/>
  <c r="S138" i="18"/>
  <c r="U138" s="1"/>
  <c r="Q45" i="8"/>
  <c r="M13"/>
  <c r="Q14" s="1"/>
  <c r="O32"/>
  <c r="V155" i="10"/>
  <c r="W155" s="1"/>
  <c r="Q155" s="1"/>
  <c r="Q6" i="8"/>
  <c r="Q10" s="1"/>
  <c r="Q15" s="1"/>
  <c r="Q20" s="1"/>
  <c r="B8" i="10"/>
  <c r="V134" i="18" l="1"/>
  <c r="V135" s="1"/>
  <c r="V134" i="10"/>
  <c r="W134" s="1"/>
  <c r="Q134" s="1"/>
  <c r="Q33" i="8"/>
  <c r="Q35" s="1"/>
  <c r="Q46" s="1"/>
  <c r="Q47" s="1"/>
  <c r="Q48" s="1"/>
  <c r="AI14" i="14"/>
  <c r="AK14" s="1"/>
  <c r="AL14" s="1"/>
  <c r="AM14" s="1"/>
  <c r="AJ14"/>
  <c r="M100" i="10"/>
  <c r="V156"/>
  <c r="AJ15" i="14"/>
  <c r="AI16"/>
  <c r="AJ16"/>
  <c r="AI15"/>
  <c r="AK15" s="1"/>
  <c r="J95" i="10"/>
  <c r="M97" s="1"/>
  <c r="W134" i="18" l="1"/>
  <c r="Q134" s="1"/>
  <c r="W135"/>
  <c r="Q135" s="1"/>
  <c r="V136"/>
  <c r="V135" i="10"/>
  <c r="AJ54" i="8"/>
  <c r="AJ55" s="1"/>
  <c r="AM43"/>
  <c r="Q60" s="1"/>
  <c r="AM44"/>
  <c r="AM45"/>
  <c r="M102" i="10"/>
  <c r="AK16" i="14"/>
  <c r="AK24" s="1"/>
  <c r="W135" i="10"/>
  <c r="Q135" s="1"/>
  <c r="V136"/>
  <c r="AK42" i="8"/>
  <c r="AK45" s="1"/>
  <c r="AH42"/>
  <c r="AH43" s="1"/>
  <c r="AH54"/>
  <c r="AH55" s="1"/>
  <c r="AJ42"/>
  <c r="AJ44" s="1"/>
  <c r="AR12" i="14"/>
  <c r="AS18" s="1"/>
  <c r="AT18" s="1"/>
  <c r="M130" i="10"/>
  <c r="AI54" i="8"/>
  <c r="AI56" s="1"/>
  <c r="AI42"/>
  <c r="AI43" s="1"/>
  <c r="AL54"/>
  <c r="AL55" s="1"/>
  <c r="Q56" s="1"/>
  <c r="AK54"/>
  <c r="AK55" s="1"/>
  <c r="AL15" i="14"/>
  <c r="W156" i="10"/>
  <c r="Q156" s="1"/>
  <c r="V157"/>
  <c r="W136" i="18" l="1"/>
  <c r="Q136" s="1"/>
  <c r="V137"/>
  <c r="AJ56" i="8"/>
  <c r="AL16" i="14"/>
  <c r="AM16" s="1"/>
  <c r="AK44" i="8"/>
  <c r="AS16" i="14"/>
  <c r="AT16" s="1"/>
  <c r="AL56" i="8"/>
  <c r="AK43"/>
  <c r="Q55" s="1"/>
  <c r="AV17" i="14"/>
  <c r="AW17" s="1"/>
  <c r="AV16"/>
  <c r="AW16" s="1"/>
  <c r="AR7"/>
  <c r="AV10" s="1"/>
  <c r="AW10" s="1"/>
  <c r="AV20"/>
  <c r="AW20" s="1"/>
  <c r="AS17"/>
  <c r="AT17" s="1"/>
  <c r="AV19"/>
  <c r="AW19" s="1"/>
  <c r="AV21"/>
  <c r="AW21" s="1"/>
  <c r="AI44" i="8"/>
  <c r="AV18" i="14"/>
  <c r="AW18" s="1"/>
  <c r="AJ45" i="8"/>
  <c r="AL45" s="1"/>
  <c r="Q52"/>
  <c r="AK56"/>
  <c r="AJ43"/>
  <c r="Q54" s="1"/>
  <c r="W136" i="10"/>
  <c r="Q136" s="1"/>
  <c r="V137"/>
  <c r="AI55" i="8"/>
  <c r="Q53" s="1"/>
  <c r="AM15" i="14"/>
  <c r="W157" i="10"/>
  <c r="Q157" s="1"/>
  <c r="V158"/>
  <c r="W137" i="18" l="1"/>
  <c r="Q137" s="1"/>
  <c r="V138"/>
  <c r="AL44" i="8"/>
  <c r="AL43"/>
  <c r="AL24" i="14"/>
  <c r="AV8"/>
  <c r="AW8" s="1"/>
  <c r="AV11"/>
  <c r="AW11" s="1"/>
  <c r="AV7"/>
  <c r="AW7" s="1"/>
  <c r="AV12"/>
  <c r="AW12" s="1"/>
  <c r="AV9"/>
  <c r="AW9" s="1"/>
  <c r="AM24"/>
  <c r="AR24" s="1"/>
  <c r="AU16"/>
  <c r="AS8"/>
  <c r="AT8" s="1"/>
  <c r="AS9"/>
  <c r="AT9" s="1"/>
  <c r="AS7"/>
  <c r="AT7" s="1"/>
  <c r="AX16"/>
  <c r="AR16" s="1"/>
  <c r="BF17" s="1"/>
  <c r="W137" i="10"/>
  <c r="Q137" s="1"/>
  <c r="V138"/>
  <c r="Q57" i="8"/>
  <c r="M132" i="10" s="1"/>
  <c r="W158"/>
  <c r="Q158" s="1"/>
  <c r="V159"/>
  <c r="W138" i="18" l="1"/>
  <c r="Q138" s="1"/>
  <c r="V140"/>
  <c r="AX7" i="14"/>
  <c r="AU7"/>
  <c r="Q58" i="8"/>
  <c r="M133" i="10" s="1"/>
  <c r="M134" s="1"/>
  <c r="M135" s="1"/>
  <c r="V140"/>
  <c r="W138"/>
  <c r="Q138" s="1"/>
  <c r="V160"/>
  <c r="W159"/>
  <c r="Q159" s="1"/>
  <c r="V141" i="18" l="1"/>
  <c r="W140"/>
  <c r="Q140" s="1"/>
  <c r="AR19" i="14"/>
  <c r="AR21" s="1"/>
  <c r="AR28" s="1"/>
  <c r="Q26" i="6" s="1"/>
  <c r="Q62" i="13" s="1"/>
  <c r="Q63" s="1"/>
  <c r="Q64" s="1"/>
  <c r="Q59" i="8"/>
  <c r="V141" i="10"/>
  <c r="W140"/>
  <c r="Q140" s="1"/>
  <c r="V161"/>
  <c r="W161" s="1"/>
  <c r="W160"/>
  <c r="Q160" s="1"/>
  <c r="M136"/>
  <c r="W141" i="18" l="1"/>
  <c r="Q141" s="1"/>
  <c r="V142"/>
  <c r="Q62" i="8"/>
  <c r="Q61"/>
  <c r="Q64"/>
  <c r="A9" i="14"/>
  <c r="Q67" i="12"/>
  <c r="V142" i="10"/>
  <c r="W141"/>
  <c r="Q141" s="1"/>
  <c r="X8" i="8"/>
  <c r="L67" i="13"/>
  <c r="Q67"/>
  <c r="Q161" i="10"/>
  <c r="D120" s="1"/>
  <c r="V143" i="18" l="1"/>
  <c r="W142"/>
  <c r="Q142" s="1"/>
  <c r="M137" i="10"/>
  <c r="M138" s="1"/>
  <c r="M139" s="1"/>
  <c r="M141" s="1"/>
  <c r="J141" s="1"/>
  <c r="M137" i="18"/>
  <c r="Q63" i="8"/>
  <c r="Q65" s="1"/>
  <c r="Q66" s="1"/>
  <c r="H122" i="10"/>
  <c r="J122" s="1"/>
  <c r="L122" s="1"/>
  <c r="D121"/>
  <c r="V143"/>
  <c r="W142"/>
  <c r="Q142" s="1"/>
  <c r="D123"/>
  <c r="H121"/>
  <c r="J121" s="1"/>
  <c r="L121" s="1"/>
  <c r="H123"/>
  <c r="J123" s="1"/>
  <c r="L123" s="1"/>
  <c r="H124"/>
  <c r="J124" s="1"/>
  <c r="L124" s="1"/>
  <c r="H120"/>
  <c r="J120" s="1"/>
  <c r="L120" s="1"/>
  <c r="D124"/>
  <c r="H125"/>
  <c r="J125" s="1"/>
  <c r="L125" s="1"/>
  <c r="D122"/>
  <c r="D125"/>
  <c r="V144" i="18" l="1"/>
  <c r="W143"/>
  <c r="Q143" s="1"/>
  <c r="Q69" i="8"/>
  <c r="U8" i="12"/>
  <c r="L69" i="8"/>
  <c r="W143" i="10"/>
  <c r="Q143" s="1"/>
  <c r="V144"/>
  <c r="M126"/>
  <c r="W144" i="18" l="1"/>
  <c r="Q144" s="1"/>
  <c r="V145"/>
  <c r="V145" i="10"/>
  <c r="W144"/>
  <c r="Q144" s="1"/>
  <c r="V146" i="18" l="1"/>
  <c r="W145"/>
  <c r="Q145" s="1"/>
  <c r="W145" i="10"/>
  <c r="Q145" s="1"/>
  <c r="V146"/>
  <c r="W146" i="18" l="1"/>
  <c r="Q146" s="1"/>
  <c r="V147"/>
  <c r="V147" i="10"/>
  <c r="W146"/>
  <c r="Q146" s="1"/>
  <c r="V148" i="18" l="1"/>
  <c r="W147"/>
  <c r="Q147" s="1"/>
  <c r="V148" i="10"/>
  <c r="W147"/>
  <c r="Q147" s="1"/>
  <c r="W148" i="18" l="1"/>
  <c r="Q148" s="1"/>
  <c r="V149"/>
  <c r="V149" i="10"/>
  <c r="W148"/>
  <c r="Q148" s="1"/>
  <c r="W149" i="18" l="1"/>
  <c r="Q149" s="1"/>
  <c r="V150"/>
  <c r="V150" i="10"/>
  <c r="W149"/>
  <c r="Q149" s="1"/>
  <c r="W150" i="18" l="1"/>
  <c r="Q150" s="1"/>
  <c r="H111" s="1"/>
  <c r="J111" s="1"/>
  <c r="L111" s="1"/>
  <c r="V151"/>
  <c r="W151" s="1"/>
  <c r="Q151" s="1"/>
  <c r="H112" s="1"/>
  <c r="J112" s="1"/>
  <c r="L112" s="1"/>
  <c r="V151" i="10"/>
  <c r="W151" s="1"/>
  <c r="Q151" s="1"/>
  <c r="W150"/>
  <c r="Q150" s="1"/>
  <c r="H110" i="18" l="1"/>
  <c r="J110" s="1"/>
  <c r="L110" s="1"/>
  <c r="M113" s="1"/>
  <c r="L128" s="1"/>
  <c r="D108" i="10"/>
  <c r="H109"/>
  <c r="J109" s="1"/>
  <c r="L109" s="1"/>
  <c r="H108"/>
  <c r="J108" s="1"/>
  <c r="L108" s="1"/>
  <c r="D109"/>
  <c r="D107"/>
  <c r="H107"/>
  <c r="J107" s="1"/>
  <c r="L107" s="1"/>
  <c r="D111"/>
  <c r="H110"/>
  <c r="J110" s="1"/>
  <c r="L110" s="1"/>
  <c r="H111"/>
  <c r="J111" s="1"/>
  <c r="L111" s="1"/>
  <c r="H112"/>
  <c r="J112" s="1"/>
  <c r="L112" s="1"/>
  <c r="D110"/>
  <c r="D112"/>
  <c r="M113" l="1"/>
  <c r="L128" s="1"/>
  <c r="Q60" i="12"/>
  <c r="Q61" s="1"/>
  <c r="Q62" l="1"/>
  <c r="Q64" s="1"/>
  <c r="M133" i="18"/>
  <c r="M134" s="1"/>
  <c r="M135" s="1"/>
  <c r="M136" s="1"/>
  <c r="M138" s="1"/>
  <c r="M139" s="1"/>
  <c r="M141" s="1"/>
  <c r="J141" s="1"/>
  <c r="Q65" i="12" l="1"/>
  <c r="Q66" s="1"/>
  <c r="Q68" s="1"/>
  <c r="Q69" s="1"/>
  <c r="U12" s="1"/>
  <c r="S12" l="1"/>
  <c r="S8"/>
  <c r="X12" i="8"/>
  <c r="L72" i="12"/>
  <c r="Q72"/>
  <c r="S8" i="8" l="1"/>
  <c r="S12"/>
  <c r="Z7" i="17"/>
  <c r="Q7"/>
  <c r="Y7" l="1"/>
  <c r="O7"/>
  <c r="P7"/>
  <c r="R7" l="1"/>
  <c r="AA7"/>
  <c r="S7" l="1"/>
  <c r="T7" s="1"/>
  <c r="AB7"/>
  <c r="AC7" s="1"/>
  <c r="AD7" l="1"/>
  <c r="U7"/>
  <c r="AT7" l="1"/>
  <c r="AU7" s="1"/>
  <c r="AV7" s="1"/>
  <c r="AZ7"/>
  <c r="BA7" s="1"/>
  <c r="BB7" s="1"/>
  <c r="A7"/>
  <c r="AE7"/>
  <c r="AI7" s="1"/>
  <c r="AM7"/>
  <c r="B7"/>
  <c r="AJ7" l="1"/>
  <c r="AK7"/>
  <c r="AL7" l="1"/>
  <c r="AN7" s="1"/>
  <c r="AO7" s="1"/>
</calcChain>
</file>

<file path=xl/comments1.xml><?xml version="1.0" encoding="utf-8"?>
<comments xmlns="http://schemas.openxmlformats.org/spreadsheetml/2006/main">
  <authors>
    <author>DELL</author>
  </authors>
  <commentList>
    <comment ref="M4" authorId="0">
      <text>
        <r>
          <rPr>
            <b/>
            <sz val="14"/>
            <color indexed="81"/>
            <rFont val="Tahoma"/>
            <family val="2"/>
          </rPr>
          <t>Note:</t>
        </r>
        <r>
          <rPr>
            <b/>
            <sz val="10"/>
            <color indexed="81"/>
            <rFont val="Tahoma"/>
            <family val="2"/>
          </rPr>
          <t xml:space="preserve">आपके Basic+DA का 10% 1 लाख से ऊपर होने की स्थिति में यहाँ शून्य अंकित दिखेगा. 
यहाँ दर्शाई राशी आपके द्वारा HRA में पूर्ण राहत हेतु आवश्यक मासिक रिसिप्ट की निकटतम 10 रूपये में राशी है.
</t>
        </r>
        <r>
          <rPr>
            <b/>
            <sz val="12"/>
            <color indexed="81"/>
            <rFont val="Tahoma"/>
            <family val="2"/>
          </rPr>
          <t>आवश्यक हो तो ही संशोधन करें.</t>
        </r>
        <r>
          <rPr>
            <b/>
            <sz val="11"/>
            <color indexed="81"/>
            <rFont val="Tahoma"/>
            <family val="2"/>
          </rPr>
          <t>अन्यथा आपके द्वारा वांछित मासिक रिसिप्ट की राशी दर्ज करें.</t>
        </r>
        <r>
          <rPr>
            <sz val="11"/>
            <color indexed="81"/>
            <rFont val="Tahoma"/>
            <family val="2"/>
          </rPr>
          <t xml:space="preserve">
HRA में राहत नहीं लेने की स्थिति में यहाँ शून्य (0) अंकित करें.
वार्षिक रिसिप्ट राशी 1 लाख के भीतर रखने हेतु 8300 की राशी अंकित करें.
</t>
        </r>
      </text>
    </comment>
  </commentList>
</comments>
</file>

<file path=xl/comments2.xml><?xml version="1.0" encoding="utf-8"?>
<comments xmlns="http://schemas.openxmlformats.org/spreadsheetml/2006/main">
  <authors>
    <author>DELL</author>
  </authors>
  <commentList>
    <comment ref="U5" authorId="0">
      <text>
        <r>
          <rPr>
            <b/>
            <sz val="11"/>
            <color indexed="81"/>
            <rFont val="Tahoma"/>
            <family val="2"/>
          </rPr>
          <t>उम्मेद: कॉलम संख्या 13 में अंकित Itax निकटतम दशांक में मान पर्दर्शित होगा, पुरानी Regime में U/S 87(A) के तहत 12500 तक के Itax की स्थिति में  राहत मिलने के कारण यहाँ 0 राशि पर्दर्शित होगी .</t>
        </r>
        <r>
          <rPr>
            <sz val="9"/>
            <color indexed="81"/>
            <rFont val="Tahoma"/>
            <family val="2"/>
          </rPr>
          <t xml:space="preserve">
</t>
        </r>
      </text>
    </comment>
    <comment ref="AD5" authorId="0">
      <text>
        <r>
          <rPr>
            <b/>
            <sz val="10"/>
            <color indexed="81"/>
            <rFont val="Tahoma"/>
            <family val="2"/>
          </rPr>
          <t>उम्मेद:    कॉलम संख्या 13 में अंकित Itax निकटतम दशांक में मान पर्दर्शित होगा, नई Regime में U/S 87(A) के तहत 25000 तक के Itax की स्थिति में  राहत मिलने के कारण यहाँ 0 राशि पर्दर्शित होगी .</t>
        </r>
      </text>
    </comment>
  </commentList>
</comments>
</file>

<file path=xl/sharedStrings.xml><?xml version="1.0" encoding="utf-8"?>
<sst xmlns="http://schemas.openxmlformats.org/spreadsheetml/2006/main" count="1441" uniqueCount="615">
  <si>
    <t>PREPARED BY :- UMMED TARAD (TEACHER, GSSS RAIMALWADA-BAPINI, JODHPUR)</t>
  </si>
  <si>
    <t>Govt. Sr. School Raimalwada</t>
  </si>
  <si>
    <t>Jodhpur</t>
  </si>
  <si>
    <t>Mobile Number-9166973141, Email ID-ummedtrdedu@gmail.com</t>
  </si>
  <si>
    <t>Sr. No.</t>
  </si>
  <si>
    <t>Post</t>
  </si>
  <si>
    <t>Month</t>
  </si>
  <si>
    <t>Account Number</t>
  </si>
  <si>
    <t>Total</t>
  </si>
  <si>
    <t>Employee Name</t>
  </si>
  <si>
    <t>Employee ID</t>
  </si>
  <si>
    <t>Designation</t>
  </si>
  <si>
    <t>Pay Matrix Level</t>
  </si>
  <si>
    <t>Deta Entry For School and Employee</t>
  </si>
  <si>
    <t>Surrender</t>
  </si>
  <si>
    <t>Claimed (Yes/No)</t>
  </si>
  <si>
    <t>Deducted Amount</t>
  </si>
  <si>
    <t>Extra Paid Status</t>
  </si>
  <si>
    <t>Bonus</t>
  </si>
  <si>
    <t xml:space="preserve">GPF/GPF-2004 </t>
  </si>
  <si>
    <t>SI</t>
  </si>
  <si>
    <t>SI Loan</t>
  </si>
  <si>
    <t>LIC</t>
  </si>
  <si>
    <t>RGHS</t>
  </si>
  <si>
    <t>Bonus Amount</t>
  </si>
  <si>
    <t>Regular</t>
  </si>
  <si>
    <t>YES</t>
  </si>
  <si>
    <t>TAN No. :-</t>
  </si>
  <si>
    <t>DDO Code :-</t>
  </si>
  <si>
    <t>DDO Name :-</t>
  </si>
  <si>
    <t>District :-</t>
  </si>
  <si>
    <t>TV Number</t>
  </si>
  <si>
    <t>TV Date</t>
  </si>
  <si>
    <t>Basic</t>
  </si>
  <si>
    <t>DA</t>
  </si>
  <si>
    <t>HRA</t>
  </si>
  <si>
    <t>Other-2</t>
  </si>
  <si>
    <t>Other-1</t>
  </si>
  <si>
    <t>Allowance</t>
  </si>
  <si>
    <t>Groce Amount</t>
  </si>
  <si>
    <t>Deductions</t>
  </si>
  <si>
    <t>SIL</t>
  </si>
  <si>
    <t>Income Tax</t>
  </si>
  <si>
    <t>Total Deductions</t>
  </si>
  <si>
    <t>Net Payment</t>
  </si>
  <si>
    <t>Sal. Arrear-1</t>
  </si>
  <si>
    <t>Sal. Arrear-2</t>
  </si>
  <si>
    <t>Financial Year :-</t>
  </si>
  <si>
    <t>Employee Name :-</t>
  </si>
  <si>
    <t>Designation :-</t>
  </si>
  <si>
    <t>Employee ID :-</t>
  </si>
  <si>
    <t>PAN No. :-</t>
  </si>
  <si>
    <t>Pay Matrix Level :-</t>
  </si>
  <si>
    <t>Account Number :-</t>
  </si>
  <si>
    <t>Surr. Arear</t>
  </si>
  <si>
    <t>PAN No.</t>
  </si>
  <si>
    <t>Posted Place</t>
  </si>
  <si>
    <t>Per Month HRA Reciept</t>
  </si>
  <si>
    <t>Quartly Amount For HRA Reciept</t>
  </si>
  <si>
    <t>House Owner Name</t>
  </si>
  <si>
    <t>House Owner Adress</t>
  </si>
  <si>
    <t>House Owner PAN Number</t>
  </si>
  <si>
    <t>RECEIPT OF HOUSE RENT</t>
  </si>
  <si>
    <t>(Under section 1 (13-A) of Income Tax Act)</t>
  </si>
  <si>
    <t>Date :-</t>
  </si>
  <si>
    <t xml:space="preserve">I Owner </t>
  </si>
  <si>
    <t xml:space="preserve">Received with Thanks from Sri/Smt. </t>
  </si>
  <si>
    <t>Address-</t>
  </si>
  <si>
    <t>Per Month From :-</t>
  </si>
  <si>
    <t xml:space="preserve">Rs.  =  </t>
  </si>
  <si>
    <t>Date:-</t>
  </si>
  <si>
    <t>(Signature of House Owner)</t>
  </si>
  <si>
    <t xml:space="preserve">(Affix Revenue Stamp of Rs.1/-) 
</t>
  </si>
  <si>
    <t>Name-</t>
  </si>
  <si>
    <t>ADDRESS</t>
  </si>
  <si>
    <t>PAN NUMBER</t>
  </si>
  <si>
    <t xml:space="preserve">Towards the House Rent (Monthly) @ </t>
  </si>
  <si>
    <t xml:space="preserve">The sum of  (Quarterly) </t>
  </si>
  <si>
    <t xml:space="preserve">The sum of  (Yearly) </t>
  </si>
  <si>
    <t>HRA Rebate (Rs.)</t>
  </si>
  <si>
    <t>Yearly HRA Recipt (Rs.)</t>
  </si>
  <si>
    <t>HRA CALCULATION</t>
  </si>
  <si>
    <t>Extra income</t>
  </si>
  <si>
    <t>Amount</t>
  </si>
  <si>
    <t>Area of Income</t>
  </si>
  <si>
    <t>Area of Exemption</t>
  </si>
  <si>
    <t>Amout</t>
  </si>
  <si>
    <t>Deposit income tax other than salary</t>
  </si>
  <si>
    <t>Challan Number</t>
  </si>
  <si>
    <t>BSR Code</t>
  </si>
  <si>
    <t>Date</t>
  </si>
  <si>
    <t>PAN :</t>
  </si>
  <si>
    <t>(i)</t>
  </si>
  <si>
    <t>(x)</t>
  </si>
  <si>
    <t>(ii)</t>
  </si>
  <si>
    <t>(xi)</t>
  </si>
  <si>
    <t>(iii)</t>
  </si>
  <si>
    <t>(xii)</t>
  </si>
  <si>
    <t>(iv)</t>
  </si>
  <si>
    <t>(xiii)</t>
  </si>
  <si>
    <t>(v)</t>
  </si>
  <si>
    <t>(xv)</t>
  </si>
  <si>
    <t>(vi)</t>
  </si>
  <si>
    <t>(xiv)</t>
  </si>
  <si>
    <t>(vii)</t>
  </si>
  <si>
    <t>(xvi)</t>
  </si>
  <si>
    <t>(viii)</t>
  </si>
  <si>
    <t>(xvii)</t>
  </si>
  <si>
    <t>(ix)</t>
  </si>
  <si>
    <t>(xviii)</t>
  </si>
  <si>
    <t>Extra exemptions</t>
  </si>
  <si>
    <t>GIS</t>
  </si>
  <si>
    <t>GPF/ GPF-2004</t>
  </si>
  <si>
    <t>DP</t>
  </si>
  <si>
    <t>Washing All.</t>
  </si>
  <si>
    <t>Handi. All.</t>
  </si>
  <si>
    <t>HBA</t>
  </si>
  <si>
    <t>CmCorona Relief</t>
  </si>
  <si>
    <t>Hitkari Nidhi</t>
  </si>
  <si>
    <t>9(i)</t>
  </si>
  <si>
    <t>9(ii)</t>
  </si>
  <si>
    <t>9(iii)</t>
  </si>
  <si>
    <t>GPF/GPF 2004</t>
  </si>
  <si>
    <t>B</t>
  </si>
  <si>
    <t>Posting Place Name</t>
  </si>
  <si>
    <t>DDO Office Name :-</t>
  </si>
  <si>
    <t>Income Tax Refundable/Payble</t>
  </si>
  <si>
    <t>Rs.</t>
  </si>
  <si>
    <t>गृहकर</t>
  </si>
  <si>
    <t>गृह ऋण किश्त मूल (जो वेतन से नहीं काटा गया)</t>
  </si>
  <si>
    <t>गृह ऋण किश्त ब्याज (जो वेतन से नहीं काटा गया)</t>
  </si>
  <si>
    <t>जीवन बिमा प्रीमियम (जो वेतन से नहीं काटा गया) LIC</t>
  </si>
  <si>
    <t>पी.एल.आई. PLI</t>
  </si>
  <si>
    <t>ट्यूशन फी</t>
  </si>
  <si>
    <t>UPLI/वार्षिक प्लान</t>
  </si>
  <si>
    <t>राष्ट्रीय बचत पत्र (NSC)</t>
  </si>
  <si>
    <t>राष्ट्रीय बचत पत्र पर अदत ब्याज</t>
  </si>
  <si>
    <t>लोक भविष्य निधि (PPF)</t>
  </si>
  <si>
    <t>राष्ट्रीय बचत स्कीम (NSS)</t>
  </si>
  <si>
    <t>सुकन्या समृद्धि योजना</t>
  </si>
  <si>
    <t>अन्य जमा राशी (80 C धारा के अंतर्गत)</t>
  </si>
  <si>
    <t>धारा 80CCC - पेंशन प्लान हेतु अंशदान (NPS के अतिरिक्त)</t>
  </si>
  <si>
    <t>धारा 80CCD(1B) -नवीन पेंशन योजना में अतिरिक्त अंशदान (अधिकतम 50,000 अधिकतम)</t>
  </si>
  <si>
    <t>धारा 80D - चिकित्सा बीमा प्रीमियम (सामान्य 25,000, वरिष्ठ नागरिक 50,000)</t>
  </si>
  <si>
    <t>धारा 80DD - विकलांग आश्रितों का चिकित्सा उपचार (अधिकतम 75,000,  80%विक्लांगता 1,25,000)</t>
  </si>
  <si>
    <t>धारा 80DDB -विशिष्ठ रोगों के उपचार हेतु कटौती (सामान्य 40,000 एवं वरिष्ठ नागरिक 1 लाख)</t>
  </si>
  <si>
    <t>धारा 80E - उच्च शिक्षा हेतु लिए ऋण पर ब्याज (धारा 80E)</t>
  </si>
  <si>
    <t xml:space="preserve">धारा 80G -धर्मार्थ संस्थाओं को दिए दान (श्रेणी 'क' 100% एवं श्रेणी 'ख' 50%) </t>
  </si>
  <si>
    <t>धारा 80U -स्थाई शारीरिक विक्लांगता  (अधिकतम 75,000,  80%विक्लांगता 1,25,000)</t>
  </si>
  <si>
    <t>धारा 80 GGA -अनुमोदित वैज्ञानिक,सामाजिक,ग्रामीण विकास आदि हेतु दिया गया दान</t>
  </si>
  <si>
    <t>इक्विटी लिंक सेविंग स्कीम</t>
  </si>
  <si>
    <t>स्थिगित वार्षिकी</t>
  </si>
  <si>
    <t>धारा 89 के अंतर्गत राहत</t>
  </si>
  <si>
    <t>गृह सम्पति से प्राप्त किराया-आय</t>
  </si>
  <si>
    <t>अन्य आय (बैंक/एफडी में जमा ब्याज/अन्य ब्याज आदि का योग</t>
  </si>
  <si>
    <t>अन्य आय</t>
  </si>
  <si>
    <t>(-----------------------------------------------------)</t>
  </si>
  <si>
    <t>कर्मचारी का नाम :-</t>
  </si>
  <si>
    <t>पद :-</t>
  </si>
  <si>
    <t>आयकर कटौती का विवरण</t>
  </si>
  <si>
    <t xml:space="preserve">                                                             शेष (2-3)</t>
  </si>
  <si>
    <t>मनोरंजन भत्ता धारा 16 (ii) के अंतर्गत अधिकतम 5000 रूपये</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</si>
  <si>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</si>
  <si>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</si>
  <si>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</si>
  <si>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</si>
  <si>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</si>
  <si>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</si>
  <si>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</si>
  <si>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</si>
  <si>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</si>
  <si>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</si>
  <si>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</si>
  <si>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</si>
  <si>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</si>
  <si>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</si>
  <si>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</si>
  <si>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</si>
  <si>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</si>
  <si>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</si>
  <si>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</si>
  <si>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</si>
  <si>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</si>
  <si>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</si>
  <si>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</si>
  <si>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</si>
  <si>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</si>
  <si>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</si>
  <si>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</si>
  <si>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</si>
  <si>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</si>
  <si>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</si>
  <si>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</si>
  <si>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</si>
  <si>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</si>
  <si>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</si>
  <si>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</si>
  <si>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</si>
  <si>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</si>
  <si>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</si>
  <si>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</si>
  <si>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</si>
  <si>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</si>
  <si>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</si>
  <si>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</si>
  <si>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</si>
  <si>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</si>
  <si>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</si>
  <si>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</si>
  <si>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</si>
  <si>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</si>
  <si>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</si>
  <si>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</si>
  <si>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</si>
  <si>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</si>
  <si>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 xml:space="preserve">Itax Deducted addition to Salary </t>
  </si>
  <si>
    <t>Itax submitted by other means</t>
  </si>
  <si>
    <t xml:space="preserve">बिंदु 19 का योग </t>
  </si>
  <si>
    <t>व्यवसाय कर धारा 16 (ii) के अंतर्गत अधिकतम 5000 रूपये</t>
  </si>
  <si>
    <t>1. धारा 80D - चिकित्सा बीमा प्रीमियम {स्वयं/पति/पत्नी  हेतु 25,000 माता/पिता हेतु 25,000, वरिष्ठ नागरिक 50,000}</t>
  </si>
  <si>
    <t>Employee Status (Regular/ Probation)</t>
  </si>
  <si>
    <t>Employee Personal &amp; Salary Details</t>
  </si>
  <si>
    <t>PAID HRA</t>
  </si>
  <si>
    <t>C</t>
  </si>
  <si>
    <t>A</t>
  </si>
  <si>
    <t>New Tax Regime</t>
  </si>
  <si>
    <t>Old Tax Regime</t>
  </si>
  <si>
    <t>&gt;250000</t>
  </si>
  <si>
    <t>&gt;300000</t>
  </si>
  <si>
    <t>&gt;500000</t>
  </si>
  <si>
    <t>&gt;1000000</t>
  </si>
  <si>
    <t>&gt;1500000</t>
  </si>
  <si>
    <t>NO</t>
  </si>
  <si>
    <t>बचत खाते की जमा राशी पर प्राप्त ब्याज में छूट (80 TTA-10000 अधिकतम/80 TTB-अधिकतम 50000)</t>
  </si>
  <si>
    <t>Comparison of Itax calculation in Old and New Tax Regime</t>
  </si>
  <si>
    <t>Tax Calculate by Old Tax Regime</t>
  </si>
  <si>
    <t>Tax Calculate by New Tax Regime</t>
  </si>
  <si>
    <t>FORM NO.16</t>
  </si>
  <si>
    <t>[See rule 31 (1) (a)]</t>
  </si>
  <si>
    <t>Part A</t>
  </si>
  <si>
    <t>Certificate under section 203 of the Income Tax Act, 1961 for tax deducted</t>
  </si>
  <si>
    <t>at source from income chargeable under the head  “ Salaries “</t>
  </si>
  <si>
    <t>Name and address of the employer</t>
  </si>
  <si>
    <t>Name and Designation of the employee</t>
  </si>
  <si>
    <t>PAN of the Deducter</t>
  </si>
  <si>
    <t>TAN of the Deducter</t>
  </si>
  <si>
    <t>PAN of the Employee</t>
  </si>
  <si>
    <t>TDS Circle where annual</t>
  </si>
  <si>
    <t>PERIOD</t>
  </si>
  <si>
    <t>Assessment Year</t>
  </si>
  <si>
    <t>return / statement under</t>
  </si>
  <si>
    <t>FROM</t>
  </si>
  <si>
    <t>TO</t>
  </si>
  <si>
    <t>section 206 is to be filed</t>
  </si>
  <si>
    <t>Smmary of amount Paid/credited and tax Deducted at source thereon in respect of the Employee</t>
  </si>
  <si>
    <t>Quarter(s)</t>
  </si>
  <si>
    <t>Receipt Numbersof Original Quaterly Statements of TDS Under Sub-Section (3) of Section 200</t>
  </si>
  <si>
    <t>Amount Paid cridited</t>
  </si>
  <si>
    <t xml:space="preserve">      Amount of Tax Deducted     (Rs)</t>
  </si>
  <si>
    <t>Amount of Tax Deposited / Remitted                               (Rs)</t>
  </si>
  <si>
    <t>Quarter 1</t>
  </si>
  <si>
    <t>Quarter 2</t>
  </si>
  <si>
    <t>Quarter 3</t>
  </si>
  <si>
    <t>Quarter 4</t>
  </si>
  <si>
    <t>I.DETAILS TAX DEDUCTED AND DEPOSITED INTO CENTRAL GOVERNMENT ACCOUNT THROUGH BOOK ADJUSTMENT</t>
  </si>
  <si>
    <t>S.No</t>
  </si>
  <si>
    <t>Tax Deposited In Respect</t>
  </si>
  <si>
    <t>Book Identification Number (BIN)</t>
  </si>
  <si>
    <t>of the deducter</t>
  </si>
  <si>
    <t>Receipt Numbers of</t>
  </si>
  <si>
    <t>DDO Serial No in</t>
  </si>
  <si>
    <t>Date Of Transfer</t>
  </si>
  <si>
    <t>Status of Maching</t>
  </si>
  <si>
    <t>(Rs)</t>
  </si>
  <si>
    <t>Form No.24G</t>
  </si>
  <si>
    <t>with Form.No 24G</t>
  </si>
  <si>
    <t>(dd/mm/yyyy)</t>
  </si>
  <si>
    <t>Total (Rs)</t>
  </si>
  <si>
    <t>Book Identification Number (CIN)</t>
  </si>
  <si>
    <t xml:space="preserve">BRS Code of  the </t>
  </si>
  <si>
    <t>Date on Which</t>
  </si>
  <si>
    <t>Challana Serial</t>
  </si>
  <si>
    <t>Bank Branch</t>
  </si>
  <si>
    <t>Tax Deposited</t>
  </si>
  <si>
    <t>Number</t>
  </si>
  <si>
    <t>Verification</t>
  </si>
  <si>
    <t>I,</t>
  </si>
  <si>
    <t xml:space="preserve">Son/Doughter of </t>
  </si>
  <si>
    <t xml:space="preserve">  Working In the Capacity Of</t>
  </si>
  <si>
    <t>(Designation) do hereby certify that a sum  of Rs.</t>
  </si>
  <si>
    <t>(in words)</t>
  </si>
  <si>
    <t>has beeen deducted at source and paid to the credit of the Central Government.</t>
  </si>
  <si>
    <t xml:space="preserve"> I further certify that the information given  above is true and correct based on the book of accounts, documents and TDS Statements, TDS Deposited and other available records.</t>
  </si>
  <si>
    <t>Notes :</t>
  </si>
  <si>
    <t>1.  Government deductors to fill information in item I if tax is paid without production of an income-tax challan and in item II if tax .</t>
  </si>
  <si>
    <t xml:space="preserve">        is paid accompanied by an income-tax challan</t>
  </si>
  <si>
    <t>2.  Non-Government deductors to fill information in item II.</t>
  </si>
  <si>
    <t xml:space="preserve">3.  The deductor shall furnish the address of  the Commissioner of  Income-tax (TDS) having jurisdiction as regards TDS </t>
  </si>
  <si>
    <t xml:space="preserve">     statements of the assessee.</t>
  </si>
  <si>
    <t>4.  If an assessee is employed under one employer only during the year, certificate in Form No. 16 issued for the quarter ending on</t>
  </si>
  <si>
    <t xml:space="preserve">      31st March of the financial year shall contain the details of tax deducted and deposited for all the quarters of the financial year.</t>
  </si>
  <si>
    <t xml:space="preserve">5.  If  an  assessee  is  employed  under  more  than  one  employer  during  the  year,  each  of  the employers shall issue Part </t>
  </si>
  <si>
    <t xml:space="preserve">      A of the certificate in Form No. 16 pertaining to the period for which such assessee was employed with each of the employers.</t>
  </si>
  <si>
    <t xml:space="preserve">    Part B (Annexure) of the certificate in Form No.16 may be issued by each of the employers or the last employer at the</t>
  </si>
  <si>
    <t xml:space="preserve">    option of the assessee.</t>
  </si>
  <si>
    <t>6.  In items I and II, in column for tax deposited in respect of deductee, furnish total amount of TDS and education cess."</t>
  </si>
  <si>
    <t>Part B</t>
  </si>
  <si>
    <t>DETAILS OF SALARY PAID AND ANY OTHER INCOME AND TAX DEDUCTED</t>
  </si>
  <si>
    <t>1. Gross Salary *</t>
  </si>
  <si>
    <t>( a ) Salary as per provisions contained in section 17 (1)</t>
  </si>
  <si>
    <t>( b ) Value of perquisites under section 17 (2)</t>
  </si>
  <si>
    <t xml:space="preserve">        (as per Form No. 12 BA, wherever applicable)</t>
  </si>
  <si>
    <t>( c ) Profits in lieu of Salary under section 17 (3)</t>
  </si>
  <si>
    <t>( d ) Total</t>
  </si>
  <si>
    <t>2. Less : Allowance to the extent exempt under section 10</t>
  </si>
  <si>
    <t>b)</t>
  </si>
  <si>
    <t>3. Balance (1-2)</t>
  </si>
  <si>
    <t xml:space="preserve">4. Deductions :          </t>
  </si>
  <si>
    <t>(a) Standard deduction</t>
  </si>
  <si>
    <t>(b) Entertainment allowance</t>
  </si>
  <si>
    <t>(c) Tax on Employment</t>
  </si>
  <si>
    <t>5. Aggregate of 4 (a to c)</t>
  </si>
  <si>
    <t>6. Income chargeable under the Head ‘Salaries’(3-5)</t>
  </si>
  <si>
    <t>7. Add. : Any other income reported by the employee</t>
  </si>
  <si>
    <t>Less:-  Loss From House Properties</t>
  </si>
  <si>
    <t>8. Gross total income  (6+7)</t>
  </si>
  <si>
    <t xml:space="preserve">9. Deductions Under Chapter VIA    </t>
  </si>
  <si>
    <t>A.</t>
  </si>
  <si>
    <t>Sections 80C,80CC and 80CCD</t>
  </si>
  <si>
    <t>Gross Amount</t>
  </si>
  <si>
    <t>Qualifying Amt.</t>
  </si>
  <si>
    <t>Deductible Amt.</t>
  </si>
  <si>
    <t>Deductible Amt</t>
  </si>
  <si>
    <t>(a)</t>
  </si>
  <si>
    <t>(b)</t>
  </si>
  <si>
    <t>Section 80CCD (1B)</t>
  </si>
  <si>
    <t>B.</t>
  </si>
  <si>
    <t>Other Sections ( e.g. 80E, 80G, 80TTA etc) Under Chapter VIA</t>
  </si>
  <si>
    <t xml:space="preserve">12. Tax on total Income </t>
  </si>
  <si>
    <t>13. Rebate U/S 87a</t>
  </si>
  <si>
    <t>14. Tax Payable on total income (12-13)</t>
  </si>
  <si>
    <t>15.Education &amp; Health Cess 4%</t>
  </si>
  <si>
    <t>16. Tax payable (14+15)</t>
  </si>
  <si>
    <t>17. Relife Under Section 89 (attach details)</t>
  </si>
  <si>
    <t>18. Tax payable (16-17)</t>
  </si>
  <si>
    <t>19.Tax Deducted at source U/S 192</t>
  </si>
  <si>
    <t>20. Tax payable / refundable (17-18)</t>
  </si>
  <si>
    <t xml:space="preserve">(Designation) do hereby certify that the information given  above is true  correct based on the </t>
  </si>
  <si>
    <t>book of accounts, documents and TDS Statements, TDS Deposited and other available records.</t>
  </si>
  <si>
    <t xml:space="preserve">                                    Signature &amp; Seal of the person responsible</t>
  </si>
  <si>
    <t xml:space="preserve">                                     for deduction of tax</t>
  </si>
  <si>
    <t>Place:</t>
  </si>
  <si>
    <t>Date:</t>
  </si>
  <si>
    <t>2023-24</t>
  </si>
  <si>
    <t>II.DETAILS TAX DEDUCTED AND DEPOSITED INTO CENTRAL GOVERNMENT ACCOUNT THROUGH BOOK CHALLAN</t>
  </si>
  <si>
    <t>DDO/Principal</t>
  </si>
  <si>
    <t>a) HRA {U/s 10 (13-A)}</t>
  </si>
  <si>
    <t>Sections 80C,80CC and 80CCD(1)</t>
  </si>
  <si>
    <t>U/s 80 TTA/80 TTB-Saving Interest</t>
  </si>
  <si>
    <t>U/s 80 GGA</t>
  </si>
  <si>
    <t>U/s 80 D-Medical Premium</t>
  </si>
  <si>
    <t>U/s 80 DD</t>
  </si>
  <si>
    <t>U/s 80 DDB</t>
  </si>
  <si>
    <t>U/s 80 E-Higher Education</t>
  </si>
  <si>
    <t>U/s 80 G-Donation</t>
  </si>
  <si>
    <t>U/s 80 U-Permanent Disability</t>
  </si>
  <si>
    <t>10. Aggregate of deductible amount under chapter VI-A (A+B)</t>
  </si>
  <si>
    <t xml:space="preserve">Aggregate amount deductible under the three sections i.e.80E, 80G, 80TTA </t>
  </si>
  <si>
    <t>Aggregate amount deductible under the three sections i.e.80C, 80CCC and 80CCD (Max. 1.50 Lac)</t>
  </si>
  <si>
    <r>
      <t xml:space="preserve">11. Total Taxable Income (8-10 ) </t>
    </r>
    <r>
      <rPr>
        <sz val="8"/>
        <rFont val="Arial"/>
        <family val="2"/>
      </rPr>
      <t>Nearest Decimal Figure (U/s 288A)</t>
    </r>
  </si>
  <si>
    <t xml:space="preserve"> Nearest Decimal Figure</t>
  </si>
  <si>
    <t xml:space="preserve">                                 ________________________________</t>
  </si>
  <si>
    <t xml:space="preserve">                Full Name       :</t>
  </si>
  <si>
    <t xml:space="preserve">               Designation    :</t>
  </si>
  <si>
    <t>Tax Payer Age Group:-</t>
  </si>
  <si>
    <t>Financial Year</t>
  </si>
  <si>
    <r>
      <t xml:space="preserve">2. Relief Claimed in the  </t>
    </r>
    <r>
      <rPr>
        <b/>
        <sz val="11"/>
        <color indexed="8"/>
        <rFont val="Calibri"/>
        <family val="2"/>
      </rPr>
      <t xml:space="preserve">Assessment Year </t>
    </r>
  </si>
  <si>
    <t>2021-22</t>
  </si>
  <si>
    <t>3. Name of the Employee</t>
  </si>
  <si>
    <t>3. Address of the Employee</t>
  </si>
  <si>
    <t>5. PAN of the Employee</t>
  </si>
  <si>
    <t>6. Date of Birth (dd/mm/yyyy)</t>
  </si>
  <si>
    <r>
      <t xml:space="preserve">8. Residential Status </t>
    </r>
    <r>
      <rPr>
        <sz val="11"/>
        <color indexed="8"/>
        <rFont val="Calibri"/>
        <family val="2"/>
      </rPr>
      <t>(Assumed to be Resident)</t>
    </r>
  </si>
  <si>
    <t>Resident</t>
  </si>
  <si>
    <t xml:space="preserve">10. Year-wise Breakup of Arrears received and taxable income </t>
  </si>
  <si>
    <t>Taxable Income of the relevant F.Y. without the arrears or advance (Rs.)</t>
  </si>
  <si>
    <t>Amount of Arrears/Advance  received against each Financial Year (Rs.)</t>
  </si>
  <si>
    <t>2019-20</t>
  </si>
  <si>
    <t>2018-19</t>
  </si>
  <si>
    <t>2017-18</t>
  </si>
  <si>
    <t>2016-17</t>
  </si>
  <si>
    <t>2015-16</t>
  </si>
  <si>
    <t>2014-15</t>
  </si>
  <si>
    <t>2013-14</t>
  </si>
  <si>
    <t>2020-21</t>
  </si>
  <si>
    <t>TABLE -A</t>
  </si>
  <si>
    <t>[See Item 7 of Annexure-I]</t>
  </si>
  <si>
    <t>Previous Year(s)</t>
  </si>
  <si>
    <t>Total income of the relevent previous year</t>
  </si>
  <si>
    <t>Salary received in arrears or advance relating to the relevant previous year as mentioned in column (1)</t>
  </si>
  <si>
    <t>Total income (as increased by salary received in arrears or advance) of the relevant previous year as mentioned in column (1)[Add columns (2) and (3)]</t>
  </si>
  <si>
    <t>Tax on total income as per column (2)</t>
  </si>
  <si>
    <t>Tax on total income as per column (4)</t>
  </si>
  <si>
    <t>Difference in tax [Amount under column (6) minus amount under column (5)]</t>
  </si>
  <si>
    <t>4 [2+3]</t>
  </si>
  <si>
    <t>ANNEXURE-I</t>
  </si>
  <si>
    <t>[See item 2 of Form No, 10E]</t>
  </si>
  <si>
    <t>ARREARS OR ADVANCE SALARY</t>
  </si>
  <si>
    <t>Total Income</t>
  </si>
  <si>
    <t>(Excluding salary received in arrears or advance)</t>
  </si>
  <si>
    <t>Salary received in arrear or advance</t>
  </si>
  <si>
    <t>Tax on total income (as per item 3)</t>
  </si>
  <si>
    <t>Tax on total income (as per item 1)</t>
  </si>
  <si>
    <t>Tax on salary received in arrears or advance</t>
  </si>
  <si>
    <t>(Difference between item 4 and item 5)</t>
  </si>
  <si>
    <t>Tax Computed in accordance with Table "A"</t>
  </si>
  <si>
    <t>(Brought from column 7 of Table "A")</t>
  </si>
  <si>
    <t>Relief under section 89(1)</t>
  </si>
  <si>
    <t xml:space="preserve">(Indicate the difference between the amounts mentioned </t>
  </si>
  <si>
    <t>against item 6 and 7)</t>
  </si>
  <si>
    <t>FORM 10E</t>
  </si>
  <si>
    <t>[See Rule 21AA]</t>
  </si>
  <si>
    <t>1. Name and address of the Employee</t>
  </si>
  <si>
    <t>2. Permanent Account Number</t>
  </si>
  <si>
    <t>3. Residential Status</t>
  </si>
  <si>
    <t>Particulars of Income referred to in rule 21A of the Income Tax Rules, 1962 during the previous year relevant to the</t>
  </si>
  <si>
    <t>Amount (Rs.)</t>
  </si>
  <si>
    <t>Not Applicable</t>
  </si>
  <si>
    <t xml:space="preserve">(c) </t>
  </si>
  <si>
    <t>(d)</t>
  </si>
  <si>
    <t>Signature of the employee</t>
  </si>
  <si>
    <t>I</t>
  </si>
  <si>
    <t xml:space="preserve">Place: </t>
  </si>
  <si>
    <t>Dated:</t>
  </si>
  <si>
    <t>Salary  received  in  arrears  or  in advance in  accordance  with the provisions of sub rule (2) of rule 21A</t>
  </si>
  <si>
    <t>Payment  in  the  nature  of gratuity in respect of past services, exteding over a period of not less than 5 years in advance in accordance with the provisions of sub rule (3) of rule 21A</t>
  </si>
  <si>
    <t>Payment   in   the   nature  of  compensation  from   the  employer  or  former employer   at   or  in  connection   with   termination   of  employment   after continuous service of not less than 3 years or where the unexpired portion of term  of  employment  is  also  not  less  than 3  years  in accordance with the provisions of sub rule (4) of rule 21A</t>
  </si>
  <si>
    <t>Payment  in  commutation  of  pension  in  accordance  with the provisions of sub rule (5) of rule 21A</t>
  </si>
  <si>
    <t>Detailed particulars of payments referred to above may be given in Annexure I, II, III or IV, as the case may be.</t>
  </si>
  <si>
    <t xml:space="preserve">do hereby declare that what is stated above is true to the best </t>
  </si>
  <si>
    <t>of my knowledge and belief.</t>
  </si>
  <si>
    <t>7. Gander</t>
  </si>
  <si>
    <t>Male</t>
  </si>
  <si>
    <t>1. If adopted for new tax regime in FY 2022-23 (Yes or No)</t>
  </si>
  <si>
    <t>500000&gt;250000</t>
  </si>
  <si>
    <t>1000000&lt;&gt;500000</t>
  </si>
  <si>
    <t>750000&lt;500000</t>
  </si>
  <si>
    <t>1000000&lt;750000</t>
  </si>
  <si>
    <t>1250000&lt;&gt;1000000</t>
  </si>
  <si>
    <t>1500000&lt;&gt;1250001</t>
  </si>
  <si>
    <t>Tax (Old)</t>
  </si>
  <si>
    <t>Tax (New)</t>
  </si>
  <si>
    <t>Itax+Cess (OLD)</t>
  </si>
  <si>
    <t>Itax+Cess (NEW)</t>
  </si>
  <si>
    <r>
      <t xml:space="preserve"> धारा 89 के अंतर्गत राहत         </t>
    </r>
    <r>
      <rPr>
        <b/>
        <sz val="22"/>
        <color rgb="FFFFFF00"/>
        <rFont val="Times New Roman"/>
        <family val="1"/>
      </rPr>
      <t>ↆ</t>
    </r>
  </si>
  <si>
    <t xml:space="preserve">                                                                                               Employee GA-55 (For Itax Calculation)</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</si>
  <si>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</si>
  <si>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आयकर गणना प्रपत्र देखें</t>
  </si>
  <si>
    <t>Form-16 देखें</t>
  </si>
  <si>
    <t>HRA  Receipt देखें</t>
  </si>
  <si>
    <t>Surrender Arrear</t>
  </si>
  <si>
    <t>JDHG09250D</t>
  </si>
  <si>
    <t>F.Y.</t>
  </si>
  <si>
    <t>Employee Age
(Less 60=A, Between 60&amp;80=B, Above 80=C)</t>
  </si>
  <si>
    <t xml:space="preserve">DA Paid </t>
  </si>
  <si>
    <t>DA Arear</t>
  </si>
  <si>
    <t>Employee Service Type</t>
  </si>
  <si>
    <t>Subordinate</t>
  </si>
  <si>
    <t xml:space="preserve">81 वर्ष या अधिक आयु </t>
  </si>
  <si>
    <t>Income Slab</t>
  </si>
  <si>
    <t>&gt;600000</t>
  </si>
  <si>
    <t>&gt;900000</t>
  </si>
  <si>
    <t>&gt;1200000</t>
  </si>
  <si>
    <r>
      <rPr>
        <b/>
        <sz val="8"/>
        <rFont val="Cambria"/>
        <family val="1"/>
        <scheme val="major"/>
      </rPr>
      <t>(2) छूट धारा 87 (A) (पुरानी स्लैब में 5 लाख की कर योग्य आय पर छुट अधिकतम रु. 12500/- व नई स्लैब में 7 लाख की कर योग्य आय पर 25000/- तक राहत)</t>
    </r>
    <r>
      <rPr>
        <sz val="10"/>
        <rFont val="Calibri"/>
        <family val="2"/>
        <scheme val="minor"/>
      </rPr>
      <t/>
    </r>
  </si>
  <si>
    <t>(2) छूट धारा 87 (A) (नई स्लैब में 7 लाख की कर योग्य आय पर 25000/- तक राहत)</t>
  </si>
  <si>
    <t>(GSSS RAIMALWADA, BAPINI-PHALODI)</t>
  </si>
  <si>
    <t>Email Id-ummedtrdedu@gmail.com</t>
  </si>
  <si>
    <t>2022-23</t>
  </si>
  <si>
    <t>Total Income
(As increased by salary received in arrears or advance)</t>
  </si>
  <si>
    <t xml:space="preserve">Deducted Income Tax </t>
  </si>
  <si>
    <t>School's Detail</t>
  </si>
  <si>
    <t>GA55 देखें</t>
  </si>
  <si>
    <t xml:space="preserve">Prepared By :- Ummed Tarad (GSSS Raimalwada) </t>
  </si>
  <si>
    <t>Employee Related Details</t>
  </si>
  <si>
    <t>HRA Calculation</t>
  </si>
  <si>
    <t>Name of Office:-</t>
  </si>
  <si>
    <t>Perticulars</t>
  </si>
  <si>
    <t>Amount (in Rs.)</t>
  </si>
  <si>
    <t>Examption Amount (in Rs.)</t>
  </si>
  <si>
    <t>Type of official Location :-</t>
  </si>
  <si>
    <t>Rural Area</t>
  </si>
  <si>
    <t>Actual HRA received</t>
  </si>
  <si>
    <t>Name of Employee :-</t>
  </si>
  <si>
    <t>Ummed</t>
  </si>
  <si>
    <t>(i) Rent Paid (Per month rent*12 months)</t>
  </si>
  <si>
    <t>Designation of Employee :-</t>
  </si>
  <si>
    <t>Teacher</t>
  </si>
  <si>
    <t xml:space="preserve"> Employee's PAN :-</t>
  </si>
  <si>
    <t>ABCDE1234F</t>
  </si>
  <si>
    <t>(ii) 10% of (Basic Pay*12 months)+(D.A.*12 months)</t>
  </si>
  <si>
    <t>Basic Pay (March-2022) :-</t>
  </si>
  <si>
    <t>50 % of (Basic Pay*12 months)+(D.A.*12 months) For Metro cities (Chennai, Dehli, Mumbai, Kolkata) Or 40 % of (Basic Pay*12 months)+(D.A.*12 months) For Non Metro cities</t>
  </si>
  <si>
    <t>Rent Pay (Per Month) :-</t>
  </si>
  <si>
    <t>12 Month's Total</t>
  </si>
  <si>
    <t>House Owner's Name :-</t>
  </si>
  <si>
    <t>XYZ</t>
  </si>
  <si>
    <t>Saction 10(13A) {i.e. Exempt HRA u/s 10(13A)}</t>
  </si>
  <si>
    <t>House Owner's PAN :-</t>
  </si>
  <si>
    <t>ZYXWV9876U</t>
  </si>
  <si>
    <t>(Lowest of the three)</t>
  </si>
  <si>
    <t>Quarterly Receipt Amount :-</t>
  </si>
  <si>
    <t>Yearly Receipt Amount :-</t>
  </si>
  <si>
    <r>
      <t xml:space="preserve">Prepared By :- Ummed Tarad (GSSS Raimalwada) </t>
    </r>
    <r>
      <rPr>
        <sz val="20"/>
        <color theme="0"/>
        <rFont val="Aachen BT"/>
        <family val="1"/>
      </rPr>
      <t>(Updated On 20-10-2023)</t>
    </r>
  </si>
  <si>
    <t>Name Of Employee</t>
  </si>
  <si>
    <t>HRA Examption</t>
  </si>
  <si>
    <t>Examption Uder Home Loan</t>
  </si>
  <si>
    <t>Examption U/S VI [80 C/80 CCC/ 80CCD(1)] Up To 1.5 Lac</t>
  </si>
  <si>
    <t>Exapmtion U/S 80 CCD(1B) Up To 50000</t>
  </si>
  <si>
    <t xml:space="preserve">Exapmtion U/S 80 D/80 DD/80/ 80DDB </t>
  </si>
  <si>
    <t>Exapmtion U/S 80 G</t>
  </si>
  <si>
    <t>NET TAXABLE INCOME (For New Tax Regime)</t>
  </si>
  <si>
    <r>
      <t xml:space="preserve">CHOICE </t>
    </r>
    <r>
      <rPr>
        <sz val="9"/>
        <color theme="1"/>
        <rFont val="Calibri"/>
        <family val="2"/>
        <scheme val="minor"/>
      </rPr>
      <t>(Old Rate/New Rate)</t>
    </r>
  </si>
  <si>
    <t>अग्रिम शेष माह में की जाने वाली Itax कटौती</t>
  </si>
  <si>
    <t>Total Deductable Itax</t>
  </si>
  <si>
    <t>Payble (P), Refundable (R) Itax</t>
  </si>
  <si>
    <t>2.5 Lac to 5 Lac</t>
  </si>
  <si>
    <t>5 Lac to 10 Lac</t>
  </si>
  <si>
    <t>&gt;10 Lac</t>
  </si>
  <si>
    <t>Edu. Cess (4%)</t>
  </si>
  <si>
    <t>Grand Total</t>
  </si>
  <si>
    <t>Round Up Value of Total Itax</t>
  </si>
  <si>
    <t>12 Lac to 15 Lac</t>
  </si>
  <si>
    <t>&gt;15 Lac</t>
  </si>
  <si>
    <t>From Salary</t>
  </si>
  <si>
    <t>Via Challan</t>
  </si>
  <si>
    <t>old</t>
  </si>
  <si>
    <t>new</t>
  </si>
  <si>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</si>
  <si>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Click Here For Help Video</t>
  </si>
  <si>
    <t>&gt;5000000</t>
  </si>
  <si>
    <t>Surcharge</t>
  </si>
  <si>
    <t>&gt;10000000</t>
  </si>
  <si>
    <t>(3) छूट धारा 115 BAC  (Marginal Relief) (नई स्लैब में कर योग्य आय कर से न्यून होने की स्थिति में)</t>
  </si>
  <si>
    <r>
      <t xml:space="preserve">(2)  छूट धारा 87 (A) (नई स्लैब में 7 लाख की कर योग्य आय पर 25000/- तक राहत) 
     </t>
    </r>
    <r>
      <rPr>
        <b/>
        <sz val="9"/>
        <rFont val="Cambria"/>
        <family val="1"/>
        <scheme val="major"/>
      </rPr>
      <t xml:space="preserve">   Or 115 BAC  (Marginal Relief) (नई स्लैब में कर योग्य आय कर से न्यून होने की स्थिति में)</t>
    </r>
  </si>
  <si>
    <r>
      <t xml:space="preserve">(3) शेष आयकर (1-2) </t>
    </r>
    <r>
      <rPr>
        <b/>
        <sz val="10"/>
        <color rgb="FFFF0000"/>
        <rFont val="Cambria"/>
        <family val="1"/>
        <scheme val="major"/>
      </rPr>
      <t>{87 (A)  के तहत राहत अथवा Marginal Relief  के पश्चात}</t>
    </r>
  </si>
  <si>
    <t>(6) शिक्षा उपकर 2% एवं उच्च शिक्षा के लिए अधिभार 2% (योग 4%)</t>
  </si>
  <si>
    <t>कुल आयकर (5+6)</t>
  </si>
  <si>
    <t>(5) अधिभार (Surcharge) को मिलाकर आयकर (3+4)</t>
  </si>
  <si>
    <r>
      <rPr>
        <b/>
        <sz val="10"/>
        <color theme="1"/>
        <rFont val="Cambria"/>
        <family val="1"/>
        <scheme val="major"/>
      </rPr>
      <t xml:space="preserve">(4) अधिभार (Surcharge) </t>
    </r>
    <r>
      <rPr>
        <b/>
        <sz val="9"/>
        <color theme="1"/>
        <rFont val="Cambria"/>
        <family val="1"/>
        <scheme val="major"/>
      </rPr>
      <t xml:space="preserve"> </t>
    </r>
    <r>
      <rPr>
        <b/>
        <sz val="6"/>
        <color rgb="FFFF0000"/>
        <rFont val="Cambria"/>
        <family val="1"/>
        <scheme val="major"/>
      </rPr>
      <t>{50 लाख 1 रु.से 1 करोड़ तक आय के कर पर 10%,1 करोड़ 1 रु.से 2 करोड़ तक आय के कर पर 15% तथा 2 करोड़ से ऊपरी आय के कर पर 25% }</t>
    </r>
  </si>
  <si>
    <t>1. An employer's contribution to the NPS up to 10% (14% of Govt. employees) of an employer's basic pay plus DA is allowed 
                                                                                                                                                                                                      as U/s 80 CCD(2)</t>
  </si>
  <si>
    <t>2. Any amount paid or deposited to the Agniveer Corpus Fund under the newly proposed 
                                                                                                                                                                                                      as U/s 80 CCH</t>
  </si>
  <si>
    <t>कुल योग 12</t>
  </si>
  <si>
    <r>
      <t xml:space="preserve">Income Tax Refundable/Payble
</t>
    </r>
    <r>
      <rPr>
        <b/>
        <sz val="5"/>
        <rFont val="Cambria"/>
        <family val="1"/>
        <scheme val="major"/>
      </rPr>
      <t xml:space="preserve">Here Refundable figure Show Positive &amp; Green Color and Payble figure Show Negative &amp; Red Colour </t>
    </r>
  </si>
  <si>
    <r>
      <rPr>
        <b/>
        <sz val="10"/>
        <color theme="1"/>
        <rFont val="Cambria"/>
        <family val="1"/>
        <scheme val="major"/>
      </rPr>
      <t xml:space="preserve">(4) अधिभार (Surcharge) 
                     </t>
    </r>
    <r>
      <rPr>
        <b/>
        <sz val="6"/>
        <color rgb="FFFF0000"/>
        <rFont val="Cambria"/>
        <family val="1"/>
        <scheme val="major"/>
      </rPr>
      <t>{50 लाख 1 रु.से 1 करोड़ तक आय के कर पर 10%,1 करोड़ 1 रु.से 2 करोड़ तक आय के कर पर 15%,2करोड़ 1 रु.से 5 करोड़ तक आय के कर पर 25%,5 करोड़ से ऊपरी आय के कर पर 37% }</t>
    </r>
  </si>
  <si>
    <r>
      <t xml:space="preserve">Income Tax Refundable/Payble
</t>
    </r>
    <r>
      <rPr>
        <b/>
        <sz val="6"/>
        <rFont val="Cambria"/>
        <family val="1"/>
        <scheme val="major"/>
      </rPr>
      <t xml:space="preserve">Here Refundable figure Show Positive &amp; Green Color and Payble figure Show Negative &amp; Red Colour </t>
    </r>
  </si>
  <si>
    <t>From Jan-24</t>
  </si>
  <si>
    <t>From Jul-24</t>
  </si>
  <si>
    <t>Jan-24 to Feb-24</t>
  </si>
  <si>
    <t>Jul-24 to Oct-24</t>
  </si>
  <si>
    <t>2024-25</t>
  </si>
  <si>
    <t>Basic Pay (March-24)</t>
  </si>
  <si>
    <t>DA (Jan-24 to Feb-24)</t>
  </si>
  <si>
    <t>DA (Jul-24 to  Oct-24)</t>
  </si>
  <si>
    <t>ROP
(If any)</t>
  </si>
  <si>
    <t>Extra TDS Deposited 
(Via Challan etc)</t>
  </si>
  <si>
    <t>Income Tax Calculation F.Y. 2024-25 (A.Y.2025-26)</t>
  </si>
  <si>
    <t>आय:वर्ष 2024-25 में कुल प्राप्त वेतन (कर योग्य सुविधाओं के मूल्य सहित)</t>
  </si>
  <si>
    <t>Itax deducted Till Jun-2024 (First Quarter)</t>
  </si>
  <si>
    <t>Itax deducted  July-24 to Sep.-24      (Second Quarter)</t>
  </si>
  <si>
    <t>Itax deducted Oct-24 to Dec.-24 (Third Quarter)</t>
  </si>
  <si>
    <t>Itax Deducted/Dedctable by Dec.24 Salary</t>
  </si>
  <si>
    <t>Itax Deducted/Dedctable by Jan-25 Salary</t>
  </si>
  <si>
    <t>Itax Deducted/Dedctable by Feb-25 Salary</t>
  </si>
  <si>
    <t>Itax deducted Till Jun-24 (First Quarter)</t>
  </si>
  <si>
    <t>Itax deducted  July-24 to Sep-24
 (Second Quarter)</t>
  </si>
  <si>
    <t>Itax deducted Oct-24 to Dec-24
(Third Quarter)</t>
  </si>
  <si>
    <t>Itax Deducted/Dedctable by Dec-24 Salary</t>
  </si>
  <si>
    <t>(iii) स्टेंडर्ड डिडक्शन (Standard Deduction)-अधिकतम 75,000</t>
  </si>
  <si>
    <t>&gt;700000</t>
  </si>
  <si>
    <t>--</t>
  </si>
  <si>
    <t>13. Rebate U/S 87a (Max 25000) Or Marginal Relief (U/S 15 BAC)</t>
  </si>
  <si>
    <t>(As New Tax Regime)</t>
  </si>
  <si>
    <t>(As Old Tax Regime)</t>
  </si>
  <si>
    <t>2025-26  (F.Y. 2024-25)</t>
  </si>
  <si>
    <t>Form  for  furnishing  particulars  of  income  under  section  192(2A)  for  the year ending 31st March, 2024 claiming relief under section 89(1) by a Government servant or an employee in a [company,co-operative society, local authority ,university, institution, association or body]</t>
  </si>
  <si>
    <t>Assessment Year : 2025-26</t>
  </si>
  <si>
    <t>1 April, 2024 To 30 June, 2024</t>
  </si>
  <si>
    <t>1 July, 2024 To 30 Sep., 2024</t>
  </si>
  <si>
    <t>1 Oct., 2024 To 31 Dec., 2024</t>
  </si>
  <si>
    <t>1 Jan., 2025 To 31 March, 2025</t>
  </si>
  <si>
    <t>Tax Calculation For All Employee For F.Y. 2024-25 (A.Y. 2025-26)</t>
  </si>
  <si>
    <t xml:space="preserve">NET TAXABLE INCOME (For Old Tax Regime)
</t>
  </si>
  <si>
    <t>3 Lac to 7 Lac</t>
  </si>
  <si>
    <t>7 Lac to 10 Lac</t>
  </si>
  <si>
    <t>10 Lac to 12 Lac</t>
  </si>
  <si>
    <t>Income Tax 
(NEW TAX REGIME)</t>
  </si>
  <si>
    <t>Income Tax
(OLD TAX REGIME)</t>
  </si>
  <si>
    <t>Total Income 
(As GA-55 Gross Salary)</t>
  </si>
  <si>
    <t>[Colmn 3-{4+5+6+-8+9}-Stand.Ded.50000]</t>
  </si>
  <si>
    <t>[Colmn 3-Stand.Ded.75000]</t>
  </si>
  <si>
    <t xml:space="preserve">आवश्यक निर्देश :- </t>
  </si>
  <si>
    <t>→</t>
  </si>
  <si>
    <t>As New Regime</t>
  </si>
  <si>
    <t>As Old Regime</t>
  </si>
  <si>
    <t>Click Here</t>
  </si>
  <si>
    <r>
      <rPr>
        <b/>
        <sz val="16"/>
        <color theme="0"/>
        <rFont val="Cambria"/>
        <family val="1"/>
        <scheme val="major"/>
      </rPr>
      <t>Creator:-</t>
    </r>
    <r>
      <rPr>
        <b/>
        <sz val="22"/>
        <color theme="0"/>
        <rFont val="AlgerianD"/>
        <family val="5"/>
      </rPr>
      <t xml:space="preserve">
Ummed Tarad</t>
    </r>
  </si>
  <si>
    <r>
      <t xml:space="preserve">1- सबसे पहले Basic Data शीट में सफ़ेद सेल्स में कार्मिक से जुड़े विद्यालय,स्वयं कार्मिक तथा वेतन सम्बंधित विवरण फिल करें.
</t>
    </r>
    <r>
      <rPr>
        <b/>
        <sz val="10"/>
        <color rgb="FF002060"/>
        <rFont val="Calibri"/>
        <family val="2"/>
        <scheme val="minor"/>
      </rPr>
      <t>2- Basic Data भरने के पश्चात Exemp.(HRA+Other) &amp; Other income वाली शीट में HRA अतिरिक्त आय, कटौतियां आदि भरें. (हालाँकि नियमानुसार HRA की गणना स्वतः की हुई मिलेगी फिर भी आपसे जुड़े DDO के निर्देशानुसार इसे बदल भी सकते है.)</t>
    </r>
    <r>
      <rPr>
        <b/>
        <sz val="10"/>
        <color rgb="FFC00000"/>
        <rFont val="Calibri"/>
        <family val="2"/>
        <scheme val="minor"/>
      </rPr>
      <t xml:space="preserve">
3- Basic Data एंट्री के साथ ही आपको GA-55 तैयार मिलेगा जो कि पूर्णत: अनलॉक है आप Pay Man./Pri Pay Man. से निकाले ऑनलाइन GA-55 रिपोर्ट से भली भांति मिलान कर आवश्यकतानुसार बदलाव भी कर सकते हैं.
</t>
    </r>
    <r>
      <rPr>
        <b/>
        <sz val="10"/>
        <color rgb="FF002060"/>
        <rFont val="Calibri"/>
        <family val="2"/>
        <scheme val="minor"/>
      </rPr>
      <t>4- उक्त कार्य पूर्ण करने के बाद आपके सामने कार्मिक से जुडी पुरानी तथा नई कर व्यवस्था (Old Tax Regime/New Tax Regime)  के अनुसार आयकर गणना प्रपत्र, फॉर्म-16, HRA से जुडी आवश्यक रिसिप्ट तैयार है, प्रिंट ले सकते हैं.</t>
    </r>
    <r>
      <rPr>
        <b/>
        <sz val="10"/>
        <color rgb="FFC00000"/>
        <rFont val="Calibri"/>
        <family val="2"/>
        <scheme val="minor"/>
      </rPr>
      <t xml:space="preserve">
5- यदि गत वर्षों के बकाया वेतन का इस वर्ष आयकर की कटौती के साथ भुगतान किया गया है, तो आप आवश्यक फॉर्म-10E भी 10 E Us 89(1) शीट में तैयार कर धारा 89(1) के तहत प्राप्य छूट को आयकर गणना प्रपत्र, फॉर्म-16 में अंकित कर सकते हो.
</t>
    </r>
    <r>
      <rPr>
        <b/>
        <sz val="10"/>
        <color rgb="FF002060"/>
        <rFont val="Calibri"/>
        <family val="2"/>
        <scheme val="minor"/>
      </rPr>
      <t>6- अंतिम 2 शीट्स HRA Calculator द्वारा कोई कार्मिक अपने HRA में राहत तथा आवश्यक रेसिप्ट की जानकारी प्राप्त कर सकता है एवं शीट Itax Calculate For All Employee द्वारा किसी DDO द्वारा अपने कार्यालय में पदस्थापित सम्पूर्ण कार्मिकों के एक साथ Itax की गणना कर आगामी अंतिम तीन माह दिसम्बर-24, जनवरी-25 तथा फरवरी-25 माह में काटे जाने वाले Itax की गणना कर समेकित ब्यौरा तैयार कर सकते है.</t>
    </r>
  </si>
  <si>
    <t>a</t>
  </si>
  <si>
    <t>rjjo20212251115</t>
  </si>
  <si>
    <t>जन.-2025 के वेतन तक की गई Itax कटौती</t>
  </si>
  <si>
    <t>1 April, 2024 To 31 March, 2025</t>
  </si>
  <si>
    <t>Sal. Arrear-3</t>
  </si>
  <si>
    <t>Yes</t>
  </si>
  <si>
    <t>9. Total Taxable Income including Arrear Received in FY 2024-25</t>
  </si>
  <si>
    <t>Updated On 25-11-2024</t>
  </si>
</sst>
</file>

<file path=xl/styles.xml><?xml version="1.0" encoding="utf-8"?>
<styleSheet xmlns="http://schemas.openxmlformats.org/spreadsheetml/2006/main">
  <numFmts count="13">
    <numFmt numFmtId="6" formatCode="&quot;₹&quot;\ #,##0;[Red]&quot;₹&quot;\ \-#,##0"/>
    <numFmt numFmtId="43" formatCode="_ * #,##0.00_ ;_ * \-#,##0.00_ ;_ * &quot;-&quot;??_ ;_ @_ "/>
    <numFmt numFmtId="164" formatCode="[$-14009]dd/mm/yy;@"/>
    <numFmt numFmtId="165" formatCode="[$-14009]dd/mm/yyyy;@"/>
    <numFmt numFmtId="166" formatCode="&quot;L-&quot;#"/>
    <numFmt numFmtId="167" formatCode="[$-14009]dd\-mm\-yyyy;@"/>
    <numFmt numFmtId="168" formatCode="&quot;Rs. &quot;#"/>
    <numFmt numFmtId="169" formatCode="&quot;₹&quot;\ #,##0.00;[Red]&quot;₹&quot;\ #,##0.00"/>
    <numFmt numFmtId="170" formatCode="&quot;₹&quot;\ #,##0.00"/>
    <numFmt numFmtId="171" formatCode="[$-4009]dd\ mmmm\ yyyy"/>
    <numFmt numFmtId="172" formatCode="[$-14009]d\ mmmm\ yyyy;@"/>
    <numFmt numFmtId="173" formatCode="_-* #,##0_-;\-* #,##0_-;_-* &quot;-&quot;??_-;_-@_-"/>
    <numFmt numFmtId="174" formatCode="&quot;₹&quot;\ #,##0"/>
  </numFmts>
  <fonts count="171">
    <font>
      <sz val="11"/>
      <color theme="1"/>
      <name val="Calibri"/>
      <family val="2"/>
      <scheme val="minor"/>
    </font>
    <font>
      <b/>
      <sz val="14"/>
      <color rgb="FF002060"/>
      <name val="Calibri"/>
      <family val="2"/>
      <scheme val="minor"/>
    </font>
    <font>
      <b/>
      <sz val="16"/>
      <color rgb="FF002060"/>
      <name val="Calibri"/>
      <family val="2"/>
      <scheme val="minor"/>
    </font>
    <font>
      <b/>
      <sz val="16"/>
      <color rgb="FF002060"/>
      <name val="Aldine721 BT"/>
      <family val="1"/>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4"/>
      <color rgb="FF002060"/>
      <name val="Cambria"/>
      <family val="1"/>
      <scheme val="major"/>
    </font>
    <font>
      <sz val="12"/>
      <color rgb="FF002060"/>
      <name val="Cambria"/>
      <family val="1"/>
      <scheme val="major"/>
    </font>
    <font>
      <b/>
      <sz val="12"/>
      <color rgb="FF002060"/>
      <name val="Cambria"/>
      <family val="1"/>
      <scheme val="major"/>
    </font>
    <font>
      <b/>
      <sz val="22"/>
      <color theme="1"/>
      <name val="Cambria"/>
      <family val="1"/>
      <scheme val="major"/>
    </font>
    <font>
      <b/>
      <sz val="18"/>
      <color rgb="FF002060"/>
      <name val="Aldine721 BT"/>
      <family val="1"/>
    </font>
    <font>
      <b/>
      <sz val="16"/>
      <color rgb="FF002060"/>
      <name val="Cambria"/>
      <family val="1"/>
      <scheme val="major"/>
    </font>
    <font>
      <b/>
      <sz val="12"/>
      <color theme="1"/>
      <name val="Calibri"/>
      <family val="2"/>
      <scheme val="minor"/>
    </font>
    <font>
      <b/>
      <sz val="11"/>
      <color rgb="FF002060"/>
      <name val="Cambria"/>
      <family val="1"/>
      <scheme val="major"/>
    </font>
    <font>
      <b/>
      <sz val="10"/>
      <color rgb="FF002060"/>
      <name val="Cambria"/>
      <family val="1"/>
      <scheme val="major"/>
    </font>
    <font>
      <sz val="18"/>
      <color rgb="FF002060"/>
      <name val="Caslon Bd BT"/>
      <family val="1"/>
    </font>
    <font>
      <b/>
      <sz val="12"/>
      <color theme="1"/>
      <name val="Cambria"/>
      <family val="1"/>
      <scheme val="major"/>
    </font>
    <font>
      <b/>
      <sz val="14"/>
      <color theme="1"/>
      <name val="Cambria"/>
      <family val="1"/>
      <scheme val="major"/>
    </font>
    <font>
      <sz val="14"/>
      <color theme="1"/>
      <name val="Cambria"/>
      <family val="1"/>
      <scheme val="major"/>
    </font>
    <font>
      <b/>
      <sz val="9"/>
      <color theme="1"/>
      <name val="Cambria"/>
      <family val="1"/>
      <scheme val="major"/>
    </font>
    <font>
      <b/>
      <i/>
      <sz val="24"/>
      <color theme="0"/>
      <name val="Aldine721 BT"/>
      <family val="1"/>
    </font>
    <font>
      <b/>
      <i/>
      <sz val="20"/>
      <color theme="0"/>
      <name val="Aldine721 BT"/>
      <family val="1"/>
    </font>
    <font>
      <b/>
      <sz val="18"/>
      <color theme="1"/>
      <name val="Cambria"/>
      <family val="1"/>
      <scheme val="major"/>
    </font>
    <font>
      <sz val="16"/>
      <color theme="1"/>
      <name val="Cambria"/>
      <family val="1"/>
      <scheme val="major"/>
    </font>
    <font>
      <b/>
      <sz val="11"/>
      <color theme="1"/>
      <name val="Calibri"/>
      <family val="2"/>
      <scheme val="minor"/>
    </font>
    <font>
      <b/>
      <sz val="11"/>
      <color rgb="FFFF0000"/>
      <name val="Cambria"/>
      <family val="1"/>
      <scheme val="major"/>
    </font>
    <font>
      <b/>
      <sz val="22"/>
      <color rgb="FFC00000"/>
      <name val="Cambria"/>
      <family val="1"/>
      <scheme val="major"/>
    </font>
    <font>
      <i/>
      <u/>
      <sz val="14"/>
      <color theme="1"/>
      <name val="Cambria"/>
      <family val="1"/>
      <scheme val="major"/>
    </font>
    <font>
      <b/>
      <sz val="14"/>
      <name val="Cambria"/>
      <family val="1"/>
      <scheme val="major"/>
    </font>
    <font>
      <b/>
      <sz val="14"/>
      <color indexed="8"/>
      <name val="Cambria"/>
      <family val="1"/>
      <scheme val="major"/>
    </font>
    <font>
      <sz val="13"/>
      <color theme="1"/>
      <name val="Cambria"/>
      <family val="1"/>
      <scheme val="major"/>
    </font>
    <font>
      <sz val="14"/>
      <name val="Cambria"/>
      <family val="1"/>
      <scheme val="major"/>
    </font>
    <font>
      <b/>
      <sz val="14"/>
      <color rgb="FFFF0000"/>
      <name val="Cambria"/>
      <family val="1"/>
      <scheme val="major"/>
    </font>
    <font>
      <b/>
      <sz val="16"/>
      <color indexed="8"/>
      <name val="Cambria"/>
      <family val="1"/>
      <scheme val="major"/>
    </font>
    <font>
      <i/>
      <u/>
      <sz val="18"/>
      <color theme="1"/>
      <name val="Cambria"/>
      <family val="1"/>
      <scheme val="major"/>
    </font>
    <font>
      <b/>
      <u/>
      <sz val="22"/>
      <color theme="1"/>
      <name val="Cambria"/>
      <family val="1"/>
      <scheme val="major"/>
    </font>
    <font>
      <b/>
      <u/>
      <sz val="24"/>
      <color theme="1"/>
      <name val="Cambria"/>
      <family val="1"/>
      <scheme val="major"/>
    </font>
    <font>
      <b/>
      <sz val="22"/>
      <color rgb="FFFFFF00"/>
      <name val="AlgerianBasD"/>
      <family val="5"/>
    </font>
    <font>
      <b/>
      <sz val="20"/>
      <color rgb="FFFFFF00"/>
      <name val="AlgerianBasD"/>
      <family val="5"/>
    </font>
    <font>
      <b/>
      <sz val="8"/>
      <color theme="1"/>
      <name val="Cambria"/>
      <family val="1"/>
      <scheme val="major"/>
    </font>
    <font>
      <sz val="16"/>
      <color rgb="FF002060"/>
      <name val="Calibri"/>
      <family val="2"/>
      <scheme val="minor"/>
    </font>
    <font>
      <sz val="14"/>
      <color theme="1"/>
      <name val="Calibri"/>
      <family val="2"/>
      <scheme val="minor"/>
    </font>
    <font>
      <b/>
      <sz val="14"/>
      <color rgb="FFC00000"/>
      <name val="Cambria"/>
      <family val="1"/>
      <scheme val="major"/>
    </font>
    <font>
      <sz val="11"/>
      <name val="Kruti Dev 010"/>
    </font>
    <font>
      <sz val="10"/>
      <name val="Calibri"/>
      <family val="2"/>
      <scheme val="minor"/>
    </font>
    <font>
      <sz val="10"/>
      <name val="Cambria"/>
      <family val="1"/>
      <scheme val="major"/>
    </font>
    <font>
      <b/>
      <sz val="24"/>
      <color theme="1"/>
      <name val="Cambria"/>
      <family val="1"/>
      <scheme val="major"/>
    </font>
    <font>
      <b/>
      <sz val="12"/>
      <color rgb="FFC00000"/>
      <name val="Cambria"/>
      <family val="1"/>
      <scheme val="major"/>
    </font>
    <font>
      <sz val="14"/>
      <color rgb="FFC00000"/>
      <name val="Cambria"/>
      <family val="1"/>
      <scheme val="major"/>
    </font>
    <font>
      <sz val="10"/>
      <name val="Arial"/>
      <family val="2"/>
    </font>
    <font>
      <sz val="10"/>
      <name val="DevLys 010"/>
    </font>
    <font>
      <sz val="10"/>
      <color rgb="FF002060"/>
      <name val="Cambria"/>
      <family val="1"/>
      <scheme val="major"/>
    </font>
    <font>
      <sz val="10"/>
      <color theme="1"/>
      <name val="Cambria"/>
      <family val="1"/>
      <scheme val="major"/>
    </font>
    <font>
      <sz val="10"/>
      <color theme="1"/>
      <name val="Calibri"/>
      <family val="2"/>
      <scheme val="minor"/>
    </font>
    <font>
      <sz val="12"/>
      <color theme="1"/>
      <name val="Cambria"/>
      <family val="1"/>
      <scheme val="major"/>
    </font>
    <font>
      <sz val="9"/>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14"/>
      <color rgb="FF00206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6"/>
      <color theme="0"/>
      <name val="Aldine721 BT"/>
      <family val="1"/>
    </font>
    <font>
      <b/>
      <i/>
      <sz val="14"/>
      <color rgb="FFFF0000"/>
      <name val="Cambria"/>
      <family val="1"/>
      <scheme val="major"/>
    </font>
    <font>
      <sz val="8"/>
      <name val="Cambria"/>
      <family val="1"/>
      <scheme val="major"/>
    </font>
    <font>
      <sz val="8"/>
      <name val="Kruti Dev 010"/>
    </font>
    <font>
      <sz val="18"/>
      <color theme="1"/>
      <name val="Cambria"/>
      <family val="1"/>
      <scheme val="major"/>
    </font>
    <font>
      <b/>
      <sz val="18"/>
      <color rgb="FF002060"/>
      <name val="Cambria"/>
      <family val="1"/>
      <scheme val="major"/>
    </font>
    <font>
      <b/>
      <sz val="20"/>
      <color theme="1"/>
      <name val="Cambria"/>
      <family val="1"/>
      <scheme val="major"/>
    </font>
    <font>
      <b/>
      <sz val="22"/>
      <color theme="0"/>
      <name val="Americana XBd BT"/>
      <family val="1"/>
    </font>
    <font>
      <b/>
      <sz val="14"/>
      <name val="Arial"/>
      <family val="2"/>
    </font>
    <font>
      <b/>
      <sz val="10"/>
      <name val="Arial"/>
      <family val="2"/>
    </font>
    <font>
      <b/>
      <i/>
      <sz val="10"/>
      <name val="Arial"/>
      <family val="2"/>
    </font>
    <font>
      <sz val="8"/>
      <name val="Arial"/>
      <family val="2"/>
    </font>
    <font>
      <b/>
      <sz val="9"/>
      <name val="Arial"/>
      <family val="2"/>
    </font>
    <font>
      <sz val="9"/>
      <name val="Arial"/>
      <family val="2"/>
    </font>
    <font>
      <b/>
      <sz val="10"/>
      <name val="Time Roman"/>
    </font>
    <font>
      <b/>
      <sz val="12"/>
      <name val="Arial"/>
      <family val="2"/>
    </font>
    <font>
      <b/>
      <sz val="11"/>
      <name val="Arial"/>
      <family val="2"/>
    </font>
    <font>
      <b/>
      <sz val="11"/>
      <name val="Calibri"/>
      <family val="2"/>
      <scheme val="minor"/>
    </font>
    <font>
      <sz val="11"/>
      <name val="Calibri"/>
      <family val="2"/>
      <scheme val="minor"/>
    </font>
    <font>
      <sz val="10"/>
      <name val="Tahoma"/>
      <family val="2"/>
    </font>
    <font>
      <b/>
      <sz val="16"/>
      <name val="Arial"/>
      <family val="2"/>
    </font>
    <font>
      <sz val="14"/>
      <name val="Arial"/>
      <family val="2"/>
    </font>
    <font>
      <b/>
      <sz val="8"/>
      <name val="Arial"/>
      <family val="2"/>
    </font>
    <font>
      <sz val="10"/>
      <color theme="0"/>
      <name val="Arial"/>
      <family val="2"/>
    </font>
    <font>
      <b/>
      <sz val="10"/>
      <color theme="0"/>
      <name val="Arial"/>
      <family val="2"/>
    </font>
    <font>
      <sz val="11"/>
      <color theme="1"/>
      <name val="Calibri"/>
      <family val="2"/>
      <scheme val="minor"/>
    </font>
    <font>
      <b/>
      <sz val="15"/>
      <color theme="1"/>
      <name val="Calibri"/>
      <family val="2"/>
      <scheme val="minor"/>
    </font>
    <font>
      <b/>
      <sz val="11"/>
      <color indexed="8"/>
      <name val="Calibri"/>
      <family val="2"/>
    </font>
    <font>
      <sz val="11"/>
      <color indexed="8"/>
      <name val="Calibri"/>
      <family val="2"/>
    </font>
    <font>
      <sz val="9"/>
      <color theme="1"/>
      <name val="Calibri"/>
      <family val="2"/>
      <scheme val="minor"/>
    </font>
    <font>
      <b/>
      <sz val="14"/>
      <color theme="1"/>
      <name val="Calibri"/>
      <family val="2"/>
      <scheme val="minor"/>
    </font>
    <font>
      <sz val="10"/>
      <color theme="1"/>
      <name val="Rial"/>
    </font>
    <font>
      <b/>
      <sz val="10"/>
      <color theme="1"/>
      <name val="Rial"/>
    </font>
    <font>
      <i/>
      <sz val="11"/>
      <color theme="1"/>
      <name val="Calibri"/>
      <family val="2"/>
      <scheme val="minor"/>
    </font>
    <font>
      <b/>
      <i/>
      <sz val="11"/>
      <color theme="1"/>
      <name val="Calibri"/>
      <family val="2"/>
      <scheme val="minor"/>
    </font>
    <font>
      <sz val="9"/>
      <color theme="1"/>
      <name val="Rial"/>
    </font>
    <font>
      <sz val="8"/>
      <color theme="1"/>
      <name val="Calibri"/>
      <family val="2"/>
      <scheme val="minor"/>
    </font>
    <font>
      <b/>
      <sz val="26"/>
      <color theme="0"/>
      <name val="Cambria"/>
      <family val="1"/>
      <scheme val="major"/>
    </font>
    <font>
      <b/>
      <sz val="22"/>
      <color rgb="FFFFFF00"/>
      <name val="Cambria"/>
      <family val="1"/>
      <scheme val="major"/>
    </font>
    <font>
      <b/>
      <sz val="22"/>
      <color rgb="FFFFFF00"/>
      <name val="Times New Roman"/>
      <family val="1"/>
    </font>
    <font>
      <sz val="18"/>
      <color rgb="FF006600"/>
      <name val="Calibri"/>
      <family val="2"/>
      <scheme val="minor"/>
    </font>
    <font>
      <u/>
      <sz val="11"/>
      <color theme="10"/>
      <name val="Calibri"/>
      <family val="2"/>
    </font>
    <font>
      <b/>
      <sz val="14"/>
      <color indexed="81"/>
      <name val="Tahoma"/>
      <family val="2"/>
    </font>
    <font>
      <sz val="11"/>
      <color indexed="81"/>
      <name val="Tahoma"/>
      <family val="2"/>
    </font>
    <font>
      <b/>
      <sz val="11"/>
      <color indexed="81"/>
      <name val="Tahoma"/>
      <family val="2"/>
    </font>
    <font>
      <b/>
      <sz val="12"/>
      <color indexed="81"/>
      <name val="Tahoma"/>
      <family val="2"/>
    </font>
    <font>
      <b/>
      <sz val="10"/>
      <color indexed="81"/>
      <name val="Tahoma"/>
      <family val="2"/>
    </font>
    <font>
      <b/>
      <sz val="22"/>
      <color theme="0"/>
      <name val="AlgerianD"/>
      <family val="5"/>
    </font>
    <font>
      <b/>
      <sz val="9"/>
      <color rgb="FFFFFF00"/>
      <name val="Cambria"/>
      <family val="1"/>
      <scheme val="major"/>
    </font>
    <font>
      <b/>
      <sz val="36"/>
      <color theme="1"/>
      <name val="Aldine721 BT"/>
      <family val="1"/>
    </font>
    <font>
      <b/>
      <sz val="36"/>
      <color theme="1"/>
      <name val="Times New Roman"/>
      <family val="1"/>
    </font>
    <font>
      <b/>
      <sz val="12"/>
      <color rgb="FFFFFF00"/>
      <name val="Cambria"/>
      <family val="1"/>
      <scheme val="major"/>
    </font>
    <font>
      <sz val="22"/>
      <color rgb="FFFFC000"/>
      <name val="Aachen BT"/>
      <family val="1"/>
    </font>
    <font>
      <sz val="24"/>
      <color theme="1"/>
      <name val="Cambria"/>
      <family val="1"/>
      <scheme val="major"/>
    </font>
    <font>
      <sz val="26"/>
      <color theme="1"/>
      <name val="Cambria"/>
      <family val="1"/>
      <scheme val="major"/>
    </font>
    <font>
      <b/>
      <sz val="16"/>
      <color rgb="FFC00000"/>
      <name val="Cambria"/>
      <family val="1"/>
      <scheme val="major"/>
    </font>
    <font>
      <b/>
      <sz val="8"/>
      <color theme="1"/>
      <name val="Calibri"/>
      <family val="2"/>
      <scheme val="minor"/>
    </font>
    <font>
      <sz val="20"/>
      <color rgb="FFFFC000"/>
      <name val="Aachen BT"/>
      <family val="1"/>
    </font>
    <font>
      <sz val="20"/>
      <color theme="0"/>
      <name val="Aachen BT"/>
      <family val="1"/>
    </font>
    <font>
      <sz val="18"/>
      <color theme="1"/>
      <name val="Calibri"/>
      <family val="2"/>
      <scheme val="minor"/>
    </font>
    <font>
      <sz val="12"/>
      <color theme="1"/>
      <name val="Calibri"/>
      <family val="2"/>
      <scheme val="minor"/>
    </font>
    <font>
      <b/>
      <sz val="10"/>
      <color theme="1"/>
      <name val="Calibri"/>
      <family val="2"/>
      <scheme val="minor"/>
    </font>
    <font>
      <sz val="9"/>
      <color indexed="81"/>
      <name val="Tahoma"/>
      <family val="2"/>
    </font>
    <font>
      <b/>
      <sz val="10"/>
      <color rgb="FFC00000"/>
      <name val="Calibri"/>
      <family val="2"/>
      <scheme val="minor"/>
    </font>
    <font>
      <b/>
      <sz val="10"/>
      <color rgb="FF002060"/>
      <name val="Calibri"/>
      <family val="2"/>
      <scheme val="minor"/>
    </font>
    <font>
      <b/>
      <sz val="14"/>
      <color theme="1"/>
      <name val="Aldine721 BT"/>
      <family val="1"/>
    </font>
    <font>
      <b/>
      <sz val="7"/>
      <name val="Cambria"/>
      <family val="1"/>
      <scheme val="major"/>
    </font>
    <font>
      <b/>
      <sz val="16"/>
      <color theme="0"/>
      <name val="Cambria"/>
      <family val="1"/>
      <scheme val="major"/>
    </font>
    <font>
      <b/>
      <sz val="10"/>
      <color theme="0"/>
      <name val="Cambria"/>
      <family val="1"/>
      <scheme val="major"/>
    </font>
    <font>
      <sz val="10"/>
      <color theme="0"/>
      <name val="Cambria"/>
      <family val="1"/>
      <scheme val="major"/>
    </font>
    <font>
      <sz val="11"/>
      <color theme="0"/>
      <name val="Cambria"/>
      <family val="1"/>
      <scheme val="major"/>
    </font>
    <font>
      <b/>
      <sz val="6"/>
      <color rgb="FFFF0000"/>
      <name val="Cambria"/>
      <family val="1"/>
      <scheme val="major"/>
    </font>
    <font>
      <sz val="10"/>
      <color theme="0" tint="-0.249977111117893"/>
      <name val="Cambria"/>
      <family val="1"/>
      <scheme val="major"/>
    </font>
    <font>
      <sz val="11"/>
      <color theme="0" tint="-0.249977111117893"/>
      <name val="Cambria"/>
      <family val="1"/>
      <scheme val="major"/>
    </font>
    <font>
      <sz val="9"/>
      <color theme="0" tint="-0.249977111117893"/>
      <name val="Cambria"/>
      <family val="1"/>
      <scheme val="major"/>
    </font>
    <font>
      <sz val="12"/>
      <color theme="0" tint="-0.249977111117893"/>
      <name val="Cambria"/>
      <family val="1"/>
      <scheme val="major"/>
    </font>
    <font>
      <b/>
      <sz val="10"/>
      <color theme="0" tint="-0.249977111117893"/>
      <name val="Cambria"/>
      <family val="1"/>
      <scheme val="major"/>
    </font>
    <font>
      <i/>
      <sz val="9"/>
      <color theme="0" tint="-0.249977111117893"/>
      <name val="Cambria"/>
      <family val="1"/>
      <scheme val="major"/>
    </font>
    <font>
      <b/>
      <i/>
      <sz val="9"/>
      <color theme="0" tint="-0.249977111117893"/>
      <name val="Cambria"/>
      <family val="1"/>
      <scheme val="major"/>
    </font>
    <font>
      <b/>
      <sz val="11"/>
      <color theme="0" tint="-0.249977111117893"/>
      <name val="Cambria"/>
      <family val="1"/>
      <scheme val="major"/>
    </font>
    <font>
      <b/>
      <sz val="9"/>
      <color theme="0" tint="-0.249977111117893"/>
      <name val="Cambria"/>
      <family val="1"/>
      <scheme val="major"/>
    </font>
    <font>
      <b/>
      <sz val="5"/>
      <name val="Cambria"/>
      <family val="1"/>
      <scheme val="major"/>
    </font>
    <font>
      <b/>
      <sz val="6"/>
      <name val="Cambria"/>
      <family val="1"/>
      <scheme val="major"/>
    </font>
    <font>
      <b/>
      <sz val="11"/>
      <color theme="0"/>
      <name val="Calibri"/>
      <family val="2"/>
      <scheme val="minor"/>
    </font>
    <font>
      <b/>
      <sz val="18"/>
      <color theme="0"/>
      <name val="Americana XBd BT"/>
      <family val="1"/>
    </font>
    <font>
      <b/>
      <sz val="9"/>
      <color theme="1"/>
      <name val="Calibri"/>
      <family val="2"/>
      <scheme val="minor"/>
    </font>
    <font>
      <b/>
      <sz val="16"/>
      <color theme="0"/>
      <name val="Calibri"/>
      <family val="2"/>
      <scheme val="minor"/>
    </font>
    <font>
      <b/>
      <sz val="11"/>
      <color theme="1"/>
      <name val="Calibri"/>
      <family val="2"/>
    </font>
    <font>
      <b/>
      <sz val="11"/>
      <color rgb="FFFFFF00"/>
      <name val="Calibri"/>
      <family val="2"/>
      <scheme val="minor"/>
    </font>
    <font>
      <b/>
      <sz val="14"/>
      <color theme="0"/>
      <name val="BookmanITC Lt BT"/>
      <family val="1"/>
    </font>
    <font>
      <b/>
      <sz val="18"/>
      <color theme="0"/>
      <name val="BookmanITC Lt BT"/>
      <family val="1"/>
    </font>
    <font>
      <b/>
      <sz val="20"/>
      <color rgb="FFFFFF00"/>
      <name val="Aachen BT"/>
      <family val="1"/>
    </font>
    <font>
      <b/>
      <sz val="32"/>
      <color theme="0"/>
      <name val="BookmanITC Lt BT"/>
      <family val="1"/>
    </font>
  </fonts>
  <fills count="40">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gradientFill degree="90">
        <stop position="0">
          <color theme="9" tint="-0.25098422193060094"/>
        </stop>
        <stop position="1">
          <color theme="9" tint="0.59999389629810485"/>
        </stop>
      </gradientFill>
    </fill>
    <fill>
      <gradientFill degree="90">
        <stop position="0">
          <color theme="0" tint="-0.25098422193060094"/>
        </stop>
        <stop position="1">
          <color theme="0"/>
        </stop>
      </gradientFill>
    </fill>
    <fill>
      <gradientFill degree="90">
        <stop position="0">
          <color rgb="FF00B050"/>
        </stop>
        <stop position="1">
          <color rgb="FF00B0F0"/>
        </stop>
      </gradientFill>
    </fill>
    <fill>
      <gradientFill degree="90">
        <stop position="0">
          <color theme="0" tint="-5.0965910824915313E-2"/>
        </stop>
        <stop position="1">
          <color theme="0"/>
        </stop>
      </gradient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2060"/>
        <bgColor auto="1"/>
      </patternFill>
    </fill>
    <fill>
      <gradientFill type="path" left="0.5" right="0.5" top="0.5" bottom="0.5">
        <stop position="0">
          <color rgb="FF002060"/>
        </stop>
        <stop position="1">
          <color theme="1"/>
        </stop>
      </gradientFill>
    </fill>
    <fill>
      <patternFill patternType="solid">
        <fgColor rgb="FF00B0F0"/>
        <bgColor indexed="64"/>
      </patternFill>
    </fill>
    <fill>
      <patternFill patternType="solid">
        <fgColor theme="2" tint="-0.249977111117893"/>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FF0000"/>
        <bgColor indexed="64"/>
      </patternFill>
    </fill>
    <fill>
      <patternFill patternType="solid">
        <fgColor rgb="FF0070C0"/>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BAE18F"/>
        <bgColor indexed="64"/>
      </patternFill>
    </fill>
    <fill>
      <patternFill patternType="solid">
        <fgColor theme="9" tint="0.39997558519241921"/>
        <bgColor indexed="64"/>
      </patternFill>
    </fill>
    <fill>
      <gradientFill type="path" left="0.5" right="0.5" top="0.5" bottom="0.5">
        <stop position="0">
          <color rgb="FFFF0000"/>
        </stop>
        <stop position="1">
          <color theme="1"/>
        </stop>
      </gradientFill>
    </fill>
    <fill>
      <patternFill patternType="solid">
        <fgColor theme="0" tint="-0.249977111117893"/>
        <bgColor auto="1"/>
      </patternFill>
    </fill>
    <fill>
      <patternFill patternType="solid">
        <fgColor theme="9" tint="0.59999389629810485"/>
        <bgColor auto="1"/>
      </patternFill>
    </fill>
    <fill>
      <patternFill patternType="solid">
        <fgColor theme="9" tint="0.39997558519241921"/>
        <bgColor auto="1"/>
      </patternFill>
    </fill>
    <fill>
      <patternFill patternType="solid">
        <fgColor rgb="FF7030A0"/>
        <bgColor auto="1"/>
      </patternFill>
    </fill>
    <fill>
      <patternFill patternType="solid">
        <fgColor theme="1" tint="4.9989318521683403E-2"/>
        <bgColor auto="1"/>
      </patternFill>
    </fill>
    <fill>
      <gradientFill type="path" left="0.5" right="0.5" top="0.5" bottom="0.5">
        <stop position="0">
          <color theme="1"/>
        </stop>
        <stop position="1">
          <color rgb="FFFF0000"/>
        </stop>
      </gradientFill>
    </fill>
  </fills>
  <borders count="281">
    <border>
      <left/>
      <right/>
      <top/>
      <bottom/>
      <diagonal/>
    </border>
    <border>
      <left style="thin">
        <color rgb="FFFF0000"/>
      </left>
      <right style="thin">
        <color rgb="FFFF0000"/>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right/>
      <top style="medium">
        <color rgb="FFFF000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thin">
        <color rgb="FFFF0000"/>
      </right>
      <top style="medium">
        <color rgb="FFFF0000"/>
      </top>
      <bottom style="thin">
        <color rgb="FFFF0000"/>
      </bottom>
      <diagonal/>
    </border>
    <border>
      <left/>
      <right/>
      <top/>
      <bottom style="medium">
        <color rgb="FFFF0000"/>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right style="thin">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right style="thin">
        <color rgb="FFFF0000"/>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style="medium">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right/>
      <top style="thin">
        <color rgb="FF7030A0"/>
      </top>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style="thin">
        <color rgb="FF7030A0"/>
      </left>
      <right/>
      <top style="medium">
        <color rgb="FFFF0000"/>
      </top>
      <bottom style="thin">
        <color rgb="FF7030A0"/>
      </bottom>
      <diagonal/>
    </border>
    <border>
      <left/>
      <right style="thin">
        <color rgb="FF7030A0"/>
      </right>
      <top style="medium">
        <color rgb="FFFF0000"/>
      </top>
      <bottom style="thin">
        <color rgb="FF7030A0"/>
      </bottom>
      <diagonal/>
    </border>
    <border>
      <left/>
      <right style="medium">
        <color rgb="FFFF0000"/>
      </right>
      <top style="medium">
        <color rgb="FFFF0000"/>
      </top>
      <bottom style="thin">
        <color rgb="FF7030A0"/>
      </bottom>
      <diagonal/>
    </border>
    <border>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top/>
      <bottom/>
      <diagonal/>
    </border>
    <border>
      <left/>
      <right style="thin">
        <color rgb="FF7030A0"/>
      </right>
      <top/>
      <bottom/>
      <diagonal/>
    </border>
    <border>
      <left style="medium">
        <color rgb="FFFF0000"/>
      </left>
      <right/>
      <top/>
      <bottom/>
      <diagonal/>
    </border>
    <border>
      <left/>
      <right style="medium">
        <color rgb="FFFF0000"/>
      </right>
      <top/>
      <bottom/>
      <diagonal/>
    </border>
    <border>
      <left style="medium">
        <color rgb="FFFF0000"/>
      </left>
      <right/>
      <top style="thin">
        <color rgb="FF7030A0"/>
      </top>
      <bottom/>
      <diagonal/>
    </border>
    <border>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right style="thin">
        <color rgb="FFFF0000"/>
      </right>
      <top style="thin">
        <color rgb="FFFF0000"/>
      </top>
      <bottom style="medium">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bottom style="medium">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style="thin">
        <color rgb="FFFF0000"/>
      </left>
      <right/>
      <top/>
      <bottom style="medium">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medium">
        <color rgb="FFFF0000"/>
      </bottom>
      <diagonal/>
    </border>
    <border>
      <left/>
      <right style="medium">
        <color rgb="FFFF0000"/>
      </right>
      <top/>
      <bottom style="thin">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style="medium">
        <color indexed="64"/>
      </top>
      <bottom style="medium">
        <color indexed="64"/>
      </bottom>
      <diagonal/>
    </border>
    <border>
      <left/>
      <right/>
      <top style="thin">
        <color rgb="FFFF0000"/>
      </top>
      <bottom style="thin">
        <color rgb="FFFF0000"/>
      </bottom>
      <diagonal/>
    </border>
    <border>
      <left/>
      <right/>
      <top style="thin">
        <color rgb="FFFF0000"/>
      </top>
      <bottom style="medium">
        <color rgb="FFFF0000"/>
      </bottom>
      <diagonal/>
    </border>
    <border>
      <left style="medium">
        <color rgb="FFFF0000"/>
      </left>
      <right style="thin">
        <color rgb="FFFF0000"/>
      </right>
      <top/>
      <bottom style="thin">
        <color rgb="FFFF0000"/>
      </bottom>
      <diagonal/>
    </border>
    <border>
      <left style="thin">
        <color rgb="FFFF0000"/>
      </left>
      <right style="thin">
        <color rgb="FFFF0000"/>
      </right>
      <top/>
      <bottom/>
      <diagonal/>
    </border>
    <border>
      <left style="thin">
        <color rgb="FFFF0000"/>
      </left>
      <right style="medium">
        <color rgb="FFFF0000"/>
      </right>
      <top/>
      <bottom/>
      <diagonal/>
    </border>
    <border>
      <left style="thin">
        <color rgb="FF7030A0"/>
      </left>
      <right style="thin">
        <color rgb="FF7030A0"/>
      </right>
      <top style="thin">
        <color rgb="FF7030A0"/>
      </top>
      <bottom style="medium">
        <color rgb="FFFF0000"/>
      </bottom>
      <diagonal/>
    </border>
    <border>
      <left style="medium">
        <color rgb="FFFF0000"/>
      </left>
      <right style="thin">
        <color rgb="FF7030A0"/>
      </right>
      <top style="medium">
        <color rgb="FFFF0000"/>
      </top>
      <bottom/>
      <diagonal/>
    </border>
    <border>
      <left style="medium">
        <color rgb="FFFF0000"/>
      </left>
      <right style="thin">
        <color rgb="FF7030A0"/>
      </right>
      <top/>
      <bottom/>
      <diagonal/>
    </border>
    <border>
      <left style="medium">
        <color rgb="FFFF0000"/>
      </left>
      <right style="thin">
        <color rgb="FF7030A0"/>
      </right>
      <top style="thin">
        <color rgb="FF7030A0"/>
      </top>
      <bottom/>
      <diagonal/>
    </border>
    <border>
      <left/>
      <right style="medium">
        <color rgb="FFFF0000"/>
      </right>
      <top style="thin">
        <color rgb="FF7030A0"/>
      </top>
      <bottom/>
      <diagonal/>
    </border>
    <border>
      <left style="thin">
        <color rgb="FF7030A0"/>
      </left>
      <right style="thin">
        <color rgb="FF7030A0"/>
      </right>
      <top style="medium">
        <color rgb="FFFF0000"/>
      </top>
      <bottom style="medium">
        <color rgb="FFFF0000"/>
      </bottom>
      <diagonal/>
    </border>
    <border>
      <left style="thin">
        <color rgb="FF7030A0"/>
      </left>
      <right style="thin">
        <color rgb="FF7030A0"/>
      </right>
      <top/>
      <bottom/>
      <diagonal/>
    </border>
    <border>
      <left style="thin">
        <color rgb="FF7030A0"/>
      </left>
      <right style="medium">
        <color rgb="FFFF0000"/>
      </right>
      <top style="thin">
        <color rgb="FF7030A0"/>
      </top>
      <bottom/>
      <diagonal/>
    </border>
    <border>
      <left style="thin">
        <color rgb="FF7030A0"/>
      </left>
      <right/>
      <top style="medium">
        <color rgb="FFFF0000"/>
      </top>
      <bottom style="medium">
        <color rgb="FFFF0000"/>
      </bottom>
      <diagonal/>
    </border>
    <border>
      <left/>
      <right style="thin">
        <color rgb="FF7030A0"/>
      </right>
      <top style="medium">
        <color rgb="FFFF0000"/>
      </top>
      <bottom style="medium">
        <color rgb="FFFF0000"/>
      </bottom>
      <diagonal/>
    </border>
    <border>
      <left style="medium">
        <color rgb="FFFF000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5" tint="-0.249977111117893"/>
      </left>
      <right style="medium">
        <color theme="5" tint="-0.249977111117893"/>
      </right>
      <top style="thin">
        <color theme="5" tint="-0.249977111117893"/>
      </top>
      <bottom/>
      <diagonal/>
    </border>
    <border>
      <left style="medium">
        <color theme="5" tint="-0.249977111117893"/>
      </left>
      <right style="medium">
        <color theme="5" tint="-0.249977111117893"/>
      </right>
      <top/>
      <bottom style="thin">
        <color theme="5" tint="-0.249977111117893"/>
      </bottom>
      <diagonal/>
    </border>
    <border>
      <left style="thin">
        <color rgb="FF7030A0"/>
      </left>
      <right/>
      <top style="thin">
        <color rgb="FF7030A0"/>
      </top>
      <bottom/>
      <diagonal/>
    </border>
    <border>
      <left style="medium">
        <color theme="0"/>
      </left>
      <right/>
      <top/>
      <bottom/>
      <diagonal/>
    </border>
    <border>
      <left style="medium">
        <color theme="5" tint="-0.499984740745262"/>
      </left>
      <right/>
      <top style="medium">
        <color theme="5" tint="-0.499984740745262"/>
      </top>
      <bottom style="medium">
        <color theme="5" tint="-0.499984740745262"/>
      </bottom>
      <diagonal/>
    </border>
    <border>
      <left/>
      <right/>
      <top style="medium">
        <color theme="5" tint="-0.499984740745262"/>
      </top>
      <bottom style="medium">
        <color theme="5" tint="-0.499984740745262"/>
      </bottom>
      <diagonal/>
    </border>
    <border>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top style="medium">
        <color theme="5" tint="-0.499984740745262"/>
      </top>
      <bottom style="thin">
        <color theme="5" tint="-0.499984740745262"/>
      </bottom>
      <diagonal/>
    </border>
    <border>
      <left/>
      <right style="medium">
        <color theme="5" tint="-0.499984740745262"/>
      </right>
      <top style="medium">
        <color theme="5" tint="-0.499984740745262"/>
      </top>
      <bottom style="thin">
        <color theme="5" tint="-0.499984740745262"/>
      </bottom>
      <diagonal/>
    </border>
    <border>
      <left/>
      <right style="thin">
        <color theme="5" tint="-0.499984740745262"/>
      </right>
      <top style="medium">
        <color theme="5" tint="-0.499984740745262"/>
      </top>
      <bottom style="thin">
        <color theme="5" tint="-0.499984740745262"/>
      </bottom>
      <diagonal/>
    </border>
    <border>
      <left style="thin">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medium">
        <color theme="5" tint="-0.499984740745262"/>
      </right>
      <top style="medium">
        <color theme="5" tint="-0.499984740745262"/>
      </top>
      <bottom style="thin">
        <color theme="5" tint="-0.499984740745262"/>
      </bottom>
      <diagonal/>
    </border>
    <border>
      <left style="medium">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right style="medium">
        <color theme="5" tint="-0.499984740745262"/>
      </right>
      <top style="thin">
        <color theme="5" tint="-0.499984740745262"/>
      </top>
      <bottom style="thin">
        <color theme="5" tint="-0.499984740745262"/>
      </bottom>
      <diagonal/>
    </border>
    <border>
      <left style="medium">
        <color theme="5" tint="-0.499984740745262"/>
      </left>
      <right style="thin">
        <color theme="5" tint="-0.499984740745262"/>
      </right>
      <top/>
      <bottom style="thin">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medium">
        <color theme="5" tint="-0.499984740745262"/>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medium">
        <color theme="5" tint="-0.499984740745262"/>
      </right>
      <top style="thin">
        <color theme="5" tint="-0.499984740745262"/>
      </top>
      <bottom/>
      <diagonal/>
    </border>
    <border>
      <left style="thin">
        <color theme="5" tint="-0.499984740745262"/>
      </left>
      <right style="thin">
        <color theme="5" tint="-0.499984740745262"/>
      </right>
      <top/>
      <bottom style="thin">
        <color theme="5" tint="-0.499984740745262"/>
      </bottom>
      <diagonal/>
    </border>
    <border>
      <left style="thin">
        <color theme="5" tint="-0.499984740745262"/>
      </left>
      <right style="medium">
        <color theme="5" tint="-0.499984740745262"/>
      </right>
      <top/>
      <bottom/>
      <diagonal/>
    </border>
    <border>
      <left style="thin">
        <color theme="5" tint="-0.499984740745262"/>
      </left>
      <right style="medium">
        <color theme="5" tint="-0.499984740745262"/>
      </right>
      <top/>
      <bottom style="thin">
        <color theme="5" tint="-0.499984740745262"/>
      </bottom>
      <diagonal/>
    </border>
    <border>
      <left style="medium">
        <color theme="5" tint="-0.499984740745262"/>
      </left>
      <right style="thin">
        <color theme="5" tint="-0.499984740745262"/>
      </right>
      <top style="thin">
        <color theme="5" tint="-0.499984740745262"/>
      </top>
      <bottom/>
      <diagonal/>
    </border>
    <border>
      <left style="medium">
        <color theme="5" tint="-0.499984740745262"/>
      </left>
      <right style="thin">
        <color theme="5" tint="-0.499984740745262"/>
      </right>
      <top/>
      <bottom/>
      <diagonal/>
    </border>
    <border>
      <left style="thin">
        <color theme="5" tint="-0.499984740745262"/>
      </left>
      <right style="thin">
        <color theme="5" tint="-0.499984740745262"/>
      </right>
      <top/>
      <bottom/>
      <diagonal/>
    </border>
    <border>
      <left style="medium">
        <color theme="5" tint="-0.499984740745262"/>
      </left>
      <right/>
      <top style="medium">
        <color theme="5" tint="-0.499984740745262"/>
      </top>
      <bottom/>
      <diagonal/>
    </border>
    <border>
      <left/>
      <right style="medium">
        <color theme="5" tint="-0.499984740745262"/>
      </right>
      <top style="medium">
        <color theme="5" tint="-0.499984740745262"/>
      </top>
      <bottom/>
      <diagonal/>
    </border>
    <border>
      <left/>
      <right/>
      <top style="medium">
        <color theme="5" tint="-0.499984740745262"/>
      </top>
      <bottom/>
      <diagonal/>
    </border>
    <border>
      <left style="medium">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top style="thin">
        <color theme="5" tint="-0.499984740745262"/>
      </top>
      <bottom style="medium">
        <color theme="5" tint="-0.499984740745262"/>
      </bottom>
      <diagonal/>
    </border>
    <border>
      <left/>
      <right style="medium">
        <color theme="5" tint="-0.499984740745262"/>
      </right>
      <top style="thin">
        <color theme="5" tint="-0.499984740745262"/>
      </top>
      <bottom style="medium">
        <color theme="5" tint="-0.499984740745262"/>
      </bottom>
      <diagonal/>
    </border>
    <border>
      <left style="medium">
        <color theme="5" tint="-0.499984740745262"/>
      </left>
      <right/>
      <top/>
      <bottom style="medium">
        <color theme="5" tint="-0.499984740745262"/>
      </bottom>
      <diagonal/>
    </border>
    <border>
      <left/>
      <right style="medium">
        <color theme="5" tint="-0.499984740745262"/>
      </right>
      <top/>
      <bottom style="medium">
        <color theme="5" tint="-0.499984740745262"/>
      </bottom>
      <diagonal/>
    </border>
    <border>
      <left/>
      <right/>
      <top/>
      <bottom style="medium">
        <color theme="5" tint="-0.499984740745262"/>
      </bottom>
      <diagonal/>
    </border>
    <border>
      <left style="medium">
        <color theme="0"/>
      </left>
      <right/>
      <top/>
      <bottom style="medium">
        <color theme="1"/>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medium">
        <color theme="1"/>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style="medium">
        <color theme="1"/>
      </top>
      <bottom/>
      <diagonal/>
    </border>
    <border>
      <left/>
      <right style="thin">
        <color indexed="64"/>
      </right>
      <top style="medium">
        <color theme="1"/>
      </top>
      <bottom/>
      <diagonal/>
    </border>
    <border>
      <left style="medium">
        <color theme="1"/>
      </left>
      <right style="thin">
        <color indexed="64"/>
      </right>
      <top style="thin">
        <color indexed="64"/>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style="thin">
        <color rgb="FF7030A0"/>
      </left>
      <right/>
      <top style="medium">
        <color rgb="FFFF0000"/>
      </top>
      <bottom/>
      <diagonal/>
    </border>
    <border>
      <left style="medium">
        <color theme="0"/>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thin">
        <color indexed="64"/>
      </right>
      <top/>
      <bottom style="thin">
        <color indexed="64"/>
      </bottom>
      <diagonal/>
    </border>
    <border>
      <left style="thin">
        <color indexed="64"/>
      </left>
      <right style="medium">
        <color theme="0"/>
      </right>
      <top/>
      <bottom style="thin">
        <color indexed="64"/>
      </bottom>
      <diagonal/>
    </border>
    <border>
      <left style="medium">
        <color theme="0"/>
      </left>
      <right style="thin">
        <color indexed="64"/>
      </right>
      <top style="thin">
        <color indexed="64"/>
      </top>
      <bottom style="thin">
        <color indexed="64"/>
      </bottom>
      <diagonal/>
    </border>
    <border>
      <left style="thin">
        <color indexed="64"/>
      </left>
      <right style="medium">
        <color theme="0"/>
      </right>
      <top style="thin">
        <color indexed="64"/>
      </top>
      <bottom style="thin">
        <color indexed="64"/>
      </bottom>
      <diagonal/>
    </border>
    <border>
      <left style="medium">
        <color theme="0"/>
      </left>
      <right style="thin">
        <color indexed="64"/>
      </right>
      <top style="thin">
        <color indexed="64"/>
      </top>
      <bottom style="medium">
        <color indexed="64"/>
      </bottom>
      <diagonal/>
    </border>
    <border>
      <left style="thin">
        <color indexed="64"/>
      </left>
      <right style="medium">
        <color theme="0"/>
      </right>
      <top style="thin">
        <color indexed="64"/>
      </top>
      <bottom style="medium">
        <color indexed="64"/>
      </bottom>
      <diagonal/>
    </border>
    <border>
      <left style="medium">
        <color theme="0"/>
      </left>
      <right/>
      <top style="medium">
        <color indexed="64"/>
      </top>
      <bottom style="medium">
        <color theme="0"/>
      </bottom>
      <diagonal/>
    </border>
    <border>
      <left/>
      <right style="medium">
        <color theme="0"/>
      </right>
      <top style="medium">
        <color indexed="64"/>
      </top>
      <bottom style="medium">
        <color theme="0"/>
      </bottom>
      <diagonal/>
    </border>
    <border>
      <left/>
      <right/>
      <top style="medium">
        <color theme="0"/>
      </top>
      <bottom/>
      <diagonal/>
    </border>
    <border>
      <left style="medium">
        <color theme="0"/>
      </left>
      <right/>
      <top style="thin">
        <color indexed="64"/>
      </top>
      <bottom style="medium">
        <color theme="0"/>
      </bottom>
      <diagonal/>
    </border>
    <border>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medium">
        <color rgb="FF7030A0"/>
      </right>
      <top/>
      <bottom style="thin">
        <color rgb="FF7030A0"/>
      </bottom>
      <diagonal/>
    </border>
    <border>
      <left style="medium">
        <color rgb="FFFF0000"/>
      </left>
      <right style="thin">
        <color rgb="FF002060"/>
      </right>
      <top style="medium">
        <color rgb="FFFF0000"/>
      </top>
      <bottom style="medium">
        <color rgb="FFFF0000"/>
      </bottom>
      <diagonal/>
    </border>
    <border>
      <left style="medium">
        <color rgb="FFFF0000"/>
      </left>
      <right style="thin">
        <color rgb="FF002060"/>
      </right>
      <top style="medium">
        <color rgb="FFFF0000"/>
      </top>
      <bottom/>
      <diagonal/>
    </border>
    <border>
      <left/>
      <right style="thin">
        <color indexed="64"/>
      </right>
      <top style="medium">
        <color rgb="FFFF0000"/>
      </top>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bottom style="thin">
        <color indexed="64"/>
      </bottom>
      <diagonal/>
    </border>
    <border>
      <left/>
      <right style="medium">
        <color rgb="FFFF0000"/>
      </right>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diagonal/>
    </border>
    <border>
      <left/>
      <right style="medium">
        <color rgb="FFFF0000"/>
      </right>
      <top style="medium">
        <color indexed="64"/>
      </top>
      <bottom style="medium">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bottom style="thin">
        <color indexed="64"/>
      </bottom>
      <diagonal/>
    </border>
    <border>
      <left style="medium">
        <color rgb="FFFF0000"/>
      </left>
      <right/>
      <top style="thin">
        <color indexed="64"/>
      </top>
      <bottom/>
      <diagonal/>
    </border>
    <border>
      <left/>
      <right style="medium">
        <color rgb="FFFF0000"/>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bottom/>
      <diagonal/>
    </border>
    <border>
      <left style="medium">
        <color rgb="FFFF0000"/>
      </left>
      <right style="thin">
        <color indexed="64"/>
      </right>
      <top/>
      <bottom style="thin">
        <color indexed="64"/>
      </bottom>
      <diagonal/>
    </border>
    <border>
      <left style="thin">
        <color indexed="64"/>
      </left>
      <right style="medium">
        <color rgb="FFFF0000"/>
      </right>
      <top/>
      <bottom/>
      <diagonal/>
    </border>
  </borders>
  <cellStyleXfs count="8">
    <xf numFmtId="0" fontId="0" fillId="0" borderId="0"/>
    <xf numFmtId="0" fontId="52" fillId="0" borderId="0"/>
    <xf numFmtId="0" fontId="52" fillId="0" borderId="0"/>
    <xf numFmtId="171" fontId="52" fillId="0" borderId="0" applyFont="0" applyFill="0" applyBorder="0" applyAlignment="0" applyProtection="0"/>
    <xf numFmtId="0" fontId="52" fillId="0" borderId="0"/>
    <xf numFmtId="171" fontId="52" fillId="0" borderId="0" applyFont="0" applyFill="0" applyBorder="0" applyAlignment="0" applyProtection="0"/>
    <xf numFmtId="43" fontId="103" fillId="0" borderId="0" applyFont="0" applyFill="0" applyBorder="0" applyAlignment="0" applyProtection="0"/>
    <xf numFmtId="0" fontId="119" fillId="0" borderId="0" applyNumberFormat="0" applyFill="0" applyBorder="0" applyAlignment="0" applyProtection="0">
      <alignment vertical="top"/>
      <protection locked="0"/>
    </xf>
  </cellStyleXfs>
  <cellXfs count="1457">
    <xf numFmtId="0" fontId="0" fillId="0" borderId="0" xfId="0"/>
    <xf numFmtId="0" fontId="0" fillId="0" borderId="0" xfId="0" applyProtection="1">
      <protection hidden="1"/>
    </xf>
    <xf numFmtId="0" fontId="0" fillId="2" borderId="0" xfId="0" applyFill="1" applyProtection="1">
      <protection hidden="1"/>
    </xf>
    <xf numFmtId="0" fontId="0" fillId="2"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2" fontId="5" fillId="0" borderId="0" xfId="0" applyNumberFormat="1" applyFont="1" applyAlignment="1" applyProtection="1">
      <alignment horizontal="center" vertical="center" wrapText="1"/>
      <protection hidden="1"/>
    </xf>
    <xf numFmtId="0" fontId="6" fillId="4" borderId="0" xfId="0" applyFont="1" applyFill="1" applyProtection="1">
      <protection hidden="1"/>
    </xf>
    <xf numFmtId="0" fontId="8" fillId="4" borderId="0" xfId="0" applyFont="1" applyFill="1" applyProtection="1">
      <protection hidden="1"/>
    </xf>
    <xf numFmtId="0" fontId="0" fillId="0" borderId="0" xfId="0" applyAlignment="1" applyProtection="1">
      <protection hidden="1"/>
    </xf>
    <xf numFmtId="0" fontId="15" fillId="0" borderId="0" xfId="0" applyFont="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34" xfId="0" applyFont="1" applyFill="1" applyBorder="1" applyAlignment="1" applyProtection="1">
      <alignment wrapText="1"/>
      <protection hidden="1"/>
    </xf>
    <xf numFmtId="0" fontId="21" fillId="0" borderId="10"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0" fontId="12" fillId="4" borderId="0" xfId="0" applyFont="1" applyFill="1" applyBorder="1" applyAlignment="1" applyProtection="1">
      <alignment horizontal="center" wrapText="1"/>
      <protection hidden="1"/>
    </xf>
    <xf numFmtId="0" fontId="5" fillId="0" borderId="0" xfId="0" applyFont="1" applyProtection="1">
      <protection hidden="1"/>
    </xf>
    <xf numFmtId="0" fontId="5" fillId="0" borderId="67" xfId="0" applyFont="1" applyBorder="1" applyAlignment="1" applyProtection="1">
      <alignment horizontal="center" vertical="center"/>
      <protection hidden="1"/>
    </xf>
    <xf numFmtId="14" fontId="31" fillId="0" borderId="71" xfId="0" applyNumberFormat="1" applyFont="1" applyBorder="1" applyAlignment="1" applyProtection="1">
      <alignment horizontal="left" vertical="center"/>
      <protection hidden="1"/>
    </xf>
    <xf numFmtId="0" fontId="21" fillId="0" borderId="0" xfId="0" applyFont="1" applyBorder="1" applyAlignment="1" applyProtection="1">
      <alignment vertical="center"/>
      <protection hidden="1"/>
    </xf>
    <xf numFmtId="0" fontId="44" fillId="0" borderId="0" xfId="0" applyFont="1" applyProtection="1">
      <protection hidden="1"/>
    </xf>
    <xf numFmtId="0" fontId="50" fillId="13" borderId="92" xfId="0" applyFont="1" applyFill="1" applyBorder="1" applyAlignment="1" applyProtection="1">
      <alignment horizontal="center" vertical="center" wrapText="1"/>
      <protection locked="0"/>
    </xf>
    <xf numFmtId="0" fontId="50" fillId="13" borderId="93"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1" fontId="7" fillId="0" borderId="12" xfId="0" applyNumberFormat="1"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1" fontId="7" fillId="0" borderId="17" xfId="0" applyNumberFormat="1" applyFont="1" applyBorder="1" applyAlignment="1" applyProtection="1">
      <alignment horizontal="center" vertical="center" wrapText="1"/>
      <protection hidden="1"/>
    </xf>
    <xf numFmtId="1" fontId="7" fillId="0" borderId="19" xfId="0" applyNumberFormat="1" applyFont="1" applyBorder="1" applyAlignment="1" applyProtection="1">
      <alignment horizontal="center" vertical="center" wrapText="1"/>
      <protection hidden="1"/>
    </xf>
    <xf numFmtId="0" fontId="56" fillId="0" borderId="0" xfId="0" applyFont="1" applyAlignment="1" applyProtection="1">
      <alignment wrapText="1"/>
      <protection hidden="1"/>
    </xf>
    <xf numFmtId="164" fontId="56" fillId="0" borderId="0" xfId="0" applyNumberFormat="1" applyFont="1" applyAlignment="1" applyProtection="1">
      <alignment wrapText="1"/>
      <protection hidden="1"/>
    </xf>
    <xf numFmtId="0" fontId="56" fillId="0" borderId="0" xfId="0" applyFont="1" applyAlignment="1" applyProtection="1">
      <alignment horizontal="center" vertical="center" wrapText="1"/>
      <protection hidden="1"/>
    </xf>
    <xf numFmtId="1" fontId="57" fillId="0" borderId="7" xfId="0" applyNumberFormat="1" applyFont="1" applyBorder="1" applyAlignment="1" applyProtection="1">
      <alignment horizontal="center" vertical="center" textRotation="90" wrapText="1"/>
      <protection hidden="1"/>
    </xf>
    <xf numFmtId="1" fontId="19" fillId="0" borderId="65" xfId="0" applyNumberFormat="1" applyFont="1" applyBorder="1" applyAlignment="1" applyProtection="1">
      <alignment horizontal="center" vertical="center" textRotation="90" wrapText="1"/>
      <protection hidden="1"/>
    </xf>
    <xf numFmtId="0" fontId="54" fillId="0" borderId="16" xfId="0" applyFont="1" applyBorder="1" applyAlignment="1" applyProtection="1">
      <alignment horizontal="center" vertical="center" textRotation="90" wrapText="1"/>
      <protection locked="0"/>
    </xf>
    <xf numFmtId="0" fontId="4" fillId="0" borderId="16" xfId="0" applyFont="1" applyBorder="1" applyAlignment="1" applyProtection="1">
      <alignment horizontal="center" vertical="center" textRotation="90" wrapText="1"/>
      <protection locked="0"/>
    </xf>
    <xf numFmtId="165" fontId="4" fillId="0" borderId="16" xfId="0" applyNumberFormat="1" applyFont="1" applyBorder="1" applyAlignment="1" applyProtection="1">
      <alignment horizontal="center" vertical="center" textRotation="90" wrapText="1"/>
      <protection locked="0"/>
    </xf>
    <xf numFmtId="0" fontId="16" fillId="0" borderId="19"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8" fillId="4" borderId="30" xfId="0" applyFont="1" applyFill="1" applyBorder="1" applyAlignment="1" applyProtection="1">
      <alignment horizontal="center"/>
      <protection hidden="1"/>
    </xf>
    <xf numFmtId="0" fontId="8" fillId="4" borderId="48" xfId="0" applyFont="1" applyFill="1" applyBorder="1" applyAlignment="1" applyProtection="1">
      <alignment horizontal="center"/>
      <protection hidden="1"/>
    </xf>
    <xf numFmtId="0" fontId="6" fillId="4" borderId="48" xfId="0" applyFont="1" applyFill="1" applyBorder="1" applyAlignment="1" applyProtection="1">
      <alignment horizontal="center"/>
      <protection hidden="1"/>
    </xf>
    <xf numFmtId="0" fontId="5" fillId="0" borderId="48"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6" fontId="11" fillId="9" borderId="44" xfId="0" applyNumberFormat="1" applyFont="1" applyFill="1" applyBorder="1" applyAlignment="1" applyProtection="1">
      <alignment horizontal="center" vertical="center"/>
      <protection locked="0"/>
    </xf>
    <xf numFmtId="0" fontId="9" fillId="9" borderId="99" xfId="0" applyFont="1" applyFill="1" applyBorder="1" applyAlignment="1" applyProtection="1">
      <alignment horizontal="center" vertical="center" wrapText="1"/>
      <protection locked="0"/>
    </xf>
    <xf numFmtId="166" fontId="9" fillId="9" borderId="99" xfId="0" applyNumberFormat="1" applyFont="1" applyFill="1" applyBorder="1" applyAlignment="1" applyProtection="1">
      <alignment horizontal="center" vertical="center" wrapText="1"/>
      <protection locked="0"/>
    </xf>
    <xf numFmtId="0" fontId="16" fillId="9" borderId="4" xfId="0" applyFont="1" applyFill="1" applyBorder="1" applyAlignment="1" applyProtection="1">
      <alignment horizontal="center" vertical="center" wrapText="1"/>
      <protection locked="0"/>
    </xf>
    <xf numFmtId="0" fontId="9" fillId="9" borderId="44" xfId="0" applyFont="1" applyFill="1" applyBorder="1" applyAlignment="1" applyProtection="1">
      <alignment horizontal="center" vertical="center"/>
      <protection locked="0"/>
    </xf>
    <xf numFmtId="0" fontId="9" fillId="9" borderId="45" xfId="0" applyFont="1" applyFill="1" applyBorder="1" applyAlignment="1" applyProtection="1">
      <alignment horizontal="center" vertical="center"/>
      <protection locked="0"/>
    </xf>
    <xf numFmtId="17" fontId="9" fillId="9" borderId="44" xfId="0" applyNumberFormat="1" applyFont="1" applyFill="1" applyBorder="1" applyAlignment="1" applyProtection="1">
      <alignment horizontal="center" vertical="center"/>
      <protection locked="0"/>
    </xf>
    <xf numFmtId="6" fontId="11" fillId="9" borderId="104" xfId="0" applyNumberFormat="1" applyFont="1" applyFill="1" applyBorder="1" applyAlignment="1" applyProtection="1">
      <alignment horizontal="center" vertical="center"/>
      <protection locked="0"/>
    </xf>
    <xf numFmtId="6" fontId="11" fillId="9" borderId="45" xfId="0" applyNumberFormat="1" applyFont="1" applyFill="1" applyBorder="1" applyAlignment="1" applyProtection="1">
      <alignment horizontal="center" vertical="center"/>
      <protection locked="0"/>
    </xf>
    <xf numFmtId="6" fontId="11" fillId="9" borderId="105" xfId="0" applyNumberFormat="1" applyFont="1" applyFill="1" applyBorder="1" applyAlignment="1" applyProtection="1">
      <alignment horizontal="center" vertical="center"/>
      <protection locked="0"/>
    </xf>
    <xf numFmtId="0" fontId="61" fillId="0" borderId="24" xfId="1" applyFont="1" applyBorder="1" applyAlignment="1" applyProtection="1">
      <alignment vertical="center"/>
      <protection hidden="1"/>
    </xf>
    <xf numFmtId="0" fontId="63" fillId="0" borderId="24" xfId="1" applyFont="1" applyBorder="1" applyAlignment="1" applyProtection="1">
      <alignment vertical="center"/>
      <protection hidden="1"/>
    </xf>
    <xf numFmtId="0" fontId="4" fillId="0" borderId="24" xfId="1" applyFont="1" applyBorder="1" applyAlignment="1" applyProtection="1">
      <alignment vertical="center"/>
      <protection hidden="1"/>
    </xf>
    <xf numFmtId="0" fontId="61" fillId="0" borderId="52" xfId="1" applyFont="1" applyBorder="1" applyAlignment="1" applyProtection="1">
      <alignment vertical="center"/>
      <protection hidden="1"/>
    </xf>
    <xf numFmtId="0" fontId="61" fillId="0" borderId="112" xfId="1" applyFont="1" applyBorder="1" applyAlignment="1" applyProtection="1">
      <alignment vertical="center"/>
      <protection hidden="1"/>
    </xf>
    <xf numFmtId="0" fontId="4" fillId="0" borderId="107" xfId="1" applyFont="1" applyBorder="1" applyAlignment="1" applyProtection="1">
      <alignment vertical="center"/>
      <protection hidden="1"/>
    </xf>
    <xf numFmtId="0" fontId="4" fillId="0" borderId="112" xfId="1" applyFont="1" applyBorder="1" applyAlignment="1" applyProtection="1">
      <alignment vertical="center"/>
      <protection hidden="1"/>
    </xf>
    <xf numFmtId="0" fontId="4" fillId="0" borderId="100" xfId="1" applyFont="1" applyBorder="1" applyAlignment="1" applyProtection="1">
      <alignment vertical="center"/>
      <protection hidden="1"/>
    </xf>
    <xf numFmtId="0" fontId="61" fillId="0" borderId="107" xfId="1" applyFont="1" applyBorder="1" applyAlignment="1" applyProtection="1">
      <alignment vertical="center"/>
      <protection hidden="1"/>
    </xf>
    <xf numFmtId="0" fontId="63" fillId="0" borderId="119" xfId="1" applyFont="1" applyBorder="1" applyAlignment="1" applyProtection="1">
      <alignment vertical="center"/>
      <protection hidden="1"/>
    </xf>
    <xf numFmtId="0" fontId="60" fillId="0" borderId="116" xfId="1" applyFont="1" applyBorder="1" applyAlignment="1" applyProtection="1">
      <alignment horizontal="center" vertical="center"/>
      <protection hidden="1"/>
    </xf>
    <xf numFmtId="0" fontId="60" fillId="0" borderId="118" xfId="1" applyFont="1" applyBorder="1" applyAlignment="1" applyProtection="1">
      <alignment horizontal="center" vertical="center"/>
      <protection hidden="1"/>
    </xf>
    <xf numFmtId="0" fontId="68" fillId="0" borderId="24" xfId="1" applyFont="1" applyBorder="1" applyAlignment="1" applyProtection="1">
      <alignment vertical="center"/>
      <protection hidden="1"/>
    </xf>
    <xf numFmtId="0" fontId="60" fillId="0" borderId="24" xfId="1" applyFont="1" applyBorder="1" applyAlignment="1" applyProtection="1">
      <alignment horizontal="right" vertical="center"/>
      <protection hidden="1"/>
    </xf>
    <xf numFmtId="0" fontId="67" fillId="0" borderId="112" xfId="1" applyFont="1" applyBorder="1" applyAlignment="1" applyProtection="1">
      <alignment horizontal="right" vertical="center"/>
      <protection hidden="1"/>
    </xf>
    <xf numFmtId="0" fontId="67" fillId="0" borderId="110" xfId="1" applyFont="1" applyBorder="1" applyAlignment="1" applyProtection="1">
      <alignment vertical="center"/>
      <protection hidden="1"/>
    </xf>
    <xf numFmtId="2" fontId="69" fillId="0" borderId="113" xfId="1" applyNumberFormat="1" applyFont="1" applyBorder="1" applyAlignment="1" applyProtection="1">
      <alignment horizontal="right" vertical="center"/>
      <protection hidden="1"/>
    </xf>
    <xf numFmtId="2" fontId="48" fillId="0" borderId="110" xfId="1" applyNumberFormat="1" applyFont="1" applyBorder="1" applyAlignment="1" applyProtection="1">
      <alignment vertical="center"/>
      <protection hidden="1"/>
    </xf>
    <xf numFmtId="2" fontId="48" fillId="0" borderId="110" xfId="1" applyNumberFormat="1" applyFont="1" applyBorder="1" applyAlignment="1" applyProtection="1">
      <alignment horizontal="right" vertical="center"/>
      <protection hidden="1"/>
    </xf>
    <xf numFmtId="2" fontId="69" fillId="0" borderId="110" xfId="1" applyNumberFormat="1" applyFont="1" applyBorder="1" applyAlignment="1" applyProtection="1">
      <alignment horizontal="right" vertical="center"/>
      <protection hidden="1"/>
    </xf>
    <xf numFmtId="2" fontId="65" fillId="0" borderId="110" xfId="1" applyNumberFormat="1" applyFont="1" applyBorder="1" applyAlignment="1" applyProtection="1">
      <alignment horizontal="right" vertical="center"/>
      <protection hidden="1"/>
    </xf>
    <xf numFmtId="2" fontId="75" fillId="0" borderId="115" xfId="1" applyNumberFormat="1" applyFont="1" applyBorder="1" applyAlignment="1" applyProtection="1">
      <alignment horizontal="right" vertical="center"/>
      <protection hidden="1"/>
    </xf>
    <xf numFmtId="2" fontId="76" fillId="0" borderId="120" xfId="1" applyNumberFormat="1" applyFont="1" applyBorder="1" applyAlignment="1" applyProtection="1">
      <alignment horizontal="right" vertical="center"/>
      <protection hidden="1"/>
    </xf>
    <xf numFmtId="2" fontId="66" fillId="0" borderId="108" xfId="1" applyNumberFormat="1" applyFont="1" applyBorder="1" applyAlignment="1" applyProtection="1">
      <alignment horizontal="right" vertical="center"/>
      <protection hidden="1"/>
    </xf>
    <xf numFmtId="2" fontId="66" fillId="0" borderId="113" xfId="1" applyNumberFormat="1" applyFont="1" applyBorder="1" applyAlignment="1" applyProtection="1">
      <alignment horizontal="right" vertical="center"/>
      <protection hidden="1"/>
    </xf>
    <xf numFmtId="2" fontId="72" fillId="0" borderId="110" xfId="1" applyNumberFormat="1" applyFont="1" applyBorder="1" applyAlignment="1" applyProtection="1">
      <alignment horizontal="right" vertical="center"/>
      <protection hidden="1"/>
    </xf>
    <xf numFmtId="2" fontId="76" fillId="0" borderId="110" xfId="1" applyNumberFormat="1" applyFont="1" applyBorder="1" applyAlignment="1" applyProtection="1">
      <alignment horizontal="right" vertical="center"/>
      <protection hidden="1"/>
    </xf>
    <xf numFmtId="2" fontId="77" fillId="0" borderId="24" xfId="1" applyNumberFormat="1" applyFont="1" applyBorder="1" applyAlignment="1" applyProtection="1">
      <alignment horizontal="center" vertical="center"/>
      <protection hidden="1"/>
    </xf>
    <xf numFmtId="2" fontId="77" fillId="14" borderId="24" xfId="1" applyNumberFormat="1" applyFont="1" applyFill="1" applyBorder="1" applyAlignment="1" applyProtection="1">
      <alignment horizontal="center" vertical="center"/>
      <protection hidden="1"/>
    </xf>
    <xf numFmtId="2" fontId="75" fillId="0" borderId="24" xfId="1" applyNumberFormat="1" applyFont="1" applyBorder="1" applyAlignment="1" applyProtection="1">
      <alignment horizontal="center" vertical="center"/>
      <protection hidden="1"/>
    </xf>
    <xf numFmtId="2" fontId="72" fillId="0" borderId="113" xfId="1" applyNumberFormat="1" applyFont="1" applyBorder="1" applyAlignment="1" applyProtection="1">
      <alignment horizontal="right" vertical="center"/>
      <protection hidden="1"/>
    </xf>
    <xf numFmtId="2" fontId="66" fillId="0" borderId="117" xfId="1" applyNumberFormat="1" applyFont="1" applyBorder="1" applyAlignment="1" applyProtection="1">
      <alignment horizontal="right" vertical="center"/>
      <protection hidden="1"/>
    </xf>
    <xf numFmtId="2" fontId="72" fillId="0" borderId="108" xfId="1" applyNumberFormat="1" applyFont="1" applyBorder="1" applyAlignment="1" applyProtection="1">
      <alignment horizontal="right" vertical="center"/>
      <protection hidden="1"/>
    </xf>
    <xf numFmtId="0" fontId="11" fillId="0" borderId="116" xfId="1" applyFont="1" applyBorder="1" applyAlignment="1" applyProtection="1">
      <alignment horizontal="center" vertical="center"/>
      <protection hidden="1"/>
    </xf>
    <xf numFmtId="0" fontId="17" fillId="0" borderId="100" xfId="1" applyFont="1" applyBorder="1" applyAlignment="1" applyProtection="1">
      <alignment horizontal="right" vertical="center"/>
      <protection hidden="1"/>
    </xf>
    <xf numFmtId="0" fontId="11" fillId="0" borderId="100" xfId="1" applyFont="1" applyBorder="1" applyAlignment="1" applyProtection="1">
      <alignment horizontal="right" vertical="center"/>
      <protection hidden="1"/>
    </xf>
    <xf numFmtId="0" fontId="61" fillId="0" borderId="24" xfId="1" applyFont="1" applyBorder="1" applyAlignment="1" applyProtection="1">
      <protection hidden="1"/>
    </xf>
    <xf numFmtId="2" fontId="48" fillId="0" borderId="110" xfId="1" applyNumberFormat="1" applyFont="1" applyBorder="1" applyAlignment="1" applyProtection="1">
      <alignment wrapText="1"/>
      <protection hidden="1"/>
    </xf>
    <xf numFmtId="0" fontId="59" fillId="0" borderId="0" xfId="0" applyFont="1" applyAlignment="1" applyProtection="1">
      <alignment horizontal="center" vertical="center"/>
      <protection hidden="1"/>
    </xf>
    <xf numFmtId="0" fontId="59" fillId="0" borderId="0" xfId="0" applyFont="1" applyProtection="1">
      <protection hidden="1"/>
    </xf>
    <xf numFmtId="0" fontId="82" fillId="0" borderId="0" xfId="0" applyFont="1" applyAlignment="1" applyProtection="1">
      <alignment horizontal="center" vertical="center"/>
      <protection hidden="1"/>
    </xf>
    <xf numFmtId="2" fontId="82" fillId="0" borderId="0" xfId="0" applyNumberFormat="1" applyFont="1" applyAlignment="1" applyProtection="1">
      <alignment horizontal="center" vertical="center"/>
      <protection hidden="1"/>
    </xf>
    <xf numFmtId="1" fontId="52" fillId="11" borderId="136" xfId="0" applyNumberFormat="1" applyFont="1" applyFill="1" applyBorder="1" applyAlignment="1" applyProtection="1">
      <alignment horizontal="center"/>
      <protection locked="0"/>
    </xf>
    <xf numFmtId="1" fontId="52" fillId="11" borderId="137" xfId="0" applyNumberFormat="1" applyFont="1" applyFill="1" applyBorder="1" applyAlignment="1" applyProtection="1">
      <alignment horizontal="center"/>
      <protection locked="0"/>
    </xf>
    <xf numFmtId="0" fontId="60" fillId="0" borderId="0" xfId="1" applyFont="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73" fillId="4" borderId="0" xfId="1" applyFont="1" applyFill="1" applyBorder="1" applyAlignment="1" applyProtection="1">
      <alignment horizontal="center" vertical="center"/>
      <protection hidden="1"/>
    </xf>
    <xf numFmtId="0" fontId="60" fillId="0" borderId="106" xfId="1" applyFont="1" applyBorder="1" applyAlignment="1" applyProtection="1">
      <alignment horizontal="center" vertical="center"/>
      <protection hidden="1"/>
    </xf>
    <xf numFmtId="0" fontId="60" fillId="0" borderId="109"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71" fillId="0" borderId="107"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9" fillId="0" borderId="24" xfId="1" applyFont="1" applyBorder="1" applyAlignment="1" applyProtection="1">
      <alignment horizontal="right" vertical="center"/>
      <protection hidden="1"/>
    </xf>
    <xf numFmtId="0" fontId="60" fillId="0" borderId="24" xfId="1" applyFont="1" applyBorder="1" applyAlignment="1" applyProtection="1">
      <alignment horizontal="center" vertical="center"/>
      <protection hidden="1"/>
    </xf>
    <xf numFmtId="0" fontId="0" fillId="20" borderId="71" xfId="0" applyFill="1" applyBorder="1" applyProtection="1">
      <protection hidden="1"/>
    </xf>
    <xf numFmtId="0" fontId="0" fillId="20" borderId="80" xfId="0" applyFill="1" applyBorder="1" applyAlignment="1" applyProtection="1">
      <alignment horizontal="center"/>
      <protection hidden="1"/>
    </xf>
    <xf numFmtId="173" fontId="27" fillId="20" borderId="82" xfId="0" applyNumberFormat="1" applyFont="1" applyFill="1" applyBorder="1" applyAlignment="1" applyProtection="1">
      <alignment horizontal="left" vertical="center"/>
      <protection hidden="1"/>
    </xf>
    <xf numFmtId="0" fontId="0" fillId="0" borderId="0" xfId="0" applyAlignment="1" applyProtection="1">
      <alignment horizontal="center"/>
      <protection hidden="1"/>
    </xf>
    <xf numFmtId="0" fontId="0" fillId="16" borderId="155" xfId="0" applyFill="1" applyBorder="1" applyAlignment="1" applyProtection="1">
      <alignment horizontal="center" vertical="center" wrapText="1"/>
      <protection hidden="1"/>
    </xf>
    <xf numFmtId="0" fontId="0" fillId="16" borderId="147" xfId="0" applyFill="1" applyBorder="1" applyAlignment="1" applyProtection="1">
      <alignment horizontal="center" vertical="center" wrapText="1"/>
      <protection hidden="1"/>
    </xf>
    <xf numFmtId="0" fontId="0" fillId="16" borderId="146" xfId="0" applyFill="1" applyBorder="1" applyAlignment="1" applyProtection="1">
      <alignment horizontal="center" vertical="center" wrapText="1"/>
      <protection hidden="1"/>
    </xf>
    <xf numFmtId="0" fontId="27" fillId="16" borderId="75" xfId="0" applyFont="1" applyFill="1" applyBorder="1" applyAlignment="1" applyProtection="1">
      <alignment horizontal="center" vertical="center"/>
      <protection hidden="1"/>
    </xf>
    <xf numFmtId="0" fontId="108" fillId="16" borderId="75" xfId="0" applyFont="1" applyFill="1" applyBorder="1" applyAlignment="1" applyProtection="1">
      <alignment horizontal="center" vertical="center"/>
      <protection hidden="1"/>
    </xf>
    <xf numFmtId="0" fontId="0" fillId="20" borderId="71" xfId="0" applyFill="1" applyBorder="1" applyAlignment="1" applyProtection="1">
      <alignment horizontal="center" vertical="center"/>
      <protection hidden="1"/>
    </xf>
    <xf numFmtId="0" fontId="109" fillId="0" borderId="0" xfId="0" applyFont="1" applyBorder="1" applyAlignment="1" applyProtection="1">
      <alignment horizontal="center" vertical="center"/>
      <protection hidden="1"/>
    </xf>
    <xf numFmtId="0" fontId="109" fillId="0" borderId="156" xfId="0" applyFont="1" applyBorder="1" applyAlignment="1" applyProtection="1">
      <alignment horizontal="center" vertical="center"/>
      <protection hidden="1"/>
    </xf>
    <xf numFmtId="0" fontId="109" fillId="0" borderId="157" xfId="0" applyFont="1" applyBorder="1" applyAlignment="1" applyProtection="1">
      <alignment horizontal="center" vertical="center"/>
      <protection hidden="1"/>
    </xf>
    <xf numFmtId="0" fontId="109" fillId="0" borderId="130" xfId="0" applyFont="1" applyBorder="1" applyAlignment="1" applyProtection="1">
      <alignment horizontal="center" vertical="center"/>
      <protection hidden="1"/>
    </xf>
    <xf numFmtId="0" fontId="109" fillId="0" borderId="147" xfId="0" applyFont="1" applyBorder="1" applyAlignment="1" applyProtection="1">
      <alignment horizontal="center" vertical="center"/>
      <protection hidden="1"/>
    </xf>
    <xf numFmtId="0" fontId="109" fillId="0" borderId="151" xfId="0" applyFont="1" applyBorder="1" applyAlignment="1" applyProtection="1">
      <alignment horizontal="center" vertical="center"/>
      <protection hidden="1"/>
    </xf>
    <xf numFmtId="0" fontId="109" fillId="0" borderId="146" xfId="0" applyFont="1" applyBorder="1" applyAlignment="1" applyProtection="1">
      <alignment horizontal="center" vertical="center"/>
      <protection hidden="1"/>
    </xf>
    <xf numFmtId="0" fontId="109" fillId="0" borderId="129" xfId="0" applyFont="1" applyBorder="1" applyAlignment="1" applyProtection="1">
      <alignment horizontal="center" vertical="center"/>
      <protection hidden="1"/>
    </xf>
    <xf numFmtId="0" fontId="109" fillId="0" borderId="155" xfId="0" applyFont="1" applyBorder="1" applyAlignment="1" applyProtection="1">
      <alignment horizontal="center" vertical="center"/>
      <protection hidden="1"/>
    </xf>
    <xf numFmtId="0" fontId="109" fillId="0" borderId="158" xfId="0" applyFont="1" applyBorder="1" applyAlignment="1" applyProtection="1">
      <alignment horizontal="center" vertical="center"/>
      <protection hidden="1"/>
    </xf>
    <xf numFmtId="0" fontId="109" fillId="0" borderId="159"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right"/>
      <protection hidden="1"/>
    </xf>
    <xf numFmtId="0" fontId="0" fillId="0" borderId="137" xfId="0" applyBorder="1" applyAlignment="1" applyProtection="1">
      <alignment horizontal="center"/>
      <protection hidden="1"/>
    </xf>
    <xf numFmtId="0" fontId="0" fillId="20" borderId="0" xfId="0" applyFill="1" applyBorder="1" applyAlignment="1" applyProtection="1">
      <alignment horizontal="left"/>
      <protection hidden="1"/>
    </xf>
    <xf numFmtId="0" fontId="0" fillId="20" borderId="71" xfId="0" applyFill="1" applyBorder="1" applyAlignment="1" applyProtection="1">
      <alignment horizontal="left"/>
      <protection hidden="1"/>
    </xf>
    <xf numFmtId="0" fontId="0" fillId="20" borderId="0" xfId="0" applyFont="1" applyFill="1" applyBorder="1" applyAlignment="1" applyProtection="1">
      <alignment horizontal="left"/>
      <protection hidden="1"/>
    </xf>
    <xf numFmtId="0" fontId="27" fillId="0" borderId="0" xfId="0" applyFont="1" applyAlignment="1" applyProtection="1">
      <alignment horizontal="center" vertical="center"/>
      <protection hidden="1"/>
    </xf>
    <xf numFmtId="0" fontId="0" fillId="0" borderId="75" xfId="0" applyBorder="1" applyAlignment="1" applyProtection="1">
      <alignment horizontal="center" vertical="center"/>
      <protection hidden="1"/>
    </xf>
    <xf numFmtId="173" fontId="103" fillId="0" borderId="75" xfId="6" applyNumberFormat="1" applyFont="1" applyBorder="1" applyAlignment="1" applyProtection="1">
      <alignment horizontal="center" vertical="center"/>
      <protection hidden="1"/>
    </xf>
    <xf numFmtId="173" fontId="27" fillId="16" borderId="75" xfId="0" applyNumberFormat="1" applyFont="1" applyFill="1" applyBorder="1" applyAlignment="1" applyProtection="1">
      <alignment horizontal="center" vertical="center"/>
      <protection hidden="1"/>
    </xf>
    <xf numFmtId="173" fontId="103" fillId="0" borderId="75" xfId="6" applyNumberFormat="1" applyFont="1" applyBorder="1" applyAlignment="1" applyProtection="1">
      <alignment vertical="center"/>
      <protection hidden="1"/>
    </xf>
    <xf numFmtId="0" fontId="0" fillId="0" borderId="0" xfId="0" applyAlignment="1" applyProtection="1">
      <alignment horizontal="center" vertical="center"/>
      <protection hidden="1"/>
    </xf>
    <xf numFmtId="0" fontId="27" fillId="20" borderId="81" xfId="0" applyFont="1" applyFill="1" applyBorder="1" applyAlignment="1" applyProtection="1">
      <alignment horizontal="center"/>
      <protection hidden="1"/>
    </xf>
    <xf numFmtId="0" fontId="110" fillId="0" borderId="0" xfId="0"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173" fontId="110" fillId="0" borderId="0" xfId="6" applyNumberFormat="1" applyFont="1" applyBorder="1" applyAlignment="1" applyProtection="1">
      <alignment horizontal="center" vertical="center"/>
      <protection hidden="1"/>
    </xf>
    <xf numFmtId="0" fontId="113" fillId="0" borderId="0" xfId="0" applyFont="1" applyBorder="1" applyAlignment="1" applyProtection="1">
      <alignment horizontal="center" vertical="center"/>
      <protection hidden="1"/>
    </xf>
    <xf numFmtId="0" fontId="107" fillId="0" borderId="0" xfId="0" applyFont="1" applyAlignment="1" applyProtection="1">
      <alignment vertical="center"/>
      <protection hidden="1"/>
    </xf>
    <xf numFmtId="0" fontId="114" fillId="20" borderId="75" xfId="0" applyFont="1" applyFill="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20" borderId="74" xfId="0" applyFill="1" applyBorder="1" applyProtection="1">
      <protection hidden="1"/>
    </xf>
    <xf numFmtId="173" fontId="103" fillId="16" borderId="75" xfId="6" applyNumberFormat="1" applyFont="1" applyFill="1" applyBorder="1" applyAlignment="1" applyProtection="1">
      <alignment horizontal="left" vertical="center"/>
      <protection locked="0" hidden="1"/>
    </xf>
    <xf numFmtId="173" fontId="103" fillId="16" borderId="75" xfId="6" applyNumberFormat="1" applyFont="1" applyFill="1" applyBorder="1" applyProtection="1">
      <protection locked="0" hidden="1"/>
    </xf>
    <xf numFmtId="0" fontId="0" fillId="16" borderId="160" xfId="0" applyFill="1" applyBorder="1" applyAlignment="1" applyProtection="1">
      <alignment horizontal="left"/>
      <protection locked="0" hidden="1"/>
    </xf>
    <xf numFmtId="14" fontId="0" fillId="16" borderId="161" xfId="0" applyNumberFormat="1" applyFill="1" applyBorder="1" applyAlignment="1" applyProtection="1">
      <alignment horizontal="left"/>
      <protection locked="0" hidden="1"/>
    </xf>
    <xf numFmtId="0" fontId="0" fillId="16" borderId="161" xfId="0" applyFont="1" applyFill="1" applyBorder="1" applyAlignment="1" applyProtection="1">
      <alignment horizontal="left" shrinkToFit="1"/>
      <protection locked="0" hidden="1"/>
    </xf>
    <xf numFmtId="173" fontId="27" fillId="16" borderId="169" xfId="6" applyNumberFormat="1" applyFont="1" applyFill="1" applyBorder="1" applyAlignment="1" applyProtection="1">
      <alignment horizontal="center" vertical="center"/>
      <protection locked="0" hidden="1"/>
    </xf>
    <xf numFmtId="0" fontId="0" fillId="20" borderId="139" xfId="0" applyFill="1" applyBorder="1" applyAlignment="1" applyProtection="1">
      <alignment horizontal="center" vertical="center"/>
      <protection hidden="1"/>
    </xf>
    <xf numFmtId="0" fontId="0" fillId="20" borderId="139" xfId="0" applyFill="1" applyBorder="1" applyAlignment="1" applyProtection="1">
      <alignment horizontal="center"/>
      <protection hidden="1"/>
    </xf>
    <xf numFmtId="173" fontId="35" fillId="0" borderId="163" xfId="0" applyNumberFormat="1" applyFont="1" applyBorder="1" applyAlignment="1" applyProtection="1">
      <alignment vertical="center"/>
      <protection hidden="1"/>
    </xf>
    <xf numFmtId="0" fontId="35" fillId="0" borderId="164" xfId="0" applyFont="1" applyBorder="1" applyAlignment="1" applyProtection="1">
      <alignment vertical="center"/>
      <protection hidden="1"/>
    </xf>
    <xf numFmtId="173" fontId="35" fillId="0" borderId="133" xfId="0" applyNumberFormat="1" applyFont="1" applyBorder="1" applyAlignment="1" applyProtection="1">
      <alignment vertical="center"/>
      <protection hidden="1"/>
    </xf>
    <xf numFmtId="0" fontId="59" fillId="0" borderId="0" xfId="0" applyFont="1" applyAlignment="1" applyProtection="1">
      <alignment horizontal="center"/>
      <protection hidden="1"/>
    </xf>
    <xf numFmtId="2" fontId="0" fillId="0" borderId="0" xfId="0" applyNumberFormat="1" applyAlignment="1" applyProtection="1">
      <alignment horizontal="center" vertical="center"/>
      <protection hidden="1"/>
    </xf>
    <xf numFmtId="1" fontId="87" fillId="16" borderId="153" xfId="0" applyNumberFormat="1" applyFont="1" applyFill="1" applyBorder="1" applyAlignment="1" applyProtection="1">
      <alignment horizontal="center"/>
      <protection hidden="1"/>
    </xf>
    <xf numFmtId="1" fontId="0" fillId="0" borderId="0" xfId="0" applyNumberFormat="1" applyAlignment="1" applyProtection="1">
      <alignment horizontal="center"/>
      <protection hidden="1"/>
    </xf>
    <xf numFmtId="1" fontId="52" fillId="4" borderId="85" xfId="0" applyNumberFormat="1" applyFont="1" applyFill="1" applyBorder="1" applyProtection="1">
      <protection hidden="1"/>
    </xf>
    <xf numFmtId="1" fontId="52" fillId="4" borderId="140" xfId="0" applyNumberFormat="1" applyFont="1" applyFill="1" applyBorder="1" applyProtection="1">
      <protection hidden="1"/>
    </xf>
    <xf numFmtId="1" fontId="52" fillId="4" borderId="0" xfId="0" applyNumberFormat="1" applyFont="1" applyFill="1" applyBorder="1" applyProtection="1">
      <protection hidden="1"/>
    </xf>
    <xf numFmtId="1" fontId="52" fillId="4" borderId="142" xfId="0" applyNumberFormat="1" applyFont="1" applyFill="1" applyBorder="1" applyProtection="1">
      <protection hidden="1"/>
    </xf>
    <xf numFmtId="1" fontId="52" fillId="4" borderId="135" xfId="0" applyNumberFormat="1" applyFont="1" applyFill="1" applyBorder="1" applyProtection="1">
      <protection hidden="1"/>
    </xf>
    <xf numFmtId="1" fontId="52" fillId="4" borderId="144" xfId="0" applyNumberFormat="1" applyFont="1" applyFill="1" applyBorder="1" applyProtection="1">
      <protection hidden="1"/>
    </xf>
    <xf numFmtId="172" fontId="87" fillId="4" borderId="146" xfId="0" applyNumberFormat="1" applyFont="1" applyFill="1" applyBorder="1" applyAlignment="1" applyProtection="1">
      <alignment horizontal="center"/>
      <protection hidden="1"/>
    </xf>
    <xf numFmtId="1" fontId="52" fillId="4" borderId="135" xfId="3" applyNumberFormat="1" applyFont="1" applyFill="1" applyBorder="1" applyAlignment="1" applyProtection="1">
      <protection hidden="1"/>
    </xf>
    <xf numFmtId="1" fontId="89" fillId="4" borderId="136" xfId="3" applyNumberFormat="1" applyFont="1" applyFill="1" applyBorder="1" applyAlignment="1" applyProtection="1">
      <protection hidden="1"/>
    </xf>
    <xf numFmtId="1" fontId="89" fillId="4" borderId="135" xfId="3" applyNumberFormat="1" applyFont="1" applyFill="1" applyBorder="1" applyAlignment="1" applyProtection="1">
      <protection hidden="1"/>
    </xf>
    <xf numFmtId="1" fontId="52" fillId="4" borderId="85" xfId="0" applyNumberFormat="1" applyFont="1" applyFill="1" applyBorder="1" applyAlignment="1" applyProtection="1">
      <protection hidden="1"/>
    </xf>
    <xf numFmtId="1" fontId="0" fillId="4" borderId="85" xfId="0" applyNumberFormat="1" applyFill="1" applyBorder="1" applyAlignment="1" applyProtection="1">
      <protection hidden="1"/>
    </xf>
    <xf numFmtId="1" fontId="52" fillId="4" borderId="0" xfId="0" applyNumberFormat="1" applyFont="1" applyFill="1" applyBorder="1" applyAlignment="1" applyProtection="1">
      <protection hidden="1"/>
    </xf>
    <xf numFmtId="1" fontId="0" fillId="4" borderId="0" xfId="0" applyNumberFormat="1" applyFill="1" applyBorder="1" applyAlignment="1" applyProtection="1">
      <protection hidden="1"/>
    </xf>
    <xf numFmtId="1" fontId="0" fillId="4" borderId="0" xfId="0" applyNumberFormat="1" applyFill="1" applyBorder="1" applyAlignment="1" applyProtection="1">
      <alignment horizontal="right"/>
      <protection hidden="1"/>
    </xf>
    <xf numFmtId="1" fontId="91" fillId="4" borderId="0" xfId="3" applyNumberFormat="1" applyFont="1" applyFill="1" applyBorder="1" applyAlignment="1" applyProtection="1">
      <alignment vertical="center"/>
      <protection hidden="1"/>
    </xf>
    <xf numFmtId="1" fontId="52" fillId="4" borderId="0" xfId="3" applyNumberFormat="1" applyFont="1" applyFill="1" applyBorder="1" applyAlignment="1" applyProtection="1">
      <alignment horizontal="left" vertical="center"/>
      <protection hidden="1"/>
    </xf>
    <xf numFmtId="1" fontId="52" fillId="4" borderId="85" xfId="3" applyNumberFormat="1" applyFont="1" applyFill="1" applyBorder="1" applyAlignment="1" applyProtection="1">
      <alignment horizontal="left" vertical="center" wrapText="1"/>
      <protection hidden="1"/>
    </xf>
    <xf numFmtId="1" fontId="94" fillId="4" borderId="0" xfId="3" applyNumberFormat="1" applyFont="1" applyFill="1" applyBorder="1" applyProtection="1">
      <protection hidden="1"/>
    </xf>
    <xf numFmtId="1" fontId="52" fillId="4" borderId="0" xfId="3" applyNumberFormat="1" applyFont="1" applyFill="1" applyBorder="1" applyProtection="1">
      <protection hidden="1"/>
    </xf>
    <xf numFmtId="1" fontId="52" fillId="4" borderId="87" xfId="3" applyNumberFormat="1" applyFont="1" applyFill="1" applyBorder="1" applyProtection="1">
      <protection hidden="1"/>
    </xf>
    <xf numFmtId="1" fontId="52" fillId="4" borderId="147" xfId="3" applyNumberFormat="1" applyFont="1" applyFill="1" applyBorder="1" applyProtection="1">
      <protection hidden="1"/>
    </xf>
    <xf numFmtId="1" fontId="52" fillId="4" borderId="84" xfId="3" applyNumberFormat="1" applyFont="1" applyFill="1" applyBorder="1" applyProtection="1">
      <protection hidden="1"/>
    </xf>
    <xf numFmtId="1" fontId="91" fillId="4" borderId="0" xfId="3" applyNumberFormat="1" applyFont="1" applyFill="1" applyBorder="1" applyProtection="1">
      <protection hidden="1"/>
    </xf>
    <xf numFmtId="170" fontId="52" fillId="4" borderId="87" xfId="3" applyNumberFormat="1" applyFont="1" applyFill="1" applyBorder="1" applyProtection="1">
      <protection hidden="1"/>
    </xf>
    <xf numFmtId="1" fontId="90" fillId="4" borderId="0" xfId="3" applyNumberFormat="1" applyFont="1" applyFill="1" applyBorder="1" applyProtection="1">
      <protection hidden="1"/>
    </xf>
    <xf numFmtId="1" fontId="87" fillId="4" borderId="0" xfId="3" applyNumberFormat="1" applyFont="1" applyFill="1" applyBorder="1" applyProtection="1">
      <protection hidden="1"/>
    </xf>
    <xf numFmtId="1" fontId="87" fillId="4" borderId="87" xfId="3" applyNumberFormat="1" applyFont="1" applyFill="1" applyBorder="1" applyProtection="1">
      <protection hidden="1"/>
    </xf>
    <xf numFmtId="1" fontId="52" fillId="4" borderId="136" xfId="3" applyNumberFormat="1" applyFont="1" applyFill="1" applyBorder="1" applyProtection="1">
      <protection hidden="1"/>
    </xf>
    <xf numFmtId="1" fontId="52" fillId="15" borderId="0" xfId="3" applyNumberFormat="1" applyFont="1" applyFill="1" applyBorder="1" applyProtection="1">
      <protection hidden="1"/>
    </xf>
    <xf numFmtId="1" fontId="52" fillId="15" borderId="87" xfId="3" applyNumberFormat="1" applyFont="1" applyFill="1" applyBorder="1" applyProtection="1">
      <protection hidden="1"/>
    </xf>
    <xf numFmtId="2" fontId="0" fillId="0" borderId="0" xfId="0" applyNumberFormat="1" applyProtection="1">
      <protection hidden="1"/>
    </xf>
    <xf numFmtId="170" fontId="52" fillId="4" borderId="0" xfId="3" quotePrefix="1" applyNumberFormat="1" applyFont="1" applyFill="1" applyBorder="1" applyProtection="1">
      <protection hidden="1"/>
    </xf>
    <xf numFmtId="1" fontId="52" fillId="4" borderId="84" xfId="3" quotePrefix="1" applyNumberFormat="1" applyFont="1" applyFill="1" applyBorder="1" applyProtection="1">
      <protection hidden="1"/>
    </xf>
    <xf numFmtId="170" fontId="91" fillId="4" borderId="0" xfId="3" applyNumberFormat="1" applyFont="1" applyFill="1" applyBorder="1" applyProtection="1">
      <protection hidden="1"/>
    </xf>
    <xf numFmtId="170" fontId="52" fillId="4" borderId="136" xfId="3" applyNumberFormat="1" applyFont="1" applyFill="1" applyBorder="1" applyProtection="1">
      <protection hidden="1"/>
    </xf>
    <xf numFmtId="1" fontId="87" fillId="4" borderId="84" xfId="3" applyNumberFormat="1" applyFont="1" applyFill="1" applyBorder="1" applyProtection="1">
      <protection hidden="1"/>
    </xf>
    <xf numFmtId="1" fontId="52" fillId="15" borderId="136" xfId="3" applyNumberFormat="1" applyFont="1" applyFill="1" applyBorder="1" applyProtection="1">
      <protection hidden="1"/>
    </xf>
    <xf numFmtId="1" fontId="52" fillId="15" borderId="84" xfId="3" applyNumberFormat="1" applyFont="1" applyFill="1" applyBorder="1" applyProtection="1">
      <protection hidden="1"/>
    </xf>
    <xf numFmtId="1" fontId="52" fillId="4" borderId="85" xfId="3" applyNumberFormat="1" applyFont="1" applyFill="1" applyBorder="1" applyProtection="1">
      <protection hidden="1"/>
    </xf>
    <xf numFmtId="1" fontId="52" fillId="4" borderId="131" xfId="3" applyNumberFormat="1" applyFont="1" applyFill="1" applyBorder="1" applyProtection="1">
      <protection hidden="1"/>
    </xf>
    <xf numFmtId="1" fontId="52" fillId="4" borderId="132" xfId="3" applyNumberFormat="1" applyFont="1" applyFill="1" applyBorder="1" applyProtection="1">
      <protection hidden="1"/>
    </xf>
    <xf numFmtId="170" fontId="52" fillId="4" borderId="0" xfId="3" applyNumberFormat="1" applyFont="1" applyFill="1" applyBorder="1" applyAlignment="1" applyProtection="1">
      <alignment horizontal="center"/>
      <protection hidden="1"/>
    </xf>
    <xf numFmtId="1" fontId="52" fillId="4" borderId="135" xfId="3" applyNumberFormat="1" applyFont="1" applyFill="1" applyBorder="1" applyProtection="1">
      <protection hidden="1"/>
    </xf>
    <xf numFmtId="1" fontId="52" fillId="4" borderId="137" xfId="3" applyNumberFormat="1" applyFont="1" applyFill="1" applyBorder="1" applyProtection="1">
      <protection hidden="1"/>
    </xf>
    <xf numFmtId="1" fontId="52" fillId="4" borderId="134" xfId="3" applyNumberFormat="1" applyFont="1" applyFill="1" applyBorder="1" applyProtection="1">
      <protection hidden="1"/>
    </xf>
    <xf numFmtId="1" fontId="52" fillId="4" borderId="135" xfId="3" applyNumberFormat="1" applyFont="1" applyFill="1" applyBorder="1" applyAlignment="1" applyProtection="1">
      <alignment horizontal="center"/>
      <protection hidden="1"/>
    </xf>
    <xf numFmtId="1" fontId="52" fillId="4" borderId="132" xfId="3" applyNumberFormat="1" applyFont="1" applyFill="1" applyBorder="1" applyAlignment="1" applyProtection="1">
      <alignment horizontal="center"/>
      <protection hidden="1"/>
    </xf>
    <xf numFmtId="1" fontId="52" fillId="4" borderId="87" xfId="3" applyNumberFormat="1" applyFont="1" applyFill="1" applyBorder="1" applyAlignment="1" applyProtection="1">
      <protection hidden="1"/>
    </xf>
    <xf numFmtId="1" fontId="52" fillId="4" borderId="84" xfId="3" applyNumberFormat="1" applyFont="1" applyFill="1" applyBorder="1" applyAlignment="1" applyProtection="1">
      <protection hidden="1"/>
    </xf>
    <xf numFmtId="1" fontId="52" fillId="15" borderId="0" xfId="3" applyNumberFormat="1" applyFont="1" applyFill="1" applyBorder="1" applyAlignment="1" applyProtection="1">
      <protection hidden="1"/>
    </xf>
    <xf numFmtId="1" fontId="52" fillId="15" borderId="87" xfId="3" applyNumberFormat="1" applyFont="1" applyFill="1" applyBorder="1" applyAlignment="1" applyProtection="1">
      <protection hidden="1"/>
    </xf>
    <xf numFmtId="1" fontId="52" fillId="15" borderId="84" xfId="3" applyNumberFormat="1" applyFont="1" applyFill="1" applyBorder="1" applyAlignment="1" applyProtection="1">
      <protection hidden="1"/>
    </xf>
    <xf numFmtId="1" fontId="94" fillId="15" borderId="0" xfId="3" applyNumberFormat="1" applyFont="1" applyFill="1" applyBorder="1" applyProtection="1">
      <protection hidden="1"/>
    </xf>
    <xf numFmtId="1" fontId="52" fillId="4" borderId="135" xfId="3" applyNumberFormat="1" applyFont="1" applyFill="1" applyBorder="1" applyAlignment="1" applyProtection="1">
      <alignment vertical="center" wrapText="1"/>
      <protection hidden="1"/>
    </xf>
    <xf numFmtId="0" fontId="0" fillId="4" borderId="0" xfId="0" applyFill="1" applyProtection="1">
      <protection hidden="1"/>
    </xf>
    <xf numFmtId="2" fontId="77" fillId="11" borderId="24" xfId="1" applyNumberFormat="1" applyFont="1" applyFill="1" applyBorder="1" applyAlignment="1" applyProtection="1">
      <alignment horizontal="center" vertical="center"/>
      <protection locked="0"/>
    </xf>
    <xf numFmtId="0" fontId="11"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textRotation="90" wrapText="1"/>
      <protection hidden="1"/>
    </xf>
    <xf numFmtId="0" fontId="17" fillId="0" borderId="33" xfId="0" applyFont="1" applyBorder="1" applyAlignment="1" applyProtection="1">
      <alignment horizontal="center" vertical="center" wrapText="1"/>
      <protection hidden="1"/>
    </xf>
    <xf numFmtId="1" fontId="19" fillId="0" borderId="12" xfId="0" applyNumberFormat="1" applyFont="1" applyBorder="1" applyAlignment="1" applyProtection="1">
      <alignment horizontal="center" vertical="center" wrapText="1"/>
      <protection hidden="1"/>
    </xf>
    <xf numFmtId="1" fontId="20" fillId="0" borderId="32"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 fontId="19" fillId="0" borderId="17" xfId="0" applyNumberFormat="1" applyFont="1" applyBorder="1" applyAlignment="1" applyProtection="1">
      <alignment horizontal="center" vertical="center" wrapText="1"/>
      <protection hidden="1"/>
    </xf>
    <xf numFmtId="1" fontId="20" fillId="0" borderId="66" xfId="0" applyNumberFormat="1" applyFont="1" applyBorder="1" applyAlignment="1" applyProtection="1">
      <alignment horizontal="center" vertical="center" wrapText="1"/>
      <protection hidden="1"/>
    </xf>
    <xf numFmtId="1" fontId="19" fillId="0" borderId="19" xfId="0" applyNumberFormat="1" applyFont="1" applyBorder="1" applyAlignment="1" applyProtection="1">
      <alignment horizontal="center" vertical="center" wrapText="1"/>
      <protection hidden="1"/>
    </xf>
    <xf numFmtId="1" fontId="20" fillId="0" borderId="35" xfId="0" applyNumberFormat="1" applyFont="1" applyBorder="1" applyAlignment="1" applyProtection="1">
      <alignment horizontal="center" vertical="center" wrapText="1"/>
      <protection hidden="1"/>
    </xf>
    <xf numFmtId="1" fontId="57" fillId="0" borderId="27" xfId="0" applyNumberFormat="1" applyFont="1" applyBorder="1" applyAlignment="1" applyProtection="1">
      <alignment horizontal="center" vertical="center" textRotation="90" wrapText="1"/>
      <protection hidden="1"/>
    </xf>
    <xf numFmtId="1" fontId="57" fillId="0" borderId="6" xfId="0" applyNumberFormat="1" applyFont="1" applyBorder="1" applyAlignment="1" applyProtection="1">
      <alignment horizontal="center" vertical="center" textRotation="90" wrapText="1"/>
      <protection hidden="1"/>
    </xf>
    <xf numFmtId="1" fontId="8" fillId="0" borderId="8" xfId="0" applyNumberFormat="1" applyFont="1" applyBorder="1" applyAlignment="1" applyProtection="1">
      <alignment horizontal="center" vertical="center" textRotation="90" wrapText="1"/>
      <protection hidden="1"/>
    </xf>
    <xf numFmtId="1" fontId="25" fillId="0" borderId="4" xfId="0" applyNumberFormat="1" applyFont="1" applyBorder="1" applyAlignment="1" applyProtection="1">
      <alignment horizontal="center" vertical="center" textRotation="90" wrapText="1"/>
      <protection hidden="1"/>
    </xf>
    <xf numFmtId="1" fontId="12" fillId="0" borderId="0" xfId="0" applyNumberFormat="1" applyFont="1" applyBorder="1" applyAlignment="1" applyProtection="1">
      <alignment horizontal="center" vertical="center" textRotation="90" wrapText="1"/>
      <protection hidden="1"/>
    </xf>
    <xf numFmtId="0" fontId="26" fillId="0" borderId="0" xfId="0" applyFont="1" applyBorder="1" applyAlignment="1" applyProtection="1">
      <alignment horizontal="center" wrapText="1"/>
      <protection hidden="1"/>
    </xf>
    <xf numFmtId="1" fontId="55" fillId="0" borderId="10" xfId="0" applyNumberFormat="1" applyFont="1" applyBorder="1" applyAlignment="1" applyProtection="1">
      <alignment horizontal="center" vertical="center" wrapText="1"/>
      <protection locked="0" hidden="1"/>
    </xf>
    <xf numFmtId="1" fontId="55" fillId="0" borderId="11" xfId="0" applyNumberFormat="1" applyFont="1" applyBorder="1" applyAlignment="1" applyProtection="1">
      <alignment horizontal="center" vertical="center" wrapText="1"/>
      <protection locked="0" hidden="1"/>
    </xf>
    <xf numFmtId="1" fontId="55" fillId="0" borderId="13" xfId="0" applyNumberFormat="1" applyFont="1" applyBorder="1" applyAlignment="1" applyProtection="1">
      <alignment horizontal="center" vertical="center" wrapText="1"/>
      <protection locked="0" hidden="1"/>
    </xf>
    <xf numFmtId="1" fontId="55" fillId="0" borderId="1" xfId="0" applyNumberFormat="1" applyFont="1" applyBorder="1" applyAlignment="1" applyProtection="1">
      <alignment horizontal="center" vertical="center" wrapText="1"/>
      <protection locked="0" hidden="1"/>
    </xf>
    <xf numFmtId="1" fontId="55" fillId="0" borderId="5" xfId="0" applyNumberFormat="1" applyFont="1" applyBorder="1" applyAlignment="1" applyProtection="1">
      <alignment horizontal="center" vertical="center" wrapText="1"/>
      <protection locked="0" hidden="1"/>
    </xf>
    <xf numFmtId="1" fontId="55" fillId="0" borderId="15" xfId="0" applyNumberFormat="1" applyFont="1" applyBorder="1" applyAlignment="1" applyProtection="1">
      <alignment horizontal="center" vertical="center" wrapText="1"/>
      <protection locked="0" hidden="1"/>
    </xf>
    <xf numFmtId="1" fontId="55" fillId="0" borderId="16" xfId="0" applyNumberFormat="1" applyFont="1" applyBorder="1" applyAlignment="1" applyProtection="1">
      <alignment horizontal="center" vertical="center" wrapText="1"/>
      <protection locked="0" hidden="1"/>
    </xf>
    <xf numFmtId="1" fontId="55" fillId="0" borderId="18" xfId="0" applyNumberFormat="1" applyFont="1" applyBorder="1" applyAlignment="1" applyProtection="1">
      <alignment horizontal="center" vertical="center" wrapText="1"/>
      <protection locked="0" hidden="1"/>
    </xf>
    <xf numFmtId="0" fontId="4" fillId="0" borderId="18" xfId="0" applyFont="1" applyBorder="1" applyAlignment="1" applyProtection="1">
      <alignment horizontal="center" vertical="center" textRotation="90" wrapText="1"/>
      <protection locked="0"/>
    </xf>
    <xf numFmtId="0" fontId="27" fillId="0" borderId="0" xfId="0" applyFont="1" applyProtection="1">
      <protection hidden="1"/>
    </xf>
    <xf numFmtId="0" fontId="43" fillId="11" borderId="91" xfId="0" applyFont="1" applyFill="1" applyBorder="1" applyAlignment="1" applyProtection="1">
      <alignment horizontal="center"/>
      <protection hidden="1"/>
    </xf>
    <xf numFmtId="0" fontId="43" fillId="12" borderId="13" xfId="0" applyFont="1" applyFill="1" applyBorder="1" applyAlignment="1" applyProtection="1">
      <alignment horizontal="center"/>
      <protection hidden="1"/>
    </xf>
    <xf numFmtId="0" fontId="43" fillId="11" borderId="13" xfId="0" applyFont="1" applyFill="1" applyBorder="1" applyAlignment="1" applyProtection="1">
      <alignment horizontal="center"/>
      <protection hidden="1"/>
    </xf>
    <xf numFmtId="2" fontId="4" fillId="11" borderId="63" xfId="0" applyNumberFormat="1" applyFont="1" applyFill="1" applyBorder="1" applyAlignment="1" applyProtection="1">
      <alignment horizontal="right" vertical="center"/>
      <protection hidden="1"/>
    </xf>
    <xf numFmtId="0" fontId="43" fillId="12" borderId="15" xfId="0" applyFont="1" applyFill="1" applyBorder="1" applyAlignment="1" applyProtection="1">
      <alignment horizontal="center"/>
      <protection hidden="1"/>
    </xf>
    <xf numFmtId="2" fontId="4" fillId="12" borderId="64" xfId="0" applyNumberFormat="1" applyFont="1" applyFill="1" applyBorder="1" applyAlignment="1" applyProtection="1">
      <alignment horizontal="right" vertical="center"/>
      <protection hidden="1"/>
    </xf>
    <xf numFmtId="0" fontId="64" fillId="12" borderId="91" xfId="0" applyFont="1" applyFill="1" applyBorder="1" applyAlignment="1" applyProtection="1">
      <alignment horizontal="center"/>
      <protection hidden="1"/>
    </xf>
    <xf numFmtId="0" fontId="21" fillId="12" borderId="22" xfId="0" applyFont="1" applyFill="1" applyBorder="1" applyAlignment="1" applyProtection="1">
      <alignment horizontal="center" vertical="center"/>
      <protection hidden="1"/>
    </xf>
    <xf numFmtId="0" fontId="64" fillId="11" borderId="13" xfId="0" applyFont="1" applyFill="1" applyBorder="1" applyAlignment="1" applyProtection="1">
      <alignment horizontal="center"/>
      <protection hidden="1"/>
    </xf>
    <xf numFmtId="0" fontId="21" fillId="11" borderId="28" xfId="0" applyFont="1" applyFill="1" applyBorder="1" applyAlignment="1" applyProtection="1">
      <alignment horizontal="center" vertical="center"/>
      <protection hidden="1"/>
    </xf>
    <xf numFmtId="0" fontId="64" fillId="12" borderId="13" xfId="0" applyFont="1" applyFill="1" applyBorder="1" applyAlignment="1" applyProtection="1">
      <alignment horizontal="center"/>
      <protection hidden="1"/>
    </xf>
    <xf numFmtId="0" fontId="21" fillId="12" borderId="28" xfId="0" applyFont="1" applyFill="1" applyBorder="1" applyAlignment="1" applyProtection="1">
      <alignment horizontal="center" vertical="center"/>
      <protection hidden="1"/>
    </xf>
    <xf numFmtId="0" fontId="64" fillId="11" borderId="15" xfId="0" applyFont="1" applyFill="1" applyBorder="1" applyAlignment="1" applyProtection="1">
      <alignment horizontal="center"/>
      <protection hidden="1"/>
    </xf>
    <xf numFmtId="0" fontId="21" fillId="11" borderId="55" xfId="0" applyFont="1" applyFill="1" applyBorder="1" applyAlignment="1" applyProtection="1">
      <alignment horizontal="center" vertical="center"/>
      <protection hidden="1"/>
    </xf>
    <xf numFmtId="169" fontId="51" fillId="4" borderId="12"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169" fontId="51" fillId="4" borderId="33" xfId="0" applyNumberFormat="1" applyFont="1" applyFill="1" applyBorder="1" applyAlignment="1" applyProtection="1">
      <alignment horizontal="center" vertical="center"/>
      <protection locked="0"/>
    </xf>
    <xf numFmtId="14" fontId="16" fillId="4" borderId="91" xfId="0" applyNumberFormat="1"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1" fontId="45" fillId="4" borderId="17" xfId="0" applyNumberFormat="1" applyFont="1" applyFill="1" applyBorder="1" applyAlignment="1" applyProtection="1">
      <alignment horizontal="center" vertical="center" wrapText="1"/>
      <protection locked="0"/>
    </xf>
    <xf numFmtId="14" fontId="16" fillId="4" borderId="13"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wrapText="1"/>
      <protection locked="0"/>
    </xf>
    <xf numFmtId="1" fontId="45" fillId="4" borderId="14" xfId="0" applyNumberFormat="1" applyFont="1" applyFill="1" applyBorder="1" applyAlignment="1" applyProtection="1">
      <alignment horizontal="center" vertical="center" wrapText="1"/>
      <protection locked="0"/>
    </xf>
    <xf numFmtId="14" fontId="16" fillId="4" borderId="15" xfId="0" applyNumberFormat="1" applyFont="1" applyFill="1" applyBorder="1" applyAlignment="1" applyProtection="1">
      <alignment horizontal="center" vertical="center"/>
      <protection locked="0"/>
    </xf>
    <xf numFmtId="0" fontId="14" fillId="4" borderId="16" xfId="0" applyFont="1" applyFill="1" applyBorder="1" applyAlignment="1" applyProtection="1">
      <alignment horizontal="center" wrapText="1"/>
      <protection locked="0"/>
    </xf>
    <xf numFmtId="1" fontId="45" fillId="4" borderId="33" xfId="0" applyNumberFormat="1" applyFont="1" applyFill="1" applyBorder="1" applyAlignment="1" applyProtection="1">
      <alignment horizontal="center" vertical="center" wrapText="1"/>
      <protection locked="0"/>
    </xf>
    <xf numFmtId="0" fontId="16" fillId="9" borderId="104" xfId="0" applyFont="1" applyFill="1" applyBorder="1" applyAlignment="1" applyProtection="1">
      <alignment horizontal="center" vertical="center"/>
      <protection locked="0"/>
    </xf>
    <xf numFmtId="0" fontId="118" fillId="0" borderId="0" xfId="0" applyFont="1" applyProtection="1">
      <protection hidden="1"/>
    </xf>
    <xf numFmtId="0" fontId="0" fillId="19" borderId="0" xfId="0" applyFill="1" applyAlignment="1" applyProtection="1">
      <alignment horizontal="center" vertical="center" wrapText="1"/>
      <protection hidden="1"/>
    </xf>
    <xf numFmtId="0" fontId="0" fillId="19" borderId="0" xfId="0" applyFill="1" applyAlignment="1" applyProtection="1">
      <alignment horizontal="left" vertical="center" wrapText="1"/>
      <protection hidden="1"/>
    </xf>
    <xf numFmtId="0" fontId="0" fillId="19" borderId="0" xfId="0" applyFill="1" applyAlignment="1" applyProtection="1">
      <alignment wrapText="1"/>
      <protection hidden="1"/>
    </xf>
    <xf numFmtId="0" fontId="8" fillId="4" borderId="0" xfId="0" applyFont="1" applyFill="1" applyBorder="1" applyAlignment="1" applyProtection="1">
      <alignment horizontal="center" wrapText="1"/>
      <protection hidden="1"/>
    </xf>
    <xf numFmtId="0" fontId="8" fillId="4" borderId="0" xfId="0" applyFont="1" applyFill="1" applyBorder="1" applyAlignment="1" applyProtection="1">
      <alignment horizontal="left" wrapText="1"/>
      <protection hidden="1"/>
    </xf>
    <xf numFmtId="0" fontId="0" fillId="0" borderId="0" xfId="0" applyAlignment="1" applyProtection="1">
      <alignment horizontal="center"/>
      <protection hidden="1"/>
    </xf>
    <xf numFmtId="165" fontId="4" fillId="0" borderId="16" xfId="0" applyNumberFormat="1" applyFont="1" applyBorder="1" applyAlignment="1" applyProtection="1">
      <alignment horizontal="center" vertical="center" textRotation="90" wrapText="1"/>
      <protection hidden="1"/>
    </xf>
    <xf numFmtId="0" fontId="4" fillId="0" borderId="18" xfId="0" applyFont="1" applyBorder="1" applyAlignment="1" applyProtection="1">
      <alignment horizontal="center" vertical="center" textRotation="90" wrapText="1"/>
      <protection hidden="1"/>
    </xf>
    <xf numFmtId="0" fontId="55" fillId="0" borderId="22" xfId="0" applyFont="1" applyBorder="1" applyAlignment="1" applyProtection="1">
      <alignment horizontal="center" vertical="center" wrapText="1"/>
      <protection locked="0" hidden="1"/>
    </xf>
    <xf numFmtId="14" fontId="55" fillId="0" borderId="20" xfId="0" applyNumberFormat="1" applyFont="1" applyBorder="1" applyAlignment="1" applyProtection="1">
      <alignment horizontal="center" vertical="center" wrapText="1"/>
      <protection locked="0" hidden="1"/>
    </xf>
    <xf numFmtId="0" fontId="55" fillId="0" borderId="28" xfId="0" applyFont="1" applyBorder="1" applyAlignment="1" applyProtection="1">
      <alignment horizontal="center" vertical="center" wrapText="1"/>
      <protection locked="0" hidden="1"/>
    </xf>
    <xf numFmtId="14" fontId="55" fillId="0" borderId="63" xfId="0" applyNumberFormat="1" applyFont="1" applyBorder="1" applyAlignment="1" applyProtection="1">
      <alignment horizontal="center" vertical="center" wrapText="1"/>
      <protection locked="0" hidden="1"/>
    </xf>
    <xf numFmtId="0" fontId="55" fillId="0" borderId="55" xfId="0" applyFont="1" applyBorder="1" applyAlignment="1" applyProtection="1">
      <alignment horizontal="center" vertical="center" wrapText="1"/>
      <protection locked="0" hidden="1"/>
    </xf>
    <xf numFmtId="14" fontId="55" fillId="0" borderId="64" xfId="0" applyNumberFormat="1" applyFont="1" applyBorder="1" applyAlignment="1" applyProtection="1">
      <alignment horizontal="center" vertical="center" wrapText="1"/>
      <protection locked="0" hidden="1"/>
    </xf>
    <xf numFmtId="1" fontId="55" fillId="0" borderId="10" xfId="0" applyNumberFormat="1" applyFont="1" applyBorder="1" applyAlignment="1" applyProtection="1">
      <alignment horizontal="center" vertical="center" wrapText="1"/>
      <protection locked="0"/>
    </xf>
    <xf numFmtId="1" fontId="55" fillId="0" borderId="11" xfId="0" applyNumberFormat="1" applyFont="1" applyBorder="1" applyAlignment="1" applyProtection="1">
      <alignment horizontal="center" vertical="center" wrapText="1"/>
      <protection locked="0"/>
    </xf>
    <xf numFmtId="1" fontId="55" fillId="0" borderId="13" xfId="0" applyNumberFormat="1" applyFont="1" applyBorder="1" applyAlignment="1" applyProtection="1">
      <alignment horizontal="center" vertical="center" wrapText="1"/>
      <protection locked="0"/>
    </xf>
    <xf numFmtId="1" fontId="55" fillId="0" borderId="1" xfId="0" applyNumberFormat="1" applyFont="1" applyBorder="1" applyAlignment="1" applyProtection="1">
      <alignment horizontal="center" vertical="center" wrapText="1"/>
      <protection locked="0"/>
    </xf>
    <xf numFmtId="1" fontId="55" fillId="0" borderId="5" xfId="0" applyNumberFormat="1" applyFont="1" applyBorder="1" applyAlignment="1" applyProtection="1">
      <alignment horizontal="center" vertical="center" wrapText="1"/>
      <protection locked="0"/>
    </xf>
    <xf numFmtId="1" fontId="58" fillId="0" borderId="5" xfId="0" applyNumberFormat="1" applyFont="1" applyBorder="1" applyAlignment="1" applyProtection="1">
      <alignment horizontal="center" vertical="center" wrapText="1"/>
      <protection locked="0"/>
    </xf>
    <xf numFmtId="1" fontId="55" fillId="0" borderId="15" xfId="0" applyNumberFormat="1" applyFont="1" applyBorder="1" applyAlignment="1" applyProtection="1">
      <alignment horizontal="center" vertical="center" wrapText="1"/>
      <protection locked="0"/>
    </xf>
    <xf numFmtId="1" fontId="55" fillId="0" borderId="16" xfId="0" applyNumberFormat="1" applyFont="1" applyBorder="1" applyAlignment="1" applyProtection="1">
      <alignment horizontal="center" vertical="center" wrapText="1"/>
      <protection locked="0"/>
    </xf>
    <xf numFmtId="1" fontId="55" fillId="0" borderId="18" xfId="0" applyNumberFormat="1" applyFont="1" applyBorder="1" applyAlignment="1" applyProtection="1">
      <alignment horizontal="center" vertical="center" wrapText="1"/>
      <protection locked="0"/>
    </xf>
    <xf numFmtId="0" fontId="13" fillId="4" borderId="0" xfId="0" applyFont="1" applyFill="1" applyBorder="1" applyAlignment="1" applyProtection="1">
      <alignment horizontal="center" vertical="center" wrapText="1"/>
      <protection locked="0"/>
    </xf>
    <xf numFmtId="0" fontId="28" fillId="13" borderId="18" xfId="0" applyFont="1" applyFill="1" applyBorder="1" applyAlignment="1" applyProtection="1">
      <alignment horizontal="center" vertical="center" wrapText="1"/>
      <protection locked="0" hidden="1"/>
    </xf>
    <xf numFmtId="17" fontId="21" fillId="0" borderId="32" xfId="0" applyNumberFormat="1" applyFont="1" applyBorder="1" applyAlignment="1" applyProtection="1">
      <alignment horizontal="center" vertical="center" wrapText="1"/>
      <protection locked="0"/>
    </xf>
    <xf numFmtId="17" fontId="21" fillId="0" borderId="60" xfId="0" applyNumberFormat="1" applyFont="1" applyBorder="1" applyAlignment="1" applyProtection="1">
      <alignment horizontal="center" vertical="center" wrapText="1"/>
      <protection locked="0"/>
    </xf>
    <xf numFmtId="0" fontId="0" fillId="0" borderId="0" xfId="0" applyAlignment="1" applyProtection="1">
      <alignment horizontal="center" vertical="center"/>
      <protection hidden="1"/>
    </xf>
    <xf numFmtId="6" fontId="16" fillId="9" borderId="103" xfId="0" applyNumberFormat="1" applyFont="1" applyFill="1" applyBorder="1" applyAlignment="1" applyProtection="1">
      <alignment horizontal="center" vertical="center"/>
      <protection locked="0"/>
    </xf>
    <xf numFmtId="9" fontId="11" fillId="9" borderId="44" xfId="0" applyNumberFormat="1" applyFont="1" applyFill="1" applyBorder="1" applyAlignment="1" applyProtection="1">
      <alignment horizontal="center" vertical="center"/>
      <protection locked="0"/>
    </xf>
    <xf numFmtId="0" fontId="118" fillId="3" borderId="0" xfId="0" applyFont="1" applyFill="1" applyAlignment="1" applyProtection="1">
      <alignment horizontal="center"/>
      <protection hidden="1"/>
    </xf>
    <xf numFmtId="0" fontId="0" fillId="19" borderId="0" xfId="0" applyFill="1" applyAlignment="1" applyProtection="1">
      <alignment horizontal="center"/>
      <protection hidden="1"/>
    </xf>
    <xf numFmtId="0" fontId="0" fillId="0" borderId="0" xfId="0" applyAlignment="1" applyProtection="1">
      <alignment horizontal="center" vertical="center"/>
      <protection hidden="1"/>
    </xf>
    <xf numFmtId="0" fontId="111" fillId="0" borderId="87"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4" xfId="0"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0" fontId="0" fillId="19" borderId="0" xfId="0" applyFill="1" applyAlignment="1" applyProtection="1">
      <protection hidden="1"/>
    </xf>
    <xf numFmtId="0" fontId="126" fillId="24" borderId="174" xfId="0" applyFont="1" applyFill="1" applyBorder="1" applyAlignment="1" applyProtection="1">
      <alignment horizontal="center" vertical="center" wrapText="1"/>
      <protection hidden="1"/>
    </xf>
    <xf numFmtId="0" fontId="20" fillId="4" borderId="186" xfId="0" applyFont="1" applyFill="1" applyBorder="1" applyAlignment="1" applyProtection="1">
      <alignment horizontal="center" vertical="center" wrapText="1"/>
      <protection hidden="1"/>
    </xf>
    <xf numFmtId="0" fontId="8" fillId="0" borderId="186" xfId="0" applyFont="1" applyBorder="1" applyAlignment="1" applyProtection="1">
      <alignment horizontal="center" vertical="center" wrapText="1"/>
      <protection hidden="1"/>
    </xf>
    <xf numFmtId="0" fontId="8" fillId="0" borderId="189" xfId="0" applyFont="1" applyBorder="1" applyAlignment="1" applyProtection="1">
      <alignment horizontal="center" vertical="center" wrapText="1"/>
      <protection hidden="1"/>
    </xf>
    <xf numFmtId="0" fontId="20" fillId="0" borderId="190" xfId="0" applyFont="1" applyBorder="1" applyAlignment="1" applyProtection="1">
      <alignment horizontal="center" vertical="center" wrapText="1"/>
      <protection hidden="1"/>
    </xf>
    <xf numFmtId="0" fontId="7" fillId="0" borderId="191" xfId="0" applyFont="1" applyBorder="1" applyAlignment="1" applyProtection="1">
      <alignment horizontal="center" vertical="center" wrapText="1"/>
      <protection hidden="1"/>
    </xf>
    <xf numFmtId="0" fontId="20" fillId="4" borderId="192" xfId="0" applyFont="1" applyFill="1" applyBorder="1" applyAlignment="1" applyProtection="1">
      <alignment horizontal="center" vertical="center" wrapText="1"/>
      <protection hidden="1"/>
    </xf>
    <xf numFmtId="0" fontId="21" fillId="0" borderId="195" xfId="0" applyFont="1" applyBorder="1" applyAlignment="1" applyProtection="1">
      <alignment horizontal="center" vertical="center" wrapText="1"/>
      <protection hidden="1"/>
    </xf>
    <xf numFmtId="0" fontId="21" fillId="0" borderId="196" xfId="0" applyFont="1" applyBorder="1" applyAlignment="1" applyProtection="1">
      <alignment horizontal="left" vertical="center" wrapText="1" indent="3"/>
      <protection hidden="1"/>
    </xf>
    <xf numFmtId="174" fontId="21" fillId="0" borderId="196" xfId="0" applyNumberFormat="1" applyFont="1" applyBorder="1" applyAlignment="1" applyProtection="1">
      <alignment horizontal="center" vertical="center" wrapText="1"/>
      <protection locked="0"/>
    </xf>
    <xf numFmtId="174" fontId="21" fillId="0" borderId="197" xfId="0" applyNumberFormat="1" applyFont="1" applyBorder="1" applyAlignment="1" applyProtection="1">
      <alignment horizontal="center" vertical="center" wrapText="1"/>
      <protection hidden="1"/>
    </xf>
    <xf numFmtId="174" fontId="0" fillId="0" borderId="0" xfId="0" applyNumberFormat="1" applyAlignment="1" applyProtection="1">
      <alignment horizontal="center" vertical="center" wrapText="1"/>
      <protection hidden="1"/>
    </xf>
    <xf numFmtId="0" fontId="134" fillId="0" borderId="0" xfId="0" applyFont="1" applyAlignment="1" applyProtection="1">
      <alignment horizontal="center" vertical="center" wrapText="1"/>
      <protection hidden="1"/>
    </xf>
    <xf numFmtId="0" fontId="20" fillId="4" borderId="209" xfId="0" applyFont="1" applyFill="1" applyBorder="1" applyAlignment="1" applyProtection="1">
      <alignment horizontal="center" vertical="center" wrapText="1"/>
      <protection hidden="1"/>
    </xf>
    <xf numFmtId="174" fontId="12" fillId="32" borderId="182" xfId="0" applyNumberFormat="1" applyFont="1" applyFill="1" applyBorder="1" applyAlignment="1" applyProtection="1">
      <alignment horizontal="left" vertical="center"/>
      <protection hidden="1"/>
    </xf>
    <xf numFmtId="0" fontId="0" fillId="28" borderId="0" xfId="0" applyFill="1" applyProtection="1">
      <protection hidden="1"/>
    </xf>
    <xf numFmtId="0" fontId="132" fillId="0" borderId="0" xfId="0" applyFont="1" applyAlignment="1" applyProtection="1">
      <alignment horizontal="center" vertical="center"/>
      <protection hidden="1"/>
    </xf>
    <xf numFmtId="0" fontId="15" fillId="0" borderId="228" xfId="0" applyFont="1" applyBorder="1" applyAlignment="1" applyProtection="1">
      <alignment horizontal="center" vertical="center" textRotation="90" wrapText="1"/>
      <protection hidden="1"/>
    </xf>
    <xf numFmtId="0" fontId="0" fillId="0" borderId="75" xfId="0" applyBorder="1" applyAlignment="1" applyProtection="1">
      <alignment horizontal="center" vertical="center" wrapText="1"/>
      <protection hidden="1"/>
    </xf>
    <xf numFmtId="0" fontId="27" fillId="0" borderId="75" xfId="0" applyFont="1" applyBorder="1" applyAlignment="1" applyProtection="1">
      <alignment horizontal="center" vertical="center" wrapText="1"/>
      <protection hidden="1"/>
    </xf>
    <xf numFmtId="0" fontId="56" fillId="0" borderId="75" xfId="0" applyFont="1" applyBorder="1" applyAlignment="1" applyProtection="1">
      <alignment horizontal="center" vertical="center" wrapText="1"/>
      <protection hidden="1"/>
    </xf>
    <xf numFmtId="0" fontId="139" fillId="0" borderId="75" xfId="0" applyFont="1" applyBorder="1" applyAlignment="1" applyProtection="1">
      <alignment horizontal="center" vertical="center" wrapText="1"/>
      <protection hidden="1"/>
    </xf>
    <xf numFmtId="0" fontId="6" fillId="0" borderId="75" xfId="0" applyFont="1" applyBorder="1" applyAlignment="1" applyProtection="1">
      <alignment horizontal="center" vertical="center" wrapText="1"/>
      <protection hidden="1"/>
    </xf>
    <xf numFmtId="0" fontId="7" fillId="0" borderId="75" xfId="0" applyFont="1" applyBorder="1" applyAlignment="1" applyProtection="1">
      <alignment horizontal="center" vertical="center" wrapText="1"/>
      <protection hidden="1"/>
    </xf>
    <xf numFmtId="17" fontId="0" fillId="0" borderId="75" xfId="0" applyNumberFormat="1" applyBorder="1" applyAlignment="1" applyProtection="1">
      <alignment horizontal="center" vertical="center"/>
      <protection hidden="1"/>
    </xf>
    <xf numFmtId="0" fontId="15" fillId="0" borderId="136" xfId="0" applyFont="1" applyBorder="1" applyAlignment="1" applyProtection="1">
      <alignment horizontal="center" vertical="center" textRotation="90" wrapText="1"/>
      <protection hidden="1"/>
    </xf>
    <xf numFmtId="0" fontId="0" fillId="0" borderId="0" xfId="0" applyAlignment="1" applyProtection="1">
      <alignment vertical="center"/>
      <protection hidden="1"/>
    </xf>
    <xf numFmtId="0" fontId="0" fillId="0" borderId="232" xfId="0" applyBorder="1" applyAlignment="1" applyProtection="1">
      <alignment horizontal="center" vertical="center" wrapText="1"/>
      <protection hidden="1"/>
    </xf>
    <xf numFmtId="0" fontId="0" fillId="0" borderId="233" xfId="0" applyBorder="1" applyAlignment="1" applyProtection="1">
      <alignment horizontal="center" vertical="center" wrapText="1"/>
      <protection hidden="1"/>
    </xf>
    <xf numFmtId="0" fontId="27" fillId="0" borderId="233" xfId="0" applyFont="1" applyBorder="1" applyAlignment="1" applyProtection="1">
      <alignment horizontal="center" vertical="center" wrapText="1"/>
      <protection hidden="1"/>
    </xf>
    <xf numFmtId="0" fontId="0" fillId="0" borderId="234" xfId="0" applyBorder="1" applyAlignment="1" applyProtection="1">
      <alignment horizontal="center" vertical="center" wrapText="1"/>
      <protection hidden="1"/>
    </xf>
    <xf numFmtId="0" fontId="57" fillId="0" borderId="0" xfId="0" applyFont="1" applyAlignment="1" applyProtection="1">
      <alignment horizontal="center" vertical="center"/>
      <protection hidden="1"/>
    </xf>
    <xf numFmtId="0" fontId="57" fillId="16" borderId="146" xfId="0" applyFont="1" applyFill="1" applyBorder="1" applyAlignment="1" applyProtection="1">
      <alignment horizontal="center" vertical="center" wrapText="1"/>
      <protection locked="0"/>
    </xf>
    <xf numFmtId="0" fontId="7" fillId="16" borderId="146" xfId="0" applyFont="1" applyFill="1" applyBorder="1" applyAlignment="1" applyProtection="1">
      <alignment horizontal="center" vertical="center" wrapText="1"/>
      <protection locked="0"/>
    </xf>
    <xf numFmtId="0" fontId="55" fillId="16" borderId="146" xfId="0" applyFont="1" applyFill="1" applyBorder="1" applyAlignment="1" applyProtection="1">
      <alignment horizontal="center" vertical="center" wrapText="1"/>
      <protection locked="0"/>
    </xf>
    <xf numFmtId="0" fontId="7" fillId="0" borderId="146" xfId="0" applyFont="1" applyBorder="1" applyAlignment="1" applyProtection="1">
      <alignment horizontal="center" vertical="center" wrapText="1"/>
      <protection hidden="1"/>
    </xf>
    <xf numFmtId="0" fontId="55" fillId="0" borderId="146" xfId="0" applyFont="1" applyBorder="1" applyAlignment="1" applyProtection="1">
      <alignment horizontal="center" vertical="center" wrapText="1"/>
      <protection hidden="1"/>
    </xf>
    <xf numFmtId="0" fontId="17" fillId="0" borderId="146" xfId="0" applyFont="1" applyBorder="1" applyAlignment="1" applyProtection="1">
      <alignment horizontal="center" vertical="center" wrapText="1"/>
      <protection hidden="1"/>
    </xf>
    <xf numFmtId="0" fontId="55" fillId="0" borderId="146" xfId="0" applyFont="1" applyBorder="1" applyAlignment="1" applyProtection="1">
      <alignment horizontal="center" vertical="center"/>
      <protection hidden="1"/>
    </xf>
    <xf numFmtId="0" fontId="7" fillId="0" borderId="146" xfId="0" applyFont="1" applyBorder="1" applyAlignment="1" applyProtection="1">
      <alignment horizontal="center" vertical="center"/>
      <protection hidden="1"/>
    </xf>
    <xf numFmtId="0" fontId="55" fillId="16" borderId="146" xfId="0" applyFont="1" applyFill="1" applyBorder="1" applyAlignment="1" applyProtection="1">
      <alignment horizontal="center" vertical="center"/>
      <protection locked="0"/>
    </xf>
    <xf numFmtId="0" fontId="7" fillId="0" borderId="136" xfId="0" applyFont="1" applyBorder="1" applyAlignment="1" applyProtection="1">
      <alignment horizontal="center" vertical="center"/>
      <protection hidden="1"/>
    </xf>
    <xf numFmtId="0" fontId="57" fillId="0" borderId="136" xfId="0" applyFont="1" applyBorder="1" applyAlignment="1" applyProtection="1">
      <alignment horizontal="center" vertical="center"/>
      <protection hidden="1"/>
    </xf>
    <xf numFmtId="0" fontId="57" fillId="0" borderId="137" xfId="0" applyFont="1" applyBorder="1" applyAlignment="1" applyProtection="1">
      <alignment horizontal="left" vertical="center"/>
      <protection hidden="1"/>
    </xf>
    <xf numFmtId="0" fontId="57" fillId="0" borderId="75" xfId="0" applyFont="1" applyBorder="1" applyAlignment="1" applyProtection="1">
      <alignment horizontal="center" vertical="center"/>
      <protection hidden="1"/>
    </xf>
    <xf numFmtId="0" fontId="19" fillId="0" borderId="75" xfId="0" applyFont="1" applyBorder="1" applyAlignment="1" applyProtection="1">
      <alignment horizontal="center" vertical="center"/>
      <protection hidden="1"/>
    </xf>
    <xf numFmtId="0" fontId="57" fillId="16" borderId="75" xfId="0" applyFont="1" applyFill="1" applyBorder="1" applyAlignment="1" applyProtection="1">
      <alignment horizontal="center" vertical="center" wrapText="1"/>
      <protection locked="0"/>
    </xf>
    <xf numFmtId="0" fontId="7" fillId="16" borderId="75" xfId="0" applyFont="1" applyFill="1" applyBorder="1" applyAlignment="1" applyProtection="1">
      <alignment horizontal="center" vertical="center" wrapText="1"/>
      <protection locked="0"/>
    </xf>
    <xf numFmtId="0" fontId="55" fillId="16" borderId="75" xfId="0" applyFont="1" applyFill="1" applyBorder="1" applyAlignment="1" applyProtection="1">
      <alignment horizontal="center" vertical="center" wrapText="1"/>
      <protection locked="0"/>
    </xf>
    <xf numFmtId="0" fontId="55" fillId="0" borderId="75" xfId="0" applyFont="1" applyBorder="1" applyAlignment="1" applyProtection="1">
      <alignment horizontal="center" vertical="center" wrapText="1"/>
      <protection hidden="1"/>
    </xf>
    <xf numFmtId="0" fontId="17" fillId="0" borderId="75" xfId="0" applyFont="1" applyBorder="1" applyAlignment="1" applyProtection="1">
      <alignment horizontal="center" vertical="center" wrapText="1"/>
      <protection hidden="1"/>
    </xf>
    <xf numFmtId="0" fontId="55" fillId="0" borderId="75" xfId="0" applyFont="1" applyBorder="1" applyAlignment="1" applyProtection="1">
      <alignment horizontal="center" vertical="center"/>
      <protection hidden="1"/>
    </xf>
    <xf numFmtId="0" fontId="7" fillId="0" borderId="75" xfId="0" applyFont="1" applyBorder="1" applyAlignment="1" applyProtection="1">
      <alignment horizontal="center" vertical="center"/>
      <protection hidden="1"/>
    </xf>
    <xf numFmtId="0" fontId="55" fillId="16" borderId="75" xfId="0" applyFont="1" applyFill="1" applyBorder="1" applyAlignment="1" applyProtection="1">
      <alignment horizontal="center" vertical="center"/>
      <protection locked="0"/>
    </xf>
    <xf numFmtId="0" fontId="7" fillId="0" borderId="138" xfId="0" applyFont="1" applyBorder="1" applyAlignment="1" applyProtection="1">
      <alignment horizontal="center" vertical="center"/>
      <protection hidden="1"/>
    </xf>
    <xf numFmtId="0" fontId="57" fillId="0" borderId="139" xfId="0" applyFont="1" applyBorder="1" applyAlignment="1" applyProtection="1">
      <alignment horizontal="left" vertical="center"/>
      <protection hidden="1"/>
    </xf>
    <xf numFmtId="0" fontId="0" fillId="26" borderId="0" xfId="0" applyFill="1" applyAlignment="1" applyProtection="1">
      <protection hidden="1"/>
    </xf>
    <xf numFmtId="0" fontId="0" fillId="26" borderId="0" xfId="0" applyFill="1" applyBorder="1" applyAlignment="1" applyProtection="1">
      <alignment horizontal="center" vertical="center" wrapText="1"/>
      <protection hidden="1"/>
    </xf>
    <xf numFmtId="0" fontId="0" fillId="26" borderId="0" xfId="0" applyFill="1" applyBorder="1" applyAlignment="1" applyProtection="1">
      <alignment horizontal="left"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left"/>
      <protection hidden="1"/>
    </xf>
    <xf numFmtId="0" fontId="7" fillId="0" borderId="146" xfId="0" applyFont="1" applyBorder="1" applyAlignment="1" applyProtection="1">
      <alignment horizontal="center" vertical="center" wrapText="1"/>
      <protection locked="0"/>
    </xf>
    <xf numFmtId="0" fontId="144" fillId="0" borderId="107" xfId="1" applyFont="1" applyBorder="1" applyAlignment="1" applyProtection="1">
      <alignment horizontal="center" vertical="center" wrapText="1"/>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1" fontId="82" fillId="0" borderId="0" xfId="0" applyNumberFormat="1" applyFont="1" applyAlignment="1" applyProtection="1">
      <alignment horizontal="center" vertical="center"/>
      <protection hidden="1"/>
    </xf>
    <xf numFmtId="1" fontId="137" fillId="0" borderId="0" xfId="0" applyNumberFormat="1" applyFont="1" applyAlignment="1" applyProtection="1">
      <alignment horizontal="center" vertical="center"/>
      <protection hidden="1"/>
    </xf>
    <xf numFmtId="2" fontId="69" fillId="0" borderId="110" xfId="1" applyNumberFormat="1" applyFont="1" applyBorder="1" applyAlignment="1" applyProtection="1">
      <alignment vertical="center"/>
      <protection hidden="1"/>
    </xf>
    <xf numFmtId="0" fontId="8" fillId="36" borderId="102" xfId="0" applyFont="1" applyFill="1" applyBorder="1" applyAlignment="1" applyProtection="1">
      <alignment horizontal="center" vertical="center" wrapText="1"/>
      <protection hidden="1"/>
    </xf>
    <xf numFmtId="0" fontId="19" fillId="36" borderId="99" xfId="0" applyFont="1" applyFill="1" applyBorder="1" applyAlignment="1" applyProtection="1">
      <alignment horizontal="center" vertical="center" wrapText="1"/>
      <protection hidden="1"/>
    </xf>
    <xf numFmtId="0" fontId="22" fillId="36" borderId="99" xfId="0" applyFont="1" applyFill="1" applyBorder="1" applyAlignment="1" applyProtection="1">
      <alignment horizontal="center" vertical="center" wrapText="1"/>
      <protection hidden="1"/>
    </xf>
    <xf numFmtId="0" fontId="7" fillId="36" borderId="99" xfId="0" applyFont="1" applyFill="1" applyBorder="1" applyAlignment="1" applyProtection="1">
      <alignment horizontal="center" vertical="center" wrapText="1"/>
      <protection hidden="1"/>
    </xf>
    <xf numFmtId="0" fontId="42" fillId="36" borderId="4" xfId="0" applyFont="1" applyFill="1" applyBorder="1" applyAlignment="1" applyProtection="1">
      <alignment horizontal="center" vertical="center" wrapText="1"/>
      <protection hidden="1"/>
    </xf>
    <xf numFmtId="0" fontId="20" fillId="36" borderId="52" xfId="0" applyFont="1" applyFill="1" applyBorder="1" applyAlignment="1" applyProtection="1">
      <alignment horizontal="center" vertical="center" wrapText="1"/>
      <protection hidden="1"/>
    </xf>
    <xf numFmtId="0" fontId="22" fillId="36" borderId="45" xfId="0" applyFont="1" applyFill="1" applyBorder="1" applyAlignment="1" applyProtection="1">
      <alignment horizontal="center" vertical="center" wrapText="1"/>
      <protection locked="0"/>
    </xf>
    <xf numFmtId="0" fontId="22" fillId="36" borderId="94" xfId="0" applyFont="1" applyFill="1" applyBorder="1" applyAlignment="1" applyProtection="1">
      <alignment horizontal="center" vertical="center"/>
      <protection hidden="1"/>
    </xf>
    <xf numFmtId="0" fontId="21" fillId="36" borderId="94" xfId="0" applyFont="1" applyFill="1" applyBorder="1" applyAlignment="1" applyProtection="1">
      <alignment horizontal="center" vertical="center"/>
      <protection hidden="1"/>
    </xf>
    <xf numFmtId="0" fontId="6" fillId="35" borderId="18" xfId="0" applyFont="1" applyFill="1" applyBorder="1" applyAlignment="1" applyProtection="1">
      <alignment horizontal="center" vertical="center" wrapText="1"/>
      <protection hidden="1"/>
    </xf>
    <xf numFmtId="0" fontId="7" fillId="35" borderId="18" xfId="0" applyFont="1" applyFill="1" applyBorder="1" applyAlignment="1" applyProtection="1">
      <alignment horizontal="center" vertical="center" wrapText="1"/>
      <protection hidden="1"/>
    </xf>
    <xf numFmtId="1" fontId="6" fillId="35" borderId="18" xfId="0" applyNumberFormat="1" applyFont="1" applyFill="1" applyBorder="1" applyAlignment="1" applyProtection="1">
      <alignment horizontal="center" vertical="center" wrapText="1"/>
      <protection hidden="1"/>
    </xf>
    <xf numFmtId="1" fontId="7" fillId="35" borderId="18" xfId="0" applyNumberFormat="1" applyFont="1" applyFill="1" applyBorder="1" applyAlignment="1" applyProtection="1">
      <alignment horizontal="center" vertical="center" wrapText="1"/>
      <protection hidden="1"/>
    </xf>
    <xf numFmtId="0" fontId="28" fillId="35" borderId="18" xfId="0" applyFont="1" applyFill="1" applyBorder="1" applyAlignment="1" applyProtection="1">
      <alignment horizontal="center" vertical="center" wrapText="1"/>
      <protection hidden="1"/>
    </xf>
    <xf numFmtId="1" fontId="42" fillId="35" borderId="18" xfId="0" applyNumberFormat="1" applyFont="1" applyFill="1" applyBorder="1" applyAlignment="1" applyProtection="1">
      <alignment horizontal="center" vertical="center" textRotation="90" wrapText="1"/>
      <protection hidden="1"/>
    </xf>
    <xf numFmtId="0" fontId="35" fillId="35" borderId="19" xfId="0" applyFont="1" applyFill="1" applyBorder="1" applyAlignment="1" applyProtection="1">
      <alignment horizontal="center" vertical="center" wrapText="1"/>
      <protection hidden="1"/>
    </xf>
    <xf numFmtId="0" fontId="11" fillId="35" borderId="59" xfId="0" applyFont="1" applyFill="1" applyBorder="1" applyAlignment="1" applyProtection="1">
      <alignment horizontal="center" vertical="center" wrapText="1"/>
      <protection hidden="1"/>
    </xf>
    <xf numFmtId="0" fontId="28" fillId="35" borderId="92" xfId="0" applyFont="1" applyFill="1" applyBorder="1" applyAlignment="1" applyProtection="1">
      <alignment horizontal="center" vertical="center" wrapText="1"/>
      <protection hidden="1"/>
    </xf>
    <xf numFmtId="0" fontId="6" fillId="34" borderId="7" xfId="0" applyFont="1" applyFill="1" applyBorder="1" applyAlignment="1" applyProtection="1">
      <alignment horizontal="center" vertical="center" wrapText="1"/>
      <protection hidden="1"/>
    </xf>
    <xf numFmtId="9" fontId="6" fillId="34" borderId="7" xfId="0" applyNumberFormat="1" applyFont="1" applyFill="1" applyBorder="1" applyAlignment="1" applyProtection="1">
      <alignment horizontal="center" vertical="center" wrapText="1"/>
      <protection hidden="1"/>
    </xf>
    <xf numFmtId="0" fontId="7" fillId="34" borderId="8" xfId="0" applyFont="1" applyFill="1" applyBorder="1" applyAlignment="1" applyProtection="1">
      <alignment horizontal="center" vertical="center" wrapText="1"/>
      <protection hidden="1"/>
    </xf>
    <xf numFmtId="0" fontId="22" fillId="34" borderId="27" xfId="0" applyFont="1" applyFill="1" applyBorder="1" applyAlignment="1" applyProtection="1">
      <alignment horizontal="center" vertical="center" wrapText="1"/>
      <protection hidden="1"/>
    </xf>
    <xf numFmtId="0" fontId="22" fillId="34" borderId="7" xfId="0" applyFont="1" applyFill="1" applyBorder="1" applyAlignment="1" applyProtection="1">
      <alignment horizontal="center" vertical="center" wrapText="1"/>
      <protection hidden="1"/>
    </xf>
    <xf numFmtId="0" fontId="42" fillId="34" borderId="7" xfId="0" applyFont="1" applyFill="1" applyBorder="1" applyAlignment="1" applyProtection="1">
      <alignment horizontal="center" vertical="center" wrapText="1"/>
      <protection hidden="1"/>
    </xf>
    <xf numFmtId="0" fontId="20" fillId="34" borderId="7" xfId="0" applyFont="1" applyFill="1" applyBorder="1" applyAlignment="1" applyProtection="1">
      <alignment horizontal="center" vertical="center" wrapText="1"/>
      <protection hidden="1"/>
    </xf>
    <xf numFmtId="0" fontId="6" fillId="34" borderId="8" xfId="0" applyFont="1" applyFill="1" applyBorder="1" applyAlignment="1" applyProtection="1">
      <alignment horizontal="center" vertical="center" wrapText="1"/>
      <protection hidden="1"/>
    </xf>
    <xf numFmtId="0" fontId="19" fillId="34" borderId="6" xfId="0" applyFont="1" applyFill="1" applyBorder="1" applyAlignment="1" applyProtection="1">
      <alignment horizontal="center" vertical="center" wrapText="1"/>
      <protection hidden="1"/>
    </xf>
    <xf numFmtId="0" fontId="8" fillId="34" borderId="6" xfId="0" applyFont="1" applyFill="1" applyBorder="1" applyAlignment="1" applyProtection="1">
      <alignment horizontal="center" vertical="center" wrapText="1"/>
      <protection hidden="1"/>
    </xf>
    <xf numFmtId="0" fontId="8" fillId="34" borderId="7" xfId="0" applyFont="1" applyFill="1" applyBorder="1" applyAlignment="1" applyProtection="1">
      <alignment horizontal="center" vertical="center" wrapText="1"/>
      <protection hidden="1"/>
    </xf>
    <xf numFmtId="0" fontId="8" fillId="34" borderId="8" xfId="0" applyFont="1" applyFill="1" applyBorder="1" applyAlignment="1" applyProtection="1">
      <alignment horizontal="center" vertical="center" wrapText="1"/>
      <protection hidden="1"/>
    </xf>
    <xf numFmtId="0" fontId="11" fillId="34" borderId="6" xfId="0" applyFont="1" applyFill="1" applyBorder="1" applyAlignment="1" applyProtection="1">
      <alignment horizontal="center" vertical="center" wrapText="1"/>
      <protection hidden="1"/>
    </xf>
    <xf numFmtId="0" fontId="11" fillId="34" borderId="29" xfId="0" applyFont="1" applyFill="1" applyBorder="1" applyAlignment="1" applyProtection="1">
      <alignment horizontal="center" vertical="center" wrapText="1"/>
      <protection hidden="1"/>
    </xf>
    <xf numFmtId="0" fontId="11" fillId="34" borderId="54" xfId="0" applyFont="1" applyFill="1" applyBorder="1" applyAlignment="1" applyProtection="1">
      <alignment horizontal="center" vertical="center" wrapText="1"/>
      <protection hidden="1"/>
    </xf>
    <xf numFmtId="0" fontId="85" fillId="13" borderId="0" xfId="0" applyFont="1" applyFill="1" applyBorder="1" applyAlignment="1" applyProtection="1">
      <alignment vertical="center" wrapText="1"/>
      <protection hidden="1"/>
    </xf>
    <xf numFmtId="0" fontId="8" fillId="4" borderId="0" xfId="0" applyFont="1" applyFill="1" applyBorder="1" applyAlignment="1" applyProtection="1">
      <alignment vertical="center" wrapText="1"/>
      <protection hidden="1"/>
    </xf>
    <xf numFmtId="0" fontId="25" fillId="4" borderId="0" xfId="0" applyFont="1" applyFill="1" applyBorder="1" applyAlignment="1" applyProtection="1">
      <alignment vertical="center"/>
      <protection hidden="1"/>
    </xf>
    <xf numFmtId="0" fontId="83" fillId="4" borderId="0" xfId="0" applyFont="1" applyFill="1" applyBorder="1" applyAlignment="1" applyProtection="1">
      <alignment vertical="center"/>
      <protection hidden="1"/>
    </xf>
    <xf numFmtId="0" fontId="145" fillId="4" borderId="0" xfId="1" applyFont="1" applyFill="1" applyBorder="1" applyAlignment="1" applyProtection="1">
      <alignment horizontal="center" vertical="center"/>
      <protection hidden="1"/>
    </xf>
    <xf numFmtId="0" fontId="25" fillId="3" borderId="246" xfId="0" applyFont="1" applyFill="1" applyBorder="1" applyAlignment="1" applyProtection="1">
      <alignment horizontal="center" vertical="center"/>
      <protection hidden="1"/>
    </xf>
    <xf numFmtId="0" fontId="25" fillId="3" borderId="247" xfId="0" applyFont="1" applyFill="1" applyBorder="1" applyAlignment="1" applyProtection="1">
      <alignment horizontal="center" vertical="center"/>
      <protection hidden="1"/>
    </xf>
    <xf numFmtId="0" fontId="148" fillId="0" borderId="24" xfId="1" applyFont="1" applyBorder="1" applyAlignment="1" applyProtection="1">
      <alignment vertical="center"/>
      <protection hidden="1"/>
    </xf>
    <xf numFmtId="2" fontId="147" fillId="0" borderId="110" xfId="1" applyNumberFormat="1" applyFont="1" applyBorder="1" applyAlignment="1" applyProtection="1">
      <alignment horizontal="right" vertical="center"/>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19" borderId="0" xfId="0" applyFill="1" applyAlignment="1" applyProtection="1">
      <alignment horizontal="center"/>
      <protection hidden="1"/>
    </xf>
    <xf numFmtId="6" fontId="11" fillId="9" borderId="4" xfId="0" applyNumberFormat="1" applyFont="1" applyFill="1" applyBorder="1" applyAlignment="1" applyProtection="1">
      <alignment horizontal="center" vertical="center"/>
      <protection locked="0" hidden="1"/>
    </xf>
    <xf numFmtId="0" fontId="60" fillId="0" borderId="24" xfId="1" applyFont="1" applyBorder="1" applyAlignment="1" applyProtection="1">
      <alignment horizontal="center" vertical="center"/>
      <protection hidden="1"/>
    </xf>
    <xf numFmtId="0" fontId="71" fillId="0" borderId="107" xfId="1" applyFont="1" applyBorder="1" applyAlignment="1" applyProtection="1">
      <alignment horizontal="center" vertical="center" wrapText="1"/>
      <protection hidden="1"/>
    </xf>
    <xf numFmtId="1" fontId="52" fillId="4" borderId="0" xfId="3" applyNumberFormat="1" applyFont="1" applyFill="1" applyBorder="1" applyAlignment="1" applyProtection="1">
      <alignment horizontal="center"/>
      <protection hidden="1"/>
    </xf>
    <xf numFmtId="1" fontId="52" fillId="11" borderId="138" xfId="0" applyNumberFormat="1" applyFont="1" applyFill="1" applyBorder="1" applyAlignment="1" applyProtection="1">
      <alignment horizontal="center"/>
      <protection locked="0"/>
    </xf>
    <xf numFmtId="1" fontId="52" fillId="4" borderId="0" xfId="3" applyNumberFormat="1" applyFont="1" applyFill="1" applyBorder="1" applyAlignment="1" applyProtection="1">
      <alignment horizontal="left" vertical="center" wrapText="1"/>
      <protection hidden="1"/>
    </xf>
    <xf numFmtId="1" fontId="52" fillId="4" borderId="87" xfId="3" applyNumberFormat="1" applyFont="1" applyFill="1" applyBorder="1" applyAlignment="1" applyProtection="1">
      <alignment horizontal="center"/>
      <protection hidden="1"/>
    </xf>
    <xf numFmtId="1" fontId="52" fillId="4" borderId="84" xfId="3" applyNumberFormat="1" applyFont="1" applyFill="1" applyBorder="1" applyAlignment="1" applyProtection="1">
      <alignment horizontal="center"/>
      <protection hidden="1"/>
    </xf>
    <xf numFmtId="1" fontId="52" fillId="4" borderId="0" xfId="3" applyNumberFormat="1" applyFont="1" applyFill="1" applyBorder="1" applyAlignment="1" applyProtection="1">
      <protection hidden="1"/>
    </xf>
    <xf numFmtId="1" fontId="52" fillId="4" borderId="134" xfId="0" applyNumberFormat="1" applyFont="1" applyFill="1" applyBorder="1" applyAlignment="1" applyProtection="1">
      <alignment horizontal="center"/>
      <protection hidden="1"/>
    </xf>
    <xf numFmtId="1" fontId="52" fillId="4" borderId="135" xfId="0" applyNumberFormat="1" applyFont="1" applyFill="1" applyBorder="1" applyAlignment="1" applyProtection="1">
      <alignment horizontal="center"/>
      <protection hidden="1"/>
    </xf>
    <xf numFmtId="1" fontId="52" fillId="4" borderId="87" xfId="0" applyNumberFormat="1" applyFont="1" applyFill="1" applyBorder="1" applyAlignment="1" applyProtection="1">
      <alignment horizontal="center"/>
      <protection hidden="1"/>
    </xf>
    <xf numFmtId="1" fontId="52" fillId="4" borderId="0" xfId="0" applyNumberFormat="1" applyFont="1" applyFill="1" applyBorder="1" applyAlignment="1" applyProtection="1">
      <alignment horizontal="center"/>
      <protection hidden="1"/>
    </xf>
    <xf numFmtId="1" fontId="52" fillId="4" borderId="134" xfId="3" applyNumberFormat="1" applyFont="1" applyFill="1" applyBorder="1" applyAlignment="1" applyProtection="1">
      <alignment horizontal="center"/>
      <protection hidden="1"/>
    </xf>
    <xf numFmtId="1" fontId="52" fillId="11" borderId="139" xfId="0" applyNumberFormat="1" applyFont="1" applyFill="1" applyBorder="1" applyAlignment="1" applyProtection="1">
      <alignment horizontal="center"/>
      <protection locked="0"/>
    </xf>
    <xf numFmtId="1" fontId="52" fillId="11" borderId="138" xfId="3" applyNumberFormat="1" applyFont="1" applyFill="1" applyBorder="1" applyAlignment="1" applyProtection="1">
      <alignment horizontal="center"/>
      <protection locked="0"/>
    </xf>
    <xf numFmtId="1" fontId="52" fillId="11" borderId="139" xfId="3" applyNumberFormat="1" applyFont="1" applyFill="1" applyBorder="1" applyAlignment="1" applyProtection="1">
      <alignment horizontal="center"/>
      <protection locked="0"/>
    </xf>
    <xf numFmtId="1" fontId="87" fillId="4" borderId="75" xfId="0" applyNumberFormat="1" applyFont="1" applyFill="1" applyBorder="1" applyAlignment="1" applyProtection="1">
      <alignment horizontal="center"/>
      <protection hidden="1"/>
    </xf>
    <xf numFmtId="1" fontId="87" fillId="4" borderId="135" xfId="0" applyNumberFormat="1" applyFont="1" applyFill="1" applyBorder="1" applyAlignment="1" applyProtection="1">
      <alignment horizontal="center"/>
      <protection hidden="1"/>
    </xf>
    <xf numFmtId="173" fontId="109" fillId="0" borderId="0" xfId="6" applyNumberFormat="1" applyFont="1" applyBorder="1" applyAlignment="1" applyProtection="1">
      <alignment horizontal="center" vertical="center"/>
      <protection hidden="1"/>
    </xf>
    <xf numFmtId="0" fontId="0" fillId="0" borderId="0" xfId="0" applyAlignment="1" applyProtection="1">
      <alignment horizontal="center"/>
      <protection hidden="1"/>
    </xf>
    <xf numFmtId="0" fontId="111" fillId="0" borderId="87"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4"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75" xfId="0" applyBorder="1" applyAlignment="1" applyProtection="1">
      <alignment horizontal="center" vertical="center"/>
      <protection hidden="1"/>
    </xf>
    <xf numFmtId="0" fontId="151" fillId="0" borderId="24" xfId="1" applyFont="1" applyBorder="1" applyAlignment="1" applyProtection="1">
      <alignment vertical="center"/>
      <protection hidden="1"/>
    </xf>
    <xf numFmtId="2" fontId="152" fillId="0" borderId="110" xfId="1" applyNumberFormat="1" applyFont="1" applyBorder="1" applyAlignment="1" applyProtection="1">
      <alignment horizontal="right" vertical="center"/>
      <protection hidden="1"/>
    </xf>
    <xf numFmtId="0" fontId="153" fillId="0" borderId="24" xfId="1" applyFont="1" applyBorder="1" applyAlignment="1" applyProtection="1">
      <alignment horizontal="center" vertical="center"/>
      <protection hidden="1"/>
    </xf>
    <xf numFmtId="0" fontId="153" fillId="0" borderId="24" xfId="1" applyFont="1" applyBorder="1" applyAlignment="1" applyProtection="1">
      <alignment horizontal="right" vertical="center"/>
      <protection hidden="1"/>
    </xf>
    <xf numFmtId="2" fontId="155" fillId="0" borderId="24" xfId="1" applyNumberFormat="1" applyFont="1" applyBorder="1" applyAlignment="1" applyProtection="1">
      <alignment horizontal="center" vertical="center"/>
      <protection hidden="1"/>
    </xf>
    <xf numFmtId="2" fontId="155" fillId="14" borderId="24" xfId="1" applyNumberFormat="1" applyFont="1" applyFill="1" applyBorder="1" applyAlignment="1" applyProtection="1">
      <alignment horizontal="center" vertical="center"/>
      <protection hidden="1"/>
    </xf>
    <xf numFmtId="2" fontId="156" fillId="0" borderId="24" xfId="1" applyNumberFormat="1" applyFont="1" applyBorder="1" applyAlignment="1" applyProtection="1">
      <alignment horizontal="center" vertical="center"/>
      <protection hidden="1"/>
    </xf>
    <xf numFmtId="0" fontId="157" fillId="0" borderId="24" xfId="1" applyFont="1" applyBorder="1" applyAlignment="1" applyProtection="1">
      <alignment vertical="center"/>
      <protection hidden="1"/>
    </xf>
    <xf numFmtId="2" fontId="158" fillId="0" borderId="110" xfId="1" applyNumberFormat="1" applyFont="1" applyBorder="1" applyAlignment="1" applyProtection="1">
      <alignment horizontal="right" vertical="center"/>
      <protection hidden="1"/>
    </xf>
    <xf numFmtId="0" fontId="0" fillId="19" borderId="0" xfId="0" applyFill="1" applyAlignment="1" applyProtection="1">
      <alignment vertical="center"/>
      <protection hidden="1"/>
    </xf>
    <xf numFmtId="0" fontId="16" fillId="9" borderId="102" xfId="0" applyFont="1" applyFill="1" applyBorder="1" applyAlignment="1" applyProtection="1">
      <alignment horizontal="center" vertical="center" wrapText="1"/>
      <protection locked="0"/>
    </xf>
    <xf numFmtId="17" fontId="11" fillId="9" borderId="44" xfId="0" applyNumberFormat="1" applyFont="1" applyFill="1" applyBorder="1" applyAlignment="1" applyProtection="1">
      <alignment horizontal="center" vertical="center"/>
      <protection locked="0"/>
    </xf>
    <xf numFmtId="17" fontId="21" fillId="36" borderId="263" xfId="0" applyNumberFormat="1" applyFont="1" applyFill="1" applyBorder="1" applyAlignment="1" applyProtection="1">
      <alignment horizontal="center" vertical="center"/>
      <protection hidden="1"/>
    </xf>
    <xf numFmtId="17" fontId="21" fillId="36" borderId="264" xfId="0" applyNumberFormat="1" applyFont="1" applyFill="1" applyBorder="1" applyAlignment="1" applyProtection="1">
      <alignment horizontal="center" vertical="center"/>
      <protection hidden="1"/>
    </xf>
    <xf numFmtId="17" fontId="21" fillId="36" borderId="265" xfId="0" applyNumberFormat="1" applyFont="1" applyFill="1" applyBorder="1" applyAlignment="1" applyProtection="1">
      <alignment horizontal="center" vertical="center"/>
      <protection hidden="1"/>
    </xf>
    <xf numFmtId="17" fontId="21" fillId="36" borderId="266" xfId="0" applyNumberFormat="1" applyFont="1" applyFill="1" applyBorder="1" applyAlignment="1" applyProtection="1">
      <alignment horizontal="center" vertical="center"/>
      <protection hidden="1"/>
    </xf>
    <xf numFmtId="6" fontId="11" fillId="9" borderId="262" xfId="0" applyNumberFormat="1" applyFont="1" applyFill="1" applyBorder="1" applyAlignment="1" applyProtection="1">
      <alignment horizontal="center" vertical="center"/>
      <protection locked="0" hidden="1"/>
    </xf>
    <xf numFmtId="6" fontId="11" fillId="9" borderId="103" xfId="0" applyNumberFormat="1" applyFont="1" applyFill="1" applyBorder="1" applyAlignment="1" applyProtection="1">
      <alignment horizontal="center" vertical="center"/>
      <protection locked="0" hidden="1"/>
    </xf>
    <xf numFmtId="2" fontId="65" fillId="0" borderId="110" xfId="1" applyNumberFormat="1" applyFont="1" applyBorder="1" applyAlignment="1" applyProtection="1">
      <alignment horizontal="right" vertical="center"/>
      <protection locked="0" hidden="1"/>
    </xf>
    <xf numFmtId="1" fontId="90" fillId="16" borderId="271" xfId="0" applyNumberFormat="1" applyFont="1" applyFill="1" applyBorder="1" applyAlignment="1" applyProtection="1">
      <alignment horizontal="left" vertical="center"/>
      <protection hidden="1"/>
    </xf>
    <xf numFmtId="1" fontId="87" fillId="4" borderId="274" xfId="0" applyNumberFormat="1" applyFont="1" applyFill="1" applyBorder="1" applyProtection="1">
      <protection hidden="1"/>
    </xf>
    <xf numFmtId="1" fontId="87" fillId="4" borderId="48" xfId="0" applyNumberFormat="1" applyFont="1" applyFill="1" applyBorder="1" applyProtection="1">
      <protection hidden="1"/>
    </xf>
    <xf numFmtId="1" fontId="87" fillId="4" borderId="267" xfId="0" applyNumberFormat="1" applyFont="1" applyFill="1" applyBorder="1" applyProtection="1">
      <protection hidden="1"/>
    </xf>
    <xf numFmtId="1" fontId="52" fillId="4" borderId="268" xfId="0" applyNumberFormat="1" applyFont="1" applyFill="1" applyBorder="1" applyAlignment="1" applyProtection="1">
      <alignment horizontal="center"/>
      <protection hidden="1"/>
    </xf>
    <xf numFmtId="1" fontId="52" fillId="4" borderId="277" xfId="0" applyNumberFormat="1" applyFont="1" applyFill="1" applyBorder="1" applyAlignment="1" applyProtection="1">
      <alignment horizontal="center"/>
      <protection hidden="1"/>
    </xf>
    <xf numFmtId="1" fontId="87" fillId="4" borderId="278" xfId="0" applyNumberFormat="1" applyFont="1" applyFill="1" applyBorder="1" applyProtection="1">
      <protection hidden="1"/>
    </xf>
    <xf numFmtId="1" fontId="87" fillId="4" borderId="279" xfId="0" applyNumberFormat="1" applyFont="1" applyFill="1" applyBorder="1" applyProtection="1">
      <protection hidden="1"/>
    </xf>
    <xf numFmtId="1" fontId="52" fillId="4" borderId="49" xfId="0" applyNumberFormat="1" applyFont="1" applyFill="1" applyBorder="1" applyAlignment="1" applyProtection="1">
      <alignment horizontal="center"/>
      <protection hidden="1"/>
    </xf>
    <xf numFmtId="1" fontId="87" fillId="4" borderId="272" xfId="0" applyNumberFormat="1" applyFont="1" applyFill="1" applyBorder="1" applyAlignment="1" applyProtection="1">
      <alignment horizontal="center"/>
      <protection hidden="1"/>
    </xf>
    <xf numFmtId="1" fontId="87" fillId="4" borderId="279" xfId="0" applyNumberFormat="1" applyFont="1" applyFill="1" applyBorder="1" applyAlignment="1" applyProtection="1">
      <alignment horizontal="center"/>
      <protection hidden="1"/>
    </xf>
    <xf numFmtId="1" fontId="87" fillId="4" borderId="272" xfId="0" applyNumberFormat="1" applyFont="1" applyFill="1" applyBorder="1" applyProtection="1">
      <protection hidden="1"/>
    </xf>
    <xf numFmtId="1" fontId="52" fillId="4" borderId="274" xfId="3" applyNumberFormat="1" applyFont="1" applyFill="1" applyBorder="1" applyAlignment="1" applyProtection="1">
      <alignment horizontal="right"/>
      <protection hidden="1"/>
    </xf>
    <xf numFmtId="1" fontId="0" fillId="4" borderId="49" xfId="0" applyNumberFormat="1" applyFill="1" applyBorder="1" applyAlignment="1" applyProtection="1">
      <protection hidden="1"/>
    </xf>
    <xf numFmtId="1" fontId="52" fillId="11" borderId="268" xfId="0" applyNumberFormat="1" applyFont="1" applyFill="1" applyBorder="1" applyAlignment="1" applyProtection="1">
      <alignment horizontal="right"/>
      <protection locked="0"/>
    </xf>
    <xf numFmtId="1" fontId="52" fillId="4" borderId="49" xfId="3" applyNumberFormat="1" applyFont="1" applyFill="1" applyBorder="1" applyAlignment="1" applyProtection="1">
      <alignment horizontal="left" vertical="center"/>
      <protection hidden="1"/>
    </xf>
    <xf numFmtId="1" fontId="52" fillId="4" borderId="270" xfId="3" applyNumberFormat="1" applyFont="1" applyFill="1" applyBorder="1" applyAlignment="1" applyProtection="1">
      <alignment horizontal="left" vertical="center" wrapText="1"/>
      <protection hidden="1"/>
    </xf>
    <xf numFmtId="1" fontId="52" fillId="4" borderId="49" xfId="3" applyNumberFormat="1" applyFont="1" applyFill="1" applyBorder="1" applyAlignment="1" applyProtection="1">
      <alignment horizontal="left" vertical="center" wrapText="1"/>
      <protection hidden="1"/>
    </xf>
    <xf numFmtId="1" fontId="52" fillId="4" borderId="49" xfId="0" applyNumberFormat="1" applyFont="1" applyFill="1" applyBorder="1" applyProtection="1">
      <protection hidden="1"/>
    </xf>
    <xf numFmtId="1" fontId="52" fillId="4" borderId="48" xfId="0" applyNumberFormat="1" applyFont="1" applyFill="1" applyBorder="1" applyProtection="1">
      <protection hidden="1"/>
    </xf>
    <xf numFmtId="1" fontId="87" fillId="4" borderId="48" xfId="3" applyNumberFormat="1" applyFont="1" applyFill="1" applyBorder="1" applyProtection="1">
      <protection hidden="1"/>
    </xf>
    <xf numFmtId="1" fontId="52" fillId="4" borderId="280" xfId="3" applyNumberFormat="1" applyFont="1" applyFill="1" applyBorder="1" applyProtection="1">
      <protection hidden="1"/>
    </xf>
    <xf numFmtId="1" fontId="52" fillId="4" borderId="48" xfId="3" applyNumberFormat="1" applyFont="1" applyFill="1" applyBorder="1" applyProtection="1">
      <protection hidden="1"/>
    </xf>
    <xf numFmtId="1" fontId="87" fillId="15" borderId="48" xfId="3" applyNumberFormat="1" applyFont="1" applyFill="1" applyBorder="1" applyProtection="1">
      <protection hidden="1"/>
    </xf>
    <xf numFmtId="170" fontId="87" fillId="4" borderId="280" xfId="3" applyNumberFormat="1" applyFont="1" applyFill="1" applyBorder="1" applyAlignment="1" applyProtection="1">
      <alignment horizontal="center"/>
      <protection hidden="1"/>
    </xf>
    <xf numFmtId="1" fontId="52" fillId="4" borderId="280" xfId="3" applyNumberFormat="1" applyFont="1" applyFill="1" applyBorder="1" applyAlignment="1" applyProtection="1">
      <alignment horizontal="center"/>
      <protection hidden="1"/>
    </xf>
    <xf numFmtId="170" fontId="52" fillId="4" borderId="280" xfId="3" applyNumberFormat="1" applyFont="1" applyFill="1" applyBorder="1" applyAlignment="1" applyProtection="1">
      <alignment horizontal="center"/>
      <protection hidden="1"/>
    </xf>
    <xf numFmtId="170" fontId="87" fillId="15" borderId="273" xfId="3" applyNumberFormat="1" applyFont="1" applyFill="1" applyBorder="1" applyAlignment="1" applyProtection="1">
      <alignment horizontal="center"/>
      <protection hidden="1"/>
    </xf>
    <xf numFmtId="1" fontId="87" fillId="4" borderId="274" xfId="3" applyNumberFormat="1" applyFont="1" applyFill="1" applyBorder="1" applyProtection="1">
      <protection hidden="1"/>
    </xf>
    <xf numFmtId="1" fontId="52" fillId="4" borderId="49" xfId="3" applyNumberFormat="1" applyFont="1" applyFill="1" applyBorder="1" applyProtection="1">
      <protection hidden="1"/>
    </xf>
    <xf numFmtId="1" fontId="87" fillId="4" borderId="48" xfId="3" applyNumberFormat="1" applyFont="1" applyFill="1" applyBorder="1" applyAlignment="1" applyProtection="1">
      <alignment horizontal="right"/>
      <protection hidden="1"/>
    </xf>
    <xf numFmtId="1" fontId="87" fillId="4" borderId="49" xfId="3" applyNumberFormat="1" applyFont="1" applyFill="1" applyBorder="1" applyProtection="1">
      <protection hidden="1"/>
    </xf>
    <xf numFmtId="1" fontId="52" fillId="4" borderId="48" xfId="3" applyNumberFormat="1" applyFont="1" applyFill="1" applyBorder="1" applyAlignment="1" applyProtection="1">
      <alignment horizontal="right"/>
      <protection hidden="1"/>
    </xf>
    <xf numFmtId="1" fontId="101" fillId="4" borderId="48" xfId="3" applyNumberFormat="1" applyFont="1" applyFill="1" applyBorder="1" applyAlignment="1" applyProtection="1">
      <alignment horizontal="right"/>
      <protection hidden="1"/>
    </xf>
    <xf numFmtId="170" fontId="95" fillId="4" borderId="49" xfId="4" applyNumberFormat="1" applyFont="1" applyFill="1" applyBorder="1" applyAlignment="1" applyProtection="1">
      <alignment horizontal="center" vertical="top"/>
      <protection hidden="1"/>
    </xf>
    <xf numFmtId="170" fontId="52" fillId="4" borderId="49" xfId="3" applyNumberFormat="1" applyFont="1" applyFill="1" applyBorder="1" applyProtection="1">
      <protection hidden="1"/>
    </xf>
    <xf numFmtId="1" fontId="52" fillId="4" borderId="267" xfId="3" applyNumberFormat="1" applyFont="1" applyFill="1" applyBorder="1" applyAlignment="1" applyProtection="1">
      <alignment horizontal="right"/>
      <protection hidden="1"/>
    </xf>
    <xf numFmtId="1" fontId="52" fillId="4" borderId="269" xfId="3" applyNumberFormat="1" applyFont="1" applyFill="1" applyBorder="1" applyAlignment="1" applyProtection="1">
      <alignment horizontal="right"/>
      <protection hidden="1"/>
    </xf>
    <xf numFmtId="1" fontId="52" fillId="4" borderId="49" xfId="3" applyNumberFormat="1" applyFont="1" applyFill="1" applyBorder="1" applyAlignment="1" applyProtection="1">
      <alignment horizontal="center"/>
      <protection hidden="1"/>
    </xf>
    <xf numFmtId="1" fontId="87" fillId="4" borderId="274" xfId="3" applyNumberFormat="1" applyFont="1" applyFill="1" applyBorder="1" applyAlignment="1" applyProtection="1">
      <alignment horizontal="right"/>
      <protection hidden="1"/>
    </xf>
    <xf numFmtId="1" fontId="52" fillId="4" borderId="270" xfId="3" applyNumberFormat="1" applyFont="1" applyFill="1" applyBorder="1" applyAlignment="1" applyProtection="1">
      <alignment horizontal="center"/>
      <protection hidden="1"/>
    </xf>
    <xf numFmtId="1" fontId="102" fillId="4" borderId="48" xfId="3" applyNumberFormat="1" applyFont="1" applyFill="1" applyBorder="1" applyAlignment="1" applyProtection="1">
      <alignment horizontal="right"/>
      <protection hidden="1"/>
    </xf>
    <xf numFmtId="170" fontId="94" fillId="4" borderId="49" xfId="3" applyNumberFormat="1" applyFont="1" applyFill="1" applyBorder="1" applyAlignment="1" applyProtection="1">
      <alignment horizontal="center" vertical="center"/>
      <protection hidden="1"/>
    </xf>
    <xf numFmtId="170" fontId="52" fillId="4" borderId="49" xfId="3" applyNumberFormat="1" applyFont="1" applyFill="1" applyBorder="1" applyAlignment="1" applyProtection="1">
      <alignment horizontal="center"/>
      <protection hidden="1"/>
    </xf>
    <xf numFmtId="170" fontId="96" fillId="4" borderId="49" xfId="5" applyNumberFormat="1" applyFont="1" applyFill="1" applyBorder="1" applyAlignment="1" applyProtection="1">
      <alignment horizontal="center"/>
      <protection hidden="1"/>
    </xf>
    <xf numFmtId="1" fontId="88" fillId="4" borderId="48" xfId="3" applyNumberFormat="1" applyFont="1" applyFill="1" applyBorder="1" applyProtection="1">
      <protection hidden="1"/>
    </xf>
    <xf numFmtId="170" fontId="87" fillId="4" borderId="268" xfId="3" applyNumberFormat="1" applyFont="1" applyFill="1" applyBorder="1" applyAlignment="1" applyProtection="1">
      <alignment horizontal="center" wrapText="1"/>
      <protection hidden="1"/>
    </xf>
    <xf numFmtId="170" fontId="94" fillId="15" borderId="268" xfId="3" applyNumberFormat="1" applyFont="1" applyFill="1" applyBorder="1" applyAlignment="1" applyProtection="1">
      <alignment horizontal="center" wrapText="1"/>
      <protection hidden="1"/>
    </xf>
    <xf numFmtId="1" fontId="0" fillId="4" borderId="49" xfId="0" applyNumberFormat="1" applyFill="1" applyBorder="1" applyAlignment="1" applyProtection="1">
      <alignment horizontal="right"/>
      <protection hidden="1"/>
    </xf>
    <xf numFmtId="1" fontId="52" fillId="4" borderId="267" xfId="3" applyNumberFormat="1" applyFont="1" applyFill="1" applyBorder="1" applyAlignment="1" applyProtection="1">
      <alignment vertical="center" wrapText="1"/>
      <protection hidden="1"/>
    </xf>
    <xf numFmtId="1" fontId="52" fillId="4" borderId="268" xfId="3" applyNumberFormat="1" applyFont="1" applyFill="1" applyBorder="1" applyAlignment="1" applyProtection="1">
      <alignment vertical="center" wrapText="1"/>
      <protection hidden="1"/>
    </xf>
    <xf numFmtId="1" fontId="52" fillId="4" borderId="48" xfId="3" applyNumberFormat="1" applyFont="1" applyFill="1" applyBorder="1" applyAlignment="1" applyProtection="1">
      <protection hidden="1"/>
    </xf>
    <xf numFmtId="1" fontId="52" fillId="4" borderId="49" xfId="3" applyNumberFormat="1" applyFont="1" applyFill="1" applyBorder="1" applyAlignment="1" applyProtection="1">
      <protection hidden="1"/>
    </xf>
    <xf numFmtId="1" fontId="52" fillId="4" borderId="34" xfId="3" applyNumberFormat="1" applyFont="1" applyFill="1" applyBorder="1" applyProtection="1">
      <protection hidden="1"/>
    </xf>
    <xf numFmtId="1" fontId="52" fillId="4" borderId="23" xfId="3" applyNumberFormat="1" applyFont="1" applyFill="1" applyBorder="1" applyProtection="1">
      <protection hidden="1"/>
    </xf>
    <xf numFmtId="1" fontId="97" fillId="4" borderId="23" xfId="0" applyNumberFormat="1" applyFont="1" applyFill="1" applyBorder="1" applyProtection="1">
      <protection hidden="1"/>
    </xf>
    <xf numFmtId="1" fontId="52" fillId="4" borderId="35" xfId="3" applyNumberFormat="1" applyFont="1" applyFill="1" applyBorder="1" applyProtection="1">
      <protection hidden="1"/>
    </xf>
    <xf numFmtId="1" fontId="87" fillId="4" borderId="34" xfId="3" applyNumberFormat="1" applyFont="1" applyFill="1" applyBorder="1" applyAlignment="1" applyProtection="1">
      <alignment horizontal="left" vertical="center" wrapText="1"/>
      <protection hidden="1"/>
    </xf>
    <xf numFmtId="1" fontId="52" fillId="4" borderId="23" xfId="3" applyNumberFormat="1" applyFont="1" applyFill="1" applyBorder="1" applyAlignment="1" applyProtection="1">
      <alignment horizontal="left" vertical="center" wrapText="1"/>
      <protection hidden="1"/>
    </xf>
    <xf numFmtId="1" fontId="52" fillId="4" borderId="35" xfId="3" applyNumberFormat="1" applyFont="1" applyFill="1" applyBorder="1" applyAlignment="1" applyProtection="1">
      <alignment horizontal="left" vertical="center" wrapText="1"/>
      <protection hidden="1"/>
    </xf>
    <xf numFmtId="0" fontId="27" fillId="0" borderId="224" xfId="0" applyFont="1" applyBorder="1" applyAlignment="1" applyProtection="1">
      <alignment vertical="center" wrapText="1"/>
      <protection hidden="1"/>
    </xf>
    <xf numFmtId="0" fontId="163" fillId="0" borderId="146" xfId="0" applyFont="1" applyBorder="1" applyAlignment="1" applyProtection="1">
      <alignment horizontal="center" vertical="center" wrapText="1"/>
      <protection hidden="1"/>
    </xf>
    <xf numFmtId="0" fontId="19" fillId="16" borderId="146" xfId="0" applyFont="1" applyFill="1" applyBorder="1" applyAlignment="1" applyProtection="1">
      <alignment horizontal="center" vertical="center" wrapText="1"/>
      <protection locked="0"/>
    </xf>
    <xf numFmtId="0" fontId="19" fillId="16" borderId="75" xfId="0" applyFont="1" applyFill="1" applyBorder="1" applyAlignment="1" applyProtection="1">
      <alignment horizontal="center" vertical="center" wrapText="1"/>
      <protection locked="0"/>
    </xf>
    <xf numFmtId="0" fontId="164" fillId="33" borderId="173" xfId="0" applyNumberFormat="1" applyFont="1" applyFill="1" applyBorder="1" applyAlignment="1" applyProtection="1">
      <alignment horizontal="center" vertical="center"/>
      <protection hidden="1"/>
    </xf>
    <xf numFmtId="0" fontId="165" fillId="19" borderId="0" xfId="0" applyFont="1" applyFill="1" applyAlignment="1">
      <alignment horizontal="center" vertical="center"/>
    </xf>
    <xf numFmtId="0" fontId="166" fillId="3" borderId="0" xfId="0" applyFont="1" applyFill="1" applyAlignment="1">
      <alignment horizontal="center" vertical="center"/>
    </xf>
    <xf numFmtId="0" fontId="167" fillId="39" borderId="0" xfId="7" applyFont="1" applyFill="1" applyAlignment="1" applyProtection="1">
      <alignment horizontal="center" vertical="center"/>
      <protection hidden="1"/>
    </xf>
    <xf numFmtId="0" fontId="168" fillId="39" borderId="0" xfId="7" applyFont="1" applyFill="1" applyAlignment="1" applyProtection="1">
      <alignment horizontal="center" vertical="center"/>
      <protection hidden="1"/>
    </xf>
    <xf numFmtId="2" fontId="6" fillId="0" borderId="71" xfId="0" applyNumberFormat="1" applyFont="1" applyBorder="1" applyAlignment="1" applyProtection="1">
      <alignment horizontal="left" vertical="center" wrapText="1"/>
      <protection hidden="1"/>
    </xf>
    <xf numFmtId="0" fontId="0" fillId="19" borderId="0" xfId="0" applyFill="1" applyAlignment="1" applyProtection="1">
      <alignment horizontal="center"/>
      <protection hidden="1"/>
    </xf>
    <xf numFmtId="0" fontId="143" fillId="25" borderId="0" xfId="0" applyFont="1" applyFill="1" applyAlignment="1" applyProtection="1">
      <alignment horizontal="center" vertical="center" wrapText="1"/>
      <protection hidden="1"/>
    </xf>
    <xf numFmtId="0" fontId="118" fillId="3" borderId="0" xfId="0" applyFont="1" applyFill="1" applyAlignment="1" applyProtection="1">
      <alignment horizontal="center"/>
      <protection hidden="1"/>
    </xf>
    <xf numFmtId="0" fontId="118" fillId="19" borderId="0" xfId="0" applyFont="1" applyFill="1" applyAlignment="1" applyProtection="1">
      <alignment horizontal="center"/>
      <protection hidden="1"/>
    </xf>
    <xf numFmtId="0" fontId="166" fillId="3" borderId="0" xfId="0" applyFont="1" applyFill="1" applyAlignment="1">
      <alignment horizontal="center" vertical="center"/>
    </xf>
    <xf numFmtId="0" fontId="170" fillId="23" borderId="0" xfId="7" applyFont="1" applyFill="1" applyAlignment="1" applyProtection="1">
      <alignment horizontal="center" vertical="center"/>
      <protection locked="0" hidden="1"/>
    </xf>
    <xf numFmtId="0" fontId="141" fillId="21" borderId="176" xfId="0" applyFont="1" applyFill="1" applyBorder="1" applyAlignment="1" applyProtection="1">
      <alignment horizontal="left" vertical="justify" wrapText="1"/>
      <protection hidden="1"/>
    </xf>
    <xf numFmtId="0" fontId="56" fillId="0" borderId="174" xfId="0" applyFont="1" applyBorder="1"/>
    <xf numFmtId="0" fontId="56" fillId="0" borderId="177" xfId="0" applyFont="1" applyBorder="1"/>
    <xf numFmtId="0" fontId="125" fillId="24" borderId="0" xfId="0" applyFont="1" applyFill="1" applyBorder="1" applyAlignment="1" applyProtection="1">
      <alignment horizontal="center" wrapText="1"/>
      <protection hidden="1"/>
    </xf>
    <xf numFmtId="0" fontId="169" fillId="3" borderId="0" xfId="0" applyFont="1" applyFill="1" applyAlignment="1" applyProtection="1">
      <alignment horizontal="center" vertical="center" wrapText="1"/>
      <protection hidden="1"/>
    </xf>
    <xf numFmtId="0" fontId="161" fillId="22" borderId="176" xfId="0" applyFont="1" applyFill="1" applyBorder="1" applyAlignment="1" applyProtection="1">
      <alignment horizontal="center" vertical="center" wrapText="1"/>
      <protection hidden="1"/>
    </xf>
    <xf numFmtId="0" fontId="161" fillId="22" borderId="175" xfId="0" applyFont="1" applyFill="1" applyBorder="1" applyAlignment="1" applyProtection="1">
      <alignment horizontal="center" vertical="center" wrapText="1"/>
      <protection hidden="1"/>
    </xf>
    <xf numFmtId="0" fontId="129" fillId="24" borderId="174" xfId="0" applyFont="1" applyFill="1" applyBorder="1" applyAlignment="1" applyProtection="1">
      <alignment horizontal="center" vertical="top" wrapText="1"/>
      <protection hidden="1"/>
    </xf>
    <xf numFmtId="0" fontId="129" fillId="24" borderId="175" xfId="0" applyFont="1" applyFill="1" applyBorder="1" applyAlignment="1" applyProtection="1">
      <alignment horizontal="center" vertical="top" wrapText="1"/>
      <protection hidden="1"/>
    </xf>
    <xf numFmtId="0" fontId="13" fillId="9" borderId="41" xfId="0" applyFont="1" applyFill="1" applyBorder="1" applyAlignment="1" applyProtection="1">
      <alignment horizontal="left" wrapText="1"/>
      <protection locked="0"/>
    </xf>
    <xf numFmtId="0" fontId="13" fillId="9" borderId="40" xfId="0" applyFont="1" applyFill="1" applyBorder="1" applyAlignment="1" applyProtection="1">
      <alignment horizontal="left" wrapText="1"/>
      <protection locked="0"/>
    </xf>
    <xf numFmtId="0" fontId="13" fillId="9" borderId="42" xfId="0" applyFont="1" applyFill="1" applyBorder="1" applyAlignment="1" applyProtection="1">
      <alignment horizontal="left" wrapText="1"/>
      <protection locked="0"/>
    </xf>
    <xf numFmtId="0" fontId="8" fillId="36" borderId="2" xfId="0" applyFont="1" applyFill="1" applyBorder="1" applyAlignment="1" applyProtection="1">
      <alignment horizontal="center" vertical="center" wrapText="1"/>
      <protection hidden="1"/>
    </xf>
    <xf numFmtId="0" fontId="8" fillId="36" borderId="103" xfId="0" applyFont="1" applyFill="1" applyBorder="1" applyAlignment="1" applyProtection="1">
      <alignment horizontal="center" vertical="center" wrapText="1"/>
      <protection hidden="1"/>
    </xf>
    <xf numFmtId="0" fontId="8" fillId="36" borderId="102" xfId="0" applyFont="1" applyFill="1" applyBorder="1" applyAlignment="1" applyProtection="1">
      <alignment horizontal="center" vertical="center" wrapText="1"/>
      <protection hidden="1"/>
    </xf>
    <xf numFmtId="0" fontId="9" fillId="9" borderId="102" xfId="0" applyFont="1" applyFill="1" applyBorder="1" applyAlignment="1" applyProtection="1">
      <alignment horizontal="center" vertical="center" wrapText="1"/>
      <protection locked="0"/>
    </xf>
    <xf numFmtId="0" fontId="9" fillId="9" borderId="103" xfId="0" applyFont="1" applyFill="1" applyBorder="1" applyAlignment="1" applyProtection="1">
      <alignment horizontal="center" vertical="center" wrapText="1"/>
      <protection locked="0"/>
    </xf>
    <xf numFmtId="0" fontId="8" fillId="36" borderId="3" xfId="0" applyFont="1" applyFill="1" applyBorder="1" applyAlignment="1" applyProtection="1">
      <alignment horizontal="center" vertical="center" wrapText="1"/>
      <protection hidden="1"/>
    </xf>
    <xf numFmtId="0" fontId="8" fillId="36" borderId="99" xfId="0" applyFont="1" applyFill="1" applyBorder="1" applyAlignment="1" applyProtection="1">
      <alignment horizontal="center" vertical="center" wrapText="1"/>
      <protection hidden="1"/>
    </xf>
    <xf numFmtId="0" fontId="3" fillId="9" borderId="178" xfId="0" applyFont="1" applyFill="1" applyBorder="1" applyAlignment="1" applyProtection="1">
      <alignment horizontal="left"/>
      <protection locked="0"/>
    </xf>
    <xf numFmtId="0" fontId="3" fillId="9" borderId="98" xfId="0" applyFont="1" applyFill="1" applyBorder="1" applyAlignment="1" applyProtection="1">
      <alignment horizontal="left"/>
      <protection locked="0"/>
    </xf>
    <xf numFmtId="0" fontId="1" fillId="36" borderId="178" xfId="0" applyFont="1" applyFill="1" applyBorder="1" applyAlignment="1" applyProtection="1">
      <alignment horizontal="right" vertical="center"/>
      <protection hidden="1"/>
    </xf>
    <xf numFmtId="0" fontId="1" fillId="36" borderId="51" xfId="0" applyFont="1" applyFill="1" applyBorder="1" applyAlignment="1" applyProtection="1">
      <alignment horizontal="right" vertical="center"/>
      <protection hidden="1"/>
    </xf>
    <xf numFmtId="0" fontId="11" fillId="9" borderId="2" xfId="0" applyFont="1" applyFill="1" applyBorder="1" applyAlignment="1" applyProtection="1">
      <alignment horizontal="center" vertical="center" wrapText="1"/>
      <protection locked="0"/>
    </xf>
    <xf numFmtId="0" fontId="11" fillId="9" borderId="103"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1" fillId="9" borderId="102" xfId="0" applyFont="1" applyFill="1" applyBorder="1" applyAlignment="1" applyProtection="1">
      <alignment horizontal="center" vertical="center" wrapText="1"/>
      <protection locked="0" hidden="1"/>
    </xf>
    <xf numFmtId="0" fontId="11" fillId="9" borderId="3" xfId="0" applyFont="1" applyFill="1" applyBorder="1" applyAlignment="1" applyProtection="1">
      <alignment horizontal="center" vertical="center" wrapText="1"/>
      <protection locked="0" hidden="1"/>
    </xf>
    <xf numFmtId="0" fontId="11" fillId="9" borderId="103" xfId="0" applyFont="1" applyFill="1" applyBorder="1" applyAlignment="1" applyProtection="1">
      <alignment horizontal="center" vertical="center" wrapText="1"/>
      <protection locked="0" hidden="1"/>
    </xf>
    <xf numFmtId="0" fontId="18" fillId="6" borderId="30" xfId="0" applyFont="1" applyFill="1" applyBorder="1" applyAlignment="1" applyProtection="1">
      <alignment horizontal="center" vertical="center"/>
      <protection hidden="1"/>
    </xf>
    <xf numFmtId="0" fontId="18" fillId="6" borderId="9" xfId="0" applyFont="1" applyFill="1" applyBorder="1" applyAlignment="1" applyProtection="1">
      <alignment horizontal="center" vertical="center"/>
      <protection hidden="1"/>
    </xf>
    <xf numFmtId="0" fontId="18" fillId="7" borderId="34" xfId="0" applyFont="1" applyFill="1" applyBorder="1" applyAlignment="1" applyProtection="1">
      <alignment horizontal="center" vertical="center"/>
      <protection hidden="1"/>
    </xf>
    <xf numFmtId="0" fontId="18" fillId="7" borderId="23" xfId="0" applyFont="1" applyFill="1" applyBorder="1" applyAlignment="1" applyProtection="1">
      <alignment horizontal="center" vertical="center"/>
      <protection hidden="1"/>
    </xf>
    <xf numFmtId="0" fontId="23" fillId="8" borderId="2" xfId="0" applyFont="1" applyFill="1" applyBorder="1" applyAlignment="1" applyProtection="1">
      <alignment horizontal="center" vertical="center"/>
      <protection hidden="1"/>
    </xf>
    <xf numFmtId="0" fontId="23" fillId="8" borderId="3" xfId="0" applyFont="1" applyFill="1" applyBorder="1" applyAlignment="1" applyProtection="1">
      <alignment horizontal="center" vertical="center"/>
      <protection hidden="1"/>
    </xf>
    <xf numFmtId="0" fontId="0" fillId="5" borderId="9"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18" fillId="17" borderId="9" xfId="0" applyFont="1" applyFill="1" applyBorder="1" applyAlignment="1" applyProtection="1">
      <alignment horizontal="center" vertical="center"/>
      <protection hidden="1"/>
    </xf>
    <xf numFmtId="0" fontId="18" fillId="17" borderId="0" xfId="0" applyFont="1" applyFill="1" applyBorder="1" applyAlignment="1" applyProtection="1">
      <alignment horizontal="center" vertical="center"/>
      <protection hidden="1"/>
    </xf>
    <xf numFmtId="0" fontId="3" fillId="9" borderId="178" xfId="0" applyFont="1" applyFill="1" applyBorder="1" applyAlignment="1" applyProtection="1">
      <alignment horizontal="left" vertical="center"/>
      <protection locked="0"/>
    </xf>
    <xf numFmtId="0" fontId="3" fillId="9" borderId="51" xfId="0" applyFont="1" applyFill="1" applyBorder="1" applyAlignment="1" applyProtection="1">
      <alignment horizontal="left" vertical="center"/>
      <protection locked="0"/>
    </xf>
    <xf numFmtId="0" fontId="1" fillId="36" borderId="41" xfId="0" applyFont="1" applyFill="1" applyBorder="1" applyAlignment="1" applyProtection="1">
      <alignment horizontal="center" vertical="center"/>
      <protection hidden="1"/>
    </xf>
    <xf numFmtId="0" fontId="1" fillId="36" borderId="42" xfId="0" applyFont="1" applyFill="1" applyBorder="1" applyAlignment="1" applyProtection="1">
      <alignment horizontal="center" vertical="center"/>
      <protection hidden="1"/>
    </xf>
    <xf numFmtId="0" fontId="1" fillId="36" borderId="178" xfId="0" applyFont="1" applyFill="1" applyBorder="1" applyAlignment="1" applyProtection="1">
      <alignment horizontal="center" vertical="center"/>
      <protection hidden="1"/>
    </xf>
    <xf numFmtId="0" fontId="1" fillId="36" borderId="51" xfId="0" applyFont="1" applyFill="1" applyBorder="1" applyAlignment="1" applyProtection="1">
      <alignment horizontal="center" vertical="center"/>
      <protection hidden="1"/>
    </xf>
    <xf numFmtId="0" fontId="2" fillId="36" borderId="39" xfId="0" applyFont="1" applyFill="1" applyBorder="1" applyAlignment="1" applyProtection="1">
      <alignment horizontal="center" vertical="center"/>
      <protection hidden="1"/>
    </xf>
    <xf numFmtId="0" fontId="2" fillId="36" borderId="40" xfId="0" applyFont="1" applyFill="1" applyBorder="1" applyAlignment="1" applyProtection="1">
      <alignment horizontal="center" vertical="center"/>
      <protection hidden="1"/>
    </xf>
    <xf numFmtId="0" fontId="2" fillId="36" borderId="42" xfId="0" applyFont="1" applyFill="1" applyBorder="1" applyAlignment="1" applyProtection="1">
      <alignment horizontal="center" vertical="center"/>
      <protection hidden="1"/>
    </xf>
    <xf numFmtId="0" fontId="2" fillId="36" borderId="50" xfId="0" applyFont="1" applyFill="1" applyBorder="1" applyAlignment="1" applyProtection="1">
      <alignment horizontal="center" vertical="center"/>
      <protection hidden="1"/>
    </xf>
    <xf numFmtId="0" fontId="2" fillId="36" borderId="38" xfId="0" applyFont="1" applyFill="1" applyBorder="1" applyAlignment="1" applyProtection="1">
      <alignment horizontal="center" vertical="center"/>
      <protection hidden="1"/>
    </xf>
    <xf numFmtId="0" fontId="2" fillId="36" borderId="51" xfId="0" applyFont="1" applyFill="1" applyBorder="1" applyAlignment="1" applyProtection="1">
      <alignment horizontal="center" vertical="center"/>
      <protection hidden="1"/>
    </xf>
    <xf numFmtId="0" fontId="24" fillId="38" borderId="9" xfId="0" applyFont="1" applyFill="1" applyBorder="1" applyAlignment="1" applyProtection="1">
      <alignment horizontal="center" vertical="center"/>
      <protection hidden="1"/>
    </xf>
    <xf numFmtId="0" fontId="78" fillId="38" borderId="34" xfId="0" applyFont="1" applyFill="1" applyBorder="1" applyAlignment="1" applyProtection="1">
      <alignment horizontal="center"/>
      <protection hidden="1"/>
    </xf>
    <xf numFmtId="0" fontId="78" fillId="38" borderId="23" xfId="0" applyFont="1" applyFill="1" applyBorder="1" applyAlignment="1" applyProtection="1">
      <alignment horizontal="center"/>
      <protection hidden="1"/>
    </xf>
    <xf numFmtId="0" fontId="78" fillId="38" borderId="35" xfId="0" applyFont="1" applyFill="1" applyBorder="1" applyAlignment="1" applyProtection="1">
      <alignment horizontal="center"/>
      <protection hidden="1"/>
    </xf>
    <xf numFmtId="0" fontId="6" fillId="36" borderId="101" xfId="0" applyFont="1" applyFill="1" applyBorder="1" applyAlignment="1" applyProtection="1">
      <alignment horizontal="center" vertical="center" wrapText="1"/>
      <protection hidden="1"/>
    </xf>
    <xf numFmtId="0" fontId="6" fillId="36" borderId="105" xfId="0" applyFont="1" applyFill="1" applyBorder="1" applyAlignment="1" applyProtection="1">
      <alignment horizontal="center" vertical="center" wrapText="1"/>
      <protection hidden="1"/>
    </xf>
    <xf numFmtId="0" fontId="3" fillId="9" borderId="41" xfId="0" applyFont="1" applyFill="1" applyBorder="1" applyAlignment="1" applyProtection="1">
      <alignment horizontal="left" vertical="center" wrapText="1" indent="2"/>
      <protection locked="0"/>
    </xf>
    <xf numFmtId="0" fontId="3" fillId="9" borderId="43" xfId="0" applyFont="1" applyFill="1" applyBorder="1" applyAlignment="1" applyProtection="1">
      <alignment horizontal="left" vertical="center" wrapText="1" indent="2"/>
      <protection locked="0"/>
    </xf>
    <xf numFmtId="0" fontId="10" fillId="27" borderId="102" xfId="0" applyFont="1" applyFill="1" applyBorder="1" applyAlignment="1" applyProtection="1">
      <alignment horizontal="center" vertical="center"/>
      <protection hidden="1"/>
    </xf>
    <xf numFmtId="0" fontId="0" fillId="27" borderId="3" xfId="0" applyFill="1" applyBorder="1"/>
    <xf numFmtId="0" fontId="10" fillId="27" borderId="2" xfId="0" applyFont="1" applyFill="1" applyBorder="1" applyAlignment="1" applyProtection="1">
      <alignment horizontal="center" vertical="center"/>
      <protection hidden="1"/>
    </xf>
    <xf numFmtId="0" fontId="10" fillId="27" borderId="3" xfId="0" applyFont="1" applyFill="1" applyBorder="1" applyAlignment="1" applyProtection="1">
      <alignment horizontal="center" vertical="center"/>
      <protection hidden="1"/>
    </xf>
    <xf numFmtId="0" fontId="10" fillId="27" borderId="4" xfId="0" applyFont="1" applyFill="1" applyBorder="1" applyAlignment="1" applyProtection="1">
      <alignment horizontal="center" vertical="center"/>
      <protection hidden="1"/>
    </xf>
    <xf numFmtId="0" fontId="6" fillId="36" borderId="52" xfId="0" applyFont="1" applyFill="1" applyBorder="1" applyAlignment="1" applyProtection="1">
      <alignment horizontal="center" vertical="center" wrapText="1"/>
      <protection hidden="1"/>
    </xf>
    <xf numFmtId="0" fontId="6" fillId="36" borderId="45" xfId="0" applyFont="1" applyFill="1" applyBorder="1" applyAlignment="1" applyProtection="1">
      <alignment horizontal="center" vertical="center" wrapText="1"/>
      <protection hidden="1"/>
    </xf>
    <xf numFmtId="0" fontId="7" fillId="36" borderId="97" xfId="0" applyFont="1" applyFill="1" applyBorder="1" applyAlignment="1" applyProtection="1">
      <alignment horizontal="center" vertical="center" wrapText="1"/>
      <protection hidden="1"/>
    </xf>
    <xf numFmtId="0" fontId="7" fillId="36" borderId="104" xfId="0" applyFont="1" applyFill="1" applyBorder="1" applyAlignment="1" applyProtection="1">
      <alignment horizontal="center" vertical="center" wrapText="1"/>
      <protection hidden="1"/>
    </xf>
    <xf numFmtId="0" fontId="22" fillId="36" borderId="95" xfId="0" applyFont="1" applyFill="1" applyBorder="1" applyAlignment="1" applyProtection="1">
      <alignment horizontal="center" vertical="center" wrapText="1"/>
      <protection hidden="1"/>
    </xf>
    <xf numFmtId="0" fontId="22" fillId="36" borderId="96" xfId="0" applyFont="1" applyFill="1" applyBorder="1" applyAlignment="1" applyProtection="1">
      <alignment horizontal="center" vertical="center" wrapText="1"/>
      <protection hidden="1"/>
    </xf>
    <xf numFmtId="0" fontId="22" fillId="36" borderId="104" xfId="0" applyFont="1" applyFill="1" applyBorder="1" applyAlignment="1" applyProtection="1">
      <alignment horizontal="center" vertical="center" wrapText="1"/>
      <protection hidden="1"/>
    </xf>
    <xf numFmtId="0" fontId="7" fillId="36" borderId="51" xfId="0" applyFont="1" applyFill="1" applyBorder="1" applyAlignment="1" applyProtection="1">
      <alignment horizontal="center" vertical="center" wrapText="1"/>
      <protection hidden="1"/>
    </xf>
    <xf numFmtId="0" fontId="7" fillId="36" borderId="44" xfId="0" applyFont="1" applyFill="1" applyBorder="1" applyAlignment="1" applyProtection="1">
      <alignment horizontal="center" vertical="center" wrapText="1"/>
      <protection hidden="1"/>
    </xf>
    <xf numFmtId="0" fontId="6" fillId="36" borderId="25" xfId="0" applyFont="1" applyFill="1" applyBorder="1" applyAlignment="1" applyProtection="1">
      <alignment horizontal="center" vertical="center" wrapText="1"/>
      <protection hidden="1"/>
    </xf>
    <xf numFmtId="0" fontId="6" fillId="36" borderId="26" xfId="0" applyFont="1" applyFill="1" applyBorder="1" applyAlignment="1" applyProtection="1">
      <alignment horizontal="center" vertical="center" wrapText="1"/>
      <protection hidden="1"/>
    </xf>
    <xf numFmtId="0" fontId="19" fillId="36" borderId="98" xfId="0" applyFont="1" applyFill="1" applyBorder="1" applyAlignment="1" applyProtection="1">
      <alignment horizontal="center" vertical="center" wrapText="1"/>
      <protection hidden="1"/>
    </xf>
    <xf numFmtId="0" fontId="19" fillId="36" borderId="35" xfId="0" applyFont="1" applyFill="1" applyBorder="1" applyAlignment="1" applyProtection="1">
      <alignment horizontal="center" vertical="center" wrapText="1"/>
      <protection hidden="1"/>
    </xf>
    <xf numFmtId="0" fontId="20" fillId="36" borderId="39" xfId="0" applyFont="1" applyFill="1" applyBorder="1" applyAlignment="1" applyProtection="1">
      <alignment horizontal="center" vertical="center"/>
      <protection hidden="1"/>
    </xf>
    <xf numFmtId="0" fontId="20" fillId="36" borderId="40" xfId="0" applyFont="1" applyFill="1" applyBorder="1" applyAlignment="1" applyProtection="1">
      <alignment horizontal="center" vertical="center"/>
      <protection hidden="1"/>
    </xf>
    <xf numFmtId="0" fontId="20" fillId="36" borderId="43" xfId="0" applyFont="1" applyFill="1" applyBorder="1" applyAlignment="1" applyProtection="1">
      <alignment horizontal="center" vertical="center"/>
      <protection hidden="1"/>
    </xf>
    <xf numFmtId="0" fontId="20" fillId="36" borderId="41" xfId="0" applyFont="1" applyFill="1" applyBorder="1" applyAlignment="1" applyProtection="1">
      <alignment horizontal="center" vertical="center"/>
      <protection hidden="1"/>
    </xf>
    <xf numFmtId="0" fontId="19" fillId="36" borderId="52" xfId="0" applyFont="1" applyFill="1" applyBorder="1" applyAlignment="1" applyProtection="1">
      <alignment horizontal="center" vertical="center" wrapText="1"/>
      <protection hidden="1"/>
    </xf>
    <xf numFmtId="0" fontId="19" fillId="36" borderId="45" xfId="0" applyFont="1" applyFill="1" applyBorder="1" applyAlignment="1" applyProtection="1">
      <alignment horizontal="center" vertical="center" wrapText="1"/>
      <protection hidden="1"/>
    </xf>
    <xf numFmtId="6" fontId="11" fillId="9" borderId="2" xfId="0" applyNumberFormat="1" applyFont="1" applyFill="1" applyBorder="1" applyAlignment="1" applyProtection="1">
      <alignment horizontal="center" vertical="center"/>
      <protection locked="0" hidden="1"/>
    </xf>
    <xf numFmtId="6" fontId="11" fillId="9" borderId="3" xfId="0" applyNumberFormat="1" applyFont="1" applyFill="1" applyBorder="1" applyAlignment="1" applyProtection="1">
      <alignment horizontal="center" vertical="center"/>
      <protection locked="0" hidden="1"/>
    </xf>
    <xf numFmtId="6" fontId="11" fillId="9" borderId="4" xfId="0" applyNumberFormat="1" applyFont="1" applyFill="1" applyBorder="1" applyAlignment="1" applyProtection="1">
      <alignment horizontal="center" vertical="center"/>
      <protection locked="0" hidden="1"/>
    </xf>
    <xf numFmtId="0" fontId="10" fillId="27" borderId="238" xfId="0" applyFont="1" applyFill="1" applyBorder="1" applyAlignment="1" applyProtection="1">
      <alignment horizontal="center" vertical="center"/>
      <protection hidden="1"/>
    </xf>
    <xf numFmtId="0" fontId="10" fillId="27" borderId="9"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wrapText="1"/>
      <protection locked="0"/>
    </xf>
    <xf numFmtId="0" fontId="10" fillId="27" borderId="46" xfId="0" applyFont="1" applyFill="1" applyBorder="1" applyAlignment="1" applyProtection="1">
      <alignment horizontal="center" vertical="center"/>
      <protection hidden="1"/>
    </xf>
    <xf numFmtId="0" fontId="10" fillId="27" borderId="0" xfId="0" applyFont="1" applyFill="1" applyBorder="1" applyAlignment="1" applyProtection="1">
      <alignment horizontal="center" vertical="center"/>
      <protection hidden="1"/>
    </xf>
    <xf numFmtId="0" fontId="10" fillId="27" borderId="47" xfId="0" applyFont="1" applyFill="1" applyBorder="1" applyAlignment="1" applyProtection="1">
      <alignment horizontal="center" vertical="center"/>
      <protection hidden="1"/>
    </xf>
    <xf numFmtId="0" fontId="78" fillId="38" borderId="30" xfId="0" applyFont="1" applyFill="1" applyBorder="1" applyAlignment="1" applyProtection="1">
      <alignment horizontal="center"/>
      <protection hidden="1"/>
    </xf>
    <xf numFmtId="0" fontId="78" fillId="38" borderId="9" xfId="0" applyFont="1" applyFill="1" applyBorder="1" applyAlignment="1" applyProtection="1">
      <alignment horizontal="center"/>
      <protection hidden="1"/>
    </xf>
    <xf numFmtId="0" fontId="78" fillId="38" borderId="3" xfId="0" applyFont="1" applyFill="1" applyBorder="1" applyAlignment="1" applyProtection="1">
      <alignment horizontal="center"/>
      <protection hidden="1"/>
    </xf>
    <xf numFmtId="0" fontId="78" fillId="38" borderId="4" xfId="0" applyFont="1" applyFill="1" applyBorder="1" applyAlignment="1" applyProtection="1">
      <alignment horizontal="center"/>
      <protection hidden="1"/>
    </xf>
    <xf numFmtId="17" fontId="7" fillId="36" borderId="2" xfId="0" applyNumberFormat="1" applyFont="1" applyFill="1" applyBorder="1" applyAlignment="1" applyProtection="1">
      <alignment horizontal="center" vertical="center" wrapText="1"/>
      <protection hidden="1"/>
    </xf>
    <xf numFmtId="17" fontId="7" fillId="36" borderId="3" xfId="0" applyNumberFormat="1" applyFont="1" applyFill="1" applyBorder="1" applyAlignment="1" applyProtection="1">
      <alignment horizontal="center" vertical="center" wrapText="1"/>
      <protection hidden="1"/>
    </xf>
    <xf numFmtId="17" fontId="7" fillId="36" borderId="4" xfId="0" applyNumberFormat="1" applyFont="1" applyFill="1" applyBorder="1" applyAlignment="1" applyProtection="1">
      <alignment horizontal="center" vertical="center" wrapText="1"/>
      <protection hidden="1"/>
    </xf>
    <xf numFmtId="0" fontId="41" fillId="37" borderId="6" xfId="0" applyFont="1" applyFill="1" applyBorder="1" applyAlignment="1" applyProtection="1">
      <alignment horizontal="center" vertical="center"/>
      <protection hidden="1"/>
    </xf>
    <xf numFmtId="0" fontId="41" fillId="37" borderId="7" xfId="0" applyFont="1" applyFill="1" applyBorder="1" applyAlignment="1" applyProtection="1">
      <alignment horizontal="center" vertical="center"/>
      <protection hidden="1"/>
    </xf>
    <xf numFmtId="0" fontId="41" fillId="37" borderId="8" xfId="0" applyFont="1" applyFill="1" applyBorder="1" applyAlignment="1" applyProtection="1">
      <alignment horizontal="center" vertical="center"/>
      <protection hidden="1"/>
    </xf>
    <xf numFmtId="2" fontId="4" fillId="11" borderId="5" xfId="0" applyNumberFormat="1" applyFont="1" applyFill="1" applyBorder="1" applyAlignment="1" applyProtection="1">
      <alignment horizontal="center" vertical="center"/>
      <protection hidden="1"/>
    </xf>
    <xf numFmtId="2" fontId="4" fillId="12" borderId="1" xfId="0" applyNumberFormat="1" applyFont="1" applyFill="1" applyBorder="1" applyAlignment="1" applyProtection="1">
      <alignment horizontal="center" vertical="center"/>
      <protection hidden="1"/>
    </xf>
    <xf numFmtId="2" fontId="4" fillId="4" borderId="89" xfId="0" applyNumberFormat="1" applyFont="1" applyFill="1" applyBorder="1" applyAlignment="1" applyProtection="1">
      <alignment horizontal="left" vertical="center"/>
      <protection locked="0"/>
    </xf>
    <xf numFmtId="2" fontId="4" fillId="4" borderId="28" xfId="0" applyNumberFormat="1" applyFont="1" applyFill="1" applyBorder="1" applyAlignment="1" applyProtection="1">
      <alignment horizontal="left" vertical="center"/>
      <protection locked="0"/>
    </xf>
    <xf numFmtId="1" fontId="45" fillId="4" borderId="63" xfId="0" applyNumberFormat="1" applyFont="1" applyFill="1" applyBorder="1" applyAlignment="1" applyProtection="1">
      <alignment horizontal="center" vertical="center"/>
      <protection locked="0"/>
    </xf>
    <xf numFmtId="1" fontId="45" fillId="4" borderId="60" xfId="0" applyNumberFormat="1" applyFont="1" applyFill="1" applyBorder="1" applyAlignment="1" applyProtection="1">
      <alignment horizontal="center" vertical="center"/>
      <protection locked="0"/>
    </xf>
    <xf numFmtId="1" fontId="45" fillId="4" borderId="64" xfId="0" applyNumberFormat="1" applyFont="1" applyFill="1" applyBorder="1" applyAlignment="1" applyProtection="1">
      <alignment horizontal="center" vertical="center"/>
      <protection locked="0"/>
    </xf>
    <xf numFmtId="1" fontId="45" fillId="4" borderId="61" xfId="0" applyNumberFormat="1" applyFont="1" applyFill="1" applyBorder="1" applyAlignment="1" applyProtection="1">
      <alignment horizontal="center" vertical="center"/>
      <protection locked="0"/>
    </xf>
    <xf numFmtId="0" fontId="11" fillId="34" borderId="65" xfId="0" applyFont="1" applyFill="1" applyBorder="1" applyAlignment="1" applyProtection="1">
      <alignment horizontal="center" vertical="center" wrapText="1"/>
      <protection hidden="1"/>
    </xf>
    <xf numFmtId="0" fontId="11" fillId="34" borderId="4" xfId="0" applyFont="1" applyFill="1" applyBorder="1" applyAlignment="1" applyProtection="1">
      <alignment horizontal="center" vertical="center" wrapText="1"/>
      <protection hidden="1"/>
    </xf>
    <xf numFmtId="169" fontId="51" fillId="4" borderId="5" xfId="0" applyNumberFormat="1" applyFont="1" applyFill="1" applyBorder="1" applyAlignment="1" applyProtection="1">
      <alignment horizontal="center" vertical="center"/>
      <protection locked="0"/>
    </xf>
    <xf numFmtId="169" fontId="51" fillId="4" borderId="17" xfId="0" applyNumberFormat="1" applyFont="1" applyFill="1" applyBorder="1" applyAlignment="1" applyProtection="1">
      <alignment horizontal="center" vertical="center"/>
      <protection locked="0"/>
    </xf>
    <xf numFmtId="2" fontId="48" fillId="12" borderId="63" xfId="0" applyNumberFormat="1" applyFont="1" applyFill="1" applyBorder="1" applyAlignment="1" applyProtection="1">
      <alignment horizontal="center" vertical="center"/>
      <protection hidden="1"/>
    </xf>
    <xf numFmtId="2" fontId="48" fillId="12" borderId="28" xfId="0" applyNumberFormat="1" applyFont="1" applyFill="1" applyBorder="1" applyAlignment="1" applyProtection="1">
      <alignment horizontal="center" vertical="center"/>
      <protection hidden="1"/>
    </xf>
    <xf numFmtId="2" fontId="65" fillId="12" borderId="63" xfId="0" applyNumberFormat="1" applyFont="1" applyFill="1" applyBorder="1" applyAlignment="1" applyProtection="1">
      <alignment horizontal="center" vertical="center"/>
      <protection hidden="1"/>
    </xf>
    <xf numFmtId="2" fontId="65" fillId="12" borderId="28" xfId="0" applyNumberFormat="1" applyFont="1" applyFill="1" applyBorder="1" applyAlignment="1" applyProtection="1">
      <alignment horizontal="center" vertical="center"/>
      <protection hidden="1"/>
    </xf>
    <xf numFmtId="0" fontId="11" fillId="34" borderId="3" xfId="0" applyFont="1" applyFill="1" applyBorder="1" applyAlignment="1" applyProtection="1">
      <alignment horizontal="center" vertical="center" wrapText="1"/>
      <protection hidden="1"/>
    </xf>
    <xf numFmtId="0" fontId="11" fillId="34" borderId="27" xfId="0" applyFont="1" applyFill="1" applyBorder="1" applyAlignment="1" applyProtection="1">
      <alignment horizontal="center" vertical="center" wrapText="1"/>
      <protection hidden="1"/>
    </xf>
    <xf numFmtId="0" fontId="11" fillId="34" borderId="53" xfId="0" applyFont="1" applyFill="1" applyBorder="1" applyAlignment="1" applyProtection="1">
      <alignment horizontal="center" vertical="center" wrapText="1"/>
      <protection hidden="1"/>
    </xf>
    <xf numFmtId="0" fontId="11" fillId="34" borderId="29" xfId="0" applyFont="1" applyFill="1" applyBorder="1" applyAlignment="1" applyProtection="1">
      <alignment horizontal="center" vertical="center" wrapText="1"/>
      <protection hidden="1"/>
    </xf>
    <xf numFmtId="169" fontId="51" fillId="4" borderId="1"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0" fontId="49" fillId="35" borderId="6" xfId="0" applyFont="1" applyFill="1" applyBorder="1" applyAlignment="1" applyProtection="1">
      <alignment horizontal="center" vertical="center" wrapText="1"/>
      <protection hidden="1"/>
    </xf>
    <xf numFmtId="0" fontId="49" fillId="35" borderId="7" xfId="0" applyFont="1" applyFill="1" applyBorder="1" applyAlignment="1" applyProtection="1">
      <alignment horizontal="center" vertical="center" wrapText="1"/>
      <protection hidden="1"/>
    </xf>
    <xf numFmtId="0" fontId="49" fillId="35" borderId="8" xfId="0" applyFont="1" applyFill="1" applyBorder="1" applyAlignment="1" applyProtection="1">
      <alignment horizontal="center" vertical="center" wrapText="1"/>
      <protection hidden="1"/>
    </xf>
    <xf numFmtId="2" fontId="61" fillId="11" borderId="1" xfId="0" applyNumberFormat="1" applyFont="1" applyFill="1" applyBorder="1" applyAlignment="1" applyProtection="1">
      <alignment horizontal="center" vertical="center"/>
      <protection hidden="1"/>
    </xf>
    <xf numFmtId="2" fontId="61" fillId="12" borderId="1" xfId="0" applyNumberFormat="1" applyFont="1" applyFill="1" applyBorder="1" applyAlignment="1" applyProtection="1">
      <alignment horizontal="center" vertical="center"/>
      <protection hidden="1"/>
    </xf>
    <xf numFmtId="2" fontId="46" fillId="12" borderId="1" xfId="0" applyNumberFormat="1" applyFont="1" applyFill="1" applyBorder="1" applyAlignment="1" applyProtection="1">
      <alignment horizontal="center" vertical="center"/>
      <protection hidden="1"/>
    </xf>
    <xf numFmtId="2" fontId="61" fillId="11" borderId="16" xfId="0" applyNumberFormat="1" applyFont="1" applyFill="1" applyBorder="1" applyAlignment="1" applyProtection="1">
      <alignment horizontal="center" vertical="center"/>
      <protection hidden="1"/>
    </xf>
    <xf numFmtId="2" fontId="48" fillId="11" borderId="63" xfId="0" applyNumberFormat="1" applyFont="1" applyFill="1" applyBorder="1" applyAlignment="1" applyProtection="1">
      <alignment horizontal="center" vertical="center"/>
      <protection hidden="1"/>
    </xf>
    <xf numFmtId="2" fontId="48" fillId="11" borderId="28" xfId="0" applyNumberFormat="1" applyFont="1" applyFill="1" applyBorder="1" applyAlignment="1" applyProtection="1">
      <alignment horizontal="center" vertical="center"/>
      <protection hidden="1"/>
    </xf>
    <xf numFmtId="2" fontId="48" fillId="11" borderId="64" xfId="0" applyNumberFormat="1" applyFont="1" applyFill="1" applyBorder="1" applyAlignment="1" applyProtection="1">
      <alignment horizontal="center" vertical="center"/>
      <protection hidden="1"/>
    </xf>
    <xf numFmtId="2" fontId="48" fillId="11" borderId="55" xfId="0" applyNumberFormat="1" applyFont="1" applyFill="1" applyBorder="1" applyAlignment="1" applyProtection="1">
      <alignment horizontal="center" vertical="center"/>
      <protection hidden="1"/>
    </xf>
    <xf numFmtId="0" fontId="19" fillId="34" borderId="2" xfId="0" applyFont="1" applyFill="1" applyBorder="1" applyAlignment="1" applyProtection="1">
      <alignment horizontal="center" vertical="center" wrapText="1"/>
      <protection hidden="1"/>
    </xf>
    <xf numFmtId="0" fontId="19" fillId="34" borderId="27" xfId="0" applyFont="1" applyFill="1" applyBorder="1" applyAlignment="1" applyProtection="1">
      <alignment horizontal="center" vertical="center" wrapText="1"/>
      <protection hidden="1"/>
    </xf>
    <xf numFmtId="0" fontId="8" fillId="35" borderId="2" xfId="0" applyFont="1" applyFill="1" applyBorder="1" applyAlignment="1" applyProtection="1">
      <alignment horizontal="center" vertical="center" wrapText="1"/>
      <protection hidden="1"/>
    </xf>
    <xf numFmtId="0" fontId="8" fillId="35" borderId="27"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2" fontId="65" fillId="11" borderId="63" xfId="0" applyNumberFormat="1" applyFont="1" applyFill="1" applyBorder="1" applyAlignment="1" applyProtection="1">
      <alignment horizontal="center" vertical="center"/>
      <protection hidden="1"/>
    </xf>
    <xf numFmtId="2" fontId="65" fillId="11" borderId="28" xfId="0" applyNumberFormat="1" applyFont="1" applyFill="1" applyBorder="1" applyAlignment="1" applyProtection="1">
      <alignment horizontal="center" vertical="center"/>
      <protection hidden="1"/>
    </xf>
    <xf numFmtId="2" fontId="65" fillId="11" borderId="63" xfId="0" applyNumberFormat="1" applyFont="1" applyFill="1" applyBorder="1" applyAlignment="1" applyProtection="1">
      <alignment horizontal="center" vertical="center" wrapText="1"/>
      <protection hidden="1"/>
    </xf>
    <xf numFmtId="2" fontId="65" fillId="11" borderId="28" xfId="0" applyNumberFormat="1" applyFont="1" applyFill="1" applyBorder="1" applyAlignment="1" applyProtection="1">
      <alignment horizontal="center" vertical="center" wrapText="1"/>
      <protection hidden="1"/>
    </xf>
    <xf numFmtId="2" fontId="61" fillId="12" borderId="5" xfId="0" applyNumberFormat="1" applyFont="1" applyFill="1" applyBorder="1" applyAlignment="1" applyProtection="1">
      <alignment horizontal="center" vertical="center" wrapText="1"/>
      <protection hidden="1"/>
    </xf>
    <xf numFmtId="2" fontId="80" fillId="12" borderId="20" xfId="0" applyNumberFormat="1" applyFont="1" applyFill="1" applyBorder="1" applyAlignment="1" applyProtection="1">
      <alignment horizontal="center" vertical="center"/>
      <protection hidden="1"/>
    </xf>
    <xf numFmtId="2" fontId="81" fillId="12" borderId="22" xfId="0" applyNumberFormat="1" applyFont="1" applyFill="1" applyBorder="1" applyAlignment="1" applyProtection="1">
      <alignment horizontal="center" vertical="center"/>
      <protection hidden="1"/>
    </xf>
    <xf numFmtId="169" fontId="51" fillId="4" borderId="64" xfId="0" applyNumberFormat="1" applyFont="1" applyFill="1" applyBorder="1" applyAlignment="1" applyProtection="1">
      <alignment horizontal="center" vertical="center"/>
      <protection locked="0"/>
    </xf>
    <xf numFmtId="169" fontId="51" fillId="4" borderId="61" xfId="0" applyNumberFormat="1" applyFont="1" applyFill="1" applyBorder="1" applyAlignment="1" applyProtection="1">
      <alignment horizontal="center" vertical="center"/>
      <protection locked="0"/>
    </xf>
    <xf numFmtId="0" fontId="41" fillId="37" borderId="2" xfId="0" applyFont="1" applyFill="1" applyBorder="1" applyAlignment="1" applyProtection="1">
      <alignment horizontal="center" vertical="center"/>
      <protection hidden="1"/>
    </xf>
    <xf numFmtId="0" fontId="41" fillId="37" borderId="3" xfId="0" applyFont="1" applyFill="1" applyBorder="1" applyAlignment="1" applyProtection="1">
      <alignment horizontal="center" vertical="center"/>
      <protection hidden="1"/>
    </xf>
    <xf numFmtId="0" fontId="41" fillId="37" borderId="4" xfId="0" applyFont="1" applyFill="1" applyBorder="1" applyAlignment="1" applyProtection="1">
      <alignment horizontal="center" vertical="center"/>
      <protection hidden="1"/>
    </xf>
    <xf numFmtId="169" fontId="51" fillId="4" borderId="63" xfId="0" applyNumberFormat="1" applyFont="1" applyFill="1" applyBorder="1" applyAlignment="1" applyProtection="1">
      <alignment horizontal="center" vertical="center"/>
      <protection locked="0"/>
    </xf>
    <xf numFmtId="169" fontId="51" fillId="4" borderId="60" xfId="0" applyNumberFormat="1" applyFont="1" applyFill="1" applyBorder="1" applyAlignment="1" applyProtection="1">
      <alignment horizontal="center" vertical="center"/>
      <protection locked="0"/>
    </xf>
    <xf numFmtId="2" fontId="4" fillId="4" borderId="90" xfId="0" applyNumberFormat="1" applyFont="1" applyFill="1" applyBorder="1" applyAlignment="1" applyProtection="1">
      <alignment horizontal="left" vertical="center"/>
      <protection locked="0"/>
    </xf>
    <xf numFmtId="2" fontId="4" fillId="4" borderId="55" xfId="0" applyNumberFormat="1" applyFont="1" applyFill="1" applyBorder="1" applyAlignment="1" applyProtection="1">
      <alignment horizontal="left" vertical="center"/>
      <protection locked="0"/>
    </xf>
    <xf numFmtId="0" fontId="8" fillId="34" borderId="65" xfId="0" applyFont="1" applyFill="1" applyBorder="1" applyAlignment="1" applyProtection="1">
      <alignment horizontal="center" vertical="center" wrapText="1"/>
      <protection hidden="1"/>
    </xf>
    <xf numFmtId="0" fontId="8" fillId="34" borderId="3" xfId="0" applyFont="1" applyFill="1" applyBorder="1" applyAlignment="1" applyProtection="1">
      <alignment horizontal="center" vertical="center" wrapText="1"/>
      <protection hidden="1"/>
    </xf>
    <xf numFmtId="0" fontId="8" fillId="34" borderId="27" xfId="0" applyFont="1" applyFill="1" applyBorder="1" applyAlignment="1" applyProtection="1">
      <alignment horizontal="center" vertical="center" wrapText="1"/>
      <protection hidden="1"/>
    </xf>
    <xf numFmtId="0" fontId="8" fillId="34" borderId="4" xfId="0" applyFont="1" applyFill="1" applyBorder="1" applyAlignment="1" applyProtection="1">
      <alignment horizontal="center" vertical="center" wrapText="1"/>
      <protection hidden="1"/>
    </xf>
    <xf numFmtId="1" fontId="45" fillId="4" borderId="20" xfId="0" applyNumberFormat="1" applyFont="1" applyFill="1" applyBorder="1" applyAlignment="1" applyProtection="1">
      <alignment horizontal="center" vertical="center"/>
      <protection locked="0"/>
    </xf>
    <xf numFmtId="1" fontId="45" fillId="4" borderId="32" xfId="0" applyNumberFormat="1" applyFont="1" applyFill="1" applyBorder="1" applyAlignment="1" applyProtection="1">
      <alignment horizontal="center" vertical="center"/>
      <protection locked="0"/>
    </xf>
    <xf numFmtId="0" fontId="26" fillId="0" borderId="34" xfId="0" applyFont="1" applyBorder="1" applyAlignment="1" applyProtection="1">
      <alignment horizontal="center" wrapText="1"/>
      <protection hidden="1"/>
    </xf>
    <xf numFmtId="0" fontId="26" fillId="0" borderId="23" xfId="0" applyFont="1" applyBorder="1" applyAlignment="1" applyProtection="1">
      <alignment horizontal="center" wrapText="1"/>
      <protection hidden="1"/>
    </xf>
    <xf numFmtId="0" fontId="26" fillId="0" borderId="59" xfId="0" applyFont="1" applyBorder="1" applyAlignment="1" applyProtection="1">
      <alignment horizontal="center" wrapText="1"/>
      <protection hidden="1"/>
    </xf>
    <xf numFmtId="0" fontId="26" fillId="0" borderId="62" xfId="0" applyFont="1" applyBorder="1" applyAlignment="1" applyProtection="1">
      <alignment horizontal="center" wrapText="1"/>
      <protection hidden="1"/>
    </xf>
    <xf numFmtId="0" fontId="26" fillId="0" borderId="35" xfId="0" applyFont="1" applyBorder="1" applyAlignment="1" applyProtection="1">
      <alignment horizontal="center" wrapText="1"/>
      <protection hidden="1"/>
    </xf>
    <xf numFmtId="0" fontId="12" fillId="0" borderId="2"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0" fontId="8" fillId="4" borderId="23" xfId="0" applyFont="1" applyFill="1" applyBorder="1" applyAlignment="1" applyProtection="1">
      <alignment horizontal="center" wrapText="1"/>
      <protection hidden="1"/>
    </xf>
    <xf numFmtId="166" fontId="19" fillId="4" borderId="0" xfId="0" applyNumberFormat="1" applyFont="1" applyFill="1" applyBorder="1" applyAlignment="1" applyProtection="1">
      <alignment horizontal="left" wrapText="1"/>
      <protection hidden="1"/>
    </xf>
    <xf numFmtId="0" fontId="19"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vertical="center" wrapText="1"/>
      <protection hidden="1"/>
    </xf>
    <xf numFmtId="0" fontId="8" fillId="4" borderId="49" xfId="0" applyFont="1" applyFill="1" applyBorder="1" applyAlignment="1" applyProtection="1">
      <alignment horizontal="left" vertical="center" wrapText="1"/>
      <protection hidden="1"/>
    </xf>
    <xf numFmtId="0" fontId="8" fillId="4" borderId="48" xfId="0" applyFont="1" applyFill="1" applyBorder="1" applyAlignment="1" applyProtection="1">
      <alignment horizontal="center" wrapText="1"/>
      <protection hidden="1"/>
    </xf>
    <xf numFmtId="0" fontId="8" fillId="4" borderId="0" xfId="0" applyFont="1" applyFill="1" applyBorder="1" applyAlignment="1" applyProtection="1">
      <alignment horizontal="center" wrapText="1"/>
      <protection hidden="1"/>
    </xf>
    <xf numFmtId="0" fontId="8" fillId="4" borderId="49" xfId="0" applyFont="1" applyFill="1" applyBorder="1" applyAlignment="1" applyProtection="1">
      <alignment horizontal="center" wrapText="1"/>
      <protection hidden="1"/>
    </xf>
    <xf numFmtId="0" fontId="7"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wrapText="1"/>
      <protection locked="0"/>
    </xf>
    <xf numFmtId="0" fontId="8" fillId="4" borderId="49" xfId="0" applyFont="1" applyFill="1" applyBorder="1" applyAlignment="1" applyProtection="1">
      <alignment horizontal="left" wrapText="1"/>
      <protection locked="0"/>
    </xf>
    <xf numFmtId="0" fontId="21" fillId="0" borderId="57" xfId="0" applyFont="1" applyBorder="1" applyAlignment="1" applyProtection="1">
      <alignment horizontal="center" vertical="center" wrapText="1"/>
      <protection locked="0"/>
    </xf>
    <xf numFmtId="0" fontId="21" fillId="0" borderId="60" xfId="0" applyFont="1" applyBorder="1" applyAlignment="1" applyProtection="1">
      <alignment horizontal="center" vertical="center" wrapText="1"/>
      <protection locked="0"/>
    </xf>
    <xf numFmtId="0" fontId="21" fillId="0" borderId="58"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19" fillId="4" borderId="0" xfId="0" applyFont="1" applyFill="1" applyBorder="1" applyAlignment="1" applyProtection="1">
      <alignment horizontal="right" wrapText="1"/>
      <protection hidden="1"/>
    </xf>
    <xf numFmtId="0" fontId="21" fillId="0" borderId="57" xfId="0" applyFont="1" applyBorder="1" applyAlignment="1" applyProtection="1">
      <alignment horizontal="center" vertical="center" wrapText="1"/>
      <protection hidden="1"/>
    </xf>
    <xf numFmtId="0" fontId="21" fillId="0" borderId="60" xfId="0" applyFont="1" applyBorder="1" applyAlignment="1" applyProtection="1">
      <alignment horizontal="center" vertical="center" wrapText="1"/>
      <protection hidden="1"/>
    </xf>
    <xf numFmtId="0" fontId="29" fillId="4" borderId="30" xfId="0" applyFont="1" applyFill="1" applyBorder="1" applyAlignment="1" applyProtection="1">
      <alignment horizontal="center" wrapText="1"/>
      <protection hidden="1"/>
    </xf>
    <xf numFmtId="0" fontId="29" fillId="4" borderId="9" xfId="0" applyFont="1" applyFill="1" applyBorder="1" applyAlignment="1" applyProtection="1">
      <alignment horizontal="center" wrapText="1"/>
      <protection hidden="1"/>
    </xf>
    <xf numFmtId="0" fontId="29" fillId="4" borderId="31" xfId="0" applyFont="1" applyFill="1" applyBorder="1" applyAlignment="1" applyProtection="1">
      <alignment horizontal="center" wrapText="1"/>
      <protection hidden="1"/>
    </xf>
    <xf numFmtId="0" fontId="19" fillId="4" borderId="9" xfId="0" applyFont="1" applyFill="1" applyBorder="1" applyAlignment="1" applyProtection="1">
      <alignment horizontal="right" wrapText="1"/>
      <protection hidden="1"/>
    </xf>
    <xf numFmtId="0" fontId="19" fillId="4" borderId="9" xfId="0" applyFont="1" applyFill="1" applyBorder="1" applyAlignment="1" applyProtection="1">
      <alignment horizontal="left" wrapText="1"/>
      <protection hidden="1"/>
    </xf>
    <xf numFmtId="0" fontId="19" fillId="4" borderId="9" xfId="0" applyFont="1" applyFill="1" applyBorder="1" applyAlignment="1" applyProtection="1">
      <alignment horizontal="right" vertical="center" wrapText="1"/>
      <protection hidden="1"/>
    </xf>
    <xf numFmtId="0" fontId="8" fillId="4" borderId="9" xfId="0" applyFont="1" applyFill="1" applyBorder="1" applyAlignment="1" applyProtection="1">
      <alignment horizontal="left" vertical="center" wrapText="1"/>
      <protection hidden="1"/>
    </xf>
    <xf numFmtId="0" fontId="8" fillId="4" borderId="31" xfId="0" applyFont="1" applyFill="1" applyBorder="1" applyAlignment="1" applyProtection="1">
      <alignment horizontal="left" vertical="center" wrapText="1"/>
      <protection hidden="1"/>
    </xf>
    <xf numFmtId="0" fontId="20" fillId="4" borderId="9" xfId="0" applyFont="1" applyFill="1" applyBorder="1" applyAlignment="1" applyProtection="1">
      <alignment horizontal="left" wrapText="1"/>
      <protection hidden="1"/>
    </xf>
    <xf numFmtId="0" fontId="20" fillId="4" borderId="30" xfId="0" applyFont="1" applyFill="1" applyBorder="1" applyAlignment="1" applyProtection="1">
      <alignment horizontal="right" wrapText="1"/>
      <protection hidden="1"/>
    </xf>
    <xf numFmtId="0" fontId="20" fillId="4" borderId="9" xfId="0" applyFont="1" applyFill="1" applyBorder="1" applyAlignment="1" applyProtection="1">
      <alignment horizontal="right" wrapText="1"/>
      <protection hidden="1"/>
    </xf>
    <xf numFmtId="0" fontId="20" fillId="4" borderId="0" xfId="0" applyFont="1" applyFill="1" applyBorder="1" applyAlignment="1" applyProtection="1">
      <alignment horizontal="left" wrapText="1"/>
      <protection hidden="1"/>
    </xf>
    <xf numFmtId="0" fontId="20" fillId="4" borderId="48" xfId="0" applyFont="1" applyFill="1" applyBorder="1" applyAlignment="1" applyProtection="1">
      <alignment horizontal="right" wrapText="1"/>
      <protection hidden="1"/>
    </xf>
    <xf numFmtId="0" fontId="20" fillId="4" borderId="0" xfId="0" applyFont="1" applyFill="1" applyBorder="1" applyAlignment="1" applyProtection="1">
      <alignment horizontal="right" wrapText="1"/>
      <protection hidden="1"/>
    </xf>
    <xf numFmtId="0" fontId="12" fillId="4" borderId="48" xfId="0" applyFont="1" applyFill="1" applyBorder="1" applyAlignment="1" applyProtection="1">
      <alignment horizontal="center" wrapText="1"/>
      <protection hidden="1"/>
    </xf>
    <xf numFmtId="0" fontId="8" fillId="4" borderId="34" xfId="0" applyFont="1" applyFill="1" applyBorder="1" applyAlignment="1" applyProtection="1">
      <alignment horizontal="center" wrapText="1"/>
      <protection hidden="1"/>
    </xf>
    <xf numFmtId="0" fontId="8" fillId="4" borderId="35" xfId="0" applyFont="1" applyFill="1" applyBorder="1" applyAlignment="1" applyProtection="1">
      <alignment horizontal="center" wrapText="1"/>
      <protection hidden="1"/>
    </xf>
    <xf numFmtId="0" fontId="11" fillId="0" borderId="31"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9" fillId="0" borderId="30"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58" fillId="0" borderId="57" xfId="0" applyFont="1" applyBorder="1" applyAlignment="1" applyProtection="1">
      <alignment horizontal="center" vertical="center" wrapText="1"/>
      <protection hidden="1"/>
    </xf>
    <xf numFmtId="0" fontId="58" fillId="0" borderId="60"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0" fillId="0" borderId="54" xfId="0" applyFont="1" applyBorder="1" applyAlignment="1" applyProtection="1">
      <alignment horizontal="center" vertical="center" wrapText="1"/>
      <protection hidden="1"/>
    </xf>
    <xf numFmtId="0" fontId="10" fillId="0" borderId="19" xfId="0" applyFont="1" applyBorder="1" applyAlignment="1" applyProtection="1">
      <alignment horizontal="center" vertical="center" wrapText="1"/>
      <protection hidden="1"/>
    </xf>
    <xf numFmtId="0" fontId="54" fillId="0" borderId="29" xfId="0" applyFont="1" applyBorder="1" applyAlignment="1" applyProtection="1">
      <alignment horizontal="center" vertical="center" wrapText="1"/>
      <protection hidden="1"/>
    </xf>
    <xf numFmtId="0" fontId="54" fillId="0" borderId="59" xfId="0" applyFont="1" applyBorder="1" applyAlignment="1" applyProtection="1">
      <alignment horizontal="center" vertical="center" wrapText="1"/>
      <protection hidden="1"/>
    </xf>
    <xf numFmtId="0" fontId="10" fillId="0" borderId="53" xfId="0" applyFont="1" applyBorder="1" applyAlignment="1" applyProtection="1">
      <alignment horizontal="center" vertical="center" wrapText="1"/>
      <protection hidden="1"/>
    </xf>
    <xf numFmtId="0" fontId="10" fillId="0" borderId="62" xfId="0" applyFont="1" applyBorder="1" applyAlignment="1" applyProtection="1">
      <alignment horizontal="center" vertical="center" wrapText="1"/>
      <protection hidden="1"/>
    </xf>
    <xf numFmtId="0" fontId="17" fillId="0" borderId="56" xfId="0" applyFont="1" applyBorder="1" applyAlignment="1" applyProtection="1">
      <alignment horizontal="center" vertical="center" wrapText="1"/>
      <protection hidden="1"/>
    </xf>
    <xf numFmtId="0" fontId="17" fillId="0" borderId="2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55" fillId="0" borderId="57" xfId="0" applyFont="1" applyBorder="1" applyAlignment="1" applyProtection="1">
      <alignment horizontal="center" vertical="center" wrapText="1"/>
      <protection hidden="1"/>
    </xf>
    <xf numFmtId="0" fontId="55" fillId="0" borderId="60" xfId="0" applyFont="1" applyBorder="1" applyAlignment="1" applyProtection="1">
      <alignment horizontal="center" vertical="center" wrapText="1"/>
      <protection hidden="1"/>
    </xf>
    <xf numFmtId="0" fontId="48" fillId="0" borderId="25" xfId="1" applyFont="1" applyBorder="1" applyAlignment="1" applyProtection="1">
      <alignment horizontal="center" vertical="center"/>
      <protection hidden="1"/>
    </xf>
    <xf numFmtId="0" fontId="48" fillId="0" borderId="26" xfId="1" applyFont="1" applyBorder="1" applyAlignment="1" applyProtection="1">
      <alignment horizontal="center" vertical="center"/>
      <protection hidden="1"/>
    </xf>
    <xf numFmtId="0" fontId="48" fillId="0" borderId="122" xfId="1"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73" fillId="15" borderId="123" xfId="1" applyFont="1" applyFill="1" applyBorder="1" applyAlignment="1" applyProtection="1">
      <alignment horizontal="center" vertical="center"/>
      <protection hidden="1"/>
    </xf>
    <xf numFmtId="0" fontId="73" fillId="15" borderId="124" xfId="1" applyFont="1" applyFill="1" applyBorder="1" applyAlignment="1" applyProtection="1">
      <alignment horizontal="center" vertical="center"/>
      <protection hidden="1"/>
    </xf>
    <xf numFmtId="0" fontId="73" fillId="15" borderId="125" xfId="1" applyFont="1" applyFill="1" applyBorder="1" applyAlignment="1" applyProtection="1">
      <alignment horizontal="center" vertical="center"/>
      <protection hidden="1"/>
    </xf>
    <xf numFmtId="0" fontId="48" fillId="0" borderId="24" xfId="1" applyFont="1" applyBorder="1" applyAlignment="1" applyProtection="1">
      <alignment horizontal="left" vertical="center" wrapText="1"/>
      <protection hidden="1"/>
    </xf>
    <xf numFmtId="0" fontId="48" fillId="0" borderId="24" xfId="1" applyFont="1" applyBorder="1" applyAlignment="1" applyProtection="1">
      <alignment horizontal="center" vertical="center"/>
      <protection hidden="1"/>
    </xf>
    <xf numFmtId="0" fontId="48" fillId="0" borderId="24" xfId="1" applyFont="1" applyBorder="1" applyAlignment="1" applyProtection="1">
      <alignment horizontal="center" vertical="top"/>
      <protection hidden="1"/>
    </xf>
    <xf numFmtId="0" fontId="69" fillId="0" borderId="25" xfId="1" applyFont="1" applyBorder="1" applyAlignment="1" applyProtection="1">
      <alignment horizontal="right" vertical="center"/>
      <protection hidden="1"/>
    </xf>
    <xf numFmtId="0" fontId="69" fillId="0" borderId="122" xfId="1" applyFont="1" applyBorder="1" applyAlignment="1" applyProtection="1">
      <alignment horizontal="right" vertical="center"/>
      <protection hidden="1"/>
    </xf>
    <xf numFmtId="0" fontId="69" fillId="0" borderId="26" xfId="1" applyFont="1" applyBorder="1" applyAlignment="1" applyProtection="1">
      <alignment horizontal="right" vertical="center"/>
      <protection hidden="1"/>
    </xf>
    <xf numFmtId="0" fontId="60" fillId="0" borderId="109" xfId="1" applyFont="1" applyBorder="1" applyAlignment="1" applyProtection="1">
      <alignment horizontal="center" vertical="center"/>
      <protection hidden="1"/>
    </xf>
    <xf numFmtId="0" fontId="151" fillId="0" borderId="24" xfId="1" applyFont="1" applyBorder="1" applyAlignment="1" applyProtection="1">
      <alignment horizontal="center" vertical="center" wrapText="1"/>
      <protection hidden="1"/>
    </xf>
    <xf numFmtId="2" fontId="150" fillId="0" borderId="24" xfId="1" applyNumberFormat="1" applyFont="1" applyBorder="1" applyAlignment="1" applyProtection="1">
      <alignment horizontal="left" vertical="center"/>
      <protection hidden="1"/>
    </xf>
    <xf numFmtId="0" fontId="150" fillId="0" borderId="24" xfId="1" applyFont="1" applyBorder="1" applyAlignment="1" applyProtection="1">
      <alignment horizontal="left" vertical="center"/>
      <protection hidden="1"/>
    </xf>
    <xf numFmtId="0" fontId="69" fillId="0" borderId="24" xfId="1" applyFont="1" applyBorder="1" applyAlignment="1" applyProtection="1">
      <alignment horizontal="center" vertical="center"/>
      <protection hidden="1"/>
    </xf>
    <xf numFmtId="2" fontId="60" fillId="0" borderId="24" xfId="1" applyNumberFormat="1" applyFont="1" applyBorder="1" applyAlignment="1" applyProtection="1">
      <alignment horizontal="center" vertical="center"/>
      <protection hidden="1"/>
    </xf>
    <xf numFmtId="2" fontId="67" fillId="0" borderId="24" xfId="1" applyNumberFormat="1" applyFont="1" applyBorder="1" applyAlignment="1" applyProtection="1">
      <alignment horizontal="center" vertical="center"/>
      <protection hidden="1"/>
    </xf>
    <xf numFmtId="0" fontId="48" fillId="0" borderId="25" xfId="1" applyFont="1" applyBorder="1" applyAlignment="1" applyProtection="1">
      <alignment horizontal="right" vertical="center"/>
      <protection hidden="1"/>
    </xf>
    <xf numFmtId="0" fontId="48" fillId="0" borderId="122" xfId="1" applyFont="1" applyBorder="1" applyAlignment="1" applyProtection="1">
      <alignment horizontal="right" vertical="center"/>
      <protection hidden="1"/>
    </xf>
    <xf numFmtId="0" fontId="48" fillId="0" borderId="26"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wrapText="1"/>
      <protection hidden="1"/>
    </xf>
    <xf numFmtId="2" fontId="48" fillId="0" borderId="24" xfId="0" applyNumberFormat="1" applyFont="1" applyBorder="1" applyAlignment="1" applyProtection="1">
      <alignment horizontal="left" vertical="center"/>
      <protection hidden="1"/>
    </xf>
    <xf numFmtId="0" fontId="150" fillId="0" borderId="25" xfId="1" applyFont="1" applyFill="1" applyBorder="1" applyAlignment="1" applyProtection="1">
      <alignment vertical="center"/>
      <protection hidden="1"/>
    </xf>
    <xf numFmtId="0" fontId="150" fillId="0" borderId="122" xfId="1" applyFont="1" applyFill="1" applyBorder="1" applyAlignment="1" applyProtection="1">
      <alignment vertical="center"/>
      <protection hidden="1"/>
    </xf>
    <xf numFmtId="0" fontId="150" fillId="0" borderId="26" xfId="1" applyFont="1" applyFill="1" applyBorder="1" applyAlignment="1" applyProtection="1">
      <alignment vertical="center"/>
      <protection hidden="1"/>
    </xf>
    <xf numFmtId="0" fontId="73" fillId="4" borderId="0" xfId="1" applyFont="1" applyFill="1" applyBorder="1" applyAlignment="1" applyProtection="1">
      <alignment horizontal="center" vertical="center"/>
      <protection hidden="1"/>
    </xf>
    <xf numFmtId="0" fontId="74" fillId="0" borderId="126" xfId="1" applyFont="1" applyBorder="1" applyAlignment="1" applyProtection="1">
      <alignment horizontal="right" vertical="center"/>
      <protection hidden="1"/>
    </xf>
    <xf numFmtId="0" fontId="74" fillId="0" borderId="127" xfId="1" applyFont="1" applyBorder="1" applyAlignment="1" applyProtection="1">
      <alignment horizontal="right" vertical="center"/>
      <protection hidden="1"/>
    </xf>
    <xf numFmtId="0" fontId="74" fillId="0" borderId="128" xfId="1" applyFont="1" applyBorder="1" applyAlignment="1" applyProtection="1">
      <alignment horizontal="right" vertical="center"/>
      <protection hidden="1"/>
    </xf>
    <xf numFmtId="0" fontId="79" fillId="10" borderId="126" xfId="1" applyFont="1" applyFill="1" applyBorder="1" applyAlignment="1" applyProtection="1">
      <alignment horizontal="left" vertical="center" indent="5"/>
      <protection hidden="1"/>
    </xf>
    <xf numFmtId="0" fontId="79" fillId="10" borderId="127" xfId="1" applyFont="1" applyFill="1" applyBorder="1" applyAlignment="1" applyProtection="1">
      <alignment horizontal="left" vertical="center" indent="5"/>
      <protection hidden="1"/>
    </xf>
    <xf numFmtId="0" fontId="79" fillId="10" borderId="128" xfId="1" applyFont="1" applyFill="1" applyBorder="1" applyAlignment="1" applyProtection="1">
      <alignment horizontal="left" vertical="center" indent="5"/>
      <protection hidden="1"/>
    </xf>
    <xf numFmtId="0" fontId="66" fillId="0" borderId="100" xfId="1" applyFont="1" applyBorder="1" applyAlignment="1" applyProtection="1">
      <alignment horizontal="left" vertical="center"/>
      <protection hidden="1"/>
    </xf>
    <xf numFmtId="0" fontId="11" fillId="0" borderId="100" xfId="2" applyFont="1" applyFill="1" applyBorder="1" applyAlignment="1" applyProtection="1">
      <alignment horizontal="left" vertical="center"/>
      <protection hidden="1"/>
    </xf>
    <xf numFmtId="0" fontId="11" fillId="0" borderId="100" xfId="1" applyFont="1" applyFill="1" applyBorder="1" applyAlignment="1" applyProtection="1">
      <alignment horizontal="left" vertical="center"/>
      <protection hidden="1"/>
    </xf>
    <xf numFmtId="0" fontId="11" fillId="0" borderId="100" xfId="1" applyFont="1" applyFill="1" applyBorder="1" applyAlignment="1" applyProtection="1">
      <alignment horizontal="center" vertical="center"/>
      <protection hidden="1"/>
    </xf>
    <xf numFmtId="0" fontId="11" fillId="0" borderId="117" xfId="1" applyFont="1" applyFill="1" applyBorder="1" applyAlignment="1" applyProtection="1">
      <alignment horizontal="center" vertical="center"/>
      <protection hidden="1"/>
    </xf>
    <xf numFmtId="0" fontId="48" fillId="0" borderId="107" xfId="1" applyFont="1" applyBorder="1" applyAlignment="1" applyProtection="1">
      <alignment horizontal="left" vertical="center"/>
      <protection hidden="1"/>
    </xf>
    <xf numFmtId="0" fontId="68" fillId="0" borderId="24" xfId="1" applyFont="1" applyBorder="1" applyAlignment="1" applyProtection="1">
      <alignment horizontal="right" vertical="center"/>
      <protection hidden="1"/>
    </xf>
    <xf numFmtId="0" fontId="60" fillId="0" borderId="109" xfId="1" applyFont="1" applyBorder="1" applyAlignment="1" applyProtection="1">
      <alignment horizontal="center" vertical="top"/>
      <protection hidden="1"/>
    </xf>
    <xf numFmtId="2" fontId="153" fillId="0" borderId="24" xfId="1" applyNumberFormat="1" applyFont="1" applyBorder="1" applyAlignment="1" applyProtection="1">
      <alignment horizontal="center" vertical="center"/>
      <protection hidden="1"/>
    </xf>
    <xf numFmtId="0" fontId="60" fillId="0" borderId="24" xfId="1" applyFont="1" applyBorder="1" applyAlignment="1" applyProtection="1">
      <alignment horizontal="center" vertical="center"/>
      <protection hidden="1"/>
    </xf>
    <xf numFmtId="0" fontId="60" fillId="0" borderId="110" xfId="1" applyFont="1" applyBorder="1" applyAlignment="1" applyProtection="1">
      <alignment horizontal="center" vertical="center"/>
      <protection hidden="1"/>
    </xf>
    <xf numFmtId="0" fontId="48" fillId="0" borderId="24" xfId="1" applyFont="1" applyBorder="1" applyAlignment="1" applyProtection="1">
      <alignment horizontal="left" vertical="center"/>
      <protection hidden="1"/>
    </xf>
    <xf numFmtId="0" fontId="48" fillId="0" borderId="110" xfId="1" applyFont="1" applyBorder="1" applyAlignment="1" applyProtection="1">
      <alignment horizontal="center" vertical="center"/>
      <protection hidden="1"/>
    </xf>
    <xf numFmtId="0" fontId="150" fillId="0" borderId="24" xfId="1" applyFont="1" applyFill="1" applyBorder="1" applyAlignment="1" applyProtection="1">
      <alignment vertical="center"/>
      <protection hidden="1"/>
    </xf>
    <xf numFmtId="0" fontId="69" fillId="0" borderId="112" xfId="1" applyFont="1" applyBorder="1" applyAlignment="1" applyProtection="1">
      <alignment horizontal="right" vertical="center" wrapText="1"/>
      <protection hidden="1"/>
    </xf>
    <xf numFmtId="0" fontId="17" fillId="0" borderId="100" xfId="1" applyFont="1" applyBorder="1" applyAlignment="1" applyProtection="1">
      <alignment horizontal="left" vertical="center"/>
      <protection hidden="1"/>
    </xf>
    <xf numFmtId="0" fontId="60" fillId="0" borderId="106" xfId="1" applyFont="1" applyBorder="1" applyAlignment="1" applyProtection="1">
      <alignment horizontal="center" vertical="top"/>
      <protection hidden="1"/>
    </xf>
    <xf numFmtId="0" fontId="154" fillId="0" borderId="107" xfId="1" applyFont="1" applyBorder="1" applyAlignment="1" applyProtection="1">
      <alignment horizontal="left" vertical="center"/>
      <protection hidden="1"/>
    </xf>
    <xf numFmtId="0" fontId="154" fillId="0" borderId="108" xfId="1" applyFont="1" applyBorder="1" applyAlignment="1" applyProtection="1">
      <alignment horizontal="left" vertical="center"/>
      <protection hidden="1"/>
    </xf>
    <xf numFmtId="0" fontId="154" fillId="0" borderId="24" xfId="1" applyFont="1" applyBorder="1" applyAlignment="1" applyProtection="1">
      <alignment horizontal="left" vertical="center"/>
      <protection hidden="1"/>
    </xf>
    <xf numFmtId="0" fontId="154" fillId="0" borderId="110" xfId="1" applyFont="1" applyBorder="1" applyAlignment="1" applyProtection="1">
      <alignment horizontal="left" vertical="center"/>
      <protection hidden="1"/>
    </xf>
    <xf numFmtId="0" fontId="153" fillId="16" borderId="24" xfId="1" applyFont="1" applyFill="1" applyBorder="1" applyAlignment="1" applyProtection="1">
      <alignment horizontal="center" vertical="center"/>
      <protection hidden="1"/>
    </xf>
    <xf numFmtId="0" fontId="153" fillId="16" borderId="110" xfId="1" applyFont="1" applyFill="1" applyBorder="1" applyAlignment="1" applyProtection="1">
      <alignment horizontal="center" vertical="center"/>
      <protection hidden="1"/>
    </xf>
    <xf numFmtId="0" fontId="152" fillId="0" borderId="24" xfId="1" applyFont="1" applyBorder="1" applyAlignment="1" applyProtection="1">
      <alignment horizontal="left" vertical="center"/>
      <protection hidden="1"/>
    </xf>
    <xf numFmtId="0" fontId="154" fillId="0" borderId="24" xfId="1" applyFont="1" applyBorder="1" applyAlignment="1" applyProtection="1">
      <alignment horizontal="right" vertical="center"/>
      <protection hidden="1"/>
    </xf>
    <xf numFmtId="0" fontId="28" fillId="0" borderId="24" xfId="1" applyFont="1" applyBorder="1" applyAlignment="1" applyProtection="1">
      <alignment horizontal="right" vertical="center"/>
      <protection hidden="1"/>
    </xf>
    <xf numFmtId="0" fontId="150" fillId="0" borderId="24" xfId="1" applyFont="1" applyBorder="1" applyAlignment="1" applyProtection="1">
      <alignment horizontal="left" vertical="center" wrapText="1"/>
      <protection hidden="1"/>
    </xf>
    <xf numFmtId="0" fontId="60" fillId="0" borderId="114" xfId="1" applyFont="1" applyBorder="1" applyAlignment="1" applyProtection="1">
      <alignment horizontal="center" vertical="top"/>
      <protection hidden="1"/>
    </xf>
    <xf numFmtId="0" fontId="70" fillId="0" borderId="24" xfId="1" applyFont="1" applyBorder="1" applyAlignment="1" applyProtection="1">
      <alignment horizontal="left" vertical="center"/>
      <protection hidden="1"/>
    </xf>
    <xf numFmtId="0" fontId="70" fillId="0" borderId="110" xfId="1" applyFont="1" applyBorder="1" applyAlignment="1" applyProtection="1">
      <alignment horizontal="left" vertical="center"/>
      <protection hidden="1"/>
    </xf>
    <xf numFmtId="0" fontId="69" fillId="0" borderId="52" xfId="1" applyFont="1" applyBorder="1" applyAlignment="1" applyProtection="1">
      <alignment horizontal="right" vertical="center"/>
      <protection hidden="1"/>
    </xf>
    <xf numFmtId="0" fontId="48" fillId="0" borderId="178" xfId="1" applyFont="1" applyBorder="1" applyAlignment="1" applyProtection="1">
      <alignment horizontal="left" vertical="top" wrapText="1"/>
      <protection hidden="1"/>
    </xf>
    <xf numFmtId="0" fontId="48" fillId="0" borderId="38" xfId="1" applyFont="1" applyBorder="1" applyAlignment="1" applyProtection="1">
      <alignment horizontal="left" vertical="top"/>
      <protection hidden="1"/>
    </xf>
    <xf numFmtId="0" fontId="48" fillId="0" borderId="51" xfId="1" applyFont="1" applyBorder="1" applyAlignment="1" applyProtection="1">
      <alignment horizontal="left" vertical="top"/>
      <protection hidden="1"/>
    </xf>
    <xf numFmtId="0" fontId="48" fillId="0" borderId="257" xfId="1" applyFont="1" applyBorder="1" applyAlignment="1" applyProtection="1">
      <alignment horizontal="left" vertical="top"/>
      <protection hidden="1"/>
    </xf>
    <xf numFmtId="0" fontId="48" fillId="0" borderId="258" xfId="1" applyFont="1" applyBorder="1" applyAlignment="1" applyProtection="1">
      <alignment horizontal="left" vertical="top"/>
      <protection hidden="1"/>
    </xf>
    <xf numFmtId="0" fontId="48" fillId="0" borderId="259" xfId="1" applyFont="1" applyBorder="1" applyAlignment="1" applyProtection="1">
      <alignment horizontal="left" vertical="top"/>
      <protection hidden="1"/>
    </xf>
    <xf numFmtId="0" fontId="61" fillId="0" borderId="52" xfId="1" applyFont="1" applyBorder="1" applyAlignment="1" applyProtection="1">
      <alignment horizontal="center" vertical="center"/>
      <protection hidden="1"/>
    </xf>
    <xf numFmtId="0" fontId="61" fillId="0" borderId="260" xfId="1" applyFont="1" applyBorder="1" applyAlignment="1" applyProtection="1">
      <alignment horizontal="center" vertical="center"/>
      <protection hidden="1"/>
    </xf>
    <xf numFmtId="2" fontId="65" fillId="11" borderId="115" xfId="1" applyNumberFormat="1" applyFont="1" applyFill="1" applyBorder="1" applyAlignment="1" applyProtection="1">
      <alignment horizontal="right" vertical="center"/>
      <protection locked="0" hidden="1"/>
    </xf>
    <xf numFmtId="2" fontId="65" fillId="11" borderId="261" xfId="1" applyNumberFormat="1" applyFont="1" applyFill="1" applyBorder="1" applyAlignment="1" applyProtection="1">
      <alignment horizontal="right" vertical="center"/>
      <protection locked="0" hidden="1"/>
    </xf>
    <xf numFmtId="0" fontId="48" fillId="0" borderId="178" xfId="1" applyFont="1" applyBorder="1" applyAlignment="1" applyProtection="1">
      <alignment horizontal="left" vertical="top" wrapText="1"/>
      <protection locked="0"/>
    </xf>
    <xf numFmtId="0" fontId="48" fillId="0" borderId="38" xfId="1" applyFont="1" applyBorder="1" applyAlignment="1" applyProtection="1">
      <alignment horizontal="left" vertical="top"/>
      <protection locked="0"/>
    </xf>
    <xf numFmtId="0" fontId="48" fillId="0" borderId="51" xfId="1" applyFont="1" applyBorder="1" applyAlignment="1" applyProtection="1">
      <alignment horizontal="left" vertical="top"/>
      <protection locked="0"/>
    </xf>
    <xf numFmtId="0" fontId="48" fillId="0" borderId="257" xfId="1" applyFont="1" applyBorder="1" applyAlignment="1" applyProtection="1">
      <alignment horizontal="left" vertical="top"/>
      <protection locked="0"/>
    </xf>
    <xf numFmtId="0" fontId="48" fillId="0" borderId="258" xfId="1" applyFont="1" applyBorder="1" applyAlignment="1" applyProtection="1">
      <alignment horizontal="left" vertical="top"/>
      <protection locked="0"/>
    </xf>
    <xf numFmtId="0" fontId="48" fillId="0" borderId="259" xfId="1" applyFont="1" applyBorder="1" applyAlignment="1" applyProtection="1">
      <alignment horizontal="left" vertical="top"/>
      <protection locked="0"/>
    </xf>
    <xf numFmtId="0" fontId="61" fillId="0" borderId="52" xfId="1" applyFont="1" applyBorder="1" applyAlignment="1" applyProtection="1">
      <alignment horizontal="center" vertical="center"/>
      <protection locked="0"/>
    </xf>
    <xf numFmtId="0" fontId="61" fillId="0" borderId="260" xfId="1" applyFont="1" applyBorder="1" applyAlignment="1" applyProtection="1">
      <alignment horizontal="center" vertical="center"/>
      <protection locked="0"/>
    </xf>
    <xf numFmtId="2" fontId="65" fillId="4" borderId="115" xfId="1" applyNumberFormat="1" applyFont="1" applyFill="1" applyBorder="1" applyAlignment="1" applyProtection="1">
      <alignment horizontal="right" vertical="center"/>
      <protection locked="0"/>
    </xf>
    <xf numFmtId="2" fontId="65" fillId="4" borderId="261" xfId="1" applyNumberFormat="1" applyFont="1" applyFill="1" applyBorder="1" applyAlignment="1" applyProtection="1">
      <alignment horizontal="right" vertical="center"/>
      <protection locked="0"/>
    </xf>
    <xf numFmtId="0" fontId="62" fillId="0" borderId="119" xfId="1" applyFont="1" applyBorder="1" applyAlignment="1" applyProtection="1">
      <alignment horizontal="left" vertical="center"/>
      <protection hidden="1"/>
    </xf>
    <xf numFmtId="0" fontId="17" fillId="0" borderId="107" xfId="1" applyFont="1" applyBorder="1" applyAlignment="1" applyProtection="1">
      <alignment horizontal="left" vertical="center"/>
      <protection hidden="1"/>
    </xf>
    <xf numFmtId="0" fontId="17" fillId="0" borderId="112" xfId="1" applyFont="1" applyBorder="1" applyAlignment="1" applyProtection="1">
      <alignment horizontal="left" vertical="center"/>
      <protection hidden="1"/>
    </xf>
    <xf numFmtId="0" fontId="69" fillId="0" borderId="107" xfId="1" applyFont="1" applyBorder="1" applyAlignment="1" applyProtection="1">
      <alignment horizontal="left" vertical="center"/>
      <protection hidden="1"/>
    </xf>
    <xf numFmtId="0" fontId="69" fillId="0" borderId="108" xfId="1" applyFont="1" applyBorder="1" applyAlignment="1" applyProtection="1">
      <alignment horizontal="left" vertical="center"/>
      <protection hidden="1"/>
    </xf>
    <xf numFmtId="0" fontId="69" fillId="0" borderId="25" xfId="1" applyFont="1" applyBorder="1" applyAlignment="1" applyProtection="1">
      <alignment horizontal="center" vertical="center"/>
      <protection hidden="1"/>
    </xf>
    <xf numFmtId="0" fontId="69" fillId="0" borderId="122" xfId="1" applyFont="1" applyBorder="1" applyAlignment="1" applyProtection="1">
      <alignment horizontal="center" vertical="center"/>
      <protection hidden="1"/>
    </xf>
    <xf numFmtId="0" fontId="69" fillId="0" borderId="26" xfId="1" applyFont="1" applyBorder="1" applyAlignment="1" applyProtection="1">
      <alignment horizontal="center" vertical="center"/>
      <protection hidden="1"/>
    </xf>
    <xf numFmtId="0" fontId="71" fillId="0" borderId="25" xfId="1" applyFont="1" applyBorder="1" applyAlignment="1" applyProtection="1">
      <alignment horizontal="center" vertical="center"/>
      <protection hidden="1"/>
    </xf>
    <xf numFmtId="0" fontId="71" fillId="0" borderId="122"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17" fillId="0" borderId="24" xfId="1" applyFont="1" applyBorder="1" applyAlignment="1" applyProtection="1">
      <alignment horizontal="left" vertical="center"/>
      <protection hidden="1"/>
    </xf>
    <xf numFmtId="2" fontId="17" fillId="0" borderId="24" xfId="0" applyNumberFormat="1" applyFont="1" applyBorder="1" applyAlignment="1" applyProtection="1">
      <alignment horizontal="left" vertical="center"/>
      <protection hidden="1"/>
    </xf>
    <xf numFmtId="2" fontId="146" fillId="0" borderId="24" xfId="0" applyNumberFormat="1" applyFont="1" applyBorder="1" applyAlignment="1" applyProtection="1">
      <alignment horizontal="left" vertical="center"/>
      <protection hidden="1"/>
    </xf>
    <xf numFmtId="2" fontId="147" fillId="0" borderId="24" xfId="0" applyNumberFormat="1" applyFont="1" applyBorder="1" applyAlignment="1" applyProtection="1">
      <alignment horizontal="left" vertical="center"/>
      <protection hidden="1"/>
    </xf>
    <xf numFmtId="0" fontId="80" fillId="0" borderId="25" xfId="1" applyFont="1" applyBorder="1" applyAlignment="1" applyProtection="1">
      <alignment horizontal="center" vertical="center" wrapText="1"/>
      <protection hidden="1"/>
    </xf>
    <xf numFmtId="0" fontId="80" fillId="0" borderId="26" xfId="1" applyFont="1" applyBorder="1" applyAlignment="1" applyProtection="1">
      <alignment horizontal="center" vertical="center" wrapText="1"/>
      <protection hidden="1"/>
    </xf>
    <xf numFmtId="0" fontId="80" fillId="0" borderId="122" xfId="1" applyFont="1" applyBorder="1" applyAlignment="1" applyProtection="1">
      <alignment horizontal="center" vertical="center" wrapText="1"/>
      <protection hidden="1"/>
    </xf>
    <xf numFmtId="0" fontId="72" fillId="0" borderId="107" xfId="1" applyFont="1" applyBorder="1" applyAlignment="1" applyProtection="1">
      <alignment horizontal="center" vertical="center" wrapText="1"/>
      <protection hidden="1"/>
    </xf>
    <xf numFmtId="0" fontId="69" fillId="0" borderId="107" xfId="1" applyFont="1" applyBorder="1" applyAlignment="1" applyProtection="1">
      <alignment horizontal="center" vertical="center" wrapText="1"/>
      <protection hidden="1"/>
    </xf>
    <xf numFmtId="0" fontId="69" fillId="0" borderId="108"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0" fillId="0" borderId="24" xfId="1" applyFont="1" applyBorder="1" applyAlignment="1" applyProtection="1">
      <alignment horizontal="center" wrapText="1"/>
      <protection hidden="1"/>
    </xf>
    <xf numFmtId="0" fontId="72" fillId="0" borderId="112" xfId="1" applyFont="1" applyBorder="1" applyAlignment="1" applyProtection="1">
      <alignment horizontal="right" vertical="center" wrapText="1"/>
      <protection hidden="1"/>
    </xf>
    <xf numFmtId="0" fontId="72" fillId="0" borderId="112"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protection hidden="1"/>
    </xf>
    <xf numFmtId="2" fontId="17" fillId="0" borderId="25" xfId="0" applyNumberFormat="1" applyFont="1" applyBorder="1" applyAlignment="1" applyProtection="1">
      <alignment horizontal="right" vertical="center"/>
      <protection hidden="1"/>
    </xf>
    <xf numFmtId="2" fontId="17" fillId="0" borderId="122" xfId="0" applyNumberFormat="1" applyFont="1" applyBorder="1" applyAlignment="1" applyProtection="1">
      <alignment horizontal="right" vertical="center"/>
      <protection hidden="1"/>
    </xf>
    <xf numFmtId="2" fontId="17" fillId="0" borderId="26" xfId="0" applyNumberFormat="1" applyFont="1" applyBorder="1" applyAlignment="1" applyProtection="1">
      <alignment horizontal="right" vertical="center"/>
      <protection hidden="1"/>
    </xf>
    <xf numFmtId="0" fontId="29" fillId="19" borderId="0" xfId="0" applyFont="1" applyFill="1" applyBorder="1" applyAlignment="1" applyProtection="1">
      <alignment horizontal="center" vertical="center" wrapText="1"/>
      <protection hidden="1"/>
    </xf>
    <xf numFmtId="2" fontId="7" fillId="0" borderId="24" xfId="0" applyNumberFormat="1" applyFont="1" applyBorder="1" applyAlignment="1" applyProtection="1">
      <alignment horizontal="left" vertical="center"/>
      <protection hidden="1"/>
    </xf>
    <xf numFmtId="170" fontId="84" fillId="4" borderId="0" xfId="0" applyNumberFormat="1" applyFont="1" applyFill="1" applyBorder="1" applyAlignment="1" applyProtection="1">
      <alignment horizontal="center" vertical="center"/>
      <protection hidden="1"/>
    </xf>
    <xf numFmtId="0" fontId="162" fillId="18" borderId="239" xfId="0" applyFont="1" applyFill="1" applyBorder="1" applyAlignment="1" applyProtection="1">
      <alignment horizontal="center" vertical="center" wrapText="1"/>
      <protection hidden="1"/>
    </xf>
    <xf numFmtId="0" fontId="162" fillId="18" borderId="240" xfId="0" applyFont="1" applyFill="1" applyBorder="1" applyAlignment="1" applyProtection="1">
      <alignment horizontal="center" vertical="center" wrapText="1"/>
      <protection hidden="1"/>
    </xf>
    <xf numFmtId="0" fontId="162" fillId="18" borderId="179" xfId="0" applyFont="1" applyFill="1" applyBorder="1" applyAlignment="1" applyProtection="1">
      <alignment horizontal="center" vertical="center" wrapText="1"/>
      <protection hidden="1"/>
    </xf>
    <xf numFmtId="0" fontId="162" fillId="18" borderId="241" xfId="0" applyFont="1" applyFill="1" applyBorder="1" applyAlignment="1" applyProtection="1">
      <alignment horizontal="center" vertical="center" wrapText="1"/>
      <protection hidden="1"/>
    </xf>
    <xf numFmtId="0" fontId="162" fillId="18" borderId="242" xfId="0" applyFont="1" applyFill="1" applyBorder="1" applyAlignment="1" applyProtection="1">
      <alignment horizontal="center" vertical="center" wrapText="1"/>
      <protection hidden="1"/>
    </xf>
    <xf numFmtId="0" fontId="162" fillId="18" borderId="243" xfId="0" applyFont="1" applyFill="1" applyBorder="1" applyAlignment="1" applyProtection="1">
      <alignment horizontal="center" vertical="center" wrapText="1"/>
      <protection hidden="1"/>
    </xf>
    <xf numFmtId="0" fontId="8" fillId="0" borderId="244" xfId="0" applyFont="1" applyBorder="1" applyAlignment="1" applyProtection="1">
      <alignment horizontal="center" vertical="center" wrapText="1"/>
      <protection hidden="1"/>
    </xf>
    <xf numFmtId="0" fontId="8" fillId="0" borderId="246" xfId="0" applyFont="1" applyBorder="1" applyAlignment="1" applyProtection="1">
      <alignment horizontal="center" vertical="center" wrapText="1"/>
      <protection hidden="1"/>
    </xf>
    <xf numFmtId="0" fontId="8" fillId="0" borderId="248" xfId="0" applyFont="1" applyBorder="1" applyAlignment="1" applyProtection="1">
      <alignment horizontal="center" vertical="center" wrapText="1"/>
      <protection hidden="1"/>
    </xf>
    <xf numFmtId="2" fontId="8" fillId="0" borderId="245" xfId="0" applyNumberFormat="1" applyFont="1" applyBorder="1" applyAlignment="1" applyProtection="1">
      <alignment horizontal="center" vertical="center" wrapText="1"/>
      <protection hidden="1"/>
    </xf>
    <xf numFmtId="0" fontId="8" fillId="0" borderId="247" xfId="0" applyFont="1" applyBorder="1" applyAlignment="1" applyProtection="1">
      <alignment horizontal="center" vertical="center" wrapText="1"/>
      <protection hidden="1"/>
    </xf>
    <xf numFmtId="2" fontId="8" fillId="0" borderId="247" xfId="0" applyNumberFormat="1" applyFont="1" applyBorder="1" applyAlignment="1" applyProtection="1">
      <alignment horizontal="center" vertical="center" wrapText="1"/>
      <protection hidden="1"/>
    </xf>
    <xf numFmtId="0" fontId="8" fillId="0" borderId="249" xfId="0" applyFont="1" applyBorder="1" applyAlignment="1" applyProtection="1">
      <alignment horizontal="center" vertical="center" wrapText="1"/>
      <protection hidden="1"/>
    </xf>
    <xf numFmtId="2" fontId="145" fillId="4" borderId="0" xfId="1" applyNumberFormat="1" applyFont="1" applyFill="1" applyBorder="1" applyAlignment="1" applyProtection="1">
      <alignment horizontal="center" vertical="center"/>
      <protection hidden="1"/>
    </xf>
    <xf numFmtId="0" fontId="145" fillId="4" borderId="0" xfId="1" applyFont="1" applyFill="1" applyBorder="1" applyAlignment="1" applyProtection="1">
      <alignment horizontal="center" vertical="center"/>
      <protection hidden="1"/>
    </xf>
    <xf numFmtId="0" fontId="83" fillId="3" borderId="250" xfId="0" applyFont="1" applyFill="1" applyBorder="1" applyAlignment="1" applyProtection="1">
      <alignment horizontal="center" vertical="center"/>
      <protection hidden="1"/>
    </xf>
    <xf numFmtId="0" fontId="83" fillId="3" borderId="251" xfId="0" applyFont="1" applyFill="1" applyBorder="1" applyAlignment="1" applyProtection="1">
      <alignment horizontal="center" vertical="center"/>
      <protection hidden="1"/>
    </xf>
    <xf numFmtId="0" fontId="69" fillId="0" borderId="112" xfId="1" applyFont="1" applyBorder="1" applyAlignment="1" applyProtection="1">
      <alignment horizontal="right" vertical="center"/>
      <protection hidden="1"/>
    </xf>
    <xf numFmtId="0" fontId="62" fillId="0" borderId="121" xfId="1" applyFont="1" applyBorder="1" applyAlignment="1" applyProtection="1">
      <alignment horizontal="center"/>
      <protection hidden="1"/>
    </xf>
    <xf numFmtId="0" fontId="62" fillId="0" borderId="0" xfId="1" applyFont="1" applyBorder="1" applyAlignment="1" applyProtection="1">
      <alignment horizontal="center"/>
      <protection hidden="1"/>
    </xf>
    <xf numFmtId="0" fontId="60" fillId="0" borderId="106" xfId="1" applyFont="1" applyBorder="1" applyAlignment="1" applyProtection="1">
      <alignment horizontal="center" vertical="center"/>
      <protection hidden="1"/>
    </xf>
    <xf numFmtId="0" fontId="17" fillId="0" borderId="107" xfId="1" applyFont="1" applyBorder="1" applyAlignment="1" applyProtection="1">
      <alignment horizontal="center" vertical="center" textRotation="90" wrapText="1"/>
      <protection hidden="1"/>
    </xf>
    <xf numFmtId="0" fontId="17" fillId="0" borderId="24" xfId="1" applyFont="1" applyBorder="1" applyAlignment="1" applyProtection="1">
      <alignment horizontal="center" vertical="center" textRotation="90" wrapText="1"/>
      <protection hidden="1"/>
    </xf>
    <xf numFmtId="0" fontId="17" fillId="0" borderId="112" xfId="1" applyFont="1" applyBorder="1" applyAlignment="1" applyProtection="1">
      <alignment horizontal="center" vertical="center" textRotation="90" wrapText="1"/>
      <protection hidden="1"/>
    </xf>
    <xf numFmtId="0" fontId="71" fillId="0" borderId="107" xfId="1" applyFont="1" applyBorder="1" applyAlignment="1" applyProtection="1">
      <alignment horizontal="center" vertical="center" wrapText="1"/>
      <protection hidden="1"/>
    </xf>
    <xf numFmtId="0" fontId="8" fillId="0" borderId="146" xfId="0" applyFont="1" applyBorder="1" applyAlignment="1" applyProtection="1">
      <alignment horizontal="center" vertical="center" wrapText="1"/>
      <protection hidden="1"/>
    </xf>
    <xf numFmtId="0" fontId="8" fillId="0" borderId="75" xfId="0" applyFont="1" applyBorder="1" applyAlignment="1" applyProtection="1">
      <alignment horizontal="center" vertical="center" wrapText="1"/>
      <protection hidden="1"/>
    </xf>
    <xf numFmtId="170" fontId="84" fillId="0" borderId="146" xfId="0" applyNumberFormat="1" applyFont="1" applyBorder="1" applyAlignment="1" applyProtection="1">
      <alignment horizontal="center" vertical="center"/>
      <protection hidden="1"/>
    </xf>
    <xf numFmtId="170" fontId="84" fillId="0" borderId="245" xfId="0" applyNumberFormat="1" applyFont="1" applyBorder="1" applyAlignment="1" applyProtection="1">
      <alignment horizontal="center" vertical="center"/>
      <protection hidden="1"/>
    </xf>
    <xf numFmtId="170" fontId="84" fillId="0" borderId="75" xfId="0" applyNumberFormat="1" applyFont="1" applyBorder="1" applyAlignment="1" applyProtection="1">
      <alignment horizontal="center" vertical="center"/>
      <protection hidden="1"/>
    </xf>
    <xf numFmtId="170" fontId="84" fillId="0" borderId="247" xfId="0" applyNumberFormat="1" applyFont="1" applyBorder="1" applyAlignment="1" applyProtection="1">
      <alignment horizontal="center" vertical="center"/>
      <protection hidden="1"/>
    </xf>
    <xf numFmtId="0" fontId="25" fillId="3" borderId="246" xfId="0" applyFont="1" applyFill="1" applyBorder="1" applyAlignment="1" applyProtection="1">
      <alignment horizontal="center" vertical="center"/>
      <protection hidden="1"/>
    </xf>
    <xf numFmtId="0" fontId="25" fillId="3" borderId="75" xfId="0" applyFont="1" applyFill="1" applyBorder="1" applyAlignment="1" applyProtection="1">
      <alignment horizontal="center" vertical="center"/>
      <protection hidden="1"/>
    </xf>
    <xf numFmtId="0" fontId="25" fillId="3" borderId="247" xfId="0" applyFont="1" applyFill="1" applyBorder="1" applyAlignment="1" applyProtection="1">
      <alignment horizontal="center" vertical="center"/>
      <protection hidden="1"/>
    </xf>
    <xf numFmtId="0" fontId="29" fillId="19" borderId="0" xfId="0" applyFont="1" applyFill="1" applyAlignment="1" applyProtection="1">
      <alignment horizontal="center" vertical="center" wrapText="1"/>
      <protection hidden="1"/>
    </xf>
    <xf numFmtId="0" fontId="83" fillId="3" borderId="253" xfId="0" applyFont="1" applyFill="1" applyBorder="1" applyAlignment="1" applyProtection="1">
      <alignment horizontal="center" vertical="center"/>
      <protection hidden="1"/>
    </xf>
    <xf numFmtId="0" fontId="83" fillId="3" borderId="254" xfId="0" applyFont="1" applyFill="1" applyBorder="1" applyAlignment="1" applyProtection="1">
      <alignment horizontal="center" vertical="center"/>
      <protection hidden="1"/>
    </xf>
    <xf numFmtId="0" fontId="83" fillId="3" borderId="255" xfId="0" applyFont="1" applyFill="1" applyBorder="1" applyAlignment="1" applyProtection="1">
      <alignment horizontal="center" vertical="center"/>
      <protection hidden="1"/>
    </xf>
    <xf numFmtId="0" fontId="85" fillId="18" borderId="239" xfId="0" applyFont="1" applyFill="1" applyBorder="1" applyAlignment="1" applyProtection="1">
      <alignment horizontal="center" vertical="center" wrapText="1"/>
      <protection hidden="1"/>
    </xf>
    <xf numFmtId="0" fontId="85" fillId="18" borderId="252" xfId="0" applyFont="1" applyFill="1" applyBorder="1" applyAlignment="1" applyProtection="1">
      <alignment horizontal="center" vertical="center" wrapText="1"/>
      <protection hidden="1"/>
    </xf>
    <xf numFmtId="0" fontId="85" fillId="18" borderId="240" xfId="0" applyFont="1" applyFill="1" applyBorder="1" applyAlignment="1" applyProtection="1">
      <alignment horizontal="center" vertical="center" wrapText="1"/>
      <protection hidden="1"/>
    </xf>
    <xf numFmtId="0" fontId="85" fillId="18" borderId="179" xfId="0" applyFont="1" applyFill="1" applyBorder="1" applyAlignment="1" applyProtection="1">
      <alignment horizontal="center" vertical="center" wrapText="1"/>
      <protection hidden="1"/>
    </xf>
    <xf numFmtId="0" fontId="85" fillId="18" borderId="0" xfId="0" applyFont="1" applyFill="1" applyBorder="1" applyAlignment="1" applyProtection="1">
      <alignment horizontal="center" vertical="center" wrapText="1"/>
      <protection hidden="1"/>
    </xf>
    <xf numFmtId="0" fontId="85" fillId="18" borderId="241" xfId="0" applyFont="1" applyFill="1" applyBorder="1" applyAlignment="1" applyProtection="1">
      <alignment horizontal="center" vertical="center" wrapText="1"/>
      <protection hidden="1"/>
    </xf>
    <xf numFmtId="0" fontId="85" fillId="18" borderId="242" xfId="0" applyFont="1" applyFill="1" applyBorder="1" applyAlignment="1" applyProtection="1">
      <alignment horizontal="center" vertical="center" wrapText="1"/>
      <protection hidden="1"/>
    </xf>
    <xf numFmtId="0" fontId="85" fillId="18" borderId="256" xfId="0" applyFont="1" applyFill="1" applyBorder="1" applyAlignment="1" applyProtection="1">
      <alignment horizontal="center" vertical="center" wrapText="1"/>
      <protection hidden="1"/>
    </xf>
    <xf numFmtId="0" fontId="85" fillId="18" borderId="243" xfId="0" applyFont="1" applyFill="1" applyBorder="1" applyAlignment="1" applyProtection="1">
      <alignment horizontal="center" vertical="center" wrapText="1"/>
      <protection hidden="1"/>
    </xf>
    <xf numFmtId="0" fontId="83" fillId="19" borderId="0" xfId="0" applyFont="1" applyFill="1" applyBorder="1" applyAlignment="1" applyProtection="1">
      <alignment horizontal="center" vertical="center"/>
      <protection hidden="1"/>
    </xf>
    <xf numFmtId="2" fontId="73" fillId="4" borderId="0" xfId="1" applyNumberFormat="1" applyFont="1" applyFill="1" applyBorder="1" applyAlignment="1" applyProtection="1">
      <alignment horizontal="center" vertical="center"/>
      <protection hidden="1"/>
    </xf>
    <xf numFmtId="0" fontId="48" fillId="0" borderId="25" xfId="1" applyFont="1" applyFill="1" applyBorder="1" applyAlignment="1" applyProtection="1">
      <alignment vertical="center"/>
      <protection hidden="1"/>
    </xf>
    <xf numFmtId="0" fontId="48" fillId="0" borderId="122" xfId="1" applyFont="1" applyFill="1" applyBorder="1" applyAlignment="1" applyProtection="1">
      <alignment vertical="center"/>
      <protection hidden="1"/>
    </xf>
    <xf numFmtId="0" fontId="48" fillId="0" borderId="26" xfId="1" applyFont="1" applyFill="1" applyBorder="1" applyAlignment="1" applyProtection="1">
      <alignment vertical="center"/>
      <protection hidden="1"/>
    </xf>
    <xf numFmtId="2" fontId="80" fillId="0" borderId="24" xfId="0" applyNumberFormat="1" applyFont="1" applyBorder="1" applyAlignment="1" applyProtection="1">
      <alignment horizontal="left" vertical="center"/>
      <protection hidden="1"/>
    </xf>
    <xf numFmtId="0" fontId="69" fillId="0" borderId="24" xfId="1" applyFont="1" applyBorder="1" applyAlignment="1" applyProtection="1">
      <alignment horizontal="left" vertical="center"/>
      <protection hidden="1"/>
    </xf>
    <xf numFmtId="0" fontId="48" fillId="0" borderId="24" xfId="1" applyFont="1" applyBorder="1" applyAlignment="1" applyProtection="1">
      <alignment horizontal="left" vertical="top"/>
      <protection hidden="1"/>
    </xf>
    <xf numFmtId="0" fontId="65" fillId="0" borderId="24" xfId="1" applyFont="1" applyBorder="1" applyAlignment="1" applyProtection="1">
      <alignment horizontal="left" vertical="center"/>
      <protection hidden="1"/>
    </xf>
    <xf numFmtId="0" fontId="70" fillId="0" borderId="107" xfId="1" applyFont="1" applyBorder="1" applyAlignment="1" applyProtection="1">
      <alignment horizontal="left" vertical="center"/>
      <protection hidden="1"/>
    </xf>
    <xf numFmtId="0" fontId="70" fillId="0" borderId="108" xfId="1" applyFont="1" applyBorder="1" applyAlignment="1" applyProtection="1">
      <alignment horizontal="left" vertical="center"/>
      <protection hidden="1"/>
    </xf>
    <xf numFmtId="0" fontId="69" fillId="0" borderId="110" xfId="1" applyFont="1" applyBorder="1" applyAlignment="1" applyProtection="1">
      <alignment horizontal="left" vertical="center"/>
      <protection hidden="1"/>
    </xf>
    <xf numFmtId="0" fontId="60" fillId="16" borderId="24" xfId="1" applyFont="1" applyFill="1" applyBorder="1" applyAlignment="1" applyProtection="1">
      <alignment horizontal="center" vertical="center"/>
      <protection hidden="1"/>
    </xf>
    <xf numFmtId="0" fontId="60" fillId="16" borderId="110" xfId="1" applyFont="1" applyFill="1" applyBorder="1" applyAlignment="1" applyProtection="1">
      <alignment horizontal="center" vertical="center"/>
      <protection hidden="1"/>
    </xf>
    <xf numFmtId="0" fontId="48" fillId="0" borderId="24" xfId="1" applyFont="1" applyFill="1" applyBorder="1" applyAlignment="1" applyProtection="1">
      <alignment vertical="center"/>
      <protection hidden="1"/>
    </xf>
    <xf numFmtId="0" fontId="48" fillId="11" borderId="24" xfId="1" applyFont="1" applyFill="1" applyBorder="1" applyAlignment="1" applyProtection="1">
      <alignment vertical="center"/>
      <protection locked="0"/>
    </xf>
    <xf numFmtId="0" fontId="69" fillId="0" borderId="24" xfId="1" applyFont="1" applyBorder="1" applyAlignment="1" applyProtection="1">
      <alignment horizontal="right" vertical="center"/>
      <protection hidden="1"/>
    </xf>
    <xf numFmtId="0" fontId="61" fillId="0" borderId="24" xfId="1" applyFont="1" applyBorder="1" applyAlignment="1" applyProtection="1">
      <alignment horizontal="center" vertical="center" wrapText="1"/>
      <protection hidden="1"/>
    </xf>
    <xf numFmtId="2" fontId="48" fillId="0" borderId="24" xfId="1" applyNumberFormat="1" applyFont="1" applyBorder="1" applyAlignment="1" applyProtection="1">
      <alignment horizontal="left" vertical="center"/>
      <protection hidden="1"/>
    </xf>
    <xf numFmtId="0" fontId="74" fillId="0" borderId="123" xfId="1" applyFont="1" applyBorder="1" applyAlignment="1" applyProtection="1">
      <alignment horizontal="right" vertical="center"/>
      <protection hidden="1"/>
    </xf>
    <xf numFmtId="0" fontId="74" fillId="0" borderId="124" xfId="1" applyFont="1" applyBorder="1" applyAlignment="1" applyProtection="1">
      <alignment horizontal="right" vertical="center"/>
      <protection hidden="1"/>
    </xf>
    <xf numFmtId="0" fontId="74" fillId="0" borderId="124" xfId="1" applyFont="1" applyBorder="1" applyAlignment="1" applyProtection="1">
      <alignment horizontal="left" vertical="center"/>
      <protection hidden="1"/>
    </xf>
    <xf numFmtId="0" fontId="74" fillId="0" borderId="125" xfId="1" applyFont="1" applyBorder="1" applyAlignment="1" applyProtection="1">
      <alignment horizontal="left" vertical="center"/>
      <protection hidden="1"/>
    </xf>
    <xf numFmtId="2" fontId="17" fillId="0" borderId="24" xfId="0" applyNumberFormat="1" applyFont="1" applyBorder="1" applyAlignment="1" applyProtection="1">
      <alignment horizontal="left" vertical="center" wrapText="1"/>
      <protection hidden="1"/>
    </xf>
    <xf numFmtId="172" fontId="52" fillId="11" borderId="0" xfId="3" applyNumberFormat="1" applyFont="1" applyFill="1" applyBorder="1" applyAlignment="1" applyProtection="1">
      <alignment horizontal="left"/>
      <protection locked="0"/>
    </xf>
    <xf numFmtId="1" fontId="52" fillId="4" borderId="0" xfId="3" applyNumberFormat="1" applyFont="1" applyFill="1" applyBorder="1" applyAlignment="1" applyProtection="1">
      <alignment horizontal="center"/>
      <protection hidden="1"/>
    </xf>
    <xf numFmtId="1" fontId="52" fillId="4" borderId="0" xfId="3" applyNumberFormat="1" applyFont="1" applyFill="1" applyBorder="1" applyAlignment="1" applyProtection="1">
      <alignment horizontal="left"/>
      <protection hidden="1"/>
    </xf>
    <xf numFmtId="0" fontId="0" fillId="4" borderId="256" xfId="0" applyFill="1" applyBorder="1" applyAlignment="1" applyProtection="1">
      <alignment horizontal="center"/>
      <protection hidden="1"/>
    </xf>
    <xf numFmtId="1" fontId="90" fillId="10" borderId="48" xfId="0" applyNumberFormat="1" applyFont="1" applyFill="1" applyBorder="1" applyAlignment="1" applyProtection="1">
      <alignment horizontal="center"/>
      <protection hidden="1"/>
    </xf>
    <xf numFmtId="1" fontId="90" fillId="10" borderId="0" xfId="0" applyNumberFormat="1" applyFont="1" applyFill="1" applyBorder="1" applyAlignment="1" applyProtection="1">
      <alignment horizontal="center"/>
      <protection hidden="1"/>
    </xf>
    <xf numFmtId="1" fontId="90" fillId="10" borderId="49" xfId="0" applyNumberFormat="1" applyFont="1" applyFill="1" applyBorder="1" applyAlignment="1" applyProtection="1">
      <alignment horizontal="center"/>
      <protection hidden="1"/>
    </xf>
    <xf numFmtId="1" fontId="87" fillId="4" borderId="267" xfId="3" applyNumberFormat="1" applyFont="1" applyFill="1" applyBorder="1" applyAlignment="1" applyProtection="1">
      <alignment horizontal="center"/>
      <protection hidden="1"/>
    </xf>
    <xf numFmtId="1" fontId="87" fillId="4" borderId="135" xfId="3" applyNumberFormat="1" applyFont="1" applyFill="1" applyBorder="1" applyAlignment="1" applyProtection="1">
      <alignment horizontal="center"/>
      <protection hidden="1"/>
    </xf>
    <xf numFmtId="1" fontId="52" fillId="4" borderId="48" xfId="3" applyNumberFormat="1" applyFont="1" applyFill="1" applyBorder="1" applyAlignment="1" applyProtection="1">
      <alignment horizontal="left" vertical="center" wrapText="1"/>
      <protection hidden="1"/>
    </xf>
    <xf numFmtId="1" fontId="52" fillId="4" borderId="0" xfId="3" applyNumberFormat="1" applyFont="1" applyFill="1" applyBorder="1" applyAlignment="1" applyProtection="1">
      <alignment horizontal="left" vertical="center" wrapText="1"/>
      <protection hidden="1"/>
    </xf>
    <xf numFmtId="1" fontId="52" fillId="4" borderId="49" xfId="3" applyNumberFormat="1" applyFont="1" applyFill="1" applyBorder="1" applyAlignment="1" applyProtection="1">
      <alignment horizontal="left" vertical="center" wrapText="1"/>
      <protection hidden="1"/>
    </xf>
    <xf numFmtId="1" fontId="52" fillId="4" borderId="49" xfId="3" applyNumberFormat="1" applyFont="1" applyFill="1" applyBorder="1" applyAlignment="1" applyProtection="1">
      <alignment horizontal="left"/>
      <protection hidden="1"/>
    </xf>
    <xf numFmtId="1" fontId="91" fillId="4" borderId="0" xfId="3" applyNumberFormat="1" applyFont="1" applyFill="1" applyBorder="1" applyAlignment="1" applyProtection="1">
      <alignment horizontal="left"/>
      <protection hidden="1"/>
    </xf>
    <xf numFmtId="1" fontId="87" fillId="4" borderId="48" xfId="3" applyNumberFormat="1" applyFont="1" applyFill="1" applyBorder="1" applyAlignment="1" applyProtection="1">
      <alignment horizontal="left" vertical="center"/>
      <protection hidden="1"/>
    </xf>
    <xf numFmtId="1" fontId="87" fillId="4" borderId="0" xfId="3" applyNumberFormat="1" applyFont="1" applyFill="1" applyBorder="1" applyAlignment="1" applyProtection="1">
      <alignment horizontal="left" vertical="center"/>
      <protection hidden="1"/>
    </xf>
    <xf numFmtId="1" fontId="87" fillId="4" borderId="84" xfId="3" applyNumberFormat="1" applyFont="1" applyFill="1" applyBorder="1" applyAlignment="1" applyProtection="1">
      <alignment horizontal="left" vertical="center"/>
      <protection hidden="1"/>
    </xf>
    <xf numFmtId="1" fontId="87" fillId="4" borderId="87" xfId="3" applyNumberFormat="1" applyFont="1" applyFill="1" applyBorder="1" applyAlignment="1" applyProtection="1">
      <alignment horizontal="center"/>
      <protection hidden="1"/>
    </xf>
    <xf numFmtId="1" fontId="87" fillId="4" borderId="84" xfId="3" applyNumberFormat="1" applyFont="1" applyFill="1" applyBorder="1" applyAlignment="1" applyProtection="1">
      <alignment horizontal="center"/>
      <protection hidden="1"/>
    </xf>
    <xf numFmtId="1" fontId="94" fillId="15" borderId="136" xfId="3" applyNumberFormat="1" applyFont="1" applyFill="1" applyBorder="1" applyAlignment="1" applyProtection="1">
      <alignment horizontal="center" vertical="center"/>
      <protection hidden="1"/>
    </xf>
    <xf numFmtId="1" fontId="94" fillId="15" borderId="137" xfId="3" applyNumberFormat="1" applyFont="1" applyFill="1" applyBorder="1" applyAlignment="1" applyProtection="1">
      <alignment horizontal="center" vertical="center"/>
      <protection hidden="1"/>
    </xf>
    <xf numFmtId="1" fontId="92" fillId="4" borderId="269" xfId="3" applyNumberFormat="1" applyFont="1" applyFill="1" applyBorder="1" applyAlignment="1" applyProtection="1">
      <alignment horizontal="center"/>
      <protection hidden="1"/>
    </xf>
    <xf numFmtId="1" fontId="92" fillId="4" borderId="134" xfId="3" applyNumberFormat="1" applyFont="1" applyFill="1" applyBorder="1" applyAlignment="1" applyProtection="1">
      <alignment horizontal="center"/>
      <protection hidden="1"/>
    </xf>
    <xf numFmtId="1" fontId="92" fillId="4" borderId="268" xfId="3" applyNumberFormat="1" applyFont="1" applyFill="1" applyBorder="1" applyAlignment="1" applyProtection="1">
      <alignment horizontal="center"/>
      <protection hidden="1"/>
    </xf>
    <xf numFmtId="1" fontId="87" fillId="4" borderId="134" xfId="3" applyNumberFormat="1" applyFont="1" applyFill="1" applyBorder="1" applyAlignment="1" applyProtection="1">
      <alignment horizontal="center"/>
      <protection hidden="1"/>
    </xf>
    <xf numFmtId="1" fontId="87" fillId="4" borderId="134" xfId="0" applyNumberFormat="1" applyFont="1" applyFill="1" applyBorder="1" applyAlignment="1" applyProtection="1">
      <alignment horizontal="center"/>
      <protection hidden="1"/>
    </xf>
    <xf numFmtId="1" fontId="27" fillId="4" borderId="134" xfId="0" applyNumberFormat="1" applyFont="1" applyFill="1" applyBorder="1" applyAlignment="1" applyProtection="1">
      <alignment horizontal="center"/>
      <protection hidden="1"/>
    </xf>
    <xf numFmtId="1" fontId="90" fillId="15" borderId="48" xfId="3" applyNumberFormat="1" applyFont="1" applyFill="1" applyBorder="1" applyAlignment="1" applyProtection="1">
      <alignment horizontal="center"/>
      <protection hidden="1"/>
    </xf>
    <xf numFmtId="1" fontId="90" fillId="15" borderId="0" xfId="3" applyNumberFormat="1" applyFont="1" applyFill="1" applyBorder="1" applyAlignment="1" applyProtection="1">
      <alignment horizontal="center"/>
      <protection hidden="1"/>
    </xf>
    <xf numFmtId="1" fontId="90" fillId="15" borderId="84" xfId="3" applyNumberFormat="1" applyFont="1" applyFill="1" applyBorder="1" applyAlignment="1" applyProtection="1">
      <alignment horizontal="center"/>
      <protection hidden="1"/>
    </xf>
    <xf numFmtId="1" fontId="90" fillId="15" borderId="87" xfId="3" applyNumberFormat="1" applyFont="1" applyFill="1" applyBorder="1" applyAlignment="1" applyProtection="1">
      <alignment horizontal="center"/>
      <protection hidden="1"/>
    </xf>
    <xf numFmtId="170" fontId="94" fillId="15" borderId="87" xfId="3" applyNumberFormat="1" applyFont="1" applyFill="1" applyBorder="1" applyAlignment="1" applyProtection="1">
      <alignment horizontal="center"/>
      <protection hidden="1"/>
    </xf>
    <xf numFmtId="170" fontId="94" fillId="15" borderId="49" xfId="3" applyNumberFormat="1" applyFont="1" applyFill="1" applyBorder="1" applyAlignment="1" applyProtection="1">
      <alignment horizontal="center"/>
      <protection hidden="1"/>
    </xf>
    <xf numFmtId="1" fontId="52" fillId="4" borderId="87" xfId="3" applyNumberFormat="1" applyFont="1" applyFill="1" applyBorder="1" applyAlignment="1" applyProtection="1">
      <alignment horizontal="center"/>
      <protection hidden="1"/>
    </xf>
    <xf numFmtId="1" fontId="52" fillId="4" borderId="49" xfId="3" applyNumberFormat="1" applyFont="1" applyFill="1" applyBorder="1" applyAlignment="1" applyProtection="1">
      <alignment horizontal="center"/>
      <protection hidden="1"/>
    </xf>
    <xf numFmtId="1" fontId="87" fillId="4" borderId="48" xfId="3" applyNumberFormat="1" applyFont="1" applyFill="1" applyBorder="1" applyAlignment="1" applyProtection="1">
      <alignment horizontal="center" vertical="center" wrapText="1"/>
      <protection hidden="1"/>
    </xf>
    <xf numFmtId="1" fontId="87" fillId="4" borderId="0" xfId="3" applyNumberFormat="1" applyFont="1" applyFill="1" applyBorder="1" applyAlignment="1" applyProtection="1">
      <alignment horizontal="center" vertical="center" wrapText="1"/>
      <protection hidden="1"/>
    </xf>
    <xf numFmtId="1" fontId="87" fillId="4" borderId="84" xfId="3" applyNumberFormat="1" applyFont="1" applyFill="1" applyBorder="1" applyAlignment="1" applyProtection="1">
      <alignment horizontal="center" vertical="center" wrapText="1"/>
      <protection hidden="1"/>
    </xf>
    <xf numFmtId="1" fontId="91" fillId="4" borderId="149" xfId="3" applyNumberFormat="1" applyFont="1" applyFill="1" applyBorder="1" applyAlignment="1" applyProtection="1">
      <alignment horizontal="center" wrapText="1"/>
      <protection hidden="1"/>
    </xf>
    <xf numFmtId="170" fontId="52" fillId="4" borderId="87" xfId="3" applyNumberFormat="1" applyFont="1" applyFill="1" applyBorder="1" applyAlignment="1" applyProtection="1">
      <alignment horizontal="center"/>
      <protection hidden="1"/>
    </xf>
    <xf numFmtId="170" fontId="52" fillId="4" borderId="84" xfId="3" applyNumberFormat="1" applyFont="1" applyFill="1" applyBorder="1" applyAlignment="1" applyProtection="1">
      <alignment horizontal="center"/>
      <protection hidden="1"/>
    </xf>
    <xf numFmtId="170" fontId="52" fillId="4" borderId="49" xfId="3" applyNumberFormat="1" applyFont="1" applyFill="1" applyBorder="1" applyAlignment="1" applyProtection="1">
      <alignment horizontal="center"/>
      <protection hidden="1"/>
    </xf>
    <xf numFmtId="1" fontId="100" fillId="4" borderId="48" xfId="3" applyNumberFormat="1" applyFont="1" applyFill="1" applyBorder="1" applyAlignment="1" applyProtection="1">
      <alignment horizontal="center" vertical="top" wrapText="1"/>
      <protection hidden="1"/>
    </xf>
    <xf numFmtId="1" fontId="100" fillId="4" borderId="0" xfId="3" applyNumberFormat="1" applyFont="1" applyFill="1" applyBorder="1" applyAlignment="1" applyProtection="1">
      <alignment horizontal="center" vertical="top" wrapText="1"/>
      <protection hidden="1"/>
    </xf>
    <xf numFmtId="1" fontId="100" fillId="4" borderId="84" xfId="3" applyNumberFormat="1" applyFont="1" applyFill="1" applyBorder="1" applyAlignment="1" applyProtection="1">
      <alignment horizontal="center" vertical="top" wrapText="1"/>
      <protection hidden="1"/>
    </xf>
    <xf numFmtId="170" fontId="95" fillId="4" borderId="49" xfId="4" applyNumberFormat="1" applyFont="1" applyFill="1" applyBorder="1" applyAlignment="1" applyProtection="1">
      <alignment horizontal="center" vertical="center"/>
      <protection hidden="1"/>
    </xf>
    <xf numFmtId="1" fontId="100" fillId="4" borderId="48" xfId="3" applyNumberFormat="1" applyFont="1" applyFill="1" applyBorder="1" applyAlignment="1" applyProtection="1">
      <alignment horizontal="center" wrapText="1"/>
      <protection hidden="1"/>
    </xf>
    <xf numFmtId="1" fontId="100" fillId="4" borderId="0" xfId="3" applyNumberFormat="1" applyFont="1" applyFill="1" applyBorder="1" applyAlignment="1" applyProtection="1">
      <alignment horizontal="center" wrapText="1"/>
      <protection hidden="1"/>
    </xf>
    <xf numFmtId="1" fontId="100" fillId="4" borderId="84" xfId="3" applyNumberFormat="1" applyFont="1" applyFill="1" applyBorder="1" applyAlignment="1" applyProtection="1">
      <alignment horizontal="center" wrapText="1"/>
      <protection hidden="1"/>
    </xf>
    <xf numFmtId="170" fontId="52" fillId="4" borderId="136" xfId="3" applyNumberFormat="1" applyFont="1" applyFill="1" applyBorder="1" applyAlignment="1" applyProtection="1">
      <alignment horizontal="center"/>
      <protection hidden="1"/>
    </xf>
    <xf numFmtId="170" fontId="52" fillId="4" borderId="268" xfId="3" applyNumberFormat="1" applyFont="1" applyFill="1" applyBorder="1" applyAlignment="1" applyProtection="1">
      <alignment horizontal="center"/>
      <protection hidden="1"/>
    </xf>
    <xf numFmtId="1" fontId="52" fillId="4" borderId="149" xfId="3" quotePrefix="1" applyNumberFormat="1" applyFont="1" applyFill="1" applyBorder="1" applyAlignment="1" applyProtection="1">
      <alignment horizontal="center"/>
      <protection hidden="1"/>
    </xf>
    <xf numFmtId="1" fontId="52" fillId="4" borderId="149" xfId="3" applyNumberFormat="1" applyFont="1" applyFill="1" applyBorder="1" applyAlignment="1" applyProtection="1">
      <alignment horizontal="center"/>
      <protection hidden="1"/>
    </xf>
    <xf numFmtId="1" fontId="52" fillId="4" borderId="48" xfId="3" applyNumberFormat="1" applyFont="1" applyFill="1" applyBorder="1" applyAlignment="1" applyProtection="1">
      <protection hidden="1"/>
    </xf>
    <xf numFmtId="1" fontId="52" fillId="4" borderId="0" xfId="3" applyNumberFormat="1" applyFont="1" applyFill="1" applyBorder="1" applyAlignment="1" applyProtection="1">
      <protection hidden="1"/>
    </xf>
    <xf numFmtId="170" fontId="87" fillId="15" borderId="87" xfId="3" applyNumberFormat="1" applyFont="1" applyFill="1" applyBorder="1" applyAlignment="1" applyProtection="1">
      <alignment horizontal="center"/>
      <protection hidden="1"/>
    </xf>
    <xf numFmtId="170" fontId="87" fillId="15" borderId="84" xfId="3" applyNumberFormat="1" applyFont="1" applyFill="1" applyBorder="1" applyAlignment="1" applyProtection="1">
      <alignment horizontal="center"/>
      <protection hidden="1"/>
    </xf>
    <xf numFmtId="1" fontId="87" fillId="4" borderId="48" xfId="3" applyNumberFormat="1" applyFont="1" applyFill="1" applyBorder="1" applyAlignment="1" applyProtection="1">
      <alignment horizontal="center"/>
      <protection hidden="1"/>
    </xf>
    <xf numFmtId="1" fontId="87" fillId="4" borderId="0" xfId="3" applyNumberFormat="1" applyFont="1" applyFill="1" applyBorder="1" applyAlignment="1" applyProtection="1">
      <alignment horizontal="center"/>
      <protection hidden="1"/>
    </xf>
    <xf numFmtId="1" fontId="52" fillId="4" borderId="84" xfId="3" applyNumberFormat="1" applyFont="1" applyFill="1" applyBorder="1" applyAlignment="1" applyProtection="1">
      <alignment horizontal="center"/>
      <protection hidden="1"/>
    </xf>
    <xf numFmtId="1" fontId="91" fillId="4" borderId="48" xfId="3" applyNumberFormat="1" applyFont="1" applyFill="1" applyBorder="1" applyAlignment="1" applyProtection="1">
      <alignment horizontal="left" vertical="center" wrapText="1"/>
      <protection hidden="1"/>
    </xf>
    <xf numFmtId="1" fontId="91" fillId="4" borderId="0" xfId="3" applyNumberFormat="1" applyFont="1" applyFill="1" applyBorder="1" applyAlignment="1" applyProtection="1">
      <alignment horizontal="left" vertical="center" wrapText="1"/>
      <protection hidden="1"/>
    </xf>
    <xf numFmtId="1" fontId="91" fillId="4" borderId="49" xfId="3" applyNumberFormat="1" applyFont="1" applyFill="1" applyBorder="1" applyAlignment="1" applyProtection="1">
      <alignment horizontal="left" vertical="center" wrapText="1"/>
      <protection hidden="1"/>
    </xf>
    <xf numFmtId="1" fontId="87" fillId="4" borderId="30" xfId="0" applyNumberFormat="1" applyFont="1" applyFill="1" applyBorder="1" applyAlignment="1" applyProtection="1">
      <alignment horizontal="center"/>
      <protection hidden="1"/>
    </xf>
    <xf numFmtId="1" fontId="87" fillId="4" borderId="9" xfId="0" applyNumberFormat="1" applyFont="1" applyFill="1" applyBorder="1" applyAlignment="1" applyProtection="1">
      <alignment horizontal="center"/>
      <protection hidden="1"/>
    </xf>
    <xf numFmtId="1" fontId="87" fillId="4" borderId="31" xfId="0" applyNumberFormat="1" applyFont="1" applyFill="1" applyBorder="1" applyAlignment="1" applyProtection="1">
      <alignment horizontal="center"/>
      <protection hidden="1"/>
    </xf>
    <xf numFmtId="1" fontId="93" fillId="4" borderId="267" xfId="0" applyNumberFormat="1" applyFont="1" applyFill="1" applyBorder="1" applyAlignment="1" applyProtection="1">
      <alignment horizontal="center"/>
      <protection hidden="1"/>
    </xf>
    <xf numFmtId="1" fontId="93" fillId="4" borderId="135" xfId="0" applyNumberFormat="1" applyFont="1" applyFill="1" applyBorder="1" applyAlignment="1" applyProtection="1">
      <alignment horizontal="center"/>
      <protection hidden="1"/>
    </xf>
    <xf numFmtId="1" fontId="93" fillId="4" borderId="268" xfId="0" applyNumberFormat="1" applyFont="1" applyFill="1" applyBorder="1" applyAlignment="1" applyProtection="1">
      <alignment horizontal="center"/>
      <protection hidden="1"/>
    </xf>
    <xf numFmtId="170" fontId="87" fillId="4" borderId="87" xfId="3" applyNumberFormat="1" applyFont="1" applyFill="1" applyBorder="1" applyAlignment="1" applyProtection="1">
      <alignment horizontal="center"/>
      <protection hidden="1"/>
    </xf>
    <xf numFmtId="170" fontId="87" fillId="4" borderId="84" xfId="3" applyNumberFormat="1" applyFont="1" applyFill="1" applyBorder="1" applyAlignment="1" applyProtection="1">
      <alignment horizontal="center"/>
      <protection hidden="1"/>
    </xf>
    <xf numFmtId="1" fontId="87" fillId="11" borderId="267" xfId="3" applyNumberFormat="1" applyFont="1" applyFill="1" applyBorder="1" applyAlignment="1" applyProtection="1">
      <alignment horizontal="center"/>
      <protection hidden="1"/>
    </xf>
    <xf numFmtId="1" fontId="87" fillId="11" borderId="135" xfId="3" applyNumberFormat="1" applyFont="1" applyFill="1" applyBorder="1" applyAlignment="1" applyProtection="1">
      <alignment horizontal="center"/>
      <protection hidden="1"/>
    </xf>
    <xf numFmtId="1" fontId="87" fillId="11" borderId="267" xfId="0" applyNumberFormat="1" applyFont="1" applyFill="1" applyBorder="1" applyAlignment="1" applyProtection="1">
      <alignment horizontal="left"/>
      <protection locked="0"/>
    </xf>
    <xf numFmtId="1" fontId="87" fillId="11" borderId="135" xfId="0" applyNumberFormat="1" applyFont="1" applyFill="1" applyBorder="1" applyAlignment="1" applyProtection="1">
      <alignment horizontal="left"/>
      <protection locked="0"/>
    </xf>
    <xf numFmtId="1" fontId="52" fillId="4" borderId="267" xfId="3" applyNumberFormat="1" applyFont="1" applyFill="1" applyBorder="1" applyAlignment="1" applyProtection="1">
      <alignment horizontal="left" vertical="center" wrapText="1"/>
      <protection hidden="1"/>
    </xf>
    <xf numFmtId="1" fontId="52" fillId="4" borderId="135" xfId="3" applyNumberFormat="1" applyFont="1" applyFill="1" applyBorder="1" applyAlignment="1" applyProtection="1">
      <alignment horizontal="left" vertical="center" wrapText="1"/>
      <protection hidden="1"/>
    </xf>
    <xf numFmtId="1" fontId="52" fillId="4" borderId="268" xfId="3" applyNumberFormat="1" applyFont="1" applyFill="1" applyBorder="1" applyAlignment="1" applyProtection="1">
      <alignment horizontal="left" vertical="center" wrapText="1"/>
      <protection hidden="1"/>
    </xf>
    <xf numFmtId="1" fontId="52" fillId="4" borderId="274" xfId="3" applyNumberFormat="1" applyFont="1" applyFill="1" applyBorder="1" applyAlignment="1" applyProtection="1">
      <alignment horizontal="center" vertical="center" wrapText="1"/>
      <protection hidden="1"/>
    </xf>
    <xf numFmtId="1" fontId="52" fillId="4" borderId="85" xfId="3" applyNumberFormat="1" applyFont="1" applyFill="1" applyBorder="1" applyAlignment="1" applyProtection="1">
      <alignment horizontal="center" vertical="center" wrapText="1"/>
      <protection hidden="1"/>
    </xf>
    <xf numFmtId="1" fontId="87" fillId="4" borderId="138" xfId="0" applyNumberFormat="1" applyFont="1" applyFill="1" applyBorder="1" applyAlignment="1" applyProtection="1">
      <alignment horizontal="center"/>
      <protection hidden="1"/>
    </xf>
    <xf numFmtId="1" fontId="87" fillId="4" borderId="139" xfId="0" applyNumberFormat="1" applyFont="1" applyFill="1" applyBorder="1" applyAlignment="1" applyProtection="1">
      <alignment horizontal="center"/>
      <protection hidden="1"/>
    </xf>
    <xf numFmtId="1" fontId="52" fillId="4" borderId="138" xfId="3" quotePrefix="1" applyNumberFormat="1" applyFont="1" applyFill="1" applyBorder="1" applyAlignment="1" applyProtection="1">
      <alignment horizontal="center"/>
      <protection hidden="1"/>
    </xf>
    <xf numFmtId="1" fontId="52" fillId="4" borderId="139" xfId="3" applyNumberFormat="1" applyFont="1" applyFill="1" applyBorder="1" applyAlignment="1" applyProtection="1">
      <alignment horizontal="center"/>
      <protection hidden="1"/>
    </xf>
    <xf numFmtId="1" fontId="52" fillId="4" borderId="138" xfId="0" applyNumberFormat="1" applyFont="1" applyFill="1" applyBorder="1" applyAlignment="1" applyProtection="1">
      <alignment horizontal="center"/>
      <protection hidden="1"/>
    </xf>
    <xf numFmtId="1" fontId="52" fillId="4" borderId="134" xfId="0" applyNumberFormat="1" applyFont="1" applyFill="1" applyBorder="1" applyAlignment="1" applyProtection="1">
      <alignment horizontal="center"/>
      <protection hidden="1"/>
    </xf>
    <xf numFmtId="1" fontId="52" fillId="4" borderId="275" xfId="0" applyNumberFormat="1" applyFont="1" applyFill="1" applyBorder="1" applyAlignment="1" applyProtection="1">
      <alignment horizontal="center"/>
      <protection hidden="1"/>
    </xf>
    <xf numFmtId="1" fontId="92" fillId="4" borderId="275" xfId="3" applyNumberFormat="1" applyFont="1" applyFill="1" applyBorder="1" applyAlignment="1" applyProtection="1">
      <alignment horizontal="center"/>
      <protection hidden="1"/>
    </xf>
    <xf numFmtId="1" fontId="87" fillId="11" borderId="134" xfId="0" applyNumberFormat="1" applyFont="1" applyFill="1" applyBorder="1" applyAlignment="1" applyProtection="1">
      <alignment horizontal="center"/>
      <protection locked="0"/>
    </xf>
    <xf numFmtId="1" fontId="27" fillId="11" borderId="134" xfId="0" applyNumberFormat="1" applyFont="1" applyFill="1" applyBorder="1" applyAlignment="1" applyProtection="1">
      <alignment horizontal="center"/>
      <protection locked="0"/>
    </xf>
    <xf numFmtId="1" fontId="52" fillId="4" borderId="139" xfId="0" applyNumberFormat="1" applyFont="1" applyFill="1" applyBorder="1" applyAlignment="1" applyProtection="1">
      <alignment horizontal="center"/>
      <protection hidden="1"/>
    </xf>
    <xf numFmtId="1" fontId="52" fillId="4" borderId="139" xfId="3" quotePrefix="1" applyNumberFormat="1" applyFont="1" applyFill="1" applyBorder="1" applyAlignment="1" applyProtection="1">
      <alignment horizontal="center"/>
      <protection hidden="1"/>
    </xf>
    <xf numFmtId="14" fontId="52" fillId="4" borderId="138" xfId="0" applyNumberFormat="1" applyFont="1" applyFill="1" applyBorder="1" applyAlignment="1" applyProtection="1">
      <alignment horizontal="center"/>
      <protection hidden="1"/>
    </xf>
    <xf numFmtId="14" fontId="52" fillId="4" borderId="139" xfId="0" applyNumberFormat="1" applyFont="1" applyFill="1" applyBorder="1" applyAlignment="1" applyProtection="1">
      <alignment horizontal="center"/>
      <protection hidden="1"/>
    </xf>
    <xf numFmtId="1" fontId="52" fillId="4" borderId="75" xfId="0" quotePrefix="1" applyNumberFormat="1" applyFont="1" applyFill="1" applyBorder="1" applyAlignment="1" applyProtection="1">
      <alignment horizontal="center"/>
      <protection hidden="1"/>
    </xf>
    <xf numFmtId="1" fontId="52" fillId="4" borderId="75" xfId="0" applyNumberFormat="1" applyFont="1" applyFill="1" applyBorder="1" applyAlignment="1" applyProtection="1">
      <alignment horizontal="center"/>
      <protection hidden="1"/>
    </xf>
    <xf numFmtId="1" fontId="89" fillId="4" borderId="87" xfId="3" applyNumberFormat="1" applyFont="1" applyFill="1" applyBorder="1" applyAlignment="1" applyProtection="1">
      <alignment horizontal="center"/>
      <protection hidden="1"/>
    </xf>
    <xf numFmtId="1" fontId="89" fillId="4" borderId="0" xfId="3" applyNumberFormat="1" applyFont="1" applyFill="1" applyBorder="1" applyAlignment="1" applyProtection="1">
      <alignment horizontal="center"/>
      <protection hidden="1"/>
    </xf>
    <xf numFmtId="1" fontId="89" fillId="4" borderId="84" xfId="3" applyNumberFormat="1" applyFont="1" applyFill="1" applyBorder="1" applyAlignment="1" applyProtection="1">
      <alignment horizontal="center"/>
      <protection hidden="1"/>
    </xf>
    <xf numFmtId="1" fontId="91" fillId="4" borderId="87" xfId="0" applyNumberFormat="1" applyFont="1" applyFill="1" applyBorder="1" applyAlignment="1" applyProtection="1">
      <alignment horizontal="center"/>
      <protection hidden="1"/>
    </xf>
    <xf numFmtId="1" fontId="91" fillId="4" borderId="49" xfId="0" applyNumberFormat="1" applyFont="1" applyFill="1" applyBorder="1" applyAlignment="1" applyProtection="1">
      <alignment horizontal="center"/>
      <protection hidden="1"/>
    </xf>
    <xf numFmtId="1" fontId="52" fillId="4" borderId="135" xfId="0" applyNumberFormat="1" applyFont="1" applyFill="1" applyBorder="1" applyAlignment="1" applyProtection="1">
      <alignment horizontal="center"/>
      <protection hidden="1"/>
    </xf>
    <xf numFmtId="1" fontId="52" fillId="4" borderId="136" xfId="0" applyNumberFormat="1" applyFont="1" applyFill="1" applyBorder="1" applyAlignment="1" applyProtection="1">
      <alignment horizontal="center"/>
      <protection hidden="1"/>
    </xf>
    <xf numFmtId="1" fontId="52" fillId="4" borderId="137" xfId="0" applyNumberFormat="1" applyFont="1" applyFill="1" applyBorder="1" applyAlignment="1" applyProtection="1">
      <alignment horizontal="center"/>
      <protection hidden="1"/>
    </xf>
    <xf numFmtId="1" fontId="52" fillId="4" borderId="87" xfId="0" applyNumberFormat="1" applyFont="1" applyFill="1" applyBorder="1" applyAlignment="1" applyProtection="1">
      <alignment horizontal="center"/>
      <protection hidden="1"/>
    </xf>
    <xf numFmtId="1" fontId="52" fillId="4" borderId="84" xfId="0" applyNumberFormat="1" applyFont="1" applyFill="1" applyBorder="1" applyAlignment="1" applyProtection="1">
      <alignment horizontal="center"/>
      <protection hidden="1"/>
    </xf>
    <xf numFmtId="1" fontId="52" fillId="4" borderId="85" xfId="0" applyNumberFormat="1" applyFont="1" applyFill="1" applyBorder="1" applyAlignment="1" applyProtection="1">
      <alignment horizontal="center"/>
      <protection hidden="1"/>
    </xf>
    <xf numFmtId="1" fontId="52" fillId="4" borderId="132" xfId="0" applyNumberFormat="1" applyFont="1" applyFill="1" applyBorder="1" applyAlignment="1" applyProtection="1">
      <alignment horizontal="center"/>
      <protection hidden="1"/>
    </xf>
    <xf numFmtId="1" fontId="52" fillId="4" borderId="131" xfId="3" applyNumberFormat="1" applyFont="1" applyFill="1" applyBorder="1" applyAlignment="1" applyProtection="1">
      <alignment horizontal="center"/>
      <protection hidden="1"/>
    </xf>
    <xf numFmtId="1" fontId="52" fillId="4" borderId="85" xfId="3" applyNumberFormat="1" applyFont="1" applyFill="1" applyBorder="1" applyAlignment="1" applyProtection="1">
      <alignment horizontal="center"/>
      <protection hidden="1"/>
    </xf>
    <xf numFmtId="1" fontId="52" fillId="4" borderId="134" xfId="3" applyNumberFormat="1" applyFont="1" applyFill="1" applyBorder="1" applyAlignment="1" applyProtection="1">
      <alignment horizontal="center"/>
      <protection hidden="1"/>
    </xf>
    <xf numFmtId="1" fontId="52" fillId="4" borderId="270" xfId="3" applyNumberFormat="1" applyFont="1" applyFill="1" applyBorder="1" applyAlignment="1" applyProtection="1">
      <alignment horizontal="center"/>
      <protection hidden="1"/>
    </xf>
    <xf numFmtId="1" fontId="52" fillId="4" borderId="0" xfId="0" applyNumberFormat="1" applyFont="1" applyFill="1" applyBorder="1" applyAlignment="1" applyProtection="1">
      <alignment horizontal="center"/>
      <protection hidden="1"/>
    </xf>
    <xf numFmtId="1" fontId="89" fillId="4" borderId="131" xfId="3" applyNumberFormat="1" applyFont="1" applyFill="1" applyBorder="1" applyAlignment="1" applyProtection="1">
      <alignment horizontal="center"/>
      <protection hidden="1"/>
    </xf>
    <xf numFmtId="1" fontId="89" fillId="4" borderId="85" xfId="3" applyNumberFormat="1" applyFont="1" applyFill="1" applyBorder="1" applyAlignment="1" applyProtection="1">
      <alignment horizontal="center"/>
      <protection hidden="1"/>
    </xf>
    <xf numFmtId="1" fontId="89" fillId="4" borderId="132" xfId="3" applyNumberFormat="1" applyFont="1" applyFill="1" applyBorder="1" applyAlignment="1" applyProtection="1">
      <alignment horizontal="center"/>
      <protection hidden="1"/>
    </xf>
    <xf numFmtId="1" fontId="91" fillId="4" borderId="131" xfId="0" applyNumberFormat="1" applyFont="1" applyFill="1" applyBorder="1" applyAlignment="1" applyProtection="1">
      <alignment horizontal="center"/>
      <protection hidden="1"/>
    </xf>
    <xf numFmtId="1" fontId="91" fillId="4" borderId="270" xfId="0" applyNumberFormat="1" applyFont="1" applyFill="1" applyBorder="1" applyAlignment="1" applyProtection="1">
      <alignment horizontal="center"/>
      <protection hidden="1"/>
    </xf>
    <xf numFmtId="1" fontId="52" fillId="4" borderId="138" xfId="3" applyNumberFormat="1" applyFont="1" applyFill="1" applyBorder="1" applyAlignment="1" applyProtection="1">
      <alignment horizontal="center"/>
      <protection hidden="1"/>
    </xf>
    <xf numFmtId="1" fontId="90" fillId="4" borderId="274" xfId="3" applyNumberFormat="1" applyFont="1" applyFill="1" applyBorder="1" applyAlignment="1" applyProtection="1">
      <alignment horizontal="center"/>
      <protection hidden="1"/>
    </xf>
    <xf numFmtId="1" fontId="90" fillId="4" borderId="85" xfId="3" applyNumberFormat="1" applyFont="1" applyFill="1" applyBorder="1" applyAlignment="1" applyProtection="1">
      <alignment horizontal="center"/>
      <protection hidden="1"/>
    </xf>
    <xf numFmtId="1" fontId="90" fillId="4" borderId="134" xfId="3" applyNumberFormat="1" applyFont="1" applyFill="1" applyBorder="1" applyAlignment="1" applyProtection="1">
      <alignment horizontal="center"/>
      <protection hidden="1"/>
    </xf>
    <xf numFmtId="1" fontId="90" fillId="4" borderId="275" xfId="3" applyNumberFormat="1" applyFont="1" applyFill="1" applyBorder="1" applyAlignment="1" applyProtection="1">
      <alignment horizontal="center"/>
      <protection hidden="1"/>
    </xf>
    <xf numFmtId="1" fontId="52" fillId="11" borderId="138" xfId="0" applyNumberFormat="1" applyFont="1" applyFill="1" applyBorder="1" applyAlignment="1" applyProtection="1">
      <alignment horizontal="center"/>
      <protection locked="0"/>
    </xf>
    <xf numFmtId="1" fontId="52" fillId="11" borderId="134" xfId="0" applyNumberFormat="1" applyFont="1" applyFill="1" applyBorder="1" applyAlignment="1" applyProtection="1">
      <alignment horizontal="center"/>
      <protection locked="0"/>
    </xf>
    <xf numFmtId="1" fontId="52" fillId="11" borderId="139" xfId="0" applyNumberFormat="1" applyFont="1" applyFill="1" applyBorder="1" applyAlignment="1" applyProtection="1">
      <alignment horizontal="center"/>
      <protection locked="0"/>
    </xf>
    <xf numFmtId="1" fontId="52" fillId="11" borderId="138" xfId="3" applyNumberFormat="1" applyFont="1" applyFill="1" applyBorder="1" applyAlignment="1" applyProtection="1">
      <alignment horizontal="center"/>
      <protection locked="0"/>
    </xf>
    <xf numFmtId="1" fontId="52" fillId="11" borderId="139" xfId="3" applyNumberFormat="1" applyFont="1" applyFill="1" applyBorder="1" applyAlignment="1" applyProtection="1">
      <alignment horizontal="center"/>
      <protection locked="0"/>
    </xf>
    <xf numFmtId="1" fontId="52" fillId="11" borderId="275" xfId="0" applyNumberFormat="1" applyFont="1" applyFill="1" applyBorder="1" applyAlignment="1" applyProtection="1">
      <alignment horizontal="center"/>
      <protection locked="0"/>
    </xf>
    <xf numFmtId="1" fontId="52" fillId="11" borderId="131" xfId="0" applyNumberFormat="1" applyFont="1" applyFill="1" applyBorder="1" applyAlignment="1" applyProtection="1">
      <alignment horizontal="center"/>
      <protection locked="0"/>
    </xf>
    <xf numFmtId="1" fontId="52" fillId="11" borderId="132" xfId="0" applyNumberFormat="1" applyFont="1" applyFill="1" applyBorder="1" applyAlignment="1" applyProtection="1">
      <alignment horizontal="center"/>
      <protection locked="0"/>
    </xf>
    <xf numFmtId="1" fontId="52" fillId="11" borderId="75" xfId="0" applyNumberFormat="1" applyFont="1" applyFill="1" applyBorder="1" applyAlignment="1" applyProtection="1">
      <alignment horizontal="center"/>
      <protection locked="0"/>
    </xf>
    <xf numFmtId="1" fontId="87" fillId="4" borderId="269" xfId="0" applyNumberFormat="1" applyFont="1" applyFill="1" applyBorder="1" applyAlignment="1" applyProtection="1">
      <alignment horizontal="center"/>
      <protection hidden="1"/>
    </xf>
    <xf numFmtId="1" fontId="87" fillId="4" borderId="138" xfId="3" applyNumberFormat="1" applyFont="1" applyFill="1" applyBorder="1" applyAlignment="1" applyProtection="1">
      <alignment horizontal="center"/>
      <protection hidden="1"/>
    </xf>
    <xf numFmtId="1" fontId="87" fillId="4" borderId="139" xfId="3" applyNumberFormat="1" applyFont="1" applyFill="1" applyBorder="1" applyAlignment="1" applyProtection="1">
      <alignment horizontal="center"/>
      <protection hidden="1"/>
    </xf>
    <xf numFmtId="1" fontId="87" fillId="4" borderId="275" xfId="3" applyNumberFormat="1" applyFont="1" applyFill="1" applyBorder="1" applyAlignment="1" applyProtection="1">
      <alignment horizontal="center"/>
      <protection hidden="1"/>
    </xf>
    <xf numFmtId="1" fontId="52" fillId="4" borderId="269" xfId="0" applyNumberFormat="1" applyFont="1" applyFill="1" applyBorder="1" applyAlignment="1" applyProtection="1">
      <alignment horizontal="center"/>
      <protection hidden="1"/>
    </xf>
    <xf numFmtId="1" fontId="52" fillId="4" borderId="275" xfId="3" applyNumberFormat="1" applyFont="1" applyFill="1" applyBorder="1" applyAlignment="1" applyProtection="1">
      <alignment horizontal="center"/>
      <protection hidden="1"/>
    </xf>
    <xf numFmtId="1" fontId="0" fillId="4" borderId="275" xfId="0" applyNumberFormat="1" applyFill="1" applyBorder="1" applyAlignment="1" applyProtection="1">
      <alignment horizontal="center"/>
      <protection hidden="1"/>
    </xf>
    <xf numFmtId="1" fontId="87" fillId="4" borderId="275" xfId="0" applyNumberFormat="1" applyFont="1" applyFill="1" applyBorder="1" applyAlignment="1" applyProtection="1">
      <alignment horizontal="center"/>
      <protection hidden="1"/>
    </xf>
    <xf numFmtId="1" fontId="52" fillId="11" borderId="269" xfId="0" applyNumberFormat="1" applyFont="1" applyFill="1" applyBorder="1" applyAlignment="1" applyProtection="1">
      <alignment horizontal="center" vertical="center"/>
      <protection locked="0"/>
    </xf>
    <xf numFmtId="1" fontId="52" fillId="11" borderId="134" xfId="0" applyNumberFormat="1" applyFont="1" applyFill="1" applyBorder="1" applyAlignment="1" applyProtection="1">
      <alignment horizontal="center" vertical="center"/>
      <protection locked="0"/>
    </xf>
    <xf numFmtId="1" fontId="52" fillId="11" borderId="139" xfId="0" applyNumberFormat="1" applyFont="1" applyFill="1" applyBorder="1" applyAlignment="1" applyProtection="1">
      <alignment horizontal="center" vertical="center"/>
      <protection locked="0"/>
    </xf>
    <xf numFmtId="1" fontId="87" fillId="4" borderId="136" xfId="0" applyNumberFormat="1" applyFont="1" applyFill="1" applyBorder="1" applyAlignment="1" applyProtection="1">
      <alignment horizontal="center"/>
      <protection hidden="1"/>
    </xf>
    <xf numFmtId="1" fontId="87" fillId="4" borderId="135" xfId="0" applyNumberFormat="1" applyFont="1" applyFill="1" applyBorder="1" applyAlignment="1" applyProtection="1">
      <alignment horizontal="center"/>
      <protection hidden="1"/>
    </xf>
    <xf numFmtId="1" fontId="87" fillId="4" borderId="268" xfId="0" applyNumberFormat="1" applyFont="1" applyFill="1" applyBorder="1" applyAlignment="1" applyProtection="1">
      <alignment horizontal="center"/>
      <protection hidden="1"/>
    </xf>
    <xf numFmtId="1" fontId="87" fillId="4" borderId="272" xfId="0" applyNumberFormat="1" applyFont="1" applyFill="1" applyBorder="1" applyAlignment="1" applyProtection="1">
      <alignment horizontal="center" vertical="center"/>
      <protection hidden="1"/>
    </xf>
    <xf numFmtId="1" fontId="87" fillId="4" borderId="75" xfId="0" applyNumberFormat="1" applyFont="1" applyFill="1" applyBorder="1" applyAlignment="1" applyProtection="1">
      <alignment horizontal="center" vertical="center"/>
      <protection hidden="1"/>
    </xf>
    <xf numFmtId="1" fontId="52" fillId="4" borderId="75" xfId="0" applyNumberFormat="1" applyFont="1" applyFill="1" applyBorder="1" applyAlignment="1" applyProtection="1">
      <alignment horizontal="center" vertical="center" wrapText="1"/>
      <protection hidden="1"/>
    </xf>
    <xf numFmtId="1" fontId="52" fillId="4" borderId="75" xfId="3" applyNumberFormat="1" applyFont="1" applyFill="1" applyBorder="1" applyAlignment="1" applyProtection="1">
      <alignment horizontal="center" vertical="center" wrapText="1"/>
      <protection hidden="1"/>
    </xf>
    <xf numFmtId="1" fontId="52" fillId="4" borderId="138" xfId="0" applyNumberFormat="1" applyFont="1" applyFill="1" applyBorder="1" applyAlignment="1" applyProtection="1">
      <alignment horizontal="center" vertical="center" wrapText="1"/>
      <protection hidden="1"/>
    </xf>
    <xf numFmtId="1" fontId="52" fillId="4" borderId="134" xfId="0" applyNumberFormat="1" applyFont="1" applyFill="1" applyBorder="1" applyAlignment="1" applyProtection="1">
      <alignment horizontal="center" vertical="center" wrapText="1"/>
      <protection hidden="1"/>
    </xf>
    <xf numFmtId="1" fontId="52" fillId="4" borderId="139" xfId="0" applyNumberFormat="1" applyFont="1" applyFill="1" applyBorder="1" applyAlignment="1" applyProtection="1">
      <alignment horizontal="center" vertical="center" wrapText="1"/>
      <protection hidden="1"/>
    </xf>
    <xf numFmtId="1" fontId="52" fillId="4" borderId="276" xfId="0" applyNumberFormat="1" applyFont="1" applyFill="1" applyBorder="1" applyAlignment="1" applyProtection="1">
      <alignment horizontal="center" vertical="center" wrapText="1"/>
      <protection hidden="1"/>
    </xf>
    <xf numFmtId="1" fontId="87" fillId="16" borderId="148" xfId="0" applyNumberFormat="1" applyFont="1" applyFill="1" applyBorder="1" applyAlignment="1" applyProtection="1">
      <alignment horizontal="right" vertical="center"/>
      <protection hidden="1"/>
    </xf>
    <xf numFmtId="1" fontId="87" fillId="16" borderId="152" xfId="0" applyNumberFormat="1" applyFont="1" applyFill="1" applyBorder="1" applyAlignment="1" applyProtection="1">
      <alignment horizontal="right" vertical="center"/>
      <protection hidden="1"/>
    </xf>
    <xf numFmtId="1" fontId="87" fillId="4" borderId="272" xfId="0" applyNumberFormat="1" applyFont="1" applyFill="1" applyBorder="1" applyAlignment="1" applyProtection="1">
      <alignment horizontal="center"/>
      <protection hidden="1"/>
    </xf>
    <xf numFmtId="1" fontId="52" fillId="4" borderId="75" xfId="0" applyNumberFormat="1" applyFont="1" applyFill="1" applyBorder="1" applyProtection="1">
      <protection hidden="1"/>
    </xf>
    <xf numFmtId="1" fontId="87" fillId="4" borderId="75" xfId="0" applyNumberFormat="1" applyFont="1" applyFill="1" applyBorder="1" applyAlignment="1" applyProtection="1">
      <alignment horizontal="center"/>
      <protection hidden="1"/>
    </xf>
    <xf numFmtId="1" fontId="87" fillId="4" borderId="146" xfId="0" applyNumberFormat="1" applyFont="1" applyFill="1" applyBorder="1" applyAlignment="1" applyProtection="1">
      <alignment horizontal="center"/>
      <protection hidden="1"/>
    </xf>
    <xf numFmtId="1" fontId="87" fillId="4" borderId="273" xfId="0" applyNumberFormat="1" applyFont="1" applyFill="1" applyBorder="1" applyAlignment="1" applyProtection="1">
      <alignment horizontal="center"/>
      <protection hidden="1"/>
    </xf>
    <xf numFmtId="1" fontId="98" fillId="4" borderId="274" xfId="0" applyNumberFormat="1" applyFont="1" applyFill="1" applyBorder="1" applyAlignment="1" applyProtection="1">
      <alignment horizontal="center" vertical="center" wrapText="1"/>
      <protection hidden="1"/>
    </xf>
    <xf numFmtId="1" fontId="98" fillId="4" borderId="85" xfId="0" applyNumberFormat="1" applyFont="1" applyFill="1" applyBorder="1" applyAlignment="1" applyProtection="1">
      <alignment horizontal="center" vertical="center" wrapText="1"/>
      <protection hidden="1"/>
    </xf>
    <xf numFmtId="1" fontId="98" fillId="4" borderId="132" xfId="0" applyNumberFormat="1" applyFont="1" applyFill="1" applyBorder="1" applyAlignment="1" applyProtection="1">
      <alignment horizontal="center" vertical="center" wrapText="1"/>
      <protection hidden="1"/>
    </xf>
    <xf numFmtId="1" fontId="98" fillId="4" borderId="48" xfId="0" applyNumberFormat="1" applyFont="1" applyFill="1" applyBorder="1" applyAlignment="1" applyProtection="1">
      <alignment horizontal="center" vertical="center" wrapText="1"/>
      <protection hidden="1"/>
    </xf>
    <xf numFmtId="1" fontId="98" fillId="4" borderId="0" xfId="0" applyNumberFormat="1" applyFont="1" applyFill="1" applyBorder="1" applyAlignment="1" applyProtection="1">
      <alignment horizontal="center" vertical="center" wrapText="1"/>
      <protection hidden="1"/>
    </xf>
    <xf numFmtId="1" fontId="98" fillId="4" borderId="84" xfId="0" applyNumberFormat="1" applyFont="1" applyFill="1" applyBorder="1" applyAlignment="1" applyProtection="1">
      <alignment horizontal="center" vertical="center" wrapText="1"/>
      <protection hidden="1"/>
    </xf>
    <xf numFmtId="1" fontId="98" fillId="4" borderId="267" xfId="0" applyNumberFormat="1" applyFont="1" applyFill="1" applyBorder="1" applyAlignment="1" applyProtection="1">
      <alignment horizontal="center" vertical="center" wrapText="1"/>
      <protection hidden="1"/>
    </xf>
    <xf numFmtId="1" fontId="98" fillId="4" borderId="135" xfId="0" applyNumberFormat="1" applyFont="1" applyFill="1" applyBorder="1" applyAlignment="1" applyProtection="1">
      <alignment horizontal="center" vertical="center" wrapText="1"/>
      <protection hidden="1"/>
    </xf>
    <xf numFmtId="1" fontId="98" fillId="4" borderId="137" xfId="0" applyNumberFormat="1" applyFont="1" applyFill="1" applyBorder="1" applyAlignment="1" applyProtection="1">
      <alignment horizontal="center" vertical="center" wrapText="1"/>
      <protection hidden="1"/>
    </xf>
    <xf numFmtId="1" fontId="99" fillId="4" borderId="131" xfId="0" applyNumberFormat="1" applyFont="1" applyFill="1" applyBorder="1" applyAlignment="1" applyProtection="1">
      <alignment horizontal="center" vertical="center" wrapText="1"/>
      <protection hidden="1"/>
    </xf>
    <xf numFmtId="1" fontId="99" fillId="4" borderId="85" xfId="0" applyNumberFormat="1" applyFont="1" applyFill="1" applyBorder="1" applyAlignment="1" applyProtection="1">
      <alignment horizontal="center" vertical="center" wrapText="1"/>
      <protection hidden="1"/>
    </xf>
    <xf numFmtId="1" fontId="99" fillId="4" borderId="270" xfId="0" applyNumberFormat="1" applyFont="1" applyFill="1" applyBorder="1" applyAlignment="1" applyProtection="1">
      <alignment horizontal="center" vertical="center" wrapText="1"/>
      <protection hidden="1"/>
    </xf>
    <xf numFmtId="1" fontId="99" fillId="4" borderId="87" xfId="0" applyNumberFormat="1" applyFont="1" applyFill="1" applyBorder="1" applyAlignment="1" applyProtection="1">
      <alignment horizontal="center" vertical="center" wrapText="1"/>
      <protection hidden="1"/>
    </xf>
    <xf numFmtId="1" fontId="99" fillId="4" borderId="0" xfId="0" applyNumberFormat="1" applyFont="1" applyFill="1" applyBorder="1" applyAlignment="1" applyProtection="1">
      <alignment horizontal="center" vertical="center" wrapText="1"/>
      <protection hidden="1"/>
    </xf>
    <xf numFmtId="1" fontId="99" fillId="4" borderId="49" xfId="0" applyNumberFormat="1" applyFont="1" applyFill="1" applyBorder="1" applyAlignment="1" applyProtection="1">
      <alignment horizontal="center" vertical="center" wrapText="1"/>
      <protection hidden="1"/>
    </xf>
    <xf numFmtId="1" fontId="99" fillId="4" borderId="136" xfId="0" applyNumberFormat="1" applyFont="1" applyFill="1" applyBorder="1" applyAlignment="1" applyProtection="1">
      <alignment horizontal="center" vertical="center" wrapText="1"/>
      <protection hidden="1"/>
    </xf>
    <xf numFmtId="1" fontId="99" fillId="4" borderId="135" xfId="0" applyNumberFormat="1" applyFont="1" applyFill="1" applyBorder="1" applyAlignment="1" applyProtection="1">
      <alignment horizontal="center" vertical="center" wrapText="1"/>
      <protection hidden="1"/>
    </xf>
    <xf numFmtId="1" fontId="99" fillId="4" borderId="268" xfId="0" applyNumberFormat="1" applyFont="1" applyFill="1" applyBorder="1" applyAlignment="1" applyProtection="1">
      <alignment horizontal="center" vertical="center" wrapText="1"/>
      <protection hidden="1"/>
    </xf>
    <xf numFmtId="0" fontId="0" fillId="0" borderId="239" xfId="0" applyBorder="1" applyAlignment="1" applyProtection="1">
      <alignment horizontal="center"/>
      <protection hidden="1"/>
    </xf>
    <xf numFmtId="0" fontId="0" fillId="0" borderId="252" xfId="0" applyBorder="1" applyAlignment="1" applyProtection="1">
      <alignment horizontal="center"/>
      <protection hidden="1"/>
    </xf>
    <xf numFmtId="0" fontId="0" fillId="0" borderId="240" xfId="0" applyBorder="1" applyAlignment="1" applyProtection="1">
      <alignment horizontal="center"/>
      <protection hidden="1"/>
    </xf>
    <xf numFmtId="0" fontId="0" fillId="0" borderId="179" xfId="0" applyBorder="1" applyAlignment="1" applyProtection="1">
      <alignment horizontal="center"/>
      <protection hidden="1"/>
    </xf>
    <xf numFmtId="0" fontId="0" fillId="0" borderId="242" xfId="0" applyBorder="1" applyAlignment="1" applyProtection="1">
      <alignment horizontal="center"/>
      <protection hidden="1"/>
    </xf>
    <xf numFmtId="1" fontId="86" fillId="10" borderId="30" xfId="0" applyNumberFormat="1" applyFont="1" applyFill="1" applyBorder="1" applyAlignment="1" applyProtection="1">
      <alignment horizontal="center"/>
      <protection hidden="1"/>
    </xf>
    <xf numFmtId="1" fontId="86" fillId="10" borderId="9" xfId="0" applyNumberFormat="1" applyFont="1" applyFill="1" applyBorder="1" applyAlignment="1" applyProtection="1">
      <alignment horizontal="center"/>
      <protection hidden="1"/>
    </xf>
    <xf numFmtId="1" fontId="86" fillId="10" borderId="31" xfId="0" applyNumberFormat="1" applyFont="1" applyFill="1" applyBorder="1" applyAlignment="1" applyProtection="1">
      <alignment horizontal="center"/>
      <protection hidden="1"/>
    </xf>
    <xf numFmtId="0" fontId="0" fillId="0" borderId="241" xfId="0" applyBorder="1" applyAlignment="1" applyProtection="1">
      <alignment horizontal="center"/>
      <protection hidden="1"/>
    </xf>
    <xf numFmtId="0" fontId="0" fillId="0" borderId="243" xfId="0" applyBorder="1" applyAlignment="1" applyProtection="1">
      <alignment horizontal="center"/>
      <protection hidden="1"/>
    </xf>
    <xf numFmtId="1" fontId="87" fillId="4" borderId="48" xfId="0" applyNumberFormat="1" applyFont="1" applyFill="1" applyBorder="1" applyAlignment="1" applyProtection="1">
      <alignment horizontal="center"/>
      <protection hidden="1"/>
    </xf>
    <xf numFmtId="1" fontId="87" fillId="4" borderId="0" xfId="0" applyNumberFormat="1" applyFont="1" applyFill="1" applyBorder="1" applyAlignment="1" applyProtection="1">
      <alignment horizontal="center"/>
      <protection hidden="1"/>
    </xf>
    <xf numFmtId="1" fontId="87" fillId="4" borderId="49" xfId="0" applyNumberFormat="1" applyFont="1" applyFill="1" applyBorder="1" applyAlignment="1" applyProtection="1">
      <alignment horizontal="center"/>
      <protection hidden="1"/>
    </xf>
    <xf numFmtId="1" fontId="88" fillId="4" borderId="48" xfId="0" applyNumberFormat="1" applyFont="1" applyFill="1" applyBorder="1" applyAlignment="1" applyProtection="1">
      <alignment horizontal="center"/>
      <protection hidden="1"/>
    </xf>
    <xf numFmtId="1" fontId="88" fillId="4" borderId="0" xfId="0" applyNumberFormat="1" applyFont="1" applyFill="1" applyBorder="1" applyAlignment="1" applyProtection="1">
      <alignment horizontal="center"/>
      <protection hidden="1"/>
    </xf>
    <xf numFmtId="1" fontId="88" fillId="4" borderId="49" xfId="0" applyNumberFormat="1" applyFont="1" applyFill="1" applyBorder="1" applyAlignment="1" applyProtection="1">
      <alignment horizontal="center"/>
      <protection hidden="1"/>
    </xf>
    <xf numFmtId="1" fontId="88" fillId="4" borderId="267" xfId="0" applyNumberFormat="1" applyFont="1" applyFill="1" applyBorder="1" applyAlignment="1" applyProtection="1">
      <alignment horizontal="center"/>
      <protection hidden="1"/>
    </xf>
    <xf numFmtId="1" fontId="88" fillId="4" borderId="135" xfId="0" applyNumberFormat="1" applyFont="1" applyFill="1" applyBorder="1" applyAlignment="1" applyProtection="1">
      <alignment horizontal="center"/>
      <protection hidden="1"/>
    </xf>
    <xf numFmtId="1" fontId="88" fillId="4" borderId="268" xfId="0" applyNumberFormat="1" applyFont="1" applyFill="1" applyBorder="1" applyAlignment="1" applyProtection="1">
      <alignment horizontal="center"/>
      <protection hidden="1"/>
    </xf>
    <xf numFmtId="1" fontId="87" fillId="4" borderId="269" xfId="0" applyNumberFormat="1" applyFont="1" applyFill="1" applyBorder="1" applyAlignment="1" applyProtection="1">
      <alignment horizontal="center" vertical="center"/>
      <protection hidden="1"/>
    </xf>
    <xf numFmtId="1" fontId="87" fillId="4" borderId="134" xfId="0" applyNumberFormat="1" applyFont="1" applyFill="1" applyBorder="1" applyAlignment="1" applyProtection="1">
      <alignment horizontal="center" vertical="center"/>
      <protection hidden="1"/>
    </xf>
    <xf numFmtId="1" fontId="87" fillId="4" borderId="85" xfId="0" applyNumberFormat="1" applyFont="1" applyFill="1" applyBorder="1" applyAlignment="1" applyProtection="1">
      <alignment horizontal="center" vertical="center"/>
      <protection hidden="1"/>
    </xf>
    <xf numFmtId="1" fontId="87" fillId="4" borderId="270" xfId="0" applyNumberFormat="1" applyFont="1" applyFill="1" applyBorder="1" applyAlignment="1" applyProtection="1">
      <alignment horizontal="center" vertical="center"/>
      <protection hidden="1"/>
    </xf>
    <xf numFmtId="1" fontId="89" fillId="11" borderId="141" xfId="3" applyNumberFormat="1" applyFont="1" applyFill="1" applyBorder="1" applyAlignment="1" applyProtection="1">
      <alignment horizontal="left" vertical="top"/>
      <protection locked="0"/>
    </xf>
    <xf numFmtId="1" fontId="89" fillId="11" borderId="85" xfId="3" applyNumberFormat="1" applyFont="1" applyFill="1" applyBorder="1" applyAlignment="1" applyProtection="1">
      <alignment horizontal="left" vertical="top"/>
      <protection locked="0"/>
    </xf>
    <xf numFmtId="1" fontId="89" fillId="11" borderId="132" xfId="3" applyNumberFormat="1" applyFont="1" applyFill="1" applyBorder="1" applyAlignment="1" applyProtection="1">
      <alignment horizontal="left" vertical="top"/>
      <protection locked="0"/>
    </xf>
    <xf numFmtId="1" fontId="89" fillId="11" borderId="143" xfId="3" applyNumberFormat="1" applyFont="1" applyFill="1" applyBorder="1" applyAlignment="1" applyProtection="1">
      <alignment horizontal="left" vertical="top"/>
      <protection locked="0"/>
    </xf>
    <xf numFmtId="1" fontId="89" fillId="11" borderId="0" xfId="3" applyNumberFormat="1" applyFont="1" applyFill="1" applyBorder="1" applyAlignment="1" applyProtection="1">
      <alignment horizontal="left" vertical="top"/>
      <protection locked="0"/>
    </xf>
    <xf numFmtId="1" fontId="89" fillId="11" borderId="84" xfId="3" applyNumberFormat="1" applyFont="1" applyFill="1" applyBorder="1" applyAlignment="1" applyProtection="1">
      <alignment horizontal="left" vertical="top"/>
      <protection locked="0"/>
    </xf>
    <xf numFmtId="1" fontId="89" fillId="11" borderId="145" xfId="3" applyNumberFormat="1" applyFont="1" applyFill="1" applyBorder="1" applyAlignment="1" applyProtection="1">
      <alignment horizontal="left" vertical="top"/>
      <protection locked="0"/>
    </xf>
    <xf numFmtId="1" fontId="89" fillId="11" borderId="135" xfId="3" applyNumberFormat="1" applyFont="1" applyFill="1" applyBorder="1" applyAlignment="1" applyProtection="1">
      <alignment horizontal="left" vertical="top"/>
      <protection locked="0"/>
    </xf>
    <xf numFmtId="1" fontId="89" fillId="11" borderId="137" xfId="3" applyNumberFormat="1" applyFont="1" applyFill="1" applyBorder="1" applyAlignment="1" applyProtection="1">
      <alignment horizontal="left" vertical="top"/>
      <protection locked="0"/>
    </xf>
    <xf numFmtId="1" fontId="0" fillId="4" borderId="134" xfId="0" applyNumberFormat="1" applyFill="1" applyBorder="1" applyProtection="1">
      <protection hidden="1"/>
    </xf>
    <xf numFmtId="1" fontId="0" fillId="4" borderId="275" xfId="0" applyNumberFormat="1" applyFill="1" applyBorder="1" applyProtection="1">
      <protection hidden="1"/>
    </xf>
    <xf numFmtId="1" fontId="86" fillId="4" borderId="131" xfId="0" applyNumberFormat="1" applyFont="1" applyFill="1" applyBorder="1" applyAlignment="1" applyProtection="1">
      <alignment horizontal="center" vertical="center"/>
      <protection hidden="1"/>
    </xf>
    <xf numFmtId="1" fontId="86" fillId="4" borderId="85" xfId="0" applyNumberFormat="1" applyFont="1" applyFill="1" applyBorder="1" applyAlignment="1" applyProtection="1">
      <alignment vertical="center"/>
      <protection hidden="1"/>
    </xf>
    <xf numFmtId="1" fontId="86" fillId="4" borderId="270" xfId="0" applyNumberFormat="1" applyFont="1" applyFill="1" applyBorder="1" applyAlignment="1" applyProtection="1">
      <alignment vertical="center"/>
      <protection hidden="1"/>
    </xf>
    <xf numFmtId="1" fontId="86" fillId="4" borderId="136" xfId="0" applyNumberFormat="1" applyFont="1" applyFill="1" applyBorder="1" applyAlignment="1" applyProtection="1">
      <alignment vertical="center"/>
      <protection hidden="1"/>
    </xf>
    <xf numFmtId="1" fontId="86" fillId="4" borderId="135" xfId="0" applyNumberFormat="1" applyFont="1" applyFill="1" applyBorder="1" applyAlignment="1" applyProtection="1">
      <alignment vertical="center"/>
      <protection hidden="1"/>
    </xf>
    <xf numFmtId="1" fontId="86" fillId="4" borderId="268" xfId="0" applyNumberFormat="1" applyFont="1" applyFill="1" applyBorder="1" applyAlignment="1" applyProtection="1">
      <alignment vertical="center"/>
      <protection hidden="1"/>
    </xf>
    <xf numFmtId="172" fontId="87" fillId="4" borderId="138" xfId="0" applyNumberFormat="1" applyFont="1" applyFill="1" applyBorder="1" applyAlignment="1" applyProtection="1">
      <alignment horizontal="center"/>
      <protection hidden="1"/>
    </xf>
    <xf numFmtId="172" fontId="87" fillId="4" borderId="139" xfId="0" applyNumberFormat="1" applyFont="1" applyFill="1" applyBorder="1" applyAlignment="1" applyProtection="1">
      <alignment horizontal="center"/>
      <protection hidden="1"/>
    </xf>
    <xf numFmtId="173" fontId="109" fillId="0" borderId="163" xfId="6" applyNumberFormat="1" applyFont="1" applyBorder="1" applyAlignment="1" applyProtection="1">
      <alignment horizontal="center" vertical="center"/>
      <protection hidden="1"/>
    </xf>
    <xf numFmtId="173" fontId="109" fillId="0" borderId="133" xfId="6" applyNumberFormat="1" applyFont="1" applyBorder="1" applyAlignment="1" applyProtection="1">
      <alignment horizontal="center" vertical="center"/>
      <protection hidden="1"/>
    </xf>
    <xf numFmtId="173" fontId="109" fillId="0" borderId="150" xfId="6" applyNumberFormat="1" applyFont="1" applyBorder="1" applyAlignment="1" applyProtection="1">
      <alignment horizontal="center" vertical="center"/>
      <protection hidden="1"/>
    </xf>
    <xf numFmtId="173" fontId="109" fillId="0" borderId="163" xfId="0" applyNumberFormat="1" applyFont="1" applyBorder="1" applyAlignment="1" applyProtection="1">
      <alignment horizontal="center" vertical="center"/>
      <protection hidden="1"/>
    </xf>
    <xf numFmtId="0" fontId="109" fillId="0" borderId="133" xfId="0" applyFont="1" applyBorder="1" applyAlignment="1" applyProtection="1">
      <alignment horizontal="center" vertical="center"/>
      <protection hidden="1"/>
    </xf>
    <xf numFmtId="0" fontId="109" fillId="0" borderId="150" xfId="0" applyFont="1" applyBorder="1" applyAlignment="1" applyProtection="1">
      <alignment horizontal="center" vertical="center"/>
      <protection hidden="1"/>
    </xf>
    <xf numFmtId="0" fontId="110" fillId="0" borderId="67" xfId="0" applyFont="1" applyBorder="1" applyAlignment="1" applyProtection="1">
      <alignment horizontal="center" vertical="center"/>
      <protection hidden="1"/>
    </xf>
    <xf numFmtId="0" fontId="110" fillId="0" borderId="68" xfId="0" applyFont="1" applyBorder="1" applyAlignment="1" applyProtection="1">
      <alignment horizontal="center" vertical="center"/>
      <protection hidden="1"/>
    </xf>
    <xf numFmtId="0" fontId="110" fillId="0" borderId="69" xfId="0" applyFont="1" applyBorder="1" applyAlignment="1" applyProtection="1">
      <alignment horizontal="center" vertical="center"/>
      <protection hidden="1"/>
    </xf>
    <xf numFmtId="0" fontId="109" fillId="0" borderId="70" xfId="0" applyFont="1" applyBorder="1" applyAlignment="1" applyProtection="1">
      <alignment horizontal="center" vertical="center"/>
      <protection hidden="1"/>
    </xf>
    <xf numFmtId="0" fontId="109" fillId="0" borderId="0" xfId="0" applyFont="1" applyBorder="1" applyAlignment="1" applyProtection="1">
      <alignment horizontal="center" vertical="center"/>
      <protection hidden="1"/>
    </xf>
    <xf numFmtId="0" fontId="109" fillId="0" borderId="71" xfId="0" applyFont="1" applyBorder="1" applyAlignment="1" applyProtection="1">
      <alignment horizontal="center" vertical="center"/>
      <protection hidden="1"/>
    </xf>
    <xf numFmtId="0" fontId="110" fillId="0" borderId="72" xfId="0" applyFont="1" applyBorder="1" applyAlignment="1" applyProtection="1">
      <alignment horizontal="center" vertical="center"/>
      <protection hidden="1"/>
    </xf>
    <xf numFmtId="0" fontId="110" fillId="0" borderId="73" xfId="0" applyFont="1" applyBorder="1" applyAlignment="1" applyProtection="1">
      <alignment horizontal="center" vertical="center"/>
      <protection hidden="1"/>
    </xf>
    <xf numFmtId="0" fontId="110" fillId="0" borderId="74" xfId="0" applyFont="1" applyBorder="1" applyAlignment="1" applyProtection="1">
      <alignment horizontal="center" vertical="center"/>
      <protection hidden="1"/>
    </xf>
    <xf numFmtId="0" fontId="0" fillId="0" borderId="85"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16" borderId="155" xfId="0" applyFill="1" applyBorder="1" applyAlignment="1" applyProtection="1">
      <alignment horizontal="center" vertical="center" wrapText="1"/>
      <protection hidden="1"/>
    </xf>
    <xf numFmtId="0" fontId="0" fillId="16" borderId="147" xfId="0" applyFill="1" applyBorder="1" applyAlignment="1" applyProtection="1">
      <alignment horizontal="center" vertical="center" wrapText="1"/>
      <protection hidden="1"/>
    </xf>
    <xf numFmtId="0" fontId="0" fillId="16" borderId="146" xfId="0" applyFill="1" applyBorder="1" applyAlignment="1" applyProtection="1">
      <alignment horizontal="center" vertical="center" wrapText="1"/>
      <protection hidden="1"/>
    </xf>
    <xf numFmtId="1" fontId="27" fillId="16" borderId="166" xfId="0" applyNumberFormat="1" applyFont="1" applyFill="1" applyBorder="1" applyAlignment="1" applyProtection="1">
      <alignment horizontal="center" vertical="center" shrinkToFit="1"/>
      <protection locked="0" hidden="1"/>
    </xf>
    <xf numFmtId="0" fontId="27" fillId="16" borderId="165" xfId="0" applyFont="1" applyFill="1" applyBorder="1" applyAlignment="1" applyProtection="1">
      <alignment horizontal="center" vertical="center" shrinkToFit="1"/>
      <protection locked="0" hidden="1"/>
    </xf>
    <xf numFmtId="0" fontId="44" fillId="16" borderId="167" xfId="0" applyFont="1" applyFill="1" applyBorder="1" applyAlignment="1" applyProtection="1">
      <alignment horizontal="center" vertical="center" shrinkToFit="1"/>
      <protection locked="0" hidden="1"/>
    </xf>
    <xf numFmtId="0" fontId="44" fillId="16" borderId="168" xfId="0" applyFont="1" applyFill="1" applyBorder="1" applyAlignment="1" applyProtection="1">
      <alignment horizontal="center" vertical="center" shrinkToFit="1"/>
      <protection locked="0" hidden="1"/>
    </xf>
    <xf numFmtId="0" fontId="0" fillId="20" borderId="0" xfId="0" applyFill="1" applyBorder="1" applyAlignment="1" applyProtection="1">
      <alignment horizontal="left"/>
      <protection hidden="1"/>
    </xf>
    <xf numFmtId="0" fontId="0" fillId="20" borderId="135" xfId="0" applyFill="1" applyBorder="1" applyAlignment="1" applyProtection="1">
      <alignment horizontal="left"/>
      <protection hidden="1"/>
    </xf>
    <xf numFmtId="173" fontId="109" fillId="0" borderId="133" xfId="0" applyNumberFormat="1" applyFont="1" applyBorder="1" applyAlignment="1" applyProtection="1">
      <alignment horizontal="center" vertical="center"/>
      <protection hidden="1"/>
    </xf>
    <xf numFmtId="173" fontId="109" fillId="0" borderId="150" xfId="0" applyNumberFormat="1"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0" fontId="0" fillId="20" borderId="0" xfId="0" applyFill="1" applyBorder="1" applyAlignment="1" applyProtection="1">
      <alignment horizontal="left" vertical="center"/>
      <protection hidden="1"/>
    </xf>
    <xf numFmtId="0" fontId="109" fillId="0" borderId="129" xfId="0" applyFont="1" applyBorder="1" applyAlignment="1" applyProtection="1">
      <alignment horizontal="center" vertical="center"/>
      <protection hidden="1"/>
    </xf>
    <xf numFmtId="0" fontId="109" fillId="0" borderId="130" xfId="0" applyFont="1" applyBorder="1" applyAlignment="1" applyProtection="1">
      <alignment horizontal="center" vertical="center"/>
      <protection hidden="1"/>
    </xf>
    <xf numFmtId="0" fontId="109" fillId="0" borderId="151" xfId="0" applyFont="1" applyBorder="1" applyAlignment="1" applyProtection="1">
      <alignment horizontal="center" vertical="center"/>
      <protection hidden="1"/>
    </xf>
    <xf numFmtId="0" fontId="109" fillId="0" borderId="155" xfId="0" applyFont="1" applyBorder="1" applyAlignment="1" applyProtection="1">
      <alignment horizontal="center" vertical="center" wrapText="1"/>
      <protection hidden="1"/>
    </xf>
    <xf numFmtId="0" fontId="109" fillId="0" borderId="147" xfId="0" applyFont="1" applyBorder="1" applyAlignment="1" applyProtection="1">
      <alignment horizontal="center" vertical="center" wrapText="1"/>
      <protection hidden="1"/>
    </xf>
    <xf numFmtId="0" fontId="109" fillId="0" borderId="146" xfId="0" applyFont="1" applyBorder="1" applyAlignment="1" applyProtection="1">
      <alignment horizontal="center" vertical="center" wrapText="1"/>
      <protection hidden="1"/>
    </xf>
    <xf numFmtId="1" fontId="27" fillId="0" borderId="0" xfId="0" applyNumberFormat="1" applyFont="1" applyBorder="1" applyAlignment="1" applyProtection="1">
      <alignment horizontal="center" vertical="center"/>
      <protection hidden="1"/>
    </xf>
    <xf numFmtId="0" fontId="27" fillId="0" borderId="84" xfId="0" applyFont="1" applyBorder="1" applyAlignment="1" applyProtection="1">
      <alignment horizontal="center" vertical="center"/>
      <protection hidden="1"/>
    </xf>
    <xf numFmtId="0" fontId="27" fillId="0" borderId="0" xfId="0" applyFont="1" applyBorder="1" applyAlignment="1" applyProtection="1">
      <alignment horizontal="center" vertical="center"/>
      <protection hidden="1"/>
    </xf>
    <xf numFmtId="0" fontId="0" fillId="0" borderId="0" xfId="0" applyBorder="1" applyAlignment="1" applyProtection="1">
      <alignment horizontal="center"/>
      <protection hidden="1"/>
    </xf>
    <xf numFmtId="0" fontId="0" fillId="0" borderId="84" xfId="0" applyBorder="1" applyAlignment="1" applyProtection="1">
      <alignment horizontal="center"/>
      <protection hidden="1"/>
    </xf>
    <xf numFmtId="0" fontId="116" fillId="3" borderId="170" xfId="0" applyFont="1" applyFill="1" applyBorder="1" applyAlignment="1" applyProtection="1">
      <alignment horizontal="left" vertical="justify" wrapText="1" indent="2"/>
      <protection hidden="1"/>
    </xf>
    <xf numFmtId="0" fontId="116" fillId="3" borderId="171" xfId="0" applyFont="1" applyFill="1" applyBorder="1" applyAlignment="1" applyProtection="1">
      <alignment horizontal="left" vertical="justify" wrapText="1" indent="2"/>
      <protection hidden="1"/>
    </xf>
    <xf numFmtId="0" fontId="116" fillId="3" borderId="172" xfId="0" applyFont="1" applyFill="1" applyBorder="1" applyAlignment="1" applyProtection="1">
      <alignment horizontal="left" vertical="justify" wrapText="1" indent="2"/>
      <protection hidden="1"/>
    </xf>
    <xf numFmtId="170" fontId="115" fillId="3" borderId="170" xfId="0" applyNumberFormat="1" applyFont="1" applyFill="1" applyBorder="1" applyAlignment="1" applyProtection="1">
      <alignment horizontal="center" vertical="center" textRotation="90"/>
      <protection hidden="1"/>
    </xf>
    <xf numFmtId="170" fontId="115" fillId="3" borderId="171" xfId="0" applyNumberFormat="1" applyFont="1" applyFill="1" applyBorder="1" applyAlignment="1" applyProtection="1">
      <alignment horizontal="center" vertical="center" textRotation="90"/>
      <protection hidden="1"/>
    </xf>
    <xf numFmtId="170" fontId="115" fillId="3" borderId="172" xfId="0" applyNumberFormat="1" applyFont="1" applyFill="1" applyBorder="1" applyAlignment="1" applyProtection="1">
      <alignment horizontal="center" vertical="center" textRotation="90"/>
      <protection hidden="1"/>
    </xf>
    <xf numFmtId="0" fontId="0" fillId="0" borderId="87" xfId="0" applyBorder="1" applyAlignment="1" applyProtection="1">
      <alignment horizontal="left"/>
      <protection hidden="1"/>
    </xf>
    <xf numFmtId="0" fontId="0" fillId="0" borderId="0" xfId="0" applyBorder="1" applyAlignment="1" applyProtection="1">
      <alignment horizontal="left"/>
      <protection hidden="1"/>
    </xf>
    <xf numFmtId="0" fontId="0" fillId="0" borderId="87" xfId="0" applyBorder="1" applyAlignment="1" applyProtection="1">
      <alignment horizontal="left" vertical="center"/>
      <protection hidden="1"/>
    </xf>
    <xf numFmtId="0" fontId="0" fillId="0" borderId="0" xfId="0" applyBorder="1" applyAlignment="1" applyProtection="1">
      <alignment horizontal="left" vertical="center"/>
      <protection hidden="1"/>
    </xf>
    <xf numFmtId="1" fontId="15" fillId="0" borderId="0" xfId="0" applyNumberFormat="1" applyFont="1" applyFill="1" applyBorder="1" applyAlignment="1" applyProtection="1">
      <alignment horizontal="center" vertical="center" wrapText="1"/>
      <protection hidden="1"/>
    </xf>
    <xf numFmtId="0" fontId="15" fillId="0" borderId="84" xfId="0" applyFont="1" applyFill="1" applyBorder="1" applyAlignment="1" applyProtection="1">
      <alignment horizontal="center" vertical="center" wrapText="1"/>
      <protection hidden="1"/>
    </xf>
    <xf numFmtId="0" fontId="15" fillId="0" borderId="0" xfId="0" applyFont="1" applyFill="1" applyBorder="1" applyAlignment="1" applyProtection="1">
      <alignment horizontal="center" vertical="center" wrapText="1"/>
      <protection hidden="1"/>
    </xf>
    <xf numFmtId="173" fontId="109" fillId="0" borderId="162" xfId="6" applyNumberFormat="1" applyFont="1" applyBorder="1" applyAlignment="1" applyProtection="1">
      <alignment horizontal="center" vertical="center"/>
      <protection hidden="1"/>
    </xf>
    <xf numFmtId="173" fontId="110" fillId="0" borderId="163" xfId="6" applyNumberFormat="1" applyFont="1" applyBorder="1" applyAlignment="1" applyProtection="1">
      <alignment horizontal="center" vertical="center"/>
      <protection hidden="1"/>
    </xf>
    <xf numFmtId="173" fontId="110" fillId="0" borderId="133" xfId="6" applyNumberFormat="1" applyFont="1" applyBorder="1" applyAlignment="1" applyProtection="1">
      <alignment horizontal="center" vertical="center"/>
      <protection hidden="1"/>
    </xf>
    <xf numFmtId="173" fontId="110" fillId="0" borderId="150" xfId="6" applyNumberFormat="1" applyFont="1" applyBorder="1" applyAlignment="1" applyProtection="1">
      <alignment horizontal="center" vertical="center"/>
      <protection hidden="1"/>
    </xf>
    <xf numFmtId="0" fontId="27" fillId="0" borderId="87" xfId="0" applyFont="1" applyBorder="1" applyAlignment="1" applyProtection="1">
      <alignment horizontal="center"/>
      <protection hidden="1"/>
    </xf>
    <xf numFmtId="0" fontId="27" fillId="0" borderId="0" xfId="0" applyFont="1" applyBorder="1" applyAlignment="1" applyProtection="1">
      <alignment horizontal="center"/>
      <protection hidden="1"/>
    </xf>
    <xf numFmtId="0" fontId="27" fillId="0" borderId="84" xfId="0" applyFont="1" applyBorder="1" applyAlignment="1" applyProtection="1">
      <alignment horizontal="center"/>
      <protection hidden="1"/>
    </xf>
    <xf numFmtId="0" fontId="0" fillId="0" borderId="87" xfId="0" applyBorder="1" applyAlignment="1" applyProtection="1">
      <alignment horizontal="center"/>
      <protection hidden="1"/>
    </xf>
    <xf numFmtId="0" fontId="27" fillId="0" borderId="87" xfId="0" applyFont="1" applyBorder="1" applyAlignment="1" applyProtection="1">
      <alignment horizontal="justify" vertical="justify" wrapText="1"/>
      <protection hidden="1"/>
    </xf>
    <xf numFmtId="0" fontId="27" fillId="0" borderId="0" xfId="0" applyFont="1" applyBorder="1" applyAlignment="1" applyProtection="1">
      <alignment horizontal="justify" vertical="justify" wrapText="1"/>
      <protection hidden="1"/>
    </xf>
    <xf numFmtId="0" fontId="27" fillId="0" borderId="84" xfId="0" applyFont="1" applyBorder="1" applyAlignment="1" applyProtection="1">
      <alignment horizontal="justify" vertical="justify" wrapText="1"/>
      <protection hidden="1"/>
    </xf>
    <xf numFmtId="0" fontId="0" fillId="20" borderId="68" xfId="0" applyFill="1" applyBorder="1" applyAlignment="1" applyProtection="1">
      <alignment horizontal="left"/>
      <protection hidden="1"/>
    </xf>
    <xf numFmtId="0" fontId="104" fillId="20" borderId="67" xfId="0" applyFont="1" applyFill="1" applyBorder="1" applyAlignment="1" applyProtection="1">
      <alignment horizontal="center"/>
      <protection locked="0" hidden="1"/>
    </xf>
    <xf numFmtId="0" fontId="104" fillId="20" borderId="69" xfId="0" applyFont="1" applyFill="1" applyBorder="1" applyAlignment="1" applyProtection="1">
      <alignment horizontal="center"/>
      <protection locked="0" hidden="1"/>
    </xf>
    <xf numFmtId="0" fontId="104" fillId="20" borderId="148" xfId="0" applyFont="1" applyFill="1" applyBorder="1" applyAlignment="1" applyProtection="1">
      <alignment horizontal="center"/>
      <protection locked="0" hidden="1"/>
    </xf>
    <xf numFmtId="0" fontId="104" fillId="20" borderId="154" xfId="0" applyFont="1" applyFill="1" applyBorder="1" applyAlignment="1" applyProtection="1">
      <alignment horizontal="center"/>
      <protection locked="0" hidden="1"/>
    </xf>
    <xf numFmtId="0" fontId="0" fillId="20" borderId="71" xfId="0" applyFill="1" applyBorder="1" applyAlignment="1" applyProtection="1">
      <alignment horizontal="left"/>
      <protection hidden="1"/>
    </xf>
    <xf numFmtId="0" fontId="0" fillId="0" borderId="155" xfId="0" applyBorder="1" applyAlignment="1" applyProtection="1">
      <alignment horizontal="center" vertical="center"/>
      <protection hidden="1"/>
    </xf>
    <xf numFmtId="0" fontId="0" fillId="0" borderId="146" xfId="0" applyBorder="1" applyAlignment="1" applyProtection="1">
      <alignment horizontal="center" vertical="center"/>
      <protection hidden="1"/>
    </xf>
    <xf numFmtId="0" fontId="0" fillId="0" borderId="85" xfId="0" applyBorder="1" applyAlignment="1" applyProtection="1">
      <alignment horizontal="center"/>
      <protection hidden="1"/>
    </xf>
    <xf numFmtId="0" fontId="0" fillId="0" borderId="0" xfId="0" applyAlignment="1" applyProtection="1">
      <alignment horizontal="center"/>
      <protection hidden="1"/>
    </xf>
    <xf numFmtId="0" fontId="0" fillId="0" borderId="75" xfId="0" applyBorder="1" applyAlignment="1" applyProtection="1">
      <alignment horizontal="justify" vertical="justify" wrapText="1"/>
      <protection hidden="1"/>
    </xf>
    <xf numFmtId="0" fontId="107" fillId="0" borderId="0" xfId="0" applyFont="1" applyAlignment="1" applyProtection="1">
      <alignment horizontal="center" vertical="center"/>
      <protection hidden="1"/>
    </xf>
    <xf numFmtId="0" fontId="0" fillId="0" borderId="136" xfId="0" applyBorder="1" applyAlignment="1" applyProtection="1">
      <alignment horizontal="center"/>
      <protection hidden="1"/>
    </xf>
    <xf numFmtId="0" fontId="0" fillId="0" borderId="135" xfId="0" applyBorder="1" applyAlignment="1" applyProtection="1">
      <alignment horizontal="center"/>
      <protection hidden="1"/>
    </xf>
    <xf numFmtId="0" fontId="56" fillId="0" borderId="75" xfId="0" applyFont="1" applyBorder="1" applyAlignment="1" applyProtection="1">
      <alignment horizontal="justify" vertical="justify" wrapText="1"/>
      <protection hidden="1"/>
    </xf>
    <xf numFmtId="0" fontId="0" fillId="0" borderId="87" xfId="0" applyBorder="1" applyAlignment="1" applyProtection="1">
      <alignment horizontal="center" wrapText="1"/>
      <protection hidden="1"/>
    </xf>
    <xf numFmtId="0" fontId="0" fillId="0" borderId="0" xfId="0" applyBorder="1" applyAlignment="1" applyProtection="1">
      <alignment horizontal="center" wrapText="1"/>
      <protection hidden="1"/>
    </xf>
    <xf numFmtId="0" fontId="0" fillId="0" borderId="84" xfId="0" applyBorder="1" applyAlignment="1" applyProtection="1">
      <alignment horizontal="center" wrapText="1"/>
      <protection hidden="1"/>
    </xf>
    <xf numFmtId="0" fontId="111" fillId="0" borderId="87"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4" xfId="0" applyFont="1" applyBorder="1" applyAlignment="1" applyProtection="1">
      <alignment horizontal="center" vertical="center"/>
      <protection hidden="1"/>
    </xf>
    <xf numFmtId="0" fontId="112" fillId="0" borderId="87" xfId="0" applyFont="1" applyBorder="1" applyAlignment="1" applyProtection="1">
      <alignment horizontal="center"/>
      <protection hidden="1"/>
    </xf>
    <xf numFmtId="0" fontId="112" fillId="0" borderId="0" xfId="0" applyFont="1" applyBorder="1" applyAlignment="1" applyProtection="1">
      <alignment horizontal="center"/>
      <protection hidden="1"/>
    </xf>
    <xf numFmtId="0" fontId="112" fillId="0" borderId="84" xfId="0" applyFont="1" applyBorder="1" applyAlignment="1" applyProtection="1">
      <alignment horizontal="center"/>
      <protection hidden="1"/>
    </xf>
    <xf numFmtId="0" fontId="0" fillId="0" borderId="0" xfId="0" applyAlignment="1" applyProtection="1">
      <alignment horizontal="center" vertical="center"/>
      <protection hidden="1"/>
    </xf>
    <xf numFmtId="0" fontId="109" fillId="0" borderId="68" xfId="0" applyFont="1" applyBorder="1" applyAlignment="1" applyProtection="1">
      <alignment horizontal="center" vertical="center"/>
      <protection hidden="1"/>
    </xf>
    <xf numFmtId="0" fontId="0" fillId="0" borderId="73" xfId="0" applyBorder="1" applyAlignment="1" applyProtection="1">
      <alignment horizontal="center" vertical="center"/>
      <protection hidden="1"/>
    </xf>
    <xf numFmtId="0" fontId="0" fillId="0" borderId="131" xfId="0" applyBorder="1" applyAlignment="1" applyProtection="1">
      <alignment horizontal="center"/>
      <protection hidden="1"/>
    </xf>
    <xf numFmtId="0" fontId="0" fillId="0" borderId="132" xfId="0" applyBorder="1" applyAlignment="1" applyProtection="1">
      <alignment horizontal="center"/>
      <protection hidden="1"/>
    </xf>
    <xf numFmtId="0" fontId="27" fillId="0" borderId="0" xfId="0" applyFont="1" applyAlignment="1" applyProtection="1">
      <alignment horizontal="center"/>
      <protection hidden="1"/>
    </xf>
    <xf numFmtId="0" fontId="0" fillId="0" borderId="0" xfId="0" applyAlignment="1" applyProtection="1">
      <alignment horizontal="right"/>
      <protection hidden="1"/>
    </xf>
    <xf numFmtId="0" fontId="107" fillId="16" borderId="0" xfId="0" applyFont="1" applyFill="1" applyAlignment="1" applyProtection="1">
      <alignment horizontal="center" vertical="center" wrapText="1"/>
      <protection hidden="1"/>
    </xf>
    <xf numFmtId="14" fontId="0" fillId="16" borderId="0" xfId="0" applyNumberFormat="1" applyFill="1" applyAlignment="1" applyProtection="1">
      <alignment horizontal="center"/>
      <protection hidden="1"/>
    </xf>
    <xf numFmtId="0" fontId="0" fillId="0" borderId="0" xfId="0" applyAlignment="1" applyProtection="1">
      <alignment horizontal="left" vertical="top"/>
      <protection hidden="1"/>
    </xf>
    <xf numFmtId="173" fontId="103" fillId="0" borderId="155" xfId="6" applyNumberFormat="1" applyFont="1" applyBorder="1" applyAlignment="1" applyProtection="1">
      <alignment horizontal="left" vertical="center" indent="3"/>
      <protection hidden="1"/>
    </xf>
    <xf numFmtId="173" fontId="103" fillId="0" borderId="147" xfId="6" applyNumberFormat="1" applyFont="1" applyBorder="1" applyAlignment="1" applyProtection="1">
      <alignment horizontal="left" vertical="center" indent="3"/>
      <protection hidden="1"/>
    </xf>
    <xf numFmtId="173" fontId="103" fillId="0" borderId="146" xfId="6" applyNumberFormat="1" applyFont="1" applyBorder="1" applyAlignment="1" applyProtection="1">
      <alignment horizontal="left" vertical="center" indent="3"/>
      <protection hidden="1"/>
    </xf>
    <xf numFmtId="0" fontId="0" fillId="0" borderId="147" xfId="0" applyBorder="1" applyAlignment="1" applyProtection="1">
      <alignment horizontal="center" vertical="center"/>
      <protection hidden="1"/>
    </xf>
    <xf numFmtId="0" fontId="27" fillId="0" borderId="0" xfId="0" applyFont="1" applyAlignment="1" applyProtection="1">
      <alignment horizontal="center" vertical="center"/>
      <protection hidden="1"/>
    </xf>
    <xf numFmtId="0" fontId="107" fillId="16" borderId="155" xfId="0" applyFont="1" applyFill="1" applyBorder="1" applyAlignment="1" applyProtection="1">
      <alignment horizontal="center" vertical="center" wrapText="1"/>
      <protection hidden="1"/>
    </xf>
    <xf numFmtId="0" fontId="107" fillId="16" borderId="147" xfId="0" applyFont="1" applyFill="1" applyBorder="1" applyAlignment="1" applyProtection="1">
      <alignment horizontal="center" vertical="center" wrapText="1"/>
      <protection hidden="1"/>
    </xf>
    <xf numFmtId="0" fontId="107" fillId="16" borderId="146" xfId="0" applyFont="1" applyFill="1" applyBorder="1" applyAlignment="1" applyProtection="1">
      <alignment horizontal="center" vertical="center" wrapText="1"/>
      <protection hidden="1"/>
    </xf>
    <xf numFmtId="0" fontId="21" fillId="0" borderId="80" xfId="0" applyFont="1" applyBorder="1" applyAlignment="1" applyProtection="1">
      <alignment horizontal="center" vertical="center"/>
      <protection hidden="1"/>
    </xf>
    <xf numFmtId="0" fontId="21" fillId="0" borderId="75" xfId="0" applyFont="1" applyBorder="1" applyAlignment="1" applyProtection="1">
      <alignment horizontal="center" vertical="center"/>
      <protection hidden="1"/>
    </xf>
    <xf numFmtId="0" fontId="34" fillId="0" borderId="75" xfId="0" applyFont="1" applyBorder="1" applyAlignment="1" applyProtection="1">
      <alignment horizontal="center" vertical="center"/>
      <protection hidden="1"/>
    </xf>
    <xf numFmtId="0" fontId="34" fillId="0" borderId="76" xfId="0" applyFont="1" applyBorder="1" applyAlignment="1" applyProtection="1">
      <alignment horizontal="center" vertical="center"/>
      <protection hidden="1"/>
    </xf>
    <xf numFmtId="0" fontId="19" fillId="0" borderId="85" xfId="0" applyFont="1" applyBorder="1" applyAlignment="1" applyProtection="1">
      <alignment horizontal="left" vertical="center"/>
      <protection hidden="1"/>
    </xf>
    <xf numFmtId="0" fontId="19" fillId="0" borderId="86" xfId="0" applyFont="1" applyBorder="1" applyAlignment="1" applyProtection="1">
      <alignment horizontal="left" vertical="center"/>
      <protection hidden="1"/>
    </xf>
    <xf numFmtId="0" fontId="5" fillId="10" borderId="0" xfId="0" applyFont="1" applyFill="1" applyAlignment="1" applyProtection="1">
      <alignment horizontal="center"/>
      <protection hidden="1"/>
    </xf>
    <xf numFmtId="0" fontId="34" fillId="0" borderId="81" xfId="0" applyFont="1" applyBorder="1" applyAlignment="1" applyProtection="1">
      <alignment horizontal="center"/>
      <protection hidden="1"/>
    </xf>
    <xf numFmtId="0" fontId="34" fillId="0" borderId="82" xfId="0" applyFont="1" applyBorder="1" applyAlignment="1" applyProtection="1">
      <alignment horizontal="center"/>
      <protection hidden="1"/>
    </xf>
    <xf numFmtId="0" fontId="20" fillId="0" borderId="82" xfId="0" applyFont="1" applyBorder="1" applyAlignment="1" applyProtection="1">
      <alignment horizontal="center" vertical="center"/>
      <protection hidden="1"/>
    </xf>
    <xf numFmtId="0" fontId="20" fillId="0" borderId="83" xfId="0" applyFont="1" applyBorder="1" applyAlignment="1" applyProtection="1">
      <alignment horizontal="center" vertical="center"/>
      <protection hidden="1"/>
    </xf>
    <xf numFmtId="0" fontId="21" fillId="0" borderId="73" xfId="0" applyFont="1" applyBorder="1" applyAlignment="1" applyProtection="1">
      <alignment horizontal="center"/>
      <protection hidden="1"/>
    </xf>
    <xf numFmtId="0" fontId="21" fillId="0" borderId="74" xfId="0" applyFont="1" applyBorder="1" applyAlignment="1" applyProtection="1">
      <alignment horizontal="center"/>
      <protection hidden="1"/>
    </xf>
    <xf numFmtId="0" fontId="31" fillId="0" borderId="80" xfId="0" applyFont="1" applyBorder="1" applyAlignment="1" applyProtection="1">
      <alignment horizontal="center" vertical="center"/>
      <protection hidden="1"/>
    </xf>
    <xf numFmtId="0" fontId="31" fillId="0" borderId="75" xfId="0" applyFont="1" applyBorder="1" applyAlignment="1" applyProtection="1">
      <alignment horizontal="center" vertical="center"/>
      <protection hidden="1"/>
    </xf>
    <xf numFmtId="0" fontId="31" fillId="0" borderId="76" xfId="0" applyFont="1" applyBorder="1" applyAlignment="1" applyProtection="1">
      <alignment horizontal="center" vertical="center"/>
      <protection hidden="1"/>
    </xf>
    <xf numFmtId="0" fontId="21" fillId="0" borderId="80" xfId="0" applyFont="1" applyBorder="1" applyAlignment="1" applyProtection="1">
      <alignment horizontal="center" vertical="center" wrapText="1"/>
      <protection hidden="1"/>
    </xf>
    <xf numFmtId="0" fontId="21" fillId="0" borderId="75" xfId="0" applyFont="1" applyBorder="1" applyAlignment="1" applyProtection="1">
      <alignment horizontal="center" vertical="center" wrapText="1"/>
      <protection hidden="1"/>
    </xf>
    <xf numFmtId="0" fontId="21" fillId="0" borderId="76" xfId="0" applyFont="1" applyBorder="1" applyAlignment="1" applyProtection="1">
      <alignment horizontal="center" vertical="center" wrapText="1"/>
      <protection hidden="1"/>
    </xf>
    <xf numFmtId="0" fontId="21" fillId="0" borderId="0" xfId="0" applyFont="1" applyBorder="1" applyAlignment="1" applyProtection="1">
      <alignment horizontal="center"/>
      <protection hidden="1"/>
    </xf>
    <xf numFmtId="0" fontId="21" fillId="0" borderId="71" xfId="0" applyFont="1" applyBorder="1" applyAlignment="1" applyProtection="1">
      <alignment horizontal="center"/>
      <protection hidden="1"/>
    </xf>
    <xf numFmtId="0" fontId="31" fillId="0" borderId="77" xfId="0" applyFont="1" applyBorder="1" applyAlignment="1" applyProtection="1">
      <alignment horizontal="center" vertical="center"/>
      <protection hidden="1"/>
    </xf>
    <xf numFmtId="0" fontId="31" fillId="0" borderId="78" xfId="0" applyFont="1" applyBorder="1" applyAlignment="1" applyProtection="1">
      <alignment horizontal="center" vertical="center"/>
      <protection hidden="1"/>
    </xf>
    <xf numFmtId="0" fontId="31" fillId="0" borderId="79" xfId="0" applyFont="1" applyBorder="1" applyAlignment="1" applyProtection="1">
      <alignment horizontal="center" vertical="center"/>
      <protection hidden="1"/>
    </xf>
    <xf numFmtId="0" fontId="34" fillId="0" borderId="80" xfId="0" applyFont="1" applyBorder="1" applyAlignment="1" applyProtection="1">
      <alignment horizontal="center" vertical="center" wrapText="1"/>
      <protection hidden="1"/>
    </xf>
    <xf numFmtId="0" fontId="34" fillId="0" borderId="75" xfId="0" applyFont="1" applyBorder="1" applyAlignment="1" applyProtection="1">
      <alignment horizontal="center" vertical="center" wrapText="1"/>
      <protection hidden="1"/>
    </xf>
    <xf numFmtId="0" fontId="34" fillId="0" borderId="76" xfId="0" applyFont="1" applyBorder="1" applyAlignment="1" applyProtection="1">
      <alignment horizontal="center" vertical="center" wrapText="1"/>
      <protection hidden="1"/>
    </xf>
    <xf numFmtId="167" fontId="20" fillId="0" borderId="75" xfId="0" applyNumberFormat="1" applyFont="1" applyBorder="1" applyAlignment="1" applyProtection="1">
      <alignment horizontal="center" vertical="center"/>
      <protection hidden="1"/>
    </xf>
    <xf numFmtId="14" fontId="21" fillId="0" borderId="87" xfId="0" applyNumberFormat="1" applyFont="1" applyBorder="1" applyAlignment="1" applyProtection="1">
      <alignment horizontal="center" vertical="center"/>
      <protection hidden="1"/>
    </xf>
    <xf numFmtId="14" fontId="21" fillId="0" borderId="0" xfId="0" applyNumberFormat="1" applyFont="1" applyBorder="1" applyAlignment="1" applyProtection="1">
      <alignment horizontal="center" vertical="center"/>
      <protection hidden="1"/>
    </xf>
    <xf numFmtId="14" fontId="21" fillId="0" borderId="71" xfId="0" applyNumberFormat="1"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21" fillId="0" borderId="71" xfId="0" applyFont="1" applyBorder="1" applyAlignment="1" applyProtection="1">
      <alignment horizontal="center" vertical="center"/>
      <protection hidden="1"/>
    </xf>
    <xf numFmtId="0" fontId="21" fillId="0" borderId="87" xfId="0" applyFont="1" applyBorder="1" applyAlignment="1" applyProtection="1">
      <alignment horizontal="center" vertical="center"/>
      <protection hidden="1"/>
    </xf>
    <xf numFmtId="2" fontId="21" fillId="0" borderId="0" xfId="0" applyNumberFormat="1" applyFont="1" applyBorder="1" applyAlignment="1" applyProtection="1">
      <alignment horizontal="left" vertical="center"/>
      <protection hidden="1"/>
    </xf>
    <xf numFmtId="2" fontId="20" fillId="0" borderId="0" xfId="0" applyNumberFormat="1" applyFont="1" applyBorder="1" applyAlignment="1" applyProtection="1">
      <alignment horizontal="left" vertical="center" wrapText="1"/>
      <protection hidden="1"/>
    </xf>
    <xf numFmtId="0" fontId="20" fillId="0" borderId="0" xfId="0" applyFont="1" applyBorder="1" applyAlignment="1" applyProtection="1">
      <alignment horizontal="left" vertical="center"/>
      <protection hidden="1"/>
    </xf>
    <xf numFmtId="0" fontId="20" fillId="0" borderId="71" xfId="0" applyFont="1" applyBorder="1" applyAlignment="1" applyProtection="1">
      <alignment horizontal="left" vertical="center"/>
      <protection hidden="1"/>
    </xf>
    <xf numFmtId="0" fontId="26" fillId="0" borderId="75" xfId="0" applyFont="1" applyBorder="1" applyAlignment="1" applyProtection="1">
      <alignment horizontal="left" vertical="center"/>
      <protection hidden="1"/>
    </xf>
    <xf numFmtId="168" fontId="36" fillId="0" borderId="75" xfId="0" applyNumberFormat="1" applyFont="1" applyBorder="1" applyAlignment="1" applyProtection="1">
      <alignment horizontal="center" vertical="center"/>
      <protection hidden="1"/>
    </xf>
    <xf numFmtId="168" fontId="36" fillId="0" borderId="76" xfId="0" applyNumberFormat="1" applyFont="1" applyBorder="1" applyAlignment="1" applyProtection="1">
      <alignment horizontal="center" vertical="center"/>
      <protection hidden="1"/>
    </xf>
    <xf numFmtId="0" fontId="5" fillId="0" borderId="67" xfId="0" applyFont="1" applyBorder="1" applyAlignment="1" applyProtection="1">
      <alignment horizontal="center"/>
      <protection hidden="1"/>
    </xf>
    <xf numFmtId="0" fontId="5" fillId="0" borderId="68" xfId="0" applyFont="1" applyBorder="1" applyAlignment="1" applyProtection="1">
      <alignment horizontal="center"/>
      <protection hidden="1"/>
    </xf>
    <xf numFmtId="0" fontId="21" fillId="0" borderId="68" xfId="0" applyFont="1" applyBorder="1" applyAlignment="1" applyProtection="1">
      <alignment horizontal="right" vertical="center"/>
      <protection hidden="1"/>
    </xf>
    <xf numFmtId="0" fontId="5" fillId="0" borderId="70" xfId="0" applyFont="1" applyBorder="1" applyAlignment="1" applyProtection="1">
      <alignment horizontal="center" vertical="center"/>
      <protection hidden="1"/>
    </xf>
    <xf numFmtId="0" fontId="5" fillId="0" borderId="72" xfId="0" applyFont="1" applyBorder="1" applyAlignment="1" applyProtection="1">
      <alignment horizontal="center" vertical="center"/>
      <protection hidden="1"/>
    </xf>
    <xf numFmtId="0" fontId="21" fillId="0" borderId="0" xfId="0" applyFont="1" applyBorder="1" applyAlignment="1" applyProtection="1">
      <alignment horizontal="left" vertical="center"/>
      <protection hidden="1"/>
    </xf>
    <xf numFmtId="168" fontId="32" fillId="0" borderId="75" xfId="0" applyNumberFormat="1" applyFont="1" applyBorder="1" applyAlignment="1" applyProtection="1">
      <alignment horizontal="center" vertical="center"/>
      <protection hidden="1"/>
    </xf>
    <xf numFmtId="168" fontId="32" fillId="0" borderId="76" xfId="0" applyNumberFormat="1" applyFont="1" applyBorder="1" applyAlignment="1" applyProtection="1">
      <alignment horizontal="center" vertical="center"/>
      <protection hidden="1"/>
    </xf>
    <xf numFmtId="0" fontId="30" fillId="0" borderId="72" xfId="0" applyFont="1" applyBorder="1" applyAlignment="1" applyProtection="1">
      <alignment horizontal="center" vertical="center"/>
      <protection hidden="1"/>
    </xf>
    <xf numFmtId="0" fontId="30" fillId="0" borderId="73" xfId="0" applyFont="1" applyBorder="1" applyAlignment="1" applyProtection="1">
      <alignment horizontal="center" vertical="center"/>
      <protection hidden="1"/>
    </xf>
    <xf numFmtId="0" fontId="30" fillId="0" borderId="74" xfId="0" applyFont="1" applyBorder="1" applyAlignment="1" applyProtection="1">
      <alignment horizontal="center" vertical="center"/>
      <protection hidden="1"/>
    </xf>
    <xf numFmtId="0" fontId="38" fillId="0" borderId="68" xfId="0" applyFont="1" applyBorder="1" applyAlignment="1" applyProtection="1">
      <alignment horizontal="center" vertical="center"/>
      <protection hidden="1"/>
    </xf>
    <xf numFmtId="0" fontId="38" fillId="0" borderId="69" xfId="0" applyFont="1" applyBorder="1" applyAlignment="1" applyProtection="1">
      <alignment horizontal="center" vertical="center"/>
      <protection hidden="1"/>
    </xf>
    <xf numFmtId="0" fontId="37" fillId="0" borderId="70" xfId="0" applyFont="1" applyBorder="1" applyAlignment="1" applyProtection="1">
      <alignment horizontal="center" vertical="center"/>
      <protection hidden="1"/>
    </xf>
    <xf numFmtId="0" fontId="37" fillId="0" borderId="0" xfId="0" applyFont="1" applyBorder="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39" fillId="0" borderId="68" xfId="0" applyFont="1" applyBorder="1" applyAlignment="1" applyProtection="1">
      <alignment horizontal="center" vertical="center"/>
      <protection hidden="1"/>
    </xf>
    <xf numFmtId="0" fontId="39" fillId="0" borderId="69" xfId="0" applyFont="1" applyBorder="1" applyAlignment="1" applyProtection="1">
      <alignment horizontal="center" vertical="center"/>
      <protection hidden="1"/>
    </xf>
    <xf numFmtId="0" fontId="21" fillId="0" borderId="75" xfId="0" applyFont="1" applyBorder="1" applyAlignment="1" applyProtection="1">
      <alignment horizontal="left" vertical="center"/>
      <protection hidden="1"/>
    </xf>
    <xf numFmtId="0" fontId="33" fillId="0" borderId="75" xfId="0" applyFont="1" applyBorder="1" applyAlignment="1" applyProtection="1">
      <alignment horizontal="left" vertical="center"/>
      <protection hidden="1"/>
    </xf>
    <xf numFmtId="0" fontId="5" fillId="0" borderId="88" xfId="0" applyFont="1" applyBorder="1" applyAlignment="1" applyProtection="1">
      <alignment horizontal="center"/>
      <protection hidden="1"/>
    </xf>
    <xf numFmtId="0" fontId="0" fillId="28" borderId="0" xfId="0" applyFill="1" applyAlignment="1" applyProtection="1">
      <alignment horizontal="center"/>
      <protection hidden="1"/>
    </xf>
    <xf numFmtId="0" fontId="130" fillId="3" borderId="179" xfId="0" applyFont="1" applyFill="1" applyBorder="1" applyAlignment="1" applyProtection="1">
      <alignment horizontal="center" vertical="center" wrapText="1"/>
      <protection hidden="1"/>
    </xf>
    <xf numFmtId="0" fontId="130" fillId="3" borderId="0" xfId="0" applyFont="1" applyFill="1" applyBorder="1" applyAlignment="1" applyProtection="1">
      <alignment horizontal="center" vertical="center" wrapText="1"/>
      <protection hidden="1"/>
    </xf>
    <xf numFmtId="0" fontId="131" fillId="29" borderId="180" xfId="0" applyFont="1" applyFill="1" applyBorder="1" applyAlignment="1" applyProtection="1">
      <alignment horizontal="center"/>
      <protection hidden="1"/>
    </xf>
    <xf numFmtId="0" fontId="131" fillId="29" borderId="181" xfId="0" applyFont="1" applyFill="1" applyBorder="1" applyAlignment="1" applyProtection="1">
      <alignment horizontal="center"/>
      <protection hidden="1"/>
    </xf>
    <xf numFmtId="0" fontId="131" fillId="29" borderId="182" xfId="0" applyFont="1" applyFill="1" applyBorder="1" applyAlignment="1" applyProtection="1">
      <alignment horizontal="center"/>
      <protection hidden="1"/>
    </xf>
    <xf numFmtId="0" fontId="0" fillId="28" borderId="0" xfId="0" applyFill="1" applyBorder="1" applyAlignment="1" applyProtection="1">
      <alignment horizontal="center"/>
      <protection hidden="1"/>
    </xf>
    <xf numFmtId="0" fontId="132" fillId="29" borderId="183" xfId="0" applyFont="1" applyFill="1" applyBorder="1" applyAlignment="1" applyProtection="1">
      <alignment horizontal="center" vertical="center"/>
      <protection hidden="1"/>
    </xf>
    <xf numFmtId="0" fontId="132" fillId="29" borderId="184" xfId="0" applyFont="1" applyFill="1" applyBorder="1" applyAlignment="1" applyProtection="1">
      <alignment horizontal="center" vertical="center"/>
      <protection hidden="1"/>
    </xf>
    <xf numFmtId="0" fontId="132" fillId="29" borderId="185" xfId="0" applyFont="1" applyFill="1" applyBorder="1" applyAlignment="1" applyProtection="1">
      <alignment horizontal="center" vertical="center"/>
      <protection hidden="1"/>
    </xf>
    <xf numFmtId="0" fontId="8" fillId="16" borderId="187" xfId="0" applyFont="1" applyFill="1" applyBorder="1" applyAlignment="1" applyProtection="1">
      <alignment horizontal="center" vertical="center" wrapText="1"/>
      <protection locked="0"/>
    </xf>
    <xf numFmtId="0" fontId="8" fillId="16" borderId="188" xfId="0" applyFont="1" applyFill="1" applyBorder="1" applyAlignment="1" applyProtection="1">
      <alignment horizontal="center" vertical="center" wrapText="1"/>
      <protection locked="0"/>
    </xf>
    <xf numFmtId="0" fontId="8" fillId="16" borderId="193" xfId="0" applyFont="1" applyFill="1" applyBorder="1" applyAlignment="1" applyProtection="1">
      <alignment horizontal="center" vertical="center" wrapText="1"/>
      <protection locked="0"/>
    </xf>
    <xf numFmtId="0" fontId="0" fillId="0" borderId="194" xfId="0" applyBorder="1" applyProtection="1">
      <protection locked="0"/>
    </xf>
    <xf numFmtId="0" fontId="21" fillId="0" borderId="192" xfId="0" applyFont="1" applyBorder="1" applyAlignment="1" applyProtection="1">
      <alignment horizontal="center" vertical="center" wrapText="1"/>
      <protection hidden="1"/>
    </xf>
    <xf numFmtId="0" fontId="33" fillId="0" borderId="198" xfId="0" applyFont="1" applyBorder="1" applyAlignment="1" applyProtection="1">
      <alignment horizontal="center" vertical="center" wrapText="1"/>
      <protection hidden="1"/>
    </xf>
    <xf numFmtId="0" fontId="33" fillId="0" borderId="200" xfId="0" applyFont="1" applyBorder="1" applyAlignment="1" applyProtection="1">
      <alignment horizontal="center" vertical="center" wrapText="1"/>
      <protection hidden="1"/>
    </xf>
    <xf numFmtId="174" fontId="21" fillId="0" borderId="198" xfId="0" applyNumberFormat="1" applyFont="1" applyBorder="1" applyAlignment="1" applyProtection="1">
      <alignment horizontal="center" vertical="center" wrapText="1"/>
      <protection locked="0"/>
    </xf>
    <xf numFmtId="174" fontId="21" fillId="0" borderId="200" xfId="0" applyNumberFormat="1" applyFont="1" applyBorder="1" applyAlignment="1" applyProtection="1">
      <alignment horizontal="center" vertical="center" wrapText="1"/>
      <protection locked="0"/>
    </xf>
    <xf numFmtId="174" fontId="21" fillId="0" borderId="199" xfId="0" applyNumberFormat="1" applyFont="1" applyBorder="1" applyAlignment="1" applyProtection="1">
      <alignment horizontal="center" vertical="center" wrapText="1"/>
      <protection hidden="1"/>
    </xf>
    <xf numFmtId="174" fontId="21" fillId="0" borderId="201" xfId="0" applyNumberFormat="1" applyFont="1" applyBorder="1" applyAlignment="1" applyProtection="1">
      <alignment horizontal="center" vertical="center" wrapText="1"/>
      <protection hidden="1"/>
    </xf>
    <xf numFmtId="174" fontId="21" fillId="0" borderId="202" xfId="0" applyNumberFormat="1"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8" fillId="16" borderId="194" xfId="0" applyFont="1" applyFill="1" applyBorder="1" applyAlignment="1" applyProtection="1">
      <alignment horizontal="center" vertical="center" wrapText="1"/>
      <protection locked="0"/>
    </xf>
    <xf numFmtId="174" fontId="8" fillId="16" borderId="193" xfId="0" applyNumberFormat="1" applyFont="1" applyFill="1" applyBorder="1" applyAlignment="1" applyProtection="1">
      <alignment horizontal="center" vertical="center" wrapText="1"/>
      <protection locked="0"/>
    </xf>
    <xf numFmtId="174" fontId="8" fillId="16" borderId="194" xfId="0" applyNumberFormat="1" applyFont="1" applyFill="1" applyBorder="1" applyAlignment="1" applyProtection="1">
      <alignment horizontal="center" vertical="center" wrapText="1"/>
      <protection locked="0"/>
    </xf>
    <xf numFmtId="0" fontId="21" fillId="0" borderId="203" xfId="0" applyFont="1" applyBorder="1" applyAlignment="1" applyProtection="1">
      <alignment horizontal="center" vertical="center" wrapText="1"/>
      <protection hidden="1"/>
    </xf>
    <xf numFmtId="0" fontId="21" fillId="0" borderId="204" xfId="0" applyFont="1" applyBorder="1" applyAlignment="1" applyProtection="1">
      <alignment horizontal="center" vertical="center" wrapText="1"/>
      <protection hidden="1"/>
    </xf>
    <xf numFmtId="0" fontId="55" fillId="0" borderId="198" xfId="0" applyFont="1" applyBorder="1" applyAlignment="1" applyProtection="1">
      <alignment horizontal="center" vertical="center" wrapText="1"/>
      <protection hidden="1"/>
    </xf>
    <xf numFmtId="0" fontId="55" fillId="0" borderId="205" xfId="0" applyFont="1" applyBorder="1" applyAlignment="1" applyProtection="1">
      <alignment horizontal="center" vertical="center" wrapText="1"/>
      <protection hidden="1"/>
    </xf>
    <xf numFmtId="174" fontId="21" fillId="0" borderId="198" xfId="0" applyNumberFormat="1" applyFont="1" applyBorder="1" applyAlignment="1" applyProtection="1">
      <alignment horizontal="center" vertical="center" wrapText="1"/>
      <protection hidden="1"/>
    </xf>
    <xf numFmtId="174" fontId="21" fillId="0" borderId="205" xfId="0" applyNumberFormat="1" applyFont="1" applyBorder="1" applyAlignment="1" applyProtection="1">
      <alignment horizontal="center" vertical="center" wrapText="1"/>
      <protection hidden="1"/>
    </xf>
    <xf numFmtId="0" fontId="21" fillId="0" borderId="201" xfId="0" applyFont="1" applyBorder="1" applyAlignment="1" applyProtection="1">
      <alignment horizontal="center" vertical="center" wrapText="1"/>
      <protection hidden="1"/>
    </xf>
    <xf numFmtId="174" fontId="133" fillId="30" borderId="193" xfId="0" applyNumberFormat="1" applyFont="1" applyFill="1" applyBorder="1" applyAlignment="1" applyProtection="1">
      <alignment horizontal="center" vertical="center" wrapText="1"/>
      <protection locked="0"/>
    </xf>
    <xf numFmtId="174" fontId="133" fillId="30" borderId="194" xfId="0" applyNumberFormat="1" applyFont="1" applyFill="1" applyBorder="1" applyAlignment="1" applyProtection="1">
      <alignment horizontal="center" vertical="center" wrapText="1"/>
      <protection locked="0"/>
    </xf>
    <xf numFmtId="174" fontId="108" fillId="0" borderId="0" xfId="0" applyNumberFormat="1" applyFont="1" applyAlignment="1" applyProtection="1">
      <alignment horizontal="center" vertical="center" wrapText="1"/>
      <protection hidden="1"/>
    </xf>
    <xf numFmtId="0" fontId="84" fillId="32" borderId="180" xfId="0" applyFont="1" applyFill="1" applyBorder="1" applyAlignment="1" applyProtection="1">
      <alignment horizontal="right" vertical="center"/>
      <protection hidden="1"/>
    </xf>
    <xf numFmtId="0" fontId="84" fillId="32" borderId="181" xfId="0" applyFont="1" applyFill="1" applyBorder="1" applyAlignment="1" applyProtection="1">
      <alignment horizontal="right" vertical="center"/>
      <protection hidden="1"/>
    </xf>
    <xf numFmtId="174" fontId="12" fillId="32" borderId="181" xfId="0" applyNumberFormat="1" applyFont="1" applyFill="1" applyBorder="1" applyAlignment="1" applyProtection="1">
      <alignment horizontal="left" vertical="center"/>
      <protection hidden="1"/>
    </xf>
    <xf numFmtId="0" fontId="12" fillId="32" borderId="182" xfId="0" applyFont="1" applyFill="1" applyBorder="1" applyAlignment="1" applyProtection="1">
      <alignment horizontal="left" vertical="center"/>
      <protection hidden="1"/>
    </xf>
    <xf numFmtId="0" fontId="21" fillId="31" borderId="206" xfId="0" applyFont="1" applyFill="1" applyBorder="1" applyAlignment="1" applyProtection="1">
      <alignment horizontal="center" wrapText="1"/>
      <protection hidden="1"/>
    </xf>
    <xf numFmtId="0" fontId="21" fillId="31" borderId="207" xfId="0" applyFont="1" applyFill="1" applyBorder="1" applyAlignment="1" applyProtection="1">
      <alignment horizontal="center" wrapText="1"/>
      <protection hidden="1"/>
    </xf>
    <xf numFmtId="174" fontId="20" fillId="31" borderId="208" xfId="0" applyNumberFormat="1" applyFont="1" applyFill="1" applyBorder="1" applyAlignment="1" applyProtection="1">
      <alignment horizontal="center" vertical="center" wrapText="1"/>
      <protection hidden="1"/>
    </xf>
    <xf numFmtId="174" fontId="20" fillId="31" borderId="207" xfId="0" applyNumberFormat="1" applyFont="1" applyFill="1" applyBorder="1" applyAlignment="1" applyProtection="1">
      <alignment horizontal="center" vertical="center" wrapText="1"/>
      <protection hidden="1"/>
    </xf>
    <xf numFmtId="174" fontId="20" fillId="31" borderId="214" xfId="0" applyNumberFormat="1" applyFont="1" applyFill="1" applyBorder="1" applyAlignment="1" applyProtection="1">
      <alignment horizontal="center" vertical="center" wrapText="1"/>
      <protection hidden="1"/>
    </xf>
    <xf numFmtId="174" fontId="20" fillId="31" borderId="213" xfId="0" applyNumberFormat="1" applyFont="1" applyFill="1" applyBorder="1" applyAlignment="1" applyProtection="1">
      <alignment horizontal="center" vertical="center" wrapText="1"/>
      <protection hidden="1"/>
    </xf>
    <xf numFmtId="0" fontId="8" fillId="16" borderId="210" xfId="0" applyFont="1" applyFill="1" applyBorder="1" applyAlignment="1" applyProtection="1">
      <alignment horizontal="center" vertical="center" wrapText="1"/>
      <protection locked="0"/>
    </xf>
    <xf numFmtId="0" fontId="8" fillId="16" borderId="211" xfId="0" applyFont="1" applyFill="1" applyBorder="1" applyAlignment="1" applyProtection="1">
      <alignment horizontal="center" vertical="center" wrapText="1"/>
      <protection locked="0"/>
    </xf>
    <xf numFmtId="0" fontId="21" fillId="31" borderId="212" xfId="0" applyFont="1" applyFill="1" applyBorder="1" applyAlignment="1" applyProtection="1">
      <alignment horizontal="center" vertical="top" wrapText="1"/>
      <protection hidden="1"/>
    </xf>
    <xf numFmtId="0" fontId="21" fillId="31" borderId="213" xfId="0" applyFont="1" applyFill="1" applyBorder="1" applyAlignment="1" applyProtection="1">
      <alignment horizontal="center" vertical="top" wrapText="1"/>
      <protection hidden="1"/>
    </xf>
    <xf numFmtId="174" fontId="0" fillId="0" borderId="0" xfId="0" applyNumberFormat="1" applyAlignment="1" applyProtection="1">
      <alignment horizontal="center" vertical="center" wrapText="1"/>
      <protection hidden="1"/>
    </xf>
    <xf numFmtId="0" fontId="0" fillId="0" borderId="75" xfId="0" applyBorder="1" applyAlignment="1" applyProtection="1">
      <alignment horizontal="center" vertical="center"/>
      <protection hidden="1"/>
    </xf>
    <xf numFmtId="0" fontId="5" fillId="26" borderId="84" xfId="0" applyFont="1" applyFill="1" applyBorder="1" applyAlignment="1" applyProtection="1">
      <alignment horizontal="center"/>
      <protection hidden="1"/>
    </xf>
    <xf numFmtId="0" fontId="27" fillId="0" borderId="225" xfId="0" applyFont="1" applyBorder="1" applyAlignment="1" applyProtection="1">
      <alignment horizontal="center" vertical="center" wrapText="1"/>
      <protection hidden="1"/>
    </xf>
    <xf numFmtId="0" fontId="0" fillId="0" borderId="226" xfId="0" applyFont="1" applyBorder="1"/>
    <xf numFmtId="0" fontId="0" fillId="0" borderId="227" xfId="0" applyFont="1" applyBorder="1"/>
    <xf numFmtId="0" fontId="27" fillId="0" borderId="228" xfId="0" applyFont="1" applyBorder="1" applyAlignment="1" applyProtection="1">
      <alignment horizontal="center" vertical="center" wrapText="1"/>
      <protection hidden="1"/>
    </xf>
    <xf numFmtId="0" fontId="27" fillId="0" borderId="218" xfId="0" applyFont="1" applyBorder="1" applyAlignment="1" applyProtection="1">
      <alignment horizontal="center" vertical="center" wrapText="1"/>
      <protection hidden="1"/>
    </xf>
    <xf numFmtId="0" fontId="27" fillId="0" borderId="229" xfId="0" applyFont="1" applyBorder="1" applyAlignment="1" applyProtection="1">
      <alignment horizontal="center" vertical="center" wrapText="1"/>
      <protection hidden="1"/>
    </xf>
    <xf numFmtId="0" fontId="0" fillId="0" borderId="224" xfId="0" applyBorder="1" applyAlignment="1" applyProtection="1">
      <alignment horizontal="center" vertical="center" wrapText="1"/>
      <protection hidden="1"/>
    </xf>
    <xf numFmtId="0" fontId="0" fillId="0" borderId="146" xfId="0" applyBorder="1" applyAlignment="1" applyProtection="1">
      <alignment horizontal="center" vertical="center" wrapText="1"/>
      <protection hidden="1"/>
    </xf>
    <xf numFmtId="0" fontId="27" fillId="11" borderId="228" xfId="0" applyFont="1" applyFill="1" applyBorder="1" applyAlignment="1" applyProtection="1">
      <alignment horizontal="center" vertical="center" wrapText="1"/>
      <protection locked="0"/>
    </xf>
    <xf numFmtId="0" fontId="27" fillId="11" borderId="218" xfId="0" applyFont="1" applyFill="1" applyBorder="1" applyAlignment="1" applyProtection="1">
      <alignment horizontal="center" vertical="center" wrapText="1"/>
      <protection locked="0"/>
    </xf>
    <xf numFmtId="0" fontId="27" fillId="11" borderId="229" xfId="0" applyFont="1" applyFill="1" applyBorder="1" applyAlignment="1" applyProtection="1">
      <alignment horizontal="center" vertical="center" wrapText="1"/>
      <protection locked="0"/>
    </xf>
    <xf numFmtId="0" fontId="0" fillId="0" borderId="223" xfId="0" applyBorder="1" applyAlignment="1" applyProtection="1">
      <alignment horizontal="center" vertical="center" wrapText="1"/>
      <protection hidden="1"/>
    </xf>
    <xf numFmtId="0" fontId="56" fillId="0" borderId="224" xfId="0" applyFont="1" applyBorder="1" applyAlignment="1" applyProtection="1">
      <alignment horizontal="center" vertical="center" textRotation="90" wrapText="1"/>
      <protection hidden="1"/>
    </xf>
    <xf numFmtId="0" fontId="56" fillId="0" borderId="146" xfId="0" applyFont="1" applyBorder="1" applyAlignment="1" applyProtection="1">
      <alignment horizontal="center" vertical="center" textRotation="90" wrapText="1"/>
      <protection hidden="1"/>
    </xf>
    <xf numFmtId="0" fontId="107" fillId="0" borderId="223" xfId="0" applyFont="1" applyBorder="1" applyAlignment="1" applyProtection="1">
      <alignment horizontal="center" vertical="center" textRotation="90" wrapText="1"/>
      <protection hidden="1"/>
    </xf>
    <xf numFmtId="0" fontId="107" fillId="0" borderId="75" xfId="0" applyFont="1" applyBorder="1" applyAlignment="1" applyProtection="1">
      <alignment horizontal="center" vertical="center" textRotation="90" wrapText="1"/>
      <protection hidden="1"/>
    </xf>
    <xf numFmtId="0" fontId="138" fillId="0" borderId="224" xfId="0" applyFont="1" applyBorder="1" applyAlignment="1" applyProtection="1">
      <alignment horizontal="center" vertical="center" textRotation="90" wrapText="1"/>
      <protection hidden="1"/>
    </xf>
    <xf numFmtId="0" fontId="138" fillId="0" borderId="146" xfId="0" applyFont="1" applyBorder="1" applyAlignment="1" applyProtection="1">
      <alignment horizontal="center" vertical="center" textRotation="90" wrapText="1"/>
      <protection hidden="1"/>
    </xf>
    <xf numFmtId="0" fontId="0" fillId="26" borderId="0" xfId="0" applyFill="1" applyAlignment="1" applyProtection="1">
      <alignment horizontal="center"/>
      <protection hidden="1"/>
    </xf>
    <xf numFmtId="0" fontId="135" fillId="3" borderId="215" xfId="0" applyFont="1" applyFill="1" applyBorder="1" applyAlignment="1" applyProtection="1">
      <alignment horizontal="center" vertical="center" wrapText="1"/>
      <protection hidden="1"/>
    </xf>
    <xf numFmtId="0" fontId="135" fillId="3" borderId="216" xfId="0" applyFont="1" applyFill="1" applyBorder="1" applyAlignment="1" applyProtection="1">
      <alignment horizontal="center" vertical="center" wrapText="1"/>
      <protection hidden="1"/>
    </xf>
    <xf numFmtId="0" fontId="0" fillId="26" borderId="85" xfId="0" applyFill="1" applyBorder="1" applyAlignment="1" applyProtection="1">
      <alignment horizontal="center" vertical="center" wrapText="1"/>
      <protection hidden="1"/>
    </xf>
    <xf numFmtId="0" fontId="15" fillId="0" borderId="223" xfId="0" applyFont="1" applyBorder="1" applyAlignment="1" applyProtection="1">
      <alignment horizontal="center" vertical="center" textRotation="90" wrapText="1"/>
      <protection hidden="1"/>
    </xf>
    <xf numFmtId="0" fontId="15" fillId="0" borderId="75" xfId="0" applyFont="1" applyBorder="1" applyAlignment="1" applyProtection="1">
      <alignment horizontal="center" vertical="center" textRotation="90" wrapText="1"/>
      <protection hidden="1"/>
    </xf>
    <xf numFmtId="0" fontId="15" fillId="0" borderId="228" xfId="0" applyFont="1" applyBorder="1" applyAlignment="1" applyProtection="1">
      <alignment horizontal="center" vertical="center" textRotation="90" wrapText="1"/>
      <protection hidden="1"/>
    </xf>
    <xf numFmtId="0" fontId="15" fillId="0" borderId="219" xfId="0" applyFont="1" applyBorder="1" applyAlignment="1" applyProtection="1">
      <alignment horizontal="center" vertical="center" textRotation="90" wrapText="1"/>
      <protection hidden="1"/>
    </xf>
    <xf numFmtId="0" fontId="15" fillId="0" borderId="136" xfId="0" applyFont="1" applyBorder="1" applyAlignment="1" applyProtection="1">
      <alignment horizontal="center" vertical="center" textRotation="90" wrapText="1"/>
      <protection hidden="1"/>
    </xf>
    <xf numFmtId="0" fontId="15" fillId="0" borderId="231" xfId="0" applyFont="1" applyBorder="1" applyAlignment="1" applyProtection="1">
      <alignment horizontal="center" vertical="center" textRotation="90" wrapText="1"/>
      <protection hidden="1"/>
    </xf>
    <xf numFmtId="0" fontId="0" fillId="0" borderId="234" xfId="0" applyBorder="1" applyAlignment="1" applyProtection="1">
      <alignment horizontal="center" vertical="center" wrapText="1"/>
      <protection hidden="1"/>
    </xf>
    <xf numFmtId="0" fontId="0" fillId="0" borderId="235" xfId="0" applyBorder="1" applyAlignment="1" applyProtection="1">
      <alignment horizontal="center" vertical="center" wrapText="1"/>
      <protection hidden="1"/>
    </xf>
    <xf numFmtId="0" fontId="0" fillId="0" borderId="236" xfId="0" applyBorder="1" applyAlignment="1" applyProtection="1">
      <alignment horizontal="center" vertical="center" wrapText="1"/>
      <protection hidden="1"/>
    </xf>
    <xf numFmtId="0" fontId="25" fillId="11" borderId="217" xfId="0" applyFont="1" applyFill="1" applyBorder="1" applyAlignment="1" applyProtection="1">
      <alignment horizontal="center" wrapText="1"/>
      <protection locked="0"/>
    </xf>
    <xf numFmtId="0" fontId="25" fillId="11" borderId="218" xfId="0" applyFont="1" applyFill="1" applyBorder="1" applyAlignment="1" applyProtection="1">
      <alignment horizontal="center" wrapText="1"/>
      <protection locked="0"/>
    </xf>
    <xf numFmtId="0" fontId="25" fillId="11" borderId="219" xfId="0" applyFont="1" applyFill="1" applyBorder="1" applyAlignment="1" applyProtection="1">
      <alignment horizontal="center" wrapText="1"/>
      <protection locked="0"/>
    </xf>
    <xf numFmtId="0" fontId="14" fillId="4" borderId="220" xfId="0" applyFont="1" applyFill="1" applyBorder="1" applyAlignment="1" applyProtection="1">
      <alignment horizontal="center" vertical="center" wrapText="1"/>
      <protection hidden="1"/>
    </xf>
    <xf numFmtId="0" fontId="14" fillId="4" borderId="216" xfId="0" applyFont="1" applyFill="1" applyBorder="1" applyAlignment="1" applyProtection="1">
      <alignment horizontal="center" vertical="center" wrapText="1"/>
      <protection hidden="1"/>
    </xf>
    <xf numFmtId="0" fontId="14" fillId="4" borderId="221" xfId="0" applyFont="1" applyFill="1" applyBorder="1" applyAlignment="1" applyProtection="1">
      <alignment horizontal="center" vertical="center" wrapText="1"/>
      <protection hidden="1"/>
    </xf>
    <xf numFmtId="0" fontId="44" fillId="0" borderId="222" xfId="0" applyFont="1" applyBorder="1" applyAlignment="1" applyProtection="1">
      <alignment horizontal="center" vertical="center" wrapText="1"/>
      <protection hidden="1"/>
    </xf>
    <xf numFmtId="0" fontId="44" fillId="0" borderId="230" xfId="0" applyFont="1" applyBorder="1" applyAlignment="1" applyProtection="1">
      <alignment horizontal="center" vertical="center" wrapText="1"/>
      <protection hidden="1"/>
    </xf>
    <xf numFmtId="0" fontId="137" fillId="0" borderId="223" xfId="0" applyFont="1" applyBorder="1" applyAlignment="1" applyProtection="1">
      <alignment horizontal="center" vertical="center" wrapText="1"/>
      <protection hidden="1"/>
    </xf>
    <xf numFmtId="0" fontId="137" fillId="0" borderId="75" xfId="0" applyFont="1" applyBorder="1" applyAlignment="1" applyProtection="1">
      <alignment horizontal="center" vertical="center" wrapText="1"/>
      <protection hidden="1"/>
    </xf>
    <xf numFmtId="0" fontId="15" fillId="0" borderId="223" xfId="0" applyFont="1" applyBorder="1" applyAlignment="1" applyProtection="1">
      <alignment horizontal="center" vertical="center" wrapText="1"/>
      <protection hidden="1"/>
    </xf>
    <xf numFmtId="0" fontId="15" fillId="0" borderId="75" xfId="0" applyFont="1" applyBorder="1" applyAlignment="1" applyProtection="1">
      <alignment horizontal="center" vertical="center" wrapText="1"/>
      <protection hidden="1"/>
    </xf>
    <xf numFmtId="0" fontId="138" fillId="0" borderId="223" xfId="0" applyFont="1" applyBorder="1" applyAlignment="1" applyProtection="1">
      <alignment horizontal="center" vertical="center" textRotation="90" wrapText="1"/>
      <protection hidden="1"/>
    </xf>
    <xf numFmtId="0" fontId="138" fillId="0" borderId="75" xfId="0" applyFont="1" applyBorder="1" applyAlignment="1" applyProtection="1">
      <alignment horizontal="center" vertical="center" textRotation="90" wrapText="1"/>
      <protection hidden="1"/>
    </xf>
    <xf numFmtId="0" fontId="0" fillId="0" borderId="237" xfId="0" applyBorder="1" applyAlignment="1" applyProtection="1">
      <alignment horizontal="center" vertical="center" wrapText="1"/>
      <protection hidden="1"/>
    </xf>
  </cellXfs>
  <cellStyles count="8">
    <cellStyle name="Comma" xfId="6" builtinId="3"/>
    <cellStyle name="Comma 2" xfId="5"/>
    <cellStyle name="Comma_From 16" xfId="3"/>
    <cellStyle name="Hyperlink" xfId="7" builtinId="8"/>
    <cellStyle name="Normal" xfId="0" builtinId="0"/>
    <cellStyle name="Normal 2" xfId="1"/>
    <cellStyle name="Normal 3" xfId="4"/>
    <cellStyle name="Normal_pay 2008-09" xfId="2"/>
  </cellStyles>
  <dxfs count="50">
    <dxf>
      <font>
        <b/>
        <i/>
        <color rgb="FFFF0000"/>
      </font>
    </dxf>
    <dxf>
      <font>
        <b/>
        <i val="0"/>
        <color rgb="FF006600"/>
      </font>
    </dxf>
    <dxf>
      <font>
        <color rgb="FFFF0000"/>
      </font>
    </dxf>
    <dxf>
      <fill>
        <patternFill>
          <bgColor rgb="FF92D050"/>
        </patternFill>
      </fill>
    </dxf>
    <dxf>
      <font>
        <color rgb="FFFF0000"/>
      </font>
    </dxf>
    <dxf>
      <fill>
        <patternFill>
          <bgColor rgb="FF92D050"/>
        </patternFill>
      </fill>
    </dxf>
    <dxf>
      <font>
        <color theme="0"/>
      </font>
    </dxf>
    <dxf>
      <fill>
        <patternFill>
          <bgColor rgb="FFFFFF00"/>
        </patternFill>
      </fill>
    </dxf>
    <dxf>
      <font>
        <color theme="0"/>
      </font>
    </dxf>
    <dxf>
      <font>
        <color rgb="FF002060"/>
      </font>
      <fill>
        <patternFill>
          <bgColor rgb="FFB6DF89"/>
        </patternFill>
      </fill>
    </dxf>
    <dxf>
      <font>
        <color rgb="FFC00000"/>
      </font>
      <fill>
        <patternFill>
          <bgColor theme="9" tint="0.59996337778862885"/>
        </patternFill>
      </fill>
    </dxf>
    <dxf>
      <font>
        <color theme="0"/>
      </font>
    </dxf>
    <dxf>
      <font>
        <color theme="9" tint="0.39994506668294322"/>
      </font>
    </dxf>
    <dxf>
      <font>
        <color rgb="FFFF0000"/>
      </font>
    </dxf>
    <dxf>
      <font>
        <color theme="0"/>
      </font>
    </dxf>
    <dxf>
      <font>
        <color theme="0"/>
      </font>
    </dxf>
    <dxf>
      <font>
        <color rgb="FF006600"/>
      </font>
    </dxf>
    <dxf>
      <font>
        <color rgb="FFFF0000"/>
      </font>
    </dxf>
    <dxf>
      <font>
        <color rgb="FF006600"/>
      </font>
    </dxf>
    <dxf>
      <font>
        <color rgb="FFFF0000"/>
      </font>
    </dxf>
    <dxf>
      <font>
        <color theme="0"/>
      </font>
    </dxf>
    <dxf>
      <font>
        <color theme="0" tint="-4.9989318521683403E-2"/>
      </font>
    </dxf>
    <dxf>
      <font>
        <color rgb="FFFF0000"/>
      </font>
    </dxf>
    <dxf>
      <font>
        <color rgb="FF006600"/>
      </font>
    </dxf>
    <dxf>
      <font>
        <color theme="9" tint="0.59996337778862885"/>
      </font>
    </dxf>
    <dxf>
      <font>
        <color theme="0"/>
      </font>
    </dxf>
    <dxf>
      <font>
        <color theme="0" tint="-4.9989318521683403E-2"/>
      </font>
    </dxf>
    <dxf>
      <font>
        <color rgb="FFFF0000"/>
      </font>
    </dxf>
    <dxf>
      <font>
        <color rgb="FF006600"/>
      </font>
    </dxf>
    <dxf>
      <font>
        <color theme="9" tint="0.59996337778862885"/>
      </font>
    </dxf>
    <dxf>
      <font>
        <color rgb="FF002060"/>
      </font>
      <fill>
        <patternFill>
          <bgColor rgb="FF92D050"/>
        </patternFill>
      </fill>
    </dxf>
    <dxf>
      <font>
        <color theme="0"/>
      </font>
      <fill>
        <patternFill>
          <bgColor rgb="FFFF0000"/>
        </patternFill>
      </fill>
    </dxf>
    <dxf>
      <fill>
        <patternFill>
          <bgColor theme="0"/>
        </patternFill>
      </fill>
    </dxf>
    <dxf>
      <font>
        <color rgb="FF002060"/>
      </font>
      <fill>
        <patternFill>
          <bgColor rgb="FF92D050"/>
        </patternFill>
      </fill>
    </dxf>
    <dxf>
      <font>
        <color rgb="FF002060"/>
      </font>
      <fill>
        <patternFill>
          <bgColor rgb="FFFF0000"/>
        </patternFill>
      </fill>
    </dxf>
    <dxf>
      <fill>
        <patternFill>
          <bgColor theme="0"/>
        </patternFill>
      </fill>
    </dxf>
    <dxf>
      <font>
        <color theme="0"/>
      </font>
    </dxf>
    <dxf>
      <font>
        <color rgb="FF006600"/>
      </font>
    </dxf>
    <dxf>
      <font>
        <color rgb="FFFF0000"/>
      </font>
    </dxf>
    <dxf>
      <font>
        <color rgb="FF006600"/>
      </font>
    </dxf>
    <dxf>
      <font>
        <color rgb="FFFF0000"/>
      </font>
    </dxf>
    <dxf>
      <font>
        <color rgb="FF002060"/>
      </font>
      <fill>
        <patternFill>
          <bgColor rgb="FF92D050"/>
        </patternFill>
      </fill>
    </dxf>
    <dxf>
      <font>
        <color rgb="FF002060"/>
      </font>
      <fill>
        <patternFill>
          <bgColor rgb="FFFF0000"/>
        </patternFill>
      </fill>
    </dxf>
    <dxf>
      <font>
        <color theme="0"/>
      </font>
    </dxf>
    <dxf>
      <font>
        <color rgb="FF006600"/>
      </font>
    </dxf>
    <dxf>
      <font>
        <color rgb="FFFF0000"/>
      </font>
    </dxf>
    <dxf>
      <font>
        <color rgb="FF006600"/>
      </font>
    </dxf>
    <dxf>
      <font>
        <color rgb="FFFF0000"/>
      </font>
    </dxf>
    <dxf>
      <font>
        <color theme="0"/>
      </font>
    </dxf>
    <dxf>
      <font>
        <color theme="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28576</xdr:colOff>
      <xdr:row>3</xdr:row>
      <xdr:rowOff>28576</xdr:rowOff>
    </xdr:from>
    <xdr:to>
      <xdr:col>7</xdr:col>
      <xdr:colOff>2171699</xdr:colOff>
      <xdr:row>9</xdr:row>
      <xdr:rowOff>95250</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9934576" y="971551"/>
          <a:ext cx="2143123" cy="2009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0</xdr:colOff>
      <xdr:row>0</xdr:row>
      <xdr:rowOff>0</xdr:rowOff>
    </xdr:from>
    <xdr:to>
      <xdr:col>46</xdr:col>
      <xdr:colOff>502227</xdr:colOff>
      <xdr:row>53</xdr:row>
      <xdr:rowOff>138545</xdr:rowOff>
    </xdr:to>
    <xdr:pic>
      <xdr:nvPicPr>
        <xdr:cNvPr id="2" name="Picture 1" descr="New Picture.bmp"/>
        <xdr:cNvPicPr>
          <a:picLocks noChangeAspect="1"/>
        </xdr:cNvPicPr>
      </xdr:nvPicPr>
      <xdr:blipFill>
        <a:blip xmlns:r="http://schemas.openxmlformats.org/officeDocument/2006/relationships" r:embed="rId1" cstate="print"/>
        <a:stretch>
          <a:fillRect/>
        </a:stretch>
      </xdr:blipFill>
      <xdr:spPr>
        <a:xfrm>
          <a:off x="14408727" y="0"/>
          <a:ext cx="13490864" cy="22704136"/>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SNSOAifNWq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6600"/>
  </sheetPr>
  <dimension ref="A1:I15"/>
  <sheetViews>
    <sheetView showGridLines="0" showRowColHeaders="0" tabSelected="1" workbookViewId="0">
      <selection activeCell="D2" sqref="D2:H2"/>
    </sheetView>
  </sheetViews>
  <sheetFormatPr defaultColWidth="0" defaultRowHeight="15" zeroHeight="1"/>
  <cols>
    <col min="1" max="1" width="2.28515625" style="1" customWidth="1"/>
    <col min="2" max="2" width="92" style="142" customWidth="1"/>
    <col min="3" max="3" width="2.28515625" style="142" customWidth="1"/>
    <col min="4" max="4" width="22" style="142" customWidth="1"/>
    <col min="5" max="5" width="5.140625" style="456" customWidth="1"/>
    <col min="6" max="6" width="21.140625" style="1" customWidth="1"/>
    <col min="7" max="7" width="3.7109375" style="1" customWidth="1"/>
    <col min="8" max="8" width="33" style="1" customWidth="1"/>
    <col min="9" max="9" width="3.140625" style="1" customWidth="1"/>
    <col min="10" max="16384" width="9.140625" style="1" hidden="1"/>
  </cols>
  <sheetData>
    <row r="1" spans="1:9" ht="6" customHeight="1">
      <c r="A1" s="547"/>
      <c r="B1" s="547"/>
      <c r="C1" s="547"/>
      <c r="D1" s="547"/>
      <c r="E1" s="547"/>
      <c r="F1" s="547"/>
      <c r="G1" s="547"/>
      <c r="H1" s="547"/>
      <c r="I1" s="547"/>
    </row>
    <row r="2" spans="1:9" ht="62.25" customHeight="1">
      <c r="A2" s="309"/>
      <c r="B2" s="548" t="s">
        <v>537</v>
      </c>
      <c r="C2" s="548"/>
      <c r="D2" s="552" t="s">
        <v>538</v>
      </c>
      <c r="E2" s="552"/>
      <c r="F2" s="552"/>
      <c r="G2" s="552"/>
      <c r="H2" s="552"/>
      <c r="I2" s="309"/>
    </row>
    <row r="3" spans="1:9" ht="6" customHeight="1" thickBot="1">
      <c r="A3" s="309"/>
      <c r="B3" s="309"/>
      <c r="C3" s="315"/>
      <c r="D3" s="309"/>
      <c r="E3" s="431"/>
      <c r="F3" s="309"/>
      <c r="G3" s="547"/>
      <c r="H3" s="309"/>
      <c r="I3" s="309"/>
    </row>
    <row r="4" spans="1:9" s="277" customFormat="1" ht="25.5" customHeight="1">
      <c r="A4" s="547"/>
      <c r="B4" s="541" t="s">
        <v>600</v>
      </c>
      <c r="C4" s="315"/>
      <c r="D4" s="551" t="s">
        <v>457</v>
      </c>
      <c r="E4" s="542" t="s">
        <v>601</v>
      </c>
      <c r="F4" s="544" t="s">
        <v>602</v>
      </c>
      <c r="G4" s="547"/>
      <c r="H4" s="549"/>
      <c r="I4" s="550"/>
    </row>
    <row r="5" spans="1:9" s="6" customFormat="1" ht="25.5" customHeight="1">
      <c r="A5" s="547"/>
      <c r="B5" s="553" t="s">
        <v>606</v>
      </c>
      <c r="C5" s="315"/>
      <c r="D5" s="551"/>
      <c r="E5" s="542" t="s">
        <v>601</v>
      </c>
      <c r="F5" s="544" t="s">
        <v>603</v>
      </c>
      <c r="G5" s="547"/>
      <c r="H5" s="549"/>
      <c r="I5" s="550"/>
    </row>
    <row r="6" spans="1:9" s="6" customFormat="1" ht="23.25" customHeight="1">
      <c r="A6" s="547"/>
      <c r="B6" s="554"/>
      <c r="C6" s="315"/>
      <c r="D6" s="278"/>
      <c r="E6" s="278"/>
      <c r="F6" s="315"/>
      <c r="G6" s="547"/>
      <c r="H6" s="549"/>
      <c r="I6" s="550"/>
    </row>
    <row r="7" spans="1:9" s="6" customFormat="1" ht="34.5" customHeight="1">
      <c r="A7" s="547"/>
      <c r="B7" s="554"/>
      <c r="C7" s="315"/>
      <c r="D7" s="543" t="s">
        <v>481</v>
      </c>
      <c r="E7" s="542" t="s">
        <v>601</v>
      </c>
      <c r="F7" s="545" t="s">
        <v>604</v>
      </c>
      <c r="G7" s="547"/>
      <c r="H7" s="549"/>
      <c r="I7" s="550"/>
    </row>
    <row r="8" spans="1:9" s="6" customFormat="1" ht="17.25" customHeight="1">
      <c r="A8" s="547"/>
      <c r="B8" s="554"/>
      <c r="C8" s="315"/>
      <c r="D8" s="278"/>
      <c r="E8" s="278"/>
      <c r="F8" s="315"/>
      <c r="G8" s="547"/>
      <c r="H8" s="308"/>
      <c r="I8" s="550"/>
    </row>
    <row r="9" spans="1:9" s="6" customFormat="1" ht="27" customHeight="1">
      <c r="A9" s="547"/>
      <c r="B9" s="554"/>
      <c r="C9" s="315"/>
      <c r="D9" s="551" t="s">
        <v>458</v>
      </c>
      <c r="E9" s="542" t="s">
        <v>601</v>
      </c>
      <c r="F9" s="544" t="s">
        <v>602</v>
      </c>
      <c r="G9" s="547"/>
      <c r="H9" s="556" t="s">
        <v>605</v>
      </c>
      <c r="I9" s="550"/>
    </row>
    <row r="10" spans="1:9" s="6" customFormat="1" ht="27" customHeight="1">
      <c r="A10" s="547"/>
      <c r="B10" s="554"/>
      <c r="C10" s="315"/>
      <c r="D10" s="551"/>
      <c r="E10" s="542" t="s">
        <v>601</v>
      </c>
      <c r="F10" s="544" t="s">
        <v>603</v>
      </c>
      <c r="G10" s="547"/>
      <c r="H10" s="556"/>
      <c r="I10" s="550"/>
    </row>
    <row r="11" spans="1:9" s="6" customFormat="1" ht="29.25" customHeight="1">
      <c r="A11" s="547"/>
      <c r="B11" s="554"/>
      <c r="C11" s="315"/>
      <c r="D11" s="278"/>
      <c r="E11" s="278"/>
      <c r="F11" s="315"/>
      <c r="G11" s="547"/>
      <c r="H11" s="556"/>
      <c r="I11" s="550"/>
    </row>
    <row r="12" spans="1:9" s="6" customFormat="1" ht="30.75" customHeight="1">
      <c r="A12" s="547"/>
      <c r="B12" s="555"/>
      <c r="C12" s="315"/>
      <c r="D12" s="543" t="s">
        <v>459</v>
      </c>
      <c r="E12" s="542" t="s">
        <v>601</v>
      </c>
      <c r="F12" s="545" t="s">
        <v>604</v>
      </c>
      <c r="G12" s="547"/>
      <c r="H12" s="316" t="s">
        <v>475</v>
      </c>
      <c r="I12" s="550"/>
    </row>
    <row r="13" spans="1:9" s="6" customFormat="1" ht="16.5" customHeight="1">
      <c r="A13" s="547"/>
      <c r="B13" s="558" t="s">
        <v>456</v>
      </c>
      <c r="C13" s="315"/>
      <c r="D13" s="315"/>
      <c r="E13" s="315"/>
      <c r="F13" s="315"/>
      <c r="G13" s="547"/>
      <c r="H13" s="560" t="s">
        <v>476</v>
      </c>
      <c r="I13" s="550"/>
    </row>
    <row r="14" spans="1:9" s="6" customFormat="1" ht="36.75" customHeight="1" thickBot="1">
      <c r="A14" s="547"/>
      <c r="B14" s="559"/>
      <c r="C14" s="315"/>
      <c r="D14" s="557" t="s">
        <v>614</v>
      </c>
      <c r="E14" s="557"/>
      <c r="F14" s="557"/>
      <c r="G14" s="547"/>
      <c r="H14" s="561"/>
      <c r="I14" s="550"/>
    </row>
    <row r="15" spans="1:9" s="6" customFormat="1" ht="8.25" customHeight="1">
      <c r="A15" s="547"/>
      <c r="B15" s="279"/>
      <c r="C15" s="315"/>
      <c r="D15" s="278"/>
      <c r="E15" s="278"/>
      <c r="F15" s="315"/>
      <c r="G15" s="547"/>
      <c r="H15" s="280"/>
      <c r="I15" s="550"/>
    </row>
  </sheetData>
  <sheetProtection password="E8FA" sheet="1" objects="1" scenarios="1" formatCells="0" formatColumns="0" selectLockedCells="1"/>
  <mergeCells count="14">
    <mergeCell ref="A1:I1"/>
    <mergeCell ref="G3:G15"/>
    <mergeCell ref="B2:C2"/>
    <mergeCell ref="H4:H7"/>
    <mergeCell ref="I4:I15"/>
    <mergeCell ref="A4:A15"/>
    <mergeCell ref="D4:D5"/>
    <mergeCell ref="D2:H2"/>
    <mergeCell ref="B5:B12"/>
    <mergeCell ref="H9:H11"/>
    <mergeCell ref="D9:D10"/>
    <mergeCell ref="D14:F14"/>
    <mergeCell ref="B13:B14"/>
    <mergeCell ref="H13:H14"/>
  </mergeCells>
  <hyperlinks>
    <hyperlink ref="D2:H2" r:id="rId1" display="Click Here For Help Video"/>
    <hyperlink ref="F4" location="'New Regime Calc. Report'!A1" display="'New Regime Calc. Report'!A1"/>
    <hyperlink ref="F5" location="'Old Regime Calc. Report'!A1" display="As New Regime"/>
    <hyperlink ref="F7" location="'GA-55'!A1" display="Click Here"/>
    <hyperlink ref="F9" location="'Form-16 As New Regime'!A1" display="As New Regime"/>
    <hyperlink ref="F10" location="'Form-16 As Old Regime'!A1" display="As New Regime"/>
    <hyperlink ref="F12" location="'HRA Receipt'!A1" display="As New Regime"/>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sheetPr>
    <tabColor rgb="FF006600"/>
  </sheetPr>
  <dimension ref="A1:BF48"/>
  <sheetViews>
    <sheetView showGridLines="0" showRowColHeaders="0" workbookViewId="0">
      <selection activeCell="D2" sqref="D2:E2"/>
    </sheetView>
  </sheetViews>
  <sheetFormatPr defaultRowHeight="15"/>
  <cols>
    <col min="1" max="1" width="16.7109375" style="1" customWidth="1"/>
    <col min="2" max="2" width="23.140625" style="1" customWidth="1"/>
    <col min="3" max="3" width="35.42578125" style="1" customWidth="1"/>
    <col min="4" max="4" width="34.7109375" style="1" customWidth="1"/>
    <col min="5" max="5" width="23.140625" style="1" customWidth="1"/>
    <col min="6" max="6" width="4.140625" style="1" customWidth="1"/>
    <col min="7" max="7" width="13.42578125" style="131" customWidth="1"/>
    <col min="8" max="8" width="15" style="131" customWidth="1"/>
    <col min="9" max="20" width="15" style="131" hidden="1" customWidth="1"/>
    <col min="21" max="22" width="15" style="131" customWidth="1"/>
    <col min="23" max="36" width="15" style="131" hidden="1" customWidth="1"/>
    <col min="37" max="37" width="15" style="131" customWidth="1"/>
    <col min="38" max="38" width="11.140625" style="131" customWidth="1"/>
    <col min="39" max="39" width="15.7109375" style="131" customWidth="1"/>
    <col min="40" max="40" width="3.140625" style="1" customWidth="1"/>
    <col min="41" max="41" width="1.85546875" style="1" customWidth="1"/>
    <col min="42" max="42" width="5" style="131" customWidth="1"/>
    <col min="43" max="43" width="56" style="131" customWidth="1"/>
    <col min="44" max="44" width="29.28515625" style="131" customWidth="1"/>
    <col min="45" max="48" width="14.28515625" style="131" hidden="1" customWidth="1"/>
    <col min="49" max="49" width="8.42578125" style="131" hidden="1" customWidth="1"/>
    <col min="50" max="50" width="8" style="131" hidden="1" customWidth="1"/>
    <col min="51" max="51" width="5" style="1" customWidth="1"/>
    <col min="52" max="52" width="5.85546875" style="1" customWidth="1"/>
    <col min="53" max="54" width="7.42578125" style="1" customWidth="1"/>
    <col min="55" max="55" width="11.85546875" style="1" customWidth="1"/>
    <col min="56" max="57" width="24.5703125" style="1" customWidth="1"/>
    <col min="58" max="58" width="16.28515625" style="1" customWidth="1"/>
    <col min="59" max="59" width="4.42578125" style="1" customWidth="1"/>
    <col min="60" max="16384" width="9.140625" style="1"/>
  </cols>
  <sheetData>
    <row r="1" spans="1:58" ht="13.5" customHeight="1" thickBot="1">
      <c r="G1" s="1278"/>
      <c r="H1" s="1278"/>
      <c r="I1" s="1278"/>
      <c r="J1" s="1278"/>
      <c r="K1" s="1278"/>
      <c r="L1" s="1278"/>
      <c r="M1" s="1278"/>
      <c r="N1" s="1278"/>
      <c r="O1" s="1278"/>
      <c r="P1" s="1278"/>
      <c r="Q1" s="1278"/>
      <c r="R1" s="1278"/>
      <c r="S1" s="1278"/>
      <c r="T1" s="1278"/>
      <c r="U1" s="1278"/>
      <c r="V1" s="1278"/>
      <c r="W1" s="1278"/>
      <c r="X1" s="1278"/>
      <c r="Y1" s="1278"/>
      <c r="Z1" s="1278"/>
      <c r="AA1" s="1278"/>
      <c r="AB1" s="1278"/>
      <c r="AC1" s="1278"/>
      <c r="AD1" s="1278"/>
      <c r="AE1" s="1278"/>
      <c r="AF1" s="1278"/>
      <c r="AG1" s="1278"/>
      <c r="AH1" s="1278"/>
      <c r="AI1" s="1278"/>
      <c r="AJ1" s="1278"/>
      <c r="AK1" s="1278"/>
      <c r="AL1" s="1278"/>
      <c r="AM1" s="1278"/>
      <c r="AN1" s="1263"/>
      <c r="AO1" s="1263"/>
      <c r="AP1" s="1278"/>
      <c r="AQ1" s="1278"/>
      <c r="AR1" s="1278"/>
      <c r="AY1" s="1263"/>
      <c r="AZ1" s="1281"/>
      <c r="BA1" s="1262"/>
      <c r="BB1" s="1262"/>
      <c r="BC1" s="1262"/>
      <c r="BD1" s="1262"/>
      <c r="BE1" s="1262"/>
      <c r="BF1" s="1282"/>
    </row>
    <row r="2" spans="1:58" ht="21.75" customHeight="1" thickBot="1">
      <c r="A2" s="1230" t="s">
        <v>454</v>
      </c>
      <c r="B2" s="1254" t="s">
        <v>443</v>
      </c>
      <c r="C2" s="1254"/>
      <c r="D2" s="1257" t="s">
        <v>612</v>
      </c>
      <c r="E2" s="1258"/>
      <c r="G2" s="1292" t="s">
        <v>395</v>
      </c>
      <c r="H2" s="1292"/>
      <c r="I2" s="1292"/>
      <c r="J2" s="1292"/>
      <c r="K2" s="1292"/>
      <c r="L2" s="1292"/>
      <c r="M2" s="1292"/>
      <c r="N2" s="1292"/>
      <c r="O2" s="1292"/>
      <c r="P2" s="1292"/>
      <c r="Q2" s="1292"/>
      <c r="R2" s="1292"/>
      <c r="S2" s="1292"/>
      <c r="T2" s="1292"/>
      <c r="U2" s="1292"/>
      <c r="V2" s="1292"/>
      <c r="W2" s="1292"/>
      <c r="X2" s="1292"/>
      <c r="Y2" s="1292"/>
      <c r="Z2" s="1292"/>
      <c r="AA2" s="1292"/>
      <c r="AB2" s="1292"/>
      <c r="AC2" s="1292"/>
      <c r="AD2" s="1292"/>
      <c r="AE2" s="1292"/>
      <c r="AF2" s="1292"/>
      <c r="AG2" s="1292"/>
      <c r="AH2" s="1292"/>
      <c r="AI2" s="1292"/>
      <c r="AJ2" s="1292"/>
      <c r="AK2" s="1292"/>
      <c r="AL2" s="1292"/>
      <c r="AM2" s="1292"/>
      <c r="AN2" s="1263"/>
      <c r="AO2" s="1263"/>
      <c r="AP2" s="1278"/>
      <c r="AQ2" s="1278"/>
      <c r="AR2" s="1278"/>
      <c r="AY2" s="1263"/>
      <c r="AZ2" s="1247" t="s">
        <v>420</v>
      </c>
      <c r="BA2" s="1248"/>
      <c r="BB2" s="1248"/>
      <c r="BC2" s="1248"/>
      <c r="BD2" s="1248"/>
      <c r="BE2" s="1248"/>
      <c r="BF2" s="1249"/>
    </row>
    <row r="3" spans="1:58" ht="20.25" customHeight="1" thickBot="1">
      <c r="A3" s="1231"/>
      <c r="B3" s="1213" t="s">
        <v>376</v>
      </c>
      <c r="C3" s="1259"/>
      <c r="D3" s="1255" t="s">
        <v>583</v>
      </c>
      <c r="E3" s="1256"/>
      <c r="G3" s="1278" t="s">
        <v>396</v>
      </c>
      <c r="H3" s="1278"/>
      <c r="I3" s="1278"/>
      <c r="J3" s="1278"/>
      <c r="K3" s="1278"/>
      <c r="L3" s="1278"/>
      <c r="M3" s="1278"/>
      <c r="N3" s="1278"/>
      <c r="O3" s="1278"/>
      <c r="P3" s="1278"/>
      <c r="Q3" s="1278"/>
      <c r="R3" s="1278"/>
      <c r="S3" s="1278"/>
      <c r="T3" s="1278"/>
      <c r="U3" s="1278"/>
      <c r="V3" s="1278"/>
      <c r="W3" s="1278"/>
      <c r="X3" s="1278"/>
      <c r="Y3" s="1278"/>
      <c r="Z3" s="1278"/>
      <c r="AA3" s="1278"/>
      <c r="AB3" s="1278"/>
      <c r="AC3" s="1278"/>
      <c r="AD3" s="1278"/>
      <c r="AE3" s="1278"/>
      <c r="AF3" s="1278"/>
      <c r="AG3" s="1278"/>
      <c r="AH3" s="1278"/>
      <c r="AI3" s="1278"/>
      <c r="AJ3" s="1278"/>
      <c r="AK3" s="1278"/>
      <c r="AL3" s="1278"/>
      <c r="AM3" s="1278"/>
      <c r="AN3" s="1263"/>
      <c r="AO3" s="1263"/>
      <c r="AP3" s="1280"/>
      <c r="AQ3" s="1280"/>
      <c r="AR3" s="1280"/>
      <c r="AS3" s="150"/>
      <c r="AT3" s="150"/>
      <c r="AU3" s="150"/>
      <c r="AV3" s="150"/>
      <c r="AW3" s="150"/>
      <c r="AX3" s="150"/>
      <c r="AY3" s="1263"/>
      <c r="AZ3" s="1250" t="s">
        <v>421</v>
      </c>
      <c r="BA3" s="1228"/>
      <c r="BB3" s="1228"/>
      <c r="BC3" s="1228"/>
      <c r="BD3" s="1228"/>
      <c r="BE3" s="1228"/>
      <c r="BF3" s="1229"/>
    </row>
    <row r="4" spans="1:58" ht="15" customHeight="1">
      <c r="A4" s="1231"/>
      <c r="B4" s="1213" t="s">
        <v>378</v>
      </c>
      <c r="C4" s="1213"/>
      <c r="D4" s="1209" t="str">
        <f>'Form-16 As Old Regime'!H11</f>
        <v>a  (Teacher)</v>
      </c>
      <c r="E4" s="1210"/>
      <c r="G4" s="1206" t="s">
        <v>397</v>
      </c>
      <c r="H4" s="1206" t="s">
        <v>398</v>
      </c>
      <c r="I4" s="1206" t="s">
        <v>444</v>
      </c>
      <c r="J4" s="1206" t="s">
        <v>445</v>
      </c>
      <c r="K4" s="1206" t="s">
        <v>230</v>
      </c>
      <c r="L4" s="1206" t="s">
        <v>446</v>
      </c>
      <c r="M4" s="1206" t="s">
        <v>447</v>
      </c>
      <c r="N4" s="1206" t="s">
        <v>448</v>
      </c>
      <c r="O4" s="1206" t="s">
        <v>449</v>
      </c>
      <c r="P4" s="1206" t="s">
        <v>231</v>
      </c>
      <c r="Q4" s="1206" t="s">
        <v>450</v>
      </c>
      <c r="R4" s="1206" t="s">
        <v>451</v>
      </c>
      <c r="S4" s="1206" t="s">
        <v>452</v>
      </c>
      <c r="T4" s="1206" t="s">
        <v>453</v>
      </c>
      <c r="U4" s="1206" t="s">
        <v>399</v>
      </c>
      <c r="V4" s="1293" t="s">
        <v>400</v>
      </c>
      <c r="W4" s="1206" t="s">
        <v>444</v>
      </c>
      <c r="X4" s="1206" t="s">
        <v>445</v>
      </c>
      <c r="Y4" s="1206" t="s">
        <v>230</v>
      </c>
      <c r="Z4" s="1206" t="s">
        <v>446</v>
      </c>
      <c r="AA4" s="1206" t="s">
        <v>447</v>
      </c>
      <c r="AB4" s="1206" t="s">
        <v>448</v>
      </c>
      <c r="AC4" s="1206" t="s">
        <v>449</v>
      </c>
      <c r="AD4" s="1206" t="s">
        <v>231</v>
      </c>
      <c r="AE4" s="1206" t="s">
        <v>450</v>
      </c>
      <c r="AF4" s="1206" t="s">
        <v>451</v>
      </c>
      <c r="AG4" s="1206" t="s">
        <v>452</v>
      </c>
      <c r="AH4" s="1206" t="s">
        <v>453</v>
      </c>
      <c r="AI4" s="114"/>
      <c r="AJ4" s="114"/>
      <c r="AK4" s="1206" t="s">
        <v>401</v>
      </c>
      <c r="AL4" s="1206" t="s">
        <v>402</v>
      </c>
      <c r="AM4" s="1206" t="s">
        <v>403</v>
      </c>
      <c r="AN4" s="1263"/>
      <c r="AO4" s="1263"/>
      <c r="AP4" s="1195" t="s">
        <v>405</v>
      </c>
      <c r="AQ4" s="1196"/>
      <c r="AR4" s="1197"/>
      <c r="AS4" s="144"/>
      <c r="AT4" s="144"/>
      <c r="AU4" s="144"/>
      <c r="AV4" s="144"/>
      <c r="AW4" s="144"/>
      <c r="AX4" s="144"/>
      <c r="AY4" s="1263"/>
      <c r="AZ4" s="1251" t="s">
        <v>584</v>
      </c>
      <c r="BA4" s="1252"/>
      <c r="BB4" s="1252"/>
      <c r="BC4" s="1252"/>
      <c r="BD4" s="1252"/>
      <c r="BE4" s="1252"/>
      <c r="BF4" s="1253"/>
    </row>
    <row r="5" spans="1:58" s="131" customFormat="1" ht="32.25" customHeight="1" thickBot="1">
      <c r="A5" s="1231"/>
      <c r="B5" s="1218" t="s">
        <v>379</v>
      </c>
      <c r="C5" s="1218"/>
      <c r="D5" s="1211" t="str">
        <f>'Exemp.(HRA+Other) &amp; Other incom'!D4</f>
        <v>Govt. Sr. School Raimalwada</v>
      </c>
      <c r="E5" s="1212"/>
      <c r="G5" s="1207"/>
      <c r="H5" s="1207"/>
      <c r="I5" s="1207"/>
      <c r="J5" s="1207"/>
      <c r="K5" s="1207"/>
      <c r="L5" s="1207"/>
      <c r="M5" s="1207"/>
      <c r="N5" s="1207"/>
      <c r="O5" s="1207"/>
      <c r="P5" s="1207"/>
      <c r="Q5" s="1207"/>
      <c r="R5" s="1207"/>
      <c r="S5" s="1207"/>
      <c r="T5" s="1207"/>
      <c r="U5" s="1207"/>
      <c r="V5" s="1294"/>
      <c r="W5" s="1207"/>
      <c r="X5" s="1207"/>
      <c r="Y5" s="1207"/>
      <c r="Z5" s="1207"/>
      <c r="AA5" s="1207"/>
      <c r="AB5" s="1207"/>
      <c r="AC5" s="1207"/>
      <c r="AD5" s="1207"/>
      <c r="AE5" s="1207"/>
      <c r="AF5" s="1207"/>
      <c r="AG5" s="1207"/>
      <c r="AH5" s="1207"/>
      <c r="AI5" s="115"/>
      <c r="AJ5" s="115"/>
      <c r="AK5" s="1207"/>
      <c r="AL5" s="1207"/>
      <c r="AM5" s="1207"/>
      <c r="AN5" s="1263"/>
      <c r="AO5" s="1263"/>
      <c r="AP5" s="1198" t="s">
        <v>406</v>
      </c>
      <c r="AQ5" s="1199"/>
      <c r="AR5" s="1200"/>
      <c r="AS5" s="120"/>
      <c r="AT5" s="120"/>
      <c r="AU5" s="120"/>
      <c r="AV5" s="120"/>
      <c r="AW5" s="120"/>
      <c r="AX5" s="120"/>
      <c r="AY5" s="1263"/>
      <c r="AZ5" s="1251"/>
      <c r="BA5" s="1252"/>
      <c r="BB5" s="1252"/>
      <c r="BC5" s="1252"/>
      <c r="BD5" s="1252"/>
      <c r="BE5" s="1252"/>
      <c r="BF5" s="1253"/>
    </row>
    <row r="6" spans="1:58" ht="15.75" thickBot="1">
      <c r="A6" s="1231"/>
      <c r="B6" s="1213" t="s">
        <v>380</v>
      </c>
      <c r="C6" s="1213"/>
      <c r="D6" s="134"/>
      <c r="E6" s="154" t="str">
        <f>'Basic Data'!N10</f>
        <v>ABCDE1234F</v>
      </c>
      <c r="G6" s="1207"/>
      <c r="H6" s="1207"/>
      <c r="I6" s="1207"/>
      <c r="J6" s="1207"/>
      <c r="K6" s="1207"/>
      <c r="L6" s="1207"/>
      <c r="M6" s="1207"/>
      <c r="N6" s="1207"/>
      <c r="O6" s="1207"/>
      <c r="P6" s="1207"/>
      <c r="Q6" s="1207"/>
      <c r="R6" s="1207"/>
      <c r="S6" s="1207"/>
      <c r="T6" s="1207"/>
      <c r="U6" s="1207"/>
      <c r="V6" s="1294"/>
      <c r="W6" s="1207"/>
      <c r="X6" s="1207"/>
      <c r="Y6" s="1207"/>
      <c r="Z6" s="1207"/>
      <c r="AA6" s="1207"/>
      <c r="AB6" s="1207"/>
      <c r="AC6" s="1207"/>
      <c r="AD6" s="1207"/>
      <c r="AE6" s="1207"/>
      <c r="AF6" s="1207"/>
      <c r="AG6" s="1207"/>
      <c r="AH6" s="1207"/>
      <c r="AI6" s="115"/>
      <c r="AJ6" s="115"/>
      <c r="AK6" s="1207"/>
      <c r="AL6" s="1207"/>
      <c r="AM6" s="1207"/>
      <c r="AN6" s="1263"/>
      <c r="AO6" s="1263"/>
      <c r="AP6" s="1201" t="s">
        <v>407</v>
      </c>
      <c r="AQ6" s="1202"/>
      <c r="AR6" s="1203"/>
      <c r="AS6" s="144"/>
      <c r="AT6" s="144"/>
      <c r="AU6" s="144"/>
      <c r="AV6" s="144"/>
      <c r="AW6" s="144"/>
      <c r="AX6" s="144"/>
      <c r="AY6" s="1263"/>
      <c r="AZ6" s="1269"/>
      <c r="BA6" s="1270"/>
      <c r="BB6" s="1270"/>
      <c r="BC6" s="1270"/>
      <c r="BD6" s="1270"/>
      <c r="BE6" s="1270"/>
      <c r="BF6" s="1271"/>
    </row>
    <row r="7" spans="1:58">
      <c r="A7" s="1231"/>
      <c r="B7" s="1213" t="s">
        <v>381</v>
      </c>
      <c r="C7" s="1213"/>
      <c r="D7" s="134"/>
      <c r="E7" s="155"/>
      <c r="G7" s="1207"/>
      <c r="H7" s="1207"/>
      <c r="I7" s="1207"/>
      <c r="J7" s="1207"/>
      <c r="K7" s="1207"/>
      <c r="L7" s="1207"/>
      <c r="M7" s="1207"/>
      <c r="N7" s="1207"/>
      <c r="O7" s="1207"/>
      <c r="P7" s="1207"/>
      <c r="Q7" s="1207"/>
      <c r="R7" s="1207"/>
      <c r="S7" s="1207"/>
      <c r="T7" s="1207"/>
      <c r="U7" s="1207"/>
      <c r="V7" s="1294"/>
      <c r="W7" s="1207"/>
      <c r="X7" s="1207"/>
      <c r="Y7" s="1207"/>
      <c r="Z7" s="1207"/>
      <c r="AA7" s="1207"/>
      <c r="AB7" s="1207"/>
      <c r="AC7" s="1207"/>
      <c r="AD7" s="1207"/>
      <c r="AE7" s="1207"/>
      <c r="AF7" s="1207"/>
      <c r="AG7" s="1207"/>
      <c r="AH7" s="1207"/>
      <c r="AI7" s="115"/>
      <c r="AJ7" s="115"/>
      <c r="AK7" s="1207"/>
      <c r="AL7" s="1207"/>
      <c r="AM7" s="1207"/>
      <c r="AN7" s="1263"/>
      <c r="AO7" s="1263"/>
      <c r="AP7" s="121">
        <v>1</v>
      </c>
      <c r="AQ7" s="122" t="s">
        <v>408</v>
      </c>
      <c r="AR7" s="1243">
        <f>AR12-AR10</f>
        <v>1306270</v>
      </c>
      <c r="AS7" s="145">
        <f>IF(AR7&gt;500000,250000,IF(AR7&gt;250000,AR7-250000,0))</f>
        <v>250000</v>
      </c>
      <c r="AT7" s="145">
        <f>IF(AS7&gt;=250000,ROUND(AS7*0.05,0),0)</f>
        <v>12500</v>
      </c>
      <c r="AU7" s="1217">
        <f>ROUND(SUM(AT7:AT9)*1.04,0)</f>
        <v>212556</v>
      </c>
      <c r="AV7" s="145">
        <f>IF(AR7&gt;500000,250000,IF(AR7&gt;250000,AR7-250000,0))</f>
        <v>250000</v>
      </c>
      <c r="AW7" s="145">
        <f>IF(AV7&gt;=250000,ROUND(AV7*0.05,0),0)</f>
        <v>12500</v>
      </c>
      <c r="AX7" s="1217">
        <f>ROUND(SUM(AW7:AW12)*1.04,0)</f>
        <v>144631</v>
      </c>
      <c r="AY7" s="1263"/>
      <c r="AZ7" s="1238" t="s">
        <v>422</v>
      </c>
      <c r="BA7" s="1239"/>
      <c r="BB7" s="1239"/>
      <c r="BC7" s="1239"/>
      <c r="BD7" s="1239"/>
      <c r="BE7" s="1240" t="str">
        <f>CONCATENATE('Form-16 As Old Regime'!H11,"-",'Form-16 As Old Regime'!H13)</f>
        <v>a  (Teacher)-Govt. Sr. School Raimalwada</v>
      </c>
      <c r="BF7" s="1241"/>
    </row>
    <row r="8" spans="1:58" ht="15" customHeight="1" thickBot="1">
      <c r="A8" s="1232"/>
      <c r="B8" s="1213" t="s">
        <v>441</v>
      </c>
      <c r="C8" s="1213"/>
      <c r="D8" s="134"/>
      <c r="E8" s="155" t="s">
        <v>442</v>
      </c>
      <c r="G8" s="1207"/>
      <c r="H8" s="1207"/>
      <c r="I8" s="1207"/>
      <c r="J8" s="1207"/>
      <c r="K8" s="1207"/>
      <c r="L8" s="1207"/>
      <c r="M8" s="1207"/>
      <c r="N8" s="1207"/>
      <c r="O8" s="1207"/>
      <c r="P8" s="1207"/>
      <c r="Q8" s="1207"/>
      <c r="R8" s="1207"/>
      <c r="S8" s="1207"/>
      <c r="T8" s="1207"/>
      <c r="U8" s="1207"/>
      <c r="V8" s="1294"/>
      <c r="W8" s="1207"/>
      <c r="X8" s="1207"/>
      <c r="Y8" s="1207"/>
      <c r="Z8" s="1207"/>
      <c r="AA8" s="1207"/>
      <c r="AB8" s="1207"/>
      <c r="AC8" s="1207"/>
      <c r="AD8" s="1207"/>
      <c r="AE8" s="1207"/>
      <c r="AF8" s="1207"/>
      <c r="AG8" s="1207"/>
      <c r="AH8" s="1207"/>
      <c r="AI8" s="115"/>
      <c r="AJ8" s="115"/>
      <c r="AK8" s="1207"/>
      <c r="AL8" s="1207"/>
      <c r="AM8" s="1207"/>
      <c r="AN8" s="1263"/>
      <c r="AO8" s="1263"/>
      <c r="AP8" s="123"/>
      <c r="AQ8" s="124" t="s">
        <v>409</v>
      </c>
      <c r="AR8" s="1190"/>
      <c r="AS8" s="145">
        <f>IF(AR7&gt;1000000,500000,IF(AR7&gt;500000,AR7-500000,0))</f>
        <v>500000</v>
      </c>
      <c r="AT8" s="145">
        <f>ROUND(AS8*0.2,0)</f>
        <v>100000</v>
      </c>
      <c r="AU8" s="1217"/>
      <c r="AV8" s="145">
        <f>IF(AR7&gt;750000,250000,IF(AR7&gt;500000,AR7-500000,0))</f>
        <v>250000</v>
      </c>
      <c r="AW8" s="145">
        <f>ROUND(AV8*0.1,0)</f>
        <v>25000</v>
      </c>
      <c r="AX8" s="1217"/>
      <c r="AY8" s="1263"/>
      <c r="AZ8" s="1238"/>
      <c r="BA8" s="1239"/>
      <c r="BB8" s="1239"/>
      <c r="BC8" s="1239"/>
      <c r="BD8" s="1239"/>
      <c r="BE8" s="1242"/>
      <c r="BF8" s="1241"/>
    </row>
    <row r="9" spans="1:58" ht="15" customHeight="1">
      <c r="A9" s="1233">
        <f>AR28</f>
        <v>0</v>
      </c>
      <c r="B9" s="1213" t="s">
        <v>382</v>
      </c>
      <c r="C9" s="1213"/>
      <c r="D9" s="134"/>
      <c r="E9" s="156" t="s">
        <v>383</v>
      </c>
      <c r="G9" s="1207"/>
      <c r="H9" s="1207"/>
      <c r="I9" s="1207"/>
      <c r="J9" s="1207"/>
      <c r="K9" s="1207"/>
      <c r="L9" s="1207"/>
      <c r="M9" s="1207"/>
      <c r="N9" s="1207"/>
      <c r="O9" s="1207"/>
      <c r="P9" s="1207"/>
      <c r="Q9" s="1207"/>
      <c r="R9" s="1207"/>
      <c r="S9" s="1207"/>
      <c r="T9" s="1207"/>
      <c r="U9" s="1207"/>
      <c r="V9" s="1294"/>
      <c r="W9" s="1207"/>
      <c r="X9" s="1207"/>
      <c r="Y9" s="1207"/>
      <c r="Z9" s="1207"/>
      <c r="AA9" s="1207"/>
      <c r="AB9" s="1207"/>
      <c r="AC9" s="1207"/>
      <c r="AD9" s="1207"/>
      <c r="AE9" s="1207"/>
      <c r="AF9" s="1207"/>
      <c r="AG9" s="1207"/>
      <c r="AH9" s="1207"/>
      <c r="AI9" s="115"/>
      <c r="AJ9" s="115"/>
      <c r="AK9" s="1207"/>
      <c r="AL9" s="1207"/>
      <c r="AM9" s="1207"/>
      <c r="AN9" s="1263"/>
      <c r="AO9" s="1263"/>
      <c r="AP9" s="125"/>
      <c r="AQ9" s="126"/>
      <c r="AR9" s="1191"/>
      <c r="AS9" s="145">
        <f>IF(AR7&gt;1000000,AR7-1000000,0)</f>
        <v>306270</v>
      </c>
      <c r="AT9" s="145">
        <f>ROUND(AS9*0.3,0)</f>
        <v>91881</v>
      </c>
      <c r="AU9" s="1217"/>
      <c r="AV9" s="145">
        <f>IF(AR7&gt;1000000,250000,IF(AR7&gt;750000,AR7-750000,0))</f>
        <v>250000</v>
      </c>
      <c r="AW9" s="145">
        <f>ROUND(AV9*0.15,0)</f>
        <v>37500</v>
      </c>
      <c r="AX9" s="1217"/>
      <c r="AY9" s="1263"/>
      <c r="AZ9" s="1238" t="s">
        <v>423</v>
      </c>
      <c r="BA9" s="1239"/>
      <c r="BB9" s="1239"/>
      <c r="BC9" s="1239"/>
      <c r="BD9" s="1239"/>
      <c r="BE9" s="1225" t="str">
        <f>'Form-16 As Old Regime'!H16</f>
        <v>ABCDE1234F</v>
      </c>
      <c r="BF9" s="1226"/>
    </row>
    <row r="10" spans="1:58" ht="15.75" thickBot="1">
      <c r="A10" s="1234"/>
      <c r="B10" s="1213" t="s">
        <v>613</v>
      </c>
      <c r="C10" s="1213"/>
      <c r="D10" s="136"/>
      <c r="E10" s="157">
        <f>IF(D2="No",'Old Regime Calc. Report'!Q48,'New Regime Calc. Report'!Q48)</f>
        <v>1306270</v>
      </c>
      <c r="G10" s="1207"/>
      <c r="H10" s="1207"/>
      <c r="I10" s="1207"/>
      <c r="J10" s="1207"/>
      <c r="K10" s="1207"/>
      <c r="L10" s="1207"/>
      <c r="M10" s="1207"/>
      <c r="N10" s="1207"/>
      <c r="O10" s="1207"/>
      <c r="P10" s="1207"/>
      <c r="Q10" s="1207"/>
      <c r="R10" s="1207"/>
      <c r="S10" s="1207"/>
      <c r="T10" s="1207"/>
      <c r="U10" s="1207"/>
      <c r="V10" s="1294"/>
      <c r="W10" s="1207"/>
      <c r="X10" s="1207"/>
      <c r="Y10" s="1207"/>
      <c r="Z10" s="1207"/>
      <c r="AA10" s="1207"/>
      <c r="AB10" s="1207"/>
      <c r="AC10" s="1207"/>
      <c r="AD10" s="1207"/>
      <c r="AE10" s="1207"/>
      <c r="AF10" s="1207"/>
      <c r="AG10" s="1207"/>
      <c r="AH10" s="1207"/>
      <c r="AI10" s="115"/>
      <c r="AJ10" s="115"/>
      <c r="AK10" s="1207"/>
      <c r="AL10" s="1207"/>
      <c r="AM10" s="1207"/>
      <c r="AN10" s="1263"/>
      <c r="AO10" s="1263"/>
      <c r="AP10" s="127">
        <v>2</v>
      </c>
      <c r="AQ10" s="128" t="s">
        <v>410</v>
      </c>
      <c r="AR10" s="1189">
        <f>U24</f>
        <v>0</v>
      </c>
      <c r="AS10" s="145"/>
      <c r="AT10" s="145"/>
      <c r="AU10" s="145"/>
      <c r="AV10" s="145">
        <f>IF(AR7&gt;1250000,250000,IF(AR7&gt;1000000,AR7-1000000,0))</f>
        <v>250000</v>
      </c>
      <c r="AW10" s="145">
        <f>ROUND(AV10*0.2,0)</f>
        <v>50000</v>
      </c>
      <c r="AX10" s="145"/>
      <c r="AY10" s="1263"/>
      <c r="AZ10" s="1238"/>
      <c r="BA10" s="1239"/>
      <c r="BB10" s="1239"/>
      <c r="BC10" s="1239"/>
      <c r="BD10" s="1239"/>
      <c r="BE10" s="1227"/>
      <c r="BF10" s="1226"/>
    </row>
    <row r="11" spans="1:58" ht="13.5" customHeight="1">
      <c r="A11" s="1234"/>
      <c r="B11" s="1214" t="s">
        <v>384</v>
      </c>
      <c r="C11" s="1214"/>
      <c r="D11" s="1214"/>
      <c r="E11" s="135"/>
      <c r="G11" s="1208"/>
      <c r="H11" s="1208"/>
      <c r="I11" s="1208"/>
      <c r="J11" s="1208"/>
      <c r="K11" s="1208"/>
      <c r="L11" s="1208"/>
      <c r="M11" s="1208"/>
      <c r="N11" s="1208"/>
      <c r="O11" s="1208"/>
      <c r="P11" s="1208"/>
      <c r="Q11" s="1208"/>
      <c r="R11" s="1208"/>
      <c r="S11" s="1208"/>
      <c r="T11" s="1208"/>
      <c r="U11" s="1208"/>
      <c r="V11" s="1295"/>
      <c r="W11" s="1208"/>
      <c r="X11" s="1208"/>
      <c r="Y11" s="1208"/>
      <c r="Z11" s="1208"/>
      <c r="AA11" s="1208"/>
      <c r="AB11" s="1208"/>
      <c r="AC11" s="1208"/>
      <c r="AD11" s="1208"/>
      <c r="AE11" s="1208"/>
      <c r="AF11" s="1208"/>
      <c r="AG11" s="1208"/>
      <c r="AH11" s="1208"/>
      <c r="AI11" s="116"/>
      <c r="AJ11" s="116"/>
      <c r="AK11" s="1208"/>
      <c r="AL11" s="1208"/>
      <c r="AM11" s="1208"/>
      <c r="AN11" s="1263"/>
      <c r="AO11" s="1263"/>
      <c r="AP11" s="125"/>
      <c r="AQ11" s="126"/>
      <c r="AR11" s="1191"/>
      <c r="AS11" s="145"/>
      <c r="AT11" s="145"/>
      <c r="AU11" s="145"/>
      <c r="AV11" s="145">
        <f>IF(AR7&gt;1500000,250000,IF(AR7&gt;1250000,AR7-1250000,0))</f>
        <v>56270</v>
      </c>
      <c r="AW11" s="145">
        <f>ROUND(AV11*0.25,0)</f>
        <v>14068</v>
      </c>
      <c r="AX11" s="145"/>
      <c r="AY11" s="1263"/>
      <c r="AZ11" s="1236" t="s">
        <v>424</v>
      </c>
      <c r="BA11" s="1237"/>
      <c r="BB11" s="1237"/>
      <c r="BC11" s="1237"/>
      <c r="BD11" s="1237"/>
      <c r="BE11" s="1228"/>
      <c r="BF11" s="1229"/>
    </row>
    <row r="12" spans="1:58" s="131" customFormat="1" ht="22.5" customHeight="1">
      <c r="A12" s="1234"/>
      <c r="B12" s="158" t="s">
        <v>375</v>
      </c>
      <c r="C12" s="149" t="s">
        <v>385</v>
      </c>
      <c r="D12" s="149" t="s">
        <v>386</v>
      </c>
      <c r="E12" s="119"/>
      <c r="G12" s="118">
        <v>1</v>
      </c>
      <c r="H12" s="118">
        <v>2</v>
      </c>
      <c r="I12" s="118"/>
      <c r="J12" s="118"/>
      <c r="K12" s="118"/>
      <c r="L12" s="118"/>
      <c r="M12" s="118"/>
      <c r="N12" s="118"/>
      <c r="O12" s="118"/>
      <c r="P12" s="118"/>
      <c r="Q12" s="118"/>
      <c r="R12" s="118"/>
      <c r="S12" s="118"/>
      <c r="T12" s="118"/>
      <c r="U12" s="118">
        <v>3</v>
      </c>
      <c r="V12" s="118" t="s">
        <v>404</v>
      </c>
      <c r="W12" s="118"/>
      <c r="X12" s="118"/>
      <c r="Y12" s="118"/>
      <c r="Z12" s="118"/>
      <c r="AA12" s="118"/>
      <c r="AB12" s="118"/>
      <c r="AC12" s="118"/>
      <c r="AD12" s="118"/>
      <c r="AE12" s="118"/>
      <c r="AF12" s="118"/>
      <c r="AG12" s="118"/>
      <c r="AH12" s="118"/>
      <c r="AI12" s="118"/>
      <c r="AJ12" s="118"/>
      <c r="AK12" s="118">
        <v>5</v>
      </c>
      <c r="AL12" s="118">
        <v>6</v>
      </c>
      <c r="AM12" s="118">
        <v>7</v>
      </c>
      <c r="AN12" s="1263"/>
      <c r="AO12" s="1263"/>
      <c r="AP12" s="1219">
        <v>3</v>
      </c>
      <c r="AQ12" s="1222" t="s">
        <v>478</v>
      </c>
      <c r="AR12" s="1244">
        <f>E10</f>
        <v>1306270</v>
      </c>
      <c r="AS12" s="146"/>
      <c r="AT12" s="146"/>
      <c r="AU12" s="146"/>
      <c r="AV12" s="145">
        <f>IF(AR7&gt;1500000,AR7-1500000,0)</f>
        <v>0</v>
      </c>
      <c r="AW12" s="145">
        <f>ROUND(AV12*0.3,0)</f>
        <v>0</v>
      </c>
      <c r="AX12" s="146"/>
      <c r="AY12" s="1263"/>
      <c r="AZ12" s="1272" t="s">
        <v>425</v>
      </c>
      <c r="BA12" s="1273"/>
      <c r="BB12" s="1273"/>
      <c r="BC12" s="1273"/>
      <c r="BD12" s="1273"/>
      <c r="BE12" s="1273"/>
      <c r="BF12" s="1274"/>
    </row>
    <row r="13" spans="1:58" s="456" customFormat="1" ht="22.5" customHeight="1">
      <c r="A13" s="1234"/>
      <c r="B13" s="159" t="s">
        <v>353</v>
      </c>
      <c r="C13" s="152"/>
      <c r="D13" s="152"/>
      <c r="E13" s="119"/>
      <c r="G13" s="457" t="str">
        <f>B13</f>
        <v>2023-24</v>
      </c>
      <c r="H13" s="139">
        <f t="shared" ref="H13" si="0">C13</f>
        <v>0</v>
      </c>
      <c r="I13" s="141">
        <f>IF(H13&gt;500000,250000,IF(H13&gt;250000,H13-250000,0))</f>
        <v>0</v>
      </c>
      <c r="J13" s="139">
        <f>IF(H13&gt;1000000,500000,IF(H13&gt;500000,H13-500000,0))</f>
        <v>0</v>
      </c>
      <c r="K13" s="139">
        <f t="shared" ref="K13" si="1">IF(H13&gt;1000000,H13-1000000,0)</f>
        <v>0</v>
      </c>
      <c r="L13" s="456">
        <f>IF(H13&gt;750000,250000,IF(H13&gt;500000,H13-500000,0))</f>
        <v>0</v>
      </c>
      <c r="M13" s="456">
        <f>IF(H13&gt;1000000,250000,IF(H13&gt;750000,H13-750000,0))</f>
        <v>0</v>
      </c>
      <c r="N13" s="139">
        <f>IF(H13&gt;1250000,250000,IF(H13&gt;1000000,H13-1000000,0))</f>
        <v>0</v>
      </c>
      <c r="O13" s="139">
        <f>IF(H13&gt;1500000,250000,IF(H13&gt;1250000,H13-1500000,0))</f>
        <v>0</v>
      </c>
      <c r="P13" s="139">
        <f>IF(H13&gt;1500000,H13-1500000,0)</f>
        <v>0</v>
      </c>
      <c r="Q13" s="139">
        <f t="shared" ref="Q13" si="2">ROUND(I13*0.05,0)+ROUND(J13*0.2,0)+ROUND(K13*0.3,0)</f>
        <v>0</v>
      </c>
      <c r="R13" s="139">
        <f>ROUND(I13*0.05,0)+ROUND(L13*0.1,0)+ROUND(M13*0.15,0)+ROUND(N13*0.2,0)+ROUND(O13*0.25,0)+ROUND(P13*0.3,0)</f>
        <v>0</v>
      </c>
      <c r="S13" s="139">
        <f t="shared" ref="S13" si="3">ROUND(Q13*1.04,-1)</f>
        <v>0</v>
      </c>
      <c r="T13" s="139">
        <f t="shared" ref="T13" si="4">ROUND(R13*1.04,-1)</f>
        <v>0</v>
      </c>
      <c r="U13" s="139">
        <f>D13</f>
        <v>0</v>
      </c>
      <c r="V13" s="139">
        <f t="shared" ref="V13" si="5">H13+U13</f>
        <v>0</v>
      </c>
      <c r="W13" s="141">
        <f>IF(V13&gt;500000,250000,IF(V13&gt;250000,V13-250000,0))</f>
        <v>0</v>
      </c>
      <c r="X13" s="139">
        <f>IF(V13&gt;1000000,500000,IF(V13&gt;500000,V13-500000,0))</f>
        <v>0</v>
      </c>
      <c r="Y13" s="139">
        <f t="shared" ref="Y13" si="6">IF(V13&gt;1000000,V13-1000000,0)</f>
        <v>0</v>
      </c>
      <c r="Z13" s="456">
        <f>IF(V13&gt;750000,250000,IF(V13&gt;500000,V13-500000,0))</f>
        <v>0</v>
      </c>
      <c r="AA13" s="456">
        <f>IF(V13&gt;1000000,250000,IF(V13&gt;750000,V13-750000,0))</f>
        <v>0</v>
      </c>
      <c r="AB13" s="139">
        <f>IF(V13&gt;1250000,250000,IF(V13&gt;1000000,V13-1000000,0))</f>
        <v>0</v>
      </c>
      <c r="AC13" s="139">
        <f>IF(V13&gt;1500000,250000,IF(V13&gt;1250000,V13-1500000,0))</f>
        <v>0</v>
      </c>
      <c r="AD13" s="139">
        <f>IF(V13&gt;1500000,V13-1500000,0)</f>
        <v>0</v>
      </c>
      <c r="AE13" s="139">
        <f t="shared" ref="AE13" si="7">ROUND(W13*0.05,0)+ROUND(X13*0.2,0)+ROUND(Y13*0.3,0)</f>
        <v>0</v>
      </c>
      <c r="AF13" s="139">
        <f>ROUND(W13*0.05,0)+ROUND(Z13*0.1,0)+ROUND(AA13*0.15,0)+ROUND(AB13*0.2,0)+ROUND(AC13*0.25,0)+ROUND(AD13*0.3,0)</f>
        <v>0</v>
      </c>
      <c r="AG13" s="139">
        <f t="shared" ref="AG13" si="8">ROUND(AE13*1.04,-1)</f>
        <v>0</v>
      </c>
      <c r="AH13" s="139">
        <f t="shared" ref="AH13" si="9">ROUND(AF13*1.04,-1)</f>
        <v>0</v>
      </c>
      <c r="AI13" s="139">
        <f>IF($D$2="NO",S13,T13)</f>
        <v>0</v>
      </c>
      <c r="AJ13" s="139">
        <f>IF($D$2="NO",AG13,AH13)</f>
        <v>0</v>
      </c>
      <c r="AK13" s="457">
        <f>IF(AI13&lt;=12500,0,AI13)</f>
        <v>0</v>
      </c>
      <c r="AL13" s="457">
        <f>IF(AK13&lt;=12500,0,AJ13)</f>
        <v>0</v>
      </c>
      <c r="AM13" s="139">
        <f>AL13-AK13</f>
        <v>0</v>
      </c>
      <c r="AN13" s="1263"/>
      <c r="AO13" s="1263"/>
      <c r="AP13" s="1220"/>
      <c r="AQ13" s="1223"/>
      <c r="AR13" s="1245"/>
      <c r="AS13" s="146"/>
      <c r="AT13" s="146"/>
      <c r="AU13" s="146"/>
      <c r="AV13" s="451"/>
      <c r="AW13" s="451"/>
      <c r="AX13" s="146"/>
      <c r="AY13" s="1263"/>
      <c r="AZ13" s="453"/>
      <c r="BA13" s="454"/>
      <c r="BB13" s="454"/>
      <c r="BC13" s="454"/>
      <c r="BD13" s="454"/>
      <c r="BE13" s="454"/>
      <c r="BF13" s="455"/>
    </row>
    <row r="14" spans="1:58" s="310" customFormat="1" ht="22.5" customHeight="1">
      <c r="A14" s="1234"/>
      <c r="B14" s="159" t="s">
        <v>477</v>
      </c>
      <c r="C14" s="152"/>
      <c r="D14" s="152"/>
      <c r="E14" s="119"/>
      <c r="G14" s="138" t="str">
        <f>B14</f>
        <v>2022-23</v>
      </c>
      <c r="H14" s="139">
        <f t="shared" ref="H14" si="10">C14</f>
        <v>0</v>
      </c>
      <c r="I14" s="141">
        <f>IF(H14&gt;500000,250000,IF(H14&gt;250000,H14-250000,0))</f>
        <v>0</v>
      </c>
      <c r="J14" s="139">
        <f>IF(H14&gt;1000000,500000,IF(H14&gt;500000,H14-500000,0))</f>
        <v>0</v>
      </c>
      <c r="K14" s="139">
        <f t="shared" ref="K14" si="11">IF(H14&gt;1000000,H14-1000000,0)</f>
        <v>0</v>
      </c>
      <c r="L14" s="310">
        <f>IF(H14&gt;750000,250000,IF(H14&gt;500000,H14-500000,0))</f>
        <v>0</v>
      </c>
      <c r="M14" s="310">
        <f>IF(H14&gt;1000000,250000,IF(H14&gt;750000,H14-750000,0))</f>
        <v>0</v>
      </c>
      <c r="N14" s="139">
        <f>IF(H14&gt;1250000,250000,IF(H14&gt;1000000,H14-1000000,0))</f>
        <v>0</v>
      </c>
      <c r="O14" s="139">
        <f>IF(H14&gt;1500000,250000,IF(H14&gt;1250000,H14-1500000,0))</f>
        <v>0</v>
      </c>
      <c r="P14" s="139">
        <f>IF(H14&gt;1500000,H14-1500000,0)</f>
        <v>0</v>
      </c>
      <c r="Q14" s="139">
        <f t="shared" ref="Q14" si="12">ROUND(I14*0.05,0)+ROUND(J14*0.2,0)+ROUND(K14*0.3,0)</f>
        <v>0</v>
      </c>
      <c r="R14" s="139">
        <f>ROUND(I14*0.05,0)+ROUND(L14*0.1,0)+ROUND(M14*0.15,0)+ROUND(N14*0.2,0)+ROUND(O14*0.25,0)+ROUND(P14*0.3,0)</f>
        <v>0</v>
      </c>
      <c r="S14" s="139">
        <f t="shared" ref="S14:T16" si="13">ROUND(Q14*1.04,-1)</f>
        <v>0</v>
      </c>
      <c r="T14" s="139">
        <f t="shared" si="13"/>
        <v>0</v>
      </c>
      <c r="U14" s="139">
        <f>D14</f>
        <v>0</v>
      </c>
      <c r="V14" s="139">
        <f t="shared" ref="V14" si="14">H14+U14</f>
        <v>0</v>
      </c>
      <c r="W14" s="141">
        <f>IF(V14&gt;500000,250000,IF(V14&gt;250000,V14-250000,0))</f>
        <v>0</v>
      </c>
      <c r="X14" s="139">
        <f>IF(V14&gt;1000000,500000,IF(V14&gt;500000,V14-500000,0))</f>
        <v>0</v>
      </c>
      <c r="Y14" s="139">
        <f t="shared" ref="Y14" si="15">IF(V14&gt;1000000,V14-1000000,0)</f>
        <v>0</v>
      </c>
      <c r="Z14" s="310">
        <f>IF(V14&gt;750000,250000,IF(V14&gt;500000,V14-500000,0))</f>
        <v>0</v>
      </c>
      <c r="AA14" s="310">
        <f>IF(V14&gt;1000000,250000,IF(V14&gt;750000,V14-750000,0))</f>
        <v>0</v>
      </c>
      <c r="AB14" s="139">
        <f>IF(V14&gt;1250000,250000,IF(V14&gt;1000000,V14-1000000,0))</f>
        <v>0</v>
      </c>
      <c r="AC14" s="139">
        <f>IF(V14&gt;1500000,250000,IF(V14&gt;1250000,V14-1500000,0))</f>
        <v>0</v>
      </c>
      <c r="AD14" s="139">
        <f>IF(V14&gt;1500000,V14-1500000,0)</f>
        <v>0</v>
      </c>
      <c r="AE14" s="139">
        <f t="shared" ref="AE14" si="16">ROUND(W14*0.05,0)+ROUND(X14*0.2,0)+ROUND(Y14*0.3,0)</f>
        <v>0</v>
      </c>
      <c r="AF14" s="139">
        <f>ROUND(W14*0.05,0)+ROUND(Z14*0.1,0)+ROUND(AA14*0.15,0)+ROUND(AB14*0.2,0)+ROUND(AC14*0.25,0)+ROUND(AD14*0.3,0)</f>
        <v>0</v>
      </c>
      <c r="AG14" s="139">
        <f t="shared" ref="AG14:AH16" si="17">ROUND(AE14*1.04,-1)</f>
        <v>0</v>
      </c>
      <c r="AH14" s="139">
        <f t="shared" si="17"/>
        <v>0</v>
      </c>
      <c r="AI14" s="139">
        <f>IF($D$2="NO",S14,T14)</f>
        <v>0</v>
      </c>
      <c r="AJ14" s="139">
        <f>IF($D$2="NO",AG14,AH14)</f>
        <v>0</v>
      </c>
      <c r="AK14" s="138">
        <f>IF(AI14&lt;=12500,0,AI14)</f>
        <v>0</v>
      </c>
      <c r="AL14" s="138">
        <f>IF(AK14&lt;=12500,0,AJ14)</f>
        <v>0</v>
      </c>
      <c r="AM14" s="139">
        <f>AL14-AK14</f>
        <v>0</v>
      </c>
      <c r="AN14" s="1263"/>
      <c r="AO14" s="1263"/>
      <c r="AP14" s="1220"/>
      <c r="AQ14" s="1223"/>
      <c r="AR14" s="1245"/>
      <c r="AS14" s="146"/>
      <c r="AT14" s="146"/>
      <c r="AU14" s="146"/>
      <c r="AV14" s="314"/>
      <c r="AW14" s="314"/>
      <c r="AX14" s="146"/>
      <c r="AY14" s="1263"/>
      <c r="AZ14" s="311"/>
      <c r="BA14" s="312"/>
      <c r="BB14" s="312"/>
      <c r="BC14" s="312"/>
      <c r="BD14" s="312"/>
      <c r="BE14" s="312"/>
      <c r="BF14" s="313"/>
    </row>
    <row r="15" spans="1:58" ht="21.75" customHeight="1">
      <c r="A15" s="1234"/>
      <c r="B15" s="159" t="s">
        <v>377</v>
      </c>
      <c r="C15" s="152"/>
      <c r="D15" s="152"/>
      <c r="E15" s="110"/>
      <c r="G15" s="138" t="str">
        <f>B15</f>
        <v>2021-22</v>
      </c>
      <c r="H15" s="139">
        <f t="shared" ref="H15:H23" si="18">C15</f>
        <v>0</v>
      </c>
      <c r="I15" s="141">
        <f>IF(H15&gt;500000,250000,IF(H15&gt;250000,H15-250000,0))</f>
        <v>0</v>
      </c>
      <c r="J15" s="139">
        <f>IF(H15&gt;1000000,500000,IF(H15&gt;500000,H15-500000,0))</f>
        <v>0</v>
      </c>
      <c r="K15" s="139">
        <f t="shared" ref="K15:K20" si="19">IF(H15&gt;1000000,H15-1000000,0)</f>
        <v>0</v>
      </c>
      <c r="L15" s="131">
        <f>IF(H15&gt;750000,250000,IF(H15&gt;500000,H15-500000,0))</f>
        <v>0</v>
      </c>
      <c r="M15" s="131">
        <f>IF(H15&gt;1000000,250000,IF(H15&gt;750000,H15-750000,0))</f>
        <v>0</v>
      </c>
      <c r="N15" s="139">
        <f>IF(H15&gt;1250000,250000,IF(H15&gt;1000000,H15-1000000,0))</f>
        <v>0</v>
      </c>
      <c r="O15" s="139">
        <f>IF(H15&gt;1500000,250000,IF(H15&gt;1250000,H15-1500000,0))</f>
        <v>0</v>
      </c>
      <c r="P15" s="139">
        <f>IF(H15&gt;1500000,H15-1500000,0)</f>
        <v>0</v>
      </c>
      <c r="Q15" s="139">
        <f t="shared" ref="Q15:Q20" si="20">ROUND(I15*0.05,0)+ROUND(J15*0.2,0)+ROUND(K15*0.3,0)</f>
        <v>0</v>
      </c>
      <c r="R15" s="139">
        <f>ROUND(I15*0.05,0)+ROUND(L15*0.1,0)+ROUND(M15*0.15,0)+ROUND(N15*0.2,0)+ROUND(O15*0.25,0)+ROUND(P15*0.3,0)</f>
        <v>0</v>
      </c>
      <c r="S15" s="139">
        <f t="shared" si="13"/>
        <v>0</v>
      </c>
      <c r="T15" s="139">
        <f t="shared" si="13"/>
        <v>0</v>
      </c>
      <c r="U15" s="139">
        <f>D15</f>
        <v>0</v>
      </c>
      <c r="V15" s="139">
        <f t="shared" ref="V15:V23" si="21">H15+U15</f>
        <v>0</v>
      </c>
      <c r="W15" s="141">
        <f>IF(V15&gt;500000,250000,IF(V15&gt;250000,V15-250000,0))</f>
        <v>0</v>
      </c>
      <c r="X15" s="139">
        <f>IF(V15&gt;1000000,500000,IF(V15&gt;500000,V15-500000,0))</f>
        <v>0</v>
      </c>
      <c r="Y15" s="139">
        <f t="shared" ref="Y15:Y20" si="22">IF(V15&gt;1000000,V15-1000000,0)</f>
        <v>0</v>
      </c>
      <c r="Z15" s="131">
        <f>IF(V15&gt;750000,250000,IF(V15&gt;500000,V15-500000,0))</f>
        <v>0</v>
      </c>
      <c r="AA15" s="131">
        <f>IF(V15&gt;1000000,250000,IF(V15&gt;750000,V15-750000,0))</f>
        <v>0</v>
      </c>
      <c r="AB15" s="139">
        <f>IF(V15&gt;1250000,250000,IF(V15&gt;1000000,V15-1000000,0))</f>
        <v>0</v>
      </c>
      <c r="AC15" s="139">
        <f>IF(V15&gt;1500000,250000,IF(V15&gt;1250000,V15-1500000,0))</f>
        <v>0</v>
      </c>
      <c r="AD15" s="139">
        <f>IF(V15&gt;1500000,V15-1500000,0)</f>
        <v>0</v>
      </c>
      <c r="AE15" s="139">
        <f t="shared" ref="AE15:AE20" si="23">ROUND(W15*0.05,0)+ROUND(X15*0.2,0)+ROUND(Y15*0.3,0)</f>
        <v>0</v>
      </c>
      <c r="AF15" s="139">
        <f>ROUND(W15*0.05,0)+ROUND(Z15*0.1,0)+ROUND(AA15*0.15,0)+ROUND(AB15*0.2,0)+ROUND(AC15*0.25,0)+ROUND(AD15*0.3,0)</f>
        <v>0</v>
      </c>
      <c r="AG15" s="139">
        <f t="shared" si="17"/>
        <v>0</v>
      </c>
      <c r="AH15" s="139">
        <f t="shared" si="17"/>
        <v>0</v>
      </c>
      <c r="AI15" s="139">
        <f>IF($D$2="NO",S15,T15)</f>
        <v>0</v>
      </c>
      <c r="AJ15" s="139">
        <f>IF($D$2="NO",AG15,AH15)</f>
        <v>0</v>
      </c>
      <c r="AK15" s="138">
        <f>IF(AI15&lt;=12500,0,AI15)</f>
        <v>0</v>
      </c>
      <c r="AL15" s="138">
        <f>IF(AK15&lt;=12500,0,AJ15)</f>
        <v>0</v>
      </c>
      <c r="AM15" s="139">
        <f>AL15-AK15</f>
        <v>0</v>
      </c>
      <c r="AN15" s="1263"/>
      <c r="AO15" s="1263"/>
      <c r="AP15" s="1221"/>
      <c r="AQ15" s="1224"/>
      <c r="AR15" s="1246"/>
      <c r="AS15" s="146"/>
      <c r="AT15" s="146"/>
      <c r="AU15" s="146"/>
      <c r="AV15" s="146"/>
      <c r="AW15" s="146"/>
      <c r="AX15" s="146"/>
      <c r="AY15" s="1263"/>
      <c r="AZ15" s="1275" t="s">
        <v>585</v>
      </c>
      <c r="BA15" s="1276"/>
      <c r="BB15" s="1276"/>
      <c r="BC15" s="1276"/>
      <c r="BD15" s="1276"/>
      <c r="BE15" s="1276"/>
      <c r="BF15" s="1277"/>
    </row>
    <row r="16" spans="1:58" ht="21.75" customHeight="1">
      <c r="A16" s="1234"/>
      <c r="B16" s="159" t="s">
        <v>394</v>
      </c>
      <c r="C16" s="152"/>
      <c r="D16" s="152"/>
      <c r="E16" s="110"/>
      <c r="G16" s="138" t="str">
        <f t="shared" ref="G16:G23" si="24">B16</f>
        <v>2020-21</v>
      </c>
      <c r="H16" s="139">
        <f t="shared" si="18"/>
        <v>0</v>
      </c>
      <c r="I16" s="141">
        <f t="shared" ref="I16:I20" si="25">IF(H16&gt;500000,250000,IF(H16&gt;250000,H16-250000,0))</f>
        <v>0</v>
      </c>
      <c r="J16" s="139">
        <f t="shared" ref="J16:J19" si="26">IF(H16&gt;1000000,500000,IF(H16&gt;500000,H16-500000,0))</f>
        <v>0</v>
      </c>
      <c r="K16" s="139">
        <f t="shared" si="19"/>
        <v>0</v>
      </c>
      <c r="L16" s="131">
        <f t="shared" ref="L16:L17" si="27">IF(H16&gt;750000,250000,IF(H16&gt;500000,H16-500000,0))</f>
        <v>0</v>
      </c>
      <c r="M16" s="131">
        <f>IF(H16&gt;1000000,250000,IF(H16&gt;750000,H16-750000,0))</f>
        <v>0</v>
      </c>
      <c r="N16" s="139">
        <f>IF(H16&gt;1250000,250000,IF(H16&gt;1000000,H16-1000000,0))</f>
        <v>0</v>
      </c>
      <c r="O16" s="139">
        <f>IF(H16&gt;1500000,250000,IF(H16&gt;1250000,H16-1500000,0))</f>
        <v>0</v>
      </c>
      <c r="P16" s="139">
        <f>IF(H16&gt;1500000,H16-1500000,0)</f>
        <v>0</v>
      </c>
      <c r="Q16" s="139">
        <f t="shared" si="20"/>
        <v>0</v>
      </c>
      <c r="R16" s="139">
        <f>ROUND(I16*0.05,0)+ROUND(L16*0.1,0)+ROUND(M16*0.15,0)+ROUND(N16*0.2,0)+ROUND(O16*0.25,0)+ROUND(P16*0.3,0)</f>
        <v>0</v>
      </c>
      <c r="S16" s="139">
        <f t="shared" si="13"/>
        <v>0</v>
      </c>
      <c r="T16" s="139">
        <f t="shared" si="13"/>
        <v>0</v>
      </c>
      <c r="U16" s="139">
        <f t="shared" ref="U16:U23" si="28">D16</f>
        <v>0</v>
      </c>
      <c r="V16" s="139">
        <f t="shared" si="21"/>
        <v>0</v>
      </c>
      <c r="W16" s="141">
        <f t="shared" ref="W16:W20" si="29">IF(V16&gt;500000,250000,IF(V16&gt;250000,V16-250000,0))</f>
        <v>0</v>
      </c>
      <c r="X16" s="139">
        <f t="shared" ref="X16:X21" si="30">IF(V16&gt;1000000,500000,IF(V16&gt;500000,V16-500000,0))</f>
        <v>0</v>
      </c>
      <c r="Y16" s="139">
        <f t="shared" si="22"/>
        <v>0</v>
      </c>
      <c r="Z16" s="131">
        <f t="shared" ref="Z16:Z19" si="31">IF(V16&gt;750000,250000,IF(V16&gt;500000,V16-500000,0))</f>
        <v>0</v>
      </c>
      <c r="AA16" s="131">
        <f>IF(V16&gt;1000000,250000,IF(V16&gt;750000,V16-750000,0))</f>
        <v>0</v>
      </c>
      <c r="AB16" s="139">
        <f>IF(V16&gt;1250000,250000,IF(V16&gt;1000000,V16-1000000,0))</f>
        <v>0</v>
      </c>
      <c r="AC16" s="139">
        <f>IF(V16&gt;1500000,250000,IF(V16&gt;1250000,V16-1500000,0))</f>
        <v>0</v>
      </c>
      <c r="AD16" s="139">
        <f>IF(V16&gt;1500000,V16-1500000,0)</f>
        <v>0</v>
      </c>
      <c r="AE16" s="139">
        <f t="shared" si="23"/>
        <v>0</v>
      </c>
      <c r="AF16" s="139">
        <f>ROUND(W16*0.05,0)+ROUND(Z16*0.1,0)+ROUND(AA16*0.15,0)+ROUND(AB16*0.2,0)+ROUND(AC16*0.25,0)+ROUND(AD16*0.3,0)</f>
        <v>0</v>
      </c>
      <c r="AG16" s="139">
        <f t="shared" si="17"/>
        <v>0</v>
      </c>
      <c r="AH16" s="139">
        <f t="shared" si="17"/>
        <v>0</v>
      </c>
      <c r="AI16" s="139">
        <f>IF($D$2="NO",S16,T16)</f>
        <v>0</v>
      </c>
      <c r="AJ16" s="139">
        <f>IF($D$2="NO",AG16,AH16)</f>
        <v>0</v>
      </c>
      <c r="AK16" s="138">
        <f t="shared" ref="AK16:AK18" si="32">IF(AI16&lt;=12500,0,AI16)</f>
        <v>0</v>
      </c>
      <c r="AL16" s="138">
        <f>IF(AK16&lt;=12500,0,AJ16)</f>
        <v>0</v>
      </c>
      <c r="AM16" s="139">
        <f>AL16-AK16</f>
        <v>0</v>
      </c>
      <c r="AN16" s="1263"/>
      <c r="AO16" s="1263"/>
      <c r="AP16" s="127"/>
      <c r="AQ16" s="128"/>
      <c r="AR16" s="1192">
        <f>IF(D2="No",AU16,AX16)</f>
        <v>144631</v>
      </c>
      <c r="AS16" s="145">
        <f>IF(AR12&gt;500000,250000,IF(AR12&gt;250000,AR12-250000,0))</f>
        <v>250000</v>
      </c>
      <c r="AT16" s="145">
        <f>IF(AS16&gt;=250000,ROUND(AS16*0.05,0),0)</f>
        <v>12500</v>
      </c>
      <c r="AU16" s="1217">
        <f>ROUND(SUM(AT16:AT18)*1.04,0)</f>
        <v>212556</v>
      </c>
      <c r="AV16" s="145">
        <f>IF(AR12&gt;500000,250000,IF(AR12&gt;250000,AR12-250000,0))</f>
        <v>250000</v>
      </c>
      <c r="AW16" s="145">
        <f>IF(AV16&gt;=250000,ROUND(AV16*0.05,0),0)</f>
        <v>12500</v>
      </c>
      <c r="AX16" s="1217">
        <f>ROUND(SUM(AW16:AW21)*1.04,0)</f>
        <v>144631</v>
      </c>
      <c r="AY16" s="1263"/>
      <c r="AZ16" s="1266"/>
      <c r="BA16" s="1267"/>
      <c r="BB16" s="1267"/>
      <c r="BC16" s="1267"/>
      <c r="BD16" s="1267"/>
      <c r="BE16" s="1267"/>
      <c r="BF16" s="133" t="s">
        <v>426</v>
      </c>
    </row>
    <row r="17" spans="1:58" ht="21.75" customHeight="1">
      <c r="A17" s="1234"/>
      <c r="B17" s="159" t="s">
        <v>387</v>
      </c>
      <c r="C17" s="153"/>
      <c r="D17" s="153"/>
      <c r="E17" s="110"/>
      <c r="G17" s="138" t="str">
        <f t="shared" si="24"/>
        <v>2019-20</v>
      </c>
      <c r="H17" s="139">
        <f t="shared" si="18"/>
        <v>0</v>
      </c>
      <c r="I17" s="141">
        <f t="shared" si="25"/>
        <v>0</v>
      </c>
      <c r="J17" s="139">
        <f t="shared" si="26"/>
        <v>0</v>
      </c>
      <c r="K17" s="139">
        <f t="shared" si="19"/>
        <v>0</v>
      </c>
      <c r="L17" s="131">
        <f t="shared" si="27"/>
        <v>0</v>
      </c>
      <c r="M17" s="139"/>
      <c r="N17" s="139"/>
      <c r="O17" s="139"/>
      <c r="P17" s="139"/>
      <c r="Q17" s="139">
        <f t="shared" si="20"/>
        <v>0</v>
      </c>
      <c r="R17" s="139"/>
      <c r="S17" s="139">
        <f>ROUND(Q17*1.04,-1)</f>
        <v>0</v>
      </c>
      <c r="T17" s="139"/>
      <c r="U17" s="139">
        <f t="shared" si="28"/>
        <v>0</v>
      </c>
      <c r="V17" s="139">
        <f t="shared" si="21"/>
        <v>0</v>
      </c>
      <c r="W17" s="141">
        <f t="shared" si="29"/>
        <v>0</v>
      </c>
      <c r="X17" s="139">
        <f t="shared" si="30"/>
        <v>0</v>
      </c>
      <c r="Y17" s="139">
        <f t="shared" si="22"/>
        <v>0</v>
      </c>
      <c r="Z17" s="131">
        <f t="shared" si="31"/>
        <v>0</v>
      </c>
      <c r="AA17" s="139"/>
      <c r="AB17" s="139"/>
      <c r="AC17" s="139"/>
      <c r="AD17" s="139"/>
      <c r="AE17" s="139">
        <f t="shared" si="23"/>
        <v>0</v>
      </c>
      <c r="AF17" s="139"/>
      <c r="AG17" s="139">
        <f>ROUND(AE17*1.04,-1)</f>
        <v>0</v>
      </c>
      <c r="AH17" s="139"/>
      <c r="AI17" s="139">
        <f t="shared" ref="AI17:AI23" si="33">S17</f>
        <v>0</v>
      </c>
      <c r="AJ17" s="139">
        <f t="shared" ref="AJ17:AJ23" si="34">AG17</f>
        <v>0</v>
      </c>
      <c r="AK17" s="138">
        <f t="shared" si="32"/>
        <v>0</v>
      </c>
      <c r="AL17" s="138">
        <f t="shared" ref="AL17:AL18" si="35">IF(AK17&lt;=12500,0,AJ17)</f>
        <v>0</v>
      </c>
      <c r="AM17" s="139">
        <f t="shared" ref="AM17:AM23" si="36">AL17-AK17</f>
        <v>0</v>
      </c>
      <c r="AN17" s="1263"/>
      <c r="AO17" s="1263"/>
      <c r="AP17" s="123">
        <v>4</v>
      </c>
      <c r="AQ17" s="124" t="s">
        <v>411</v>
      </c>
      <c r="AR17" s="1215"/>
      <c r="AS17" s="145">
        <f>IF(AR12&gt;1000000,500000,IF(AR12&gt;500000,AR12-500000,0))</f>
        <v>500000</v>
      </c>
      <c r="AT17" s="145">
        <f>ROUND(AS17*0.2,0)</f>
        <v>100000</v>
      </c>
      <c r="AU17" s="1217"/>
      <c r="AV17" s="145">
        <f>IF(AR12&gt;750000,250000,IF(AR12&gt;500000,AR12-500000,0))</f>
        <v>250000</v>
      </c>
      <c r="AW17" s="145">
        <f>ROUND(AV17*0.1,0)</f>
        <v>25000</v>
      </c>
      <c r="AX17" s="1217"/>
      <c r="AY17" s="1263"/>
      <c r="AZ17" s="1264">
        <v>1</v>
      </c>
      <c r="BA17" s="1264" t="s">
        <v>333</v>
      </c>
      <c r="BB17" s="1264" t="s">
        <v>434</v>
      </c>
      <c r="BC17" s="1264"/>
      <c r="BD17" s="1264"/>
      <c r="BE17" s="1264"/>
      <c r="BF17" s="1288">
        <f>AR16</f>
        <v>144631</v>
      </c>
    </row>
    <row r="18" spans="1:58" ht="21.75" customHeight="1">
      <c r="A18" s="1234"/>
      <c r="B18" s="159" t="s">
        <v>388</v>
      </c>
      <c r="C18" s="153"/>
      <c r="D18" s="153"/>
      <c r="E18" s="110"/>
      <c r="G18" s="138" t="str">
        <f t="shared" si="24"/>
        <v>2018-19</v>
      </c>
      <c r="H18" s="139">
        <f t="shared" si="18"/>
        <v>0</v>
      </c>
      <c r="I18" s="141">
        <f t="shared" si="25"/>
        <v>0</v>
      </c>
      <c r="J18" s="139">
        <f t="shared" si="26"/>
        <v>0</v>
      </c>
      <c r="K18" s="139">
        <f t="shared" si="19"/>
        <v>0</v>
      </c>
      <c r="M18" s="139"/>
      <c r="N18" s="139"/>
      <c r="O18" s="139"/>
      <c r="P18" s="139"/>
      <c r="Q18" s="139">
        <f t="shared" si="20"/>
        <v>0</v>
      </c>
      <c r="R18" s="139"/>
      <c r="S18" s="139">
        <f>ROUND(Q18*1.04,-1)</f>
        <v>0</v>
      </c>
      <c r="T18" s="139"/>
      <c r="U18" s="139">
        <f>D18</f>
        <v>0</v>
      </c>
      <c r="V18" s="139">
        <f t="shared" si="21"/>
        <v>0</v>
      </c>
      <c r="W18" s="141">
        <f t="shared" si="29"/>
        <v>0</v>
      </c>
      <c r="X18" s="139">
        <f t="shared" si="30"/>
        <v>0</v>
      </c>
      <c r="Y18" s="139">
        <f t="shared" si="22"/>
        <v>0</v>
      </c>
      <c r="Z18" s="131">
        <f t="shared" si="31"/>
        <v>0</v>
      </c>
      <c r="AA18" s="139"/>
      <c r="AB18" s="139"/>
      <c r="AC18" s="139"/>
      <c r="AD18" s="139"/>
      <c r="AE18" s="139">
        <f t="shared" si="23"/>
        <v>0</v>
      </c>
      <c r="AF18" s="139"/>
      <c r="AG18" s="139">
        <f>ROUND(AE18*1.04,-1)</f>
        <v>0</v>
      </c>
      <c r="AH18" s="139"/>
      <c r="AI18" s="139">
        <f t="shared" si="33"/>
        <v>0</v>
      </c>
      <c r="AJ18" s="139">
        <f t="shared" si="34"/>
        <v>0</v>
      </c>
      <c r="AK18" s="138">
        <f t="shared" si="32"/>
        <v>0</v>
      </c>
      <c r="AL18" s="138">
        <f t="shared" si="35"/>
        <v>0</v>
      </c>
      <c r="AM18" s="139">
        <f t="shared" si="36"/>
        <v>0</v>
      </c>
      <c r="AN18" s="1263"/>
      <c r="AO18" s="1263"/>
      <c r="AP18" s="125"/>
      <c r="AQ18" s="126"/>
      <c r="AR18" s="1216"/>
      <c r="AS18" s="145">
        <f>IF(AR12&gt;1000000,AR12-1000000,0)</f>
        <v>306270</v>
      </c>
      <c r="AT18" s="145">
        <f>ROUND(AS18*0.3,0)</f>
        <v>91881</v>
      </c>
      <c r="AU18" s="1217"/>
      <c r="AV18" s="145">
        <f>IF(AR12&gt;1000000,250000,IF(AR12&gt;750000,AR12-750000,0))</f>
        <v>250000</v>
      </c>
      <c r="AW18" s="145">
        <f>ROUND(AV18*0.15,0)</f>
        <v>37500</v>
      </c>
      <c r="AX18" s="1217"/>
      <c r="AY18" s="1263"/>
      <c r="AZ18" s="1264"/>
      <c r="BA18" s="1264"/>
      <c r="BB18" s="1264"/>
      <c r="BC18" s="1264"/>
      <c r="BD18" s="1264"/>
      <c r="BE18" s="1264"/>
      <c r="BF18" s="1289"/>
    </row>
    <row r="19" spans="1:58" ht="21.75" customHeight="1">
      <c r="A19" s="1234"/>
      <c r="B19" s="159" t="s">
        <v>389</v>
      </c>
      <c r="C19" s="153"/>
      <c r="D19" s="153"/>
      <c r="E19" s="110"/>
      <c r="G19" s="138" t="str">
        <f t="shared" si="24"/>
        <v>2017-18</v>
      </c>
      <c r="H19" s="139">
        <f t="shared" si="18"/>
        <v>0</v>
      </c>
      <c r="I19" s="141">
        <f t="shared" si="25"/>
        <v>0</v>
      </c>
      <c r="J19" s="139">
        <f t="shared" si="26"/>
        <v>0</v>
      </c>
      <c r="K19" s="139">
        <f t="shared" si="19"/>
        <v>0</v>
      </c>
      <c r="M19" s="139"/>
      <c r="N19" s="139"/>
      <c r="O19" s="139"/>
      <c r="P19" s="139"/>
      <c r="Q19" s="139">
        <f t="shared" si="20"/>
        <v>0</v>
      </c>
      <c r="R19" s="139"/>
      <c r="S19" s="139">
        <f>ROUND(Q19*1.03,-1)</f>
        <v>0</v>
      </c>
      <c r="T19" s="139"/>
      <c r="U19" s="139">
        <f t="shared" si="28"/>
        <v>0</v>
      </c>
      <c r="V19" s="139">
        <f t="shared" si="21"/>
        <v>0</v>
      </c>
      <c r="W19" s="141">
        <f t="shared" si="29"/>
        <v>0</v>
      </c>
      <c r="X19" s="139">
        <f t="shared" si="30"/>
        <v>0</v>
      </c>
      <c r="Y19" s="139">
        <f t="shared" si="22"/>
        <v>0</v>
      </c>
      <c r="Z19" s="131">
        <f t="shared" si="31"/>
        <v>0</v>
      </c>
      <c r="AA19" s="139"/>
      <c r="AB19" s="139"/>
      <c r="AC19" s="139"/>
      <c r="AD19" s="139"/>
      <c r="AE19" s="139">
        <f t="shared" si="23"/>
        <v>0</v>
      </c>
      <c r="AF19" s="139"/>
      <c r="AG19" s="139">
        <f>ROUND(AE19*1.03,-1)</f>
        <v>0</v>
      </c>
      <c r="AH19" s="139"/>
      <c r="AI19" s="139">
        <f t="shared" si="33"/>
        <v>0</v>
      </c>
      <c r="AJ19" s="139">
        <f t="shared" si="34"/>
        <v>0</v>
      </c>
      <c r="AK19" s="138">
        <f>IF(AI19&lt;=2500,0,AI19)</f>
        <v>0</v>
      </c>
      <c r="AL19" s="138">
        <f>IF(AK19&lt;=2500,0,AJ19)</f>
        <v>0</v>
      </c>
      <c r="AM19" s="139">
        <f t="shared" si="36"/>
        <v>0</v>
      </c>
      <c r="AN19" s="1263"/>
      <c r="AO19" s="1263"/>
      <c r="AP19" s="127">
        <v>5</v>
      </c>
      <c r="AQ19" s="128" t="s">
        <v>412</v>
      </c>
      <c r="AR19" s="1192">
        <f>IF(D2="NO",AU7,AX7)</f>
        <v>144631</v>
      </c>
      <c r="AS19" s="145"/>
      <c r="AT19" s="145"/>
      <c r="AU19" s="145"/>
      <c r="AV19" s="145">
        <f>IF(AR12&gt;1250000,250000,IF(AR12&gt;1000000,AR12-1000000,0))</f>
        <v>250000</v>
      </c>
      <c r="AW19" s="145">
        <f>ROUND(AV19*0.2,0)</f>
        <v>50000</v>
      </c>
      <c r="AX19" s="145"/>
      <c r="AY19" s="1263"/>
      <c r="AZ19" s="1264"/>
      <c r="BA19" s="1264"/>
      <c r="BB19" s="1264"/>
      <c r="BC19" s="1264"/>
      <c r="BD19" s="1264"/>
      <c r="BE19" s="1264"/>
      <c r="BF19" s="1290"/>
    </row>
    <row r="20" spans="1:58" ht="21.75" customHeight="1" thickBot="1">
      <c r="A20" s="1235"/>
      <c r="B20" s="159" t="s">
        <v>390</v>
      </c>
      <c r="C20" s="153"/>
      <c r="D20" s="153"/>
      <c r="E20" s="110"/>
      <c r="G20" s="138" t="str">
        <f t="shared" si="24"/>
        <v>2016-17</v>
      </c>
      <c r="H20" s="139">
        <f t="shared" si="18"/>
        <v>0</v>
      </c>
      <c r="I20" s="141">
        <f t="shared" si="25"/>
        <v>0</v>
      </c>
      <c r="J20" s="139">
        <f t="shared" ref="J20" si="37">IF(H20&gt;1000000,500000,IF(H20&gt;500000,H20-500000,0))</f>
        <v>0</v>
      </c>
      <c r="K20" s="139">
        <f t="shared" si="19"/>
        <v>0</v>
      </c>
      <c r="M20" s="139"/>
      <c r="N20" s="139"/>
      <c r="O20" s="139"/>
      <c r="P20" s="139"/>
      <c r="Q20" s="139">
        <f t="shared" si="20"/>
        <v>0</v>
      </c>
      <c r="R20" s="139"/>
      <c r="S20" s="139">
        <f>ROUND(Q20*1.03,-1)</f>
        <v>0</v>
      </c>
      <c r="T20" s="139"/>
      <c r="U20" s="139">
        <f t="shared" si="28"/>
        <v>0</v>
      </c>
      <c r="V20" s="139">
        <f t="shared" si="21"/>
        <v>0</v>
      </c>
      <c r="W20" s="141">
        <f t="shared" si="29"/>
        <v>0</v>
      </c>
      <c r="X20" s="139">
        <f t="shared" si="30"/>
        <v>0</v>
      </c>
      <c r="Y20" s="139">
        <f t="shared" si="22"/>
        <v>0</v>
      </c>
      <c r="AA20" s="139"/>
      <c r="AB20" s="139"/>
      <c r="AC20" s="139"/>
      <c r="AD20" s="139"/>
      <c r="AE20" s="139">
        <f t="shared" si="23"/>
        <v>0</v>
      </c>
      <c r="AF20" s="139"/>
      <c r="AG20" s="139">
        <f>ROUND(AE20*1.03,-1)</f>
        <v>0</v>
      </c>
      <c r="AH20" s="139"/>
      <c r="AI20" s="139">
        <f t="shared" si="33"/>
        <v>0</v>
      </c>
      <c r="AJ20" s="139">
        <f t="shared" si="34"/>
        <v>0</v>
      </c>
      <c r="AK20" s="138">
        <f>IF(AI20&lt;=5000,0,IF(AI20&gt;5000,AI20-5000))</f>
        <v>0</v>
      </c>
      <c r="AL20" s="138">
        <f>IF(AJ20&lt;=5000,0,IF(AJ20&gt;5000,AJ20-5000))</f>
        <v>0</v>
      </c>
      <c r="AM20" s="139">
        <f t="shared" si="36"/>
        <v>0</v>
      </c>
      <c r="AN20" s="1263"/>
      <c r="AO20" s="1263"/>
      <c r="AP20" s="125"/>
      <c r="AQ20" s="126"/>
      <c r="AR20" s="1216"/>
      <c r="AS20" s="145"/>
      <c r="AT20" s="145"/>
      <c r="AU20" s="145"/>
      <c r="AV20" s="145">
        <f>IF(AR12&gt;1500000,250000,IF(AR12&gt;1250000,AR12-1250000,0))</f>
        <v>56270</v>
      </c>
      <c r="AW20" s="145">
        <f>ROUND(AV20*0.25,0)</f>
        <v>14068</v>
      </c>
      <c r="AX20" s="145"/>
      <c r="AY20" s="1263"/>
      <c r="AZ20" s="1264"/>
      <c r="BA20" s="1264" t="s">
        <v>334</v>
      </c>
      <c r="BB20" s="1264" t="s">
        <v>435</v>
      </c>
      <c r="BC20" s="1264"/>
      <c r="BD20" s="1264"/>
      <c r="BE20" s="1264"/>
      <c r="BF20" s="1260" t="s">
        <v>427</v>
      </c>
    </row>
    <row r="21" spans="1:58" ht="21.75" customHeight="1">
      <c r="B21" s="111" t="s">
        <v>391</v>
      </c>
      <c r="C21" s="153"/>
      <c r="D21" s="153"/>
      <c r="E21" s="110"/>
      <c r="G21" s="138" t="str">
        <f t="shared" si="24"/>
        <v>2015-16</v>
      </c>
      <c r="H21" s="139">
        <f t="shared" si="18"/>
        <v>0</v>
      </c>
      <c r="I21" s="141">
        <f>IF(H21&gt;500000,200000,IF(H21&gt;300000,H21-300000,0))</f>
        <v>0</v>
      </c>
      <c r="J21" s="139">
        <f t="shared" ref="J21" si="38">IF(H21&gt;1000000,500000,IF(H21&gt;500000,H21-500000,0))</f>
        <v>0</v>
      </c>
      <c r="K21" s="131">
        <f>IF(J21&gt;0,20000+(J21*0.2),0)</f>
        <v>0</v>
      </c>
      <c r="L21" s="139">
        <f>IF(H21&gt;1000000,H21-1000000,0)</f>
        <v>0</v>
      </c>
      <c r="M21" s="131">
        <f>IF(L21&gt;0,120000+(L21*0.3),0)</f>
        <v>0</v>
      </c>
      <c r="N21" s="139"/>
      <c r="O21" s="139"/>
      <c r="P21" s="139"/>
      <c r="Q21" s="139">
        <f>ROUND(I21*0.1,0)+K21+M21</f>
        <v>0</v>
      </c>
      <c r="R21" s="139"/>
      <c r="S21" s="139">
        <f>ROUND(Q21*1.03,-1)</f>
        <v>0</v>
      </c>
      <c r="T21" s="139"/>
      <c r="U21" s="139">
        <f t="shared" si="28"/>
        <v>0</v>
      </c>
      <c r="V21" s="139">
        <f t="shared" si="21"/>
        <v>0</v>
      </c>
      <c r="W21" s="141">
        <f>IF(V21&gt;500000,200000,IF(V21&gt;300000,V21-300000,0))</f>
        <v>0</v>
      </c>
      <c r="X21" s="139">
        <f t="shared" si="30"/>
        <v>0</v>
      </c>
      <c r="Y21" s="131">
        <f>IF(X21&gt;0,20000+(X21*0.2),0)</f>
        <v>0</v>
      </c>
      <c r="Z21" s="139">
        <f>IF(V21&gt;1000000,V21-1000000,0)</f>
        <v>0</v>
      </c>
      <c r="AA21" s="131">
        <f>IF(Z21&gt;0,120000+(Z21*0.3),0)</f>
        <v>0</v>
      </c>
      <c r="AB21" s="139"/>
      <c r="AC21" s="139"/>
      <c r="AD21" s="139"/>
      <c r="AE21" s="139">
        <f>ROUND(W21*0.1,0)+Y21+AA21</f>
        <v>0</v>
      </c>
      <c r="AF21" s="139"/>
      <c r="AG21" s="139">
        <f>ROUND(AE21*1.03,-1)</f>
        <v>0</v>
      </c>
      <c r="AH21" s="139"/>
      <c r="AI21" s="139">
        <f t="shared" si="33"/>
        <v>0</v>
      </c>
      <c r="AJ21" s="139">
        <f t="shared" si="34"/>
        <v>0</v>
      </c>
      <c r="AK21" s="138">
        <f t="shared" ref="AK21:AL23" si="39">IF(AI21&lt;=2000,0,IF(AI21&gt;2000,AI21-2000))</f>
        <v>0</v>
      </c>
      <c r="AL21" s="138">
        <f t="shared" si="39"/>
        <v>0</v>
      </c>
      <c r="AM21" s="139">
        <f t="shared" si="36"/>
        <v>0</v>
      </c>
      <c r="AN21" s="1263"/>
      <c r="AO21" s="1263"/>
      <c r="AP21" s="127">
        <v>6</v>
      </c>
      <c r="AQ21" s="128" t="s">
        <v>413</v>
      </c>
      <c r="AR21" s="1189">
        <f>AR16-AR19</f>
        <v>0</v>
      </c>
      <c r="AS21" s="146"/>
      <c r="AT21" s="146"/>
      <c r="AU21" s="146"/>
      <c r="AV21" s="145">
        <f>IF(AR12&gt;1500000,AR12-1500000,0)</f>
        <v>0</v>
      </c>
      <c r="AW21" s="145">
        <f>ROUND(AV21*0.3,0)</f>
        <v>0</v>
      </c>
      <c r="AX21" s="146"/>
      <c r="AY21" s="1263"/>
      <c r="AZ21" s="1264"/>
      <c r="BA21" s="1264"/>
      <c r="BB21" s="1264"/>
      <c r="BC21" s="1264"/>
      <c r="BD21" s="1264"/>
      <c r="BE21" s="1264"/>
      <c r="BF21" s="1291"/>
    </row>
    <row r="22" spans="1:58" ht="21.75" customHeight="1">
      <c r="B22" s="111" t="s">
        <v>392</v>
      </c>
      <c r="C22" s="153"/>
      <c r="D22" s="153"/>
      <c r="E22" s="110"/>
      <c r="G22" s="138" t="str">
        <f t="shared" si="24"/>
        <v>2014-15</v>
      </c>
      <c r="H22" s="139">
        <f t="shared" si="18"/>
        <v>0</v>
      </c>
      <c r="I22" s="141">
        <f>IF(H22&gt;500000,250000,IF(H22&gt;250000,H22-250000,0))</f>
        <v>0</v>
      </c>
      <c r="J22" s="139">
        <f t="shared" ref="J22:J23" si="40">IF(H22&gt;1000000,500000,IF(H22&gt;500000,H22-500000,0))</f>
        <v>0</v>
      </c>
      <c r="K22" s="131">
        <f>IF(J22&gt;0,25000+(J22*0.2),0)</f>
        <v>0</v>
      </c>
      <c r="L22" s="139">
        <f>IF(H22&gt;1000000,H22-1000000,0)</f>
        <v>0</v>
      </c>
      <c r="M22" s="131">
        <f>IF(L22&gt;0,125000+(L22*0.3),0)</f>
        <v>0</v>
      </c>
      <c r="N22" s="139"/>
      <c r="O22" s="139"/>
      <c r="P22" s="139"/>
      <c r="Q22" s="139">
        <f>ROUND(I22*0.1,0)+K22+M22</f>
        <v>0</v>
      </c>
      <c r="R22" s="139"/>
      <c r="S22" s="139">
        <f>ROUND(Q22*1.03,-1)</f>
        <v>0</v>
      </c>
      <c r="T22" s="139"/>
      <c r="U22" s="139">
        <f t="shared" si="28"/>
        <v>0</v>
      </c>
      <c r="V22" s="139">
        <f t="shared" si="21"/>
        <v>0</v>
      </c>
      <c r="W22" s="141">
        <f>IF(V22&gt;500000,250000,IF(V22&gt;250000,V22-250000,0))</f>
        <v>0</v>
      </c>
      <c r="X22" s="139">
        <f t="shared" ref="X22:X23" si="41">IF(V22&gt;1000000,500000,IF(V22&gt;500000,V22-500000,0))</f>
        <v>0</v>
      </c>
      <c r="Y22" s="131">
        <f>IF(X22&gt;0,25000+(X22*0.2),0)</f>
        <v>0</v>
      </c>
      <c r="Z22" s="139">
        <f>IF(V22&gt;1000000,V22-1000000,0)</f>
        <v>0</v>
      </c>
      <c r="AA22" s="131">
        <f>IF(Z22&gt;0,125000+(Z22*0.3),0)</f>
        <v>0</v>
      </c>
      <c r="AB22" s="139"/>
      <c r="AC22" s="139"/>
      <c r="AD22" s="139"/>
      <c r="AE22" s="139">
        <f>ROUND(W22*0.1,0)+Y22+AA22</f>
        <v>0</v>
      </c>
      <c r="AF22" s="139"/>
      <c r="AG22" s="139">
        <f>ROUND(AE22*1.03,-1)</f>
        <v>0</v>
      </c>
      <c r="AH22" s="139"/>
      <c r="AI22" s="139">
        <f t="shared" si="33"/>
        <v>0</v>
      </c>
      <c r="AJ22" s="139">
        <f t="shared" si="34"/>
        <v>0</v>
      </c>
      <c r="AK22" s="138">
        <f t="shared" si="39"/>
        <v>0</v>
      </c>
      <c r="AL22" s="138">
        <f t="shared" si="39"/>
        <v>0</v>
      </c>
      <c r="AM22" s="139">
        <f t="shared" si="36"/>
        <v>0</v>
      </c>
      <c r="AN22" s="1263"/>
      <c r="AO22" s="1263"/>
      <c r="AP22" s="123"/>
      <c r="AQ22" s="124" t="s">
        <v>414</v>
      </c>
      <c r="AR22" s="1190"/>
      <c r="AS22" s="145"/>
      <c r="AT22" s="145"/>
      <c r="AU22" s="145"/>
      <c r="AV22" s="145"/>
      <c r="AW22" s="145"/>
      <c r="AX22" s="145"/>
      <c r="AY22" s="1263"/>
      <c r="AZ22" s="1264"/>
      <c r="BA22" s="1264"/>
      <c r="BB22" s="1264"/>
      <c r="BC22" s="1264"/>
      <c r="BD22" s="1264"/>
      <c r="BE22" s="1264"/>
      <c r="BF22" s="1291"/>
    </row>
    <row r="23" spans="1:58" ht="21.75" customHeight="1">
      <c r="B23" s="111" t="s">
        <v>393</v>
      </c>
      <c r="C23" s="153"/>
      <c r="D23" s="153"/>
      <c r="E23" s="110"/>
      <c r="G23" s="138" t="str">
        <f t="shared" si="24"/>
        <v>2013-14</v>
      </c>
      <c r="H23" s="139">
        <f t="shared" si="18"/>
        <v>0</v>
      </c>
      <c r="I23" s="141">
        <f>IF(H23&gt;500000,300000,IF(H23&gt;200000,H23-200000,0))</f>
        <v>0</v>
      </c>
      <c r="J23" s="139">
        <f t="shared" si="40"/>
        <v>0</v>
      </c>
      <c r="K23" s="139">
        <f>IF(H23&gt;1000000,H23-1000000,0)</f>
        <v>0</v>
      </c>
      <c r="M23" s="139"/>
      <c r="N23" s="139"/>
      <c r="O23" s="139"/>
      <c r="P23" s="139"/>
      <c r="Q23" s="139">
        <f>ROUND(I23*0.1,0)+ROUND(J23*0.2,0)+ROUND(K23*0.3,0)</f>
        <v>0</v>
      </c>
      <c r="R23" s="139"/>
      <c r="S23" s="139">
        <f>ROUND(Q23*1.03,-1)</f>
        <v>0</v>
      </c>
      <c r="T23" s="139"/>
      <c r="U23" s="139">
        <f t="shared" si="28"/>
        <v>0</v>
      </c>
      <c r="V23" s="139">
        <f t="shared" si="21"/>
        <v>0</v>
      </c>
      <c r="W23" s="141">
        <f>IF(V23&gt;500000,300000,IF(V23&gt;200000,V23-200000,0))</f>
        <v>0</v>
      </c>
      <c r="X23" s="139">
        <f t="shared" si="41"/>
        <v>0</v>
      </c>
      <c r="Y23" s="139">
        <f>IF(V23&gt;1000000,V23-1000000,0)</f>
        <v>0</v>
      </c>
      <c r="AA23" s="139"/>
      <c r="AB23" s="139"/>
      <c r="AC23" s="139"/>
      <c r="AD23" s="139"/>
      <c r="AE23" s="139">
        <f>ROUND(W23*0.1,0)+ROUND(X23*0.2,0)+ROUND(Y23*0.3,0)</f>
        <v>0</v>
      </c>
      <c r="AF23" s="139"/>
      <c r="AG23" s="139">
        <f>ROUND(AE23*1.03,-1)</f>
        <v>0</v>
      </c>
      <c r="AH23" s="139"/>
      <c r="AI23" s="139">
        <f t="shared" si="33"/>
        <v>0</v>
      </c>
      <c r="AJ23" s="139">
        <f t="shared" si="34"/>
        <v>0</v>
      </c>
      <c r="AK23" s="138">
        <f t="shared" si="39"/>
        <v>0</v>
      </c>
      <c r="AL23" s="138">
        <f t="shared" si="39"/>
        <v>0</v>
      </c>
      <c r="AM23" s="139">
        <f t="shared" si="36"/>
        <v>0</v>
      </c>
      <c r="AN23" s="1263"/>
      <c r="AO23" s="1263"/>
      <c r="AP23" s="125"/>
      <c r="AQ23" s="126"/>
      <c r="AR23" s="1191"/>
      <c r="AS23" s="145"/>
      <c r="AT23" s="145"/>
      <c r="AU23" s="145"/>
      <c r="AV23" s="145"/>
      <c r="AW23" s="145"/>
      <c r="AX23" s="145"/>
      <c r="AY23" s="1263"/>
      <c r="AZ23" s="1264"/>
      <c r="BA23" s="1264"/>
      <c r="BB23" s="1264"/>
      <c r="BC23" s="1264"/>
      <c r="BD23" s="1264"/>
      <c r="BE23" s="1264"/>
      <c r="BF23" s="1261"/>
    </row>
    <row r="24" spans="1:58" ht="24" customHeight="1" thickBot="1">
      <c r="B24" s="143" t="s">
        <v>8</v>
      </c>
      <c r="C24" s="112">
        <f>SUM(C6:C23)</f>
        <v>0</v>
      </c>
      <c r="D24" s="112">
        <f>SUM(D6:D23)</f>
        <v>0</v>
      </c>
      <c r="E24" s="151"/>
      <c r="G24" s="117" t="s">
        <v>8</v>
      </c>
      <c r="H24" s="140">
        <f>SUM(H15:H23)</f>
        <v>0</v>
      </c>
      <c r="I24" s="140"/>
      <c r="J24" s="140"/>
      <c r="K24" s="140"/>
      <c r="L24" s="140"/>
      <c r="M24" s="140"/>
      <c r="N24" s="140"/>
      <c r="O24" s="140"/>
      <c r="P24" s="140"/>
      <c r="Q24" s="140"/>
      <c r="R24" s="140"/>
      <c r="S24" s="140"/>
      <c r="T24" s="140"/>
      <c r="U24" s="140">
        <f>SUM(U15:U23)</f>
        <v>0</v>
      </c>
      <c r="V24" s="140">
        <f>SUM(V15:V23)</f>
        <v>0</v>
      </c>
      <c r="W24" s="140"/>
      <c r="X24" s="140"/>
      <c r="Y24" s="140"/>
      <c r="Z24" s="140"/>
      <c r="AA24" s="140"/>
      <c r="AB24" s="140"/>
      <c r="AC24" s="140"/>
      <c r="AD24" s="140"/>
      <c r="AE24" s="140"/>
      <c r="AF24" s="140"/>
      <c r="AG24" s="140"/>
      <c r="AH24" s="140"/>
      <c r="AI24" s="140"/>
      <c r="AJ24" s="140"/>
      <c r="AK24" s="140">
        <f t="shared" ref="AK24:AL24" si="42">SUM(AK15:AK23)</f>
        <v>0</v>
      </c>
      <c r="AL24" s="140">
        <f t="shared" si="42"/>
        <v>0</v>
      </c>
      <c r="AM24" s="140">
        <f t="shared" ref="AM24" si="43">SUM(AM15:AM23)</f>
        <v>0</v>
      </c>
      <c r="AN24" s="1263"/>
      <c r="AO24" s="1263"/>
      <c r="AP24" s="127">
        <v>7</v>
      </c>
      <c r="AQ24" s="128" t="s">
        <v>415</v>
      </c>
      <c r="AR24" s="1192">
        <f>AM24</f>
        <v>0</v>
      </c>
      <c r="AS24" s="120"/>
      <c r="AT24" s="120"/>
      <c r="AU24" s="120"/>
      <c r="AV24" s="120"/>
      <c r="AW24" s="120"/>
      <c r="AX24" s="120"/>
      <c r="AY24" s="1263"/>
      <c r="AZ24" s="1264"/>
      <c r="BA24" s="1264" t="s">
        <v>428</v>
      </c>
      <c r="BB24" s="1264" t="s">
        <v>436</v>
      </c>
      <c r="BC24" s="1264"/>
      <c r="BD24" s="1264"/>
      <c r="BE24" s="1264"/>
      <c r="BF24" s="1260" t="s">
        <v>427</v>
      </c>
    </row>
    <row r="25" spans="1:58" ht="16.5" customHeight="1">
      <c r="G25" s="1204"/>
      <c r="H25" s="1204"/>
      <c r="I25" s="1204"/>
      <c r="J25" s="1204"/>
      <c r="K25" s="1204"/>
      <c r="L25" s="1204"/>
      <c r="M25" s="1204"/>
      <c r="N25" s="1204"/>
      <c r="O25" s="1204"/>
      <c r="P25" s="1204"/>
      <c r="Q25" s="1204"/>
      <c r="R25" s="1204"/>
      <c r="S25" s="1204"/>
      <c r="T25" s="1204"/>
      <c r="U25" s="1204"/>
      <c r="V25" s="1204"/>
      <c r="W25" s="1204"/>
      <c r="X25" s="1204"/>
      <c r="Y25" s="1204"/>
      <c r="Z25" s="1204"/>
      <c r="AA25" s="1204"/>
      <c r="AB25" s="1204"/>
      <c r="AC25" s="1204"/>
      <c r="AD25" s="1204"/>
      <c r="AE25" s="1204"/>
      <c r="AF25" s="1204"/>
      <c r="AG25" s="1204"/>
      <c r="AH25" s="1204"/>
      <c r="AI25" s="1204"/>
      <c r="AJ25" s="1204"/>
      <c r="AK25" s="1204"/>
      <c r="AL25" s="1204"/>
      <c r="AM25" s="1204"/>
      <c r="AN25" s="1263"/>
      <c r="AO25" s="1263"/>
      <c r="AP25" s="123"/>
      <c r="AQ25" s="124" t="s">
        <v>416</v>
      </c>
      <c r="AR25" s="1193"/>
      <c r="AS25" s="120"/>
      <c r="AT25" s="120"/>
      <c r="AU25" s="120"/>
      <c r="AV25" s="120"/>
      <c r="AW25" s="120"/>
      <c r="AX25" s="120"/>
      <c r="AY25" s="1263"/>
      <c r="AZ25" s="1264"/>
      <c r="BA25" s="1264"/>
      <c r="BB25" s="1264"/>
      <c r="BC25" s="1264"/>
      <c r="BD25" s="1264"/>
      <c r="BE25" s="1264"/>
      <c r="BF25" s="1291"/>
    </row>
    <row r="26" spans="1:58" ht="16.5" customHeight="1">
      <c r="G26" s="1205"/>
      <c r="H26" s="1205"/>
      <c r="I26" s="1205"/>
      <c r="J26" s="1205"/>
      <c r="K26" s="1205"/>
      <c r="L26" s="1205"/>
      <c r="M26" s="1205"/>
      <c r="N26" s="1205"/>
      <c r="O26" s="1205"/>
      <c r="P26" s="1205"/>
      <c r="Q26" s="1205"/>
      <c r="R26" s="1205"/>
      <c r="S26" s="1205"/>
      <c r="T26" s="1205"/>
      <c r="U26" s="1205"/>
      <c r="V26" s="1205"/>
      <c r="W26" s="1205"/>
      <c r="X26" s="1205"/>
      <c r="Y26" s="1205"/>
      <c r="Z26" s="1205"/>
      <c r="AA26" s="1205"/>
      <c r="AB26" s="1205"/>
      <c r="AC26" s="1205"/>
      <c r="AD26" s="1205"/>
      <c r="AE26" s="1205"/>
      <c r="AF26" s="1205"/>
      <c r="AG26" s="1205"/>
      <c r="AH26" s="1205"/>
      <c r="AI26" s="1205"/>
      <c r="AJ26" s="1205"/>
      <c r="AK26" s="1205"/>
      <c r="AL26" s="1205"/>
      <c r="AM26" s="1205"/>
      <c r="AN26" s="1263"/>
      <c r="AO26" s="1263"/>
      <c r="AP26" s="125"/>
      <c r="AQ26" s="126"/>
      <c r="AR26" s="1194"/>
      <c r="AS26" s="120"/>
      <c r="AT26" s="120"/>
      <c r="AU26" s="120"/>
      <c r="AV26" s="120"/>
      <c r="AW26" s="120"/>
      <c r="AX26" s="120"/>
      <c r="AY26" s="1263"/>
      <c r="AZ26" s="1264"/>
      <c r="BA26" s="1264"/>
      <c r="BB26" s="1264"/>
      <c r="BC26" s="1264"/>
      <c r="BD26" s="1264"/>
      <c r="BE26" s="1264"/>
      <c r="BF26" s="1291"/>
    </row>
    <row r="27" spans="1:58" ht="16.5" customHeight="1">
      <c r="G27" s="1205"/>
      <c r="H27" s="1205"/>
      <c r="I27" s="1205"/>
      <c r="J27" s="1205"/>
      <c r="K27" s="1205"/>
      <c r="L27" s="1205"/>
      <c r="M27" s="1205"/>
      <c r="N27" s="1205"/>
      <c r="O27" s="1205"/>
      <c r="P27" s="1205"/>
      <c r="Q27" s="1205"/>
      <c r="R27" s="1205"/>
      <c r="S27" s="1205"/>
      <c r="T27" s="1205"/>
      <c r="U27" s="1205"/>
      <c r="V27" s="1205"/>
      <c r="W27" s="1205"/>
      <c r="X27" s="1205"/>
      <c r="Y27" s="1205"/>
      <c r="Z27" s="1205"/>
      <c r="AA27" s="1205"/>
      <c r="AB27" s="1205"/>
      <c r="AC27" s="1205"/>
      <c r="AD27" s="1205"/>
      <c r="AE27" s="1205"/>
      <c r="AF27" s="1205"/>
      <c r="AG27" s="1205"/>
      <c r="AH27" s="1205"/>
      <c r="AI27" s="1205"/>
      <c r="AJ27" s="1205"/>
      <c r="AK27" s="1205"/>
      <c r="AL27" s="1205"/>
      <c r="AM27" s="1205"/>
      <c r="AN27" s="1263"/>
      <c r="AO27" s="1263"/>
      <c r="AP27" s="123">
        <v>8</v>
      </c>
      <c r="AQ27" s="124" t="s">
        <v>417</v>
      </c>
      <c r="AR27" s="160"/>
      <c r="AS27" s="120"/>
      <c r="AT27" s="120"/>
      <c r="AU27" s="120"/>
      <c r="AV27" s="120"/>
      <c r="AW27" s="120"/>
      <c r="AX27" s="120"/>
      <c r="AY27" s="1263"/>
      <c r="AZ27" s="1264"/>
      <c r="BA27" s="1264"/>
      <c r="BB27" s="1264"/>
      <c r="BC27" s="1264"/>
      <c r="BD27" s="1264"/>
      <c r="BE27" s="1264"/>
      <c r="BF27" s="1291"/>
    </row>
    <row r="28" spans="1:58" ht="16.5" customHeight="1">
      <c r="G28" s="1205"/>
      <c r="H28" s="1205"/>
      <c r="I28" s="1205"/>
      <c r="J28" s="1205"/>
      <c r="K28" s="1205"/>
      <c r="L28" s="1205"/>
      <c r="M28" s="1205"/>
      <c r="N28" s="1205"/>
      <c r="O28" s="1205"/>
      <c r="P28" s="1205"/>
      <c r="Q28" s="1205"/>
      <c r="R28" s="1205"/>
      <c r="S28" s="1205"/>
      <c r="T28" s="1205"/>
      <c r="U28" s="1205"/>
      <c r="V28" s="1205"/>
      <c r="W28" s="1205"/>
      <c r="X28" s="1205"/>
      <c r="Y28" s="1205"/>
      <c r="Z28" s="1205"/>
      <c r="AA28" s="1205"/>
      <c r="AB28" s="1205"/>
      <c r="AC28" s="1205"/>
      <c r="AD28" s="1205"/>
      <c r="AE28" s="1205"/>
      <c r="AF28" s="1205"/>
      <c r="AG28" s="1205"/>
      <c r="AH28" s="1205"/>
      <c r="AI28" s="1205"/>
      <c r="AJ28" s="1205"/>
      <c r="AK28" s="1205"/>
      <c r="AL28" s="1205"/>
      <c r="AM28" s="1205"/>
      <c r="AN28" s="1263"/>
      <c r="AO28" s="1263"/>
      <c r="AP28" s="123"/>
      <c r="AQ28" s="124" t="s">
        <v>418</v>
      </c>
      <c r="AR28" s="162">
        <f>AR21-AR24</f>
        <v>0</v>
      </c>
      <c r="AS28" s="120"/>
      <c r="AT28" s="120"/>
      <c r="AU28" s="120"/>
      <c r="AV28" s="120"/>
      <c r="AW28" s="120"/>
      <c r="AX28" s="120"/>
      <c r="AY28" s="1263"/>
      <c r="AZ28" s="1264"/>
      <c r="BA28" s="1264"/>
      <c r="BB28" s="1264"/>
      <c r="BC28" s="1264"/>
      <c r="BD28" s="1264"/>
      <c r="BE28" s="1264"/>
      <c r="BF28" s="1291"/>
    </row>
    <row r="29" spans="1:58" ht="16.5" customHeight="1" thickBot="1">
      <c r="G29" s="1205"/>
      <c r="H29" s="1205"/>
      <c r="I29" s="1205"/>
      <c r="J29" s="1205"/>
      <c r="K29" s="1205"/>
      <c r="L29" s="1205"/>
      <c r="M29" s="1205"/>
      <c r="N29" s="1205"/>
      <c r="O29" s="1205"/>
      <c r="P29" s="1205"/>
      <c r="Q29" s="1205"/>
      <c r="R29" s="1205"/>
      <c r="S29" s="1205"/>
      <c r="T29" s="1205"/>
      <c r="U29" s="1205"/>
      <c r="V29" s="1205"/>
      <c r="W29" s="1205"/>
      <c r="X29" s="1205"/>
      <c r="Y29" s="1205"/>
      <c r="Z29" s="1205"/>
      <c r="AA29" s="1205"/>
      <c r="AB29" s="1205"/>
      <c r="AC29" s="1205"/>
      <c r="AD29" s="1205"/>
      <c r="AE29" s="1205"/>
      <c r="AF29" s="1205"/>
      <c r="AG29" s="1205"/>
      <c r="AH29" s="1205"/>
      <c r="AI29" s="1205"/>
      <c r="AJ29" s="1205"/>
      <c r="AK29" s="1205"/>
      <c r="AL29" s="1205"/>
      <c r="AM29" s="1205"/>
      <c r="AN29" s="1263"/>
      <c r="AO29" s="1263"/>
      <c r="AP29" s="129"/>
      <c r="AQ29" s="130" t="s">
        <v>419</v>
      </c>
      <c r="AR29" s="161"/>
      <c r="AS29" s="120"/>
      <c r="AT29" s="120"/>
      <c r="AU29" s="120"/>
      <c r="AV29" s="120"/>
      <c r="AW29" s="120"/>
      <c r="AX29" s="120"/>
      <c r="AY29" s="1263"/>
      <c r="AZ29" s="1264"/>
      <c r="BA29" s="1264"/>
      <c r="BB29" s="1264"/>
      <c r="BC29" s="1264"/>
      <c r="BD29" s="1264"/>
      <c r="BE29" s="1264"/>
      <c r="BF29" s="1261"/>
    </row>
    <row r="30" spans="1:58" ht="16.5" customHeight="1">
      <c r="G30" s="1205"/>
      <c r="H30" s="1205"/>
      <c r="I30" s="1205"/>
      <c r="J30" s="1205"/>
      <c r="K30" s="1205"/>
      <c r="L30" s="1205"/>
      <c r="M30" s="1205"/>
      <c r="N30" s="1205"/>
      <c r="O30" s="1205"/>
      <c r="P30" s="1205"/>
      <c r="Q30" s="1205"/>
      <c r="R30" s="1205"/>
      <c r="S30" s="1205"/>
      <c r="T30" s="1205"/>
      <c r="U30" s="1205"/>
      <c r="V30" s="1205"/>
      <c r="W30" s="1205"/>
      <c r="X30" s="1205"/>
      <c r="Y30" s="1205"/>
      <c r="Z30" s="1205"/>
      <c r="AA30" s="1205"/>
      <c r="AB30" s="1205"/>
      <c r="AC30" s="1205"/>
      <c r="AD30" s="1205"/>
      <c r="AE30" s="1205"/>
      <c r="AF30" s="1205"/>
      <c r="AG30" s="1205"/>
      <c r="AH30" s="1205"/>
      <c r="AI30" s="1205"/>
      <c r="AJ30" s="1205"/>
      <c r="AK30" s="1205"/>
      <c r="AL30" s="1205"/>
      <c r="AM30" s="1205"/>
      <c r="AN30" s="1263"/>
      <c r="AO30" s="1263"/>
      <c r="AP30" s="1279"/>
      <c r="AQ30" s="1279"/>
      <c r="AR30" s="1279"/>
      <c r="AS30" s="120"/>
      <c r="AT30" s="120"/>
      <c r="AU30" s="120"/>
      <c r="AV30" s="120"/>
      <c r="AW30" s="120"/>
      <c r="AX30" s="120"/>
      <c r="AY30" s="1263"/>
      <c r="AZ30" s="1264"/>
      <c r="BA30" s="1264" t="s">
        <v>429</v>
      </c>
      <c r="BB30" s="1264" t="s">
        <v>437</v>
      </c>
      <c r="BC30" s="1264"/>
      <c r="BD30" s="1264"/>
      <c r="BE30" s="1264"/>
      <c r="BF30" s="1260" t="s">
        <v>427</v>
      </c>
    </row>
    <row r="31" spans="1:58" ht="16.5" customHeight="1">
      <c r="G31" s="1205"/>
      <c r="H31" s="1205"/>
      <c r="I31" s="1205"/>
      <c r="J31" s="1205"/>
      <c r="K31" s="1205"/>
      <c r="L31" s="1205"/>
      <c r="M31" s="1205"/>
      <c r="N31" s="1205"/>
      <c r="O31" s="1205"/>
      <c r="P31" s="1205"/>
      <c r="Q31" s="1205"/>
      <c r="R31" s="1205"/>
      <c r="S31" s="1205"/>
      <c r="T31" s="1205"/>
      <c r="U31" s="1205"/>
      <c r="V31" s="1205"/>
      <c r="W31" s="1205"/>
      <c r="X31" s="1205"/>
      <c r="Y31" s="1205"/>
      <c r="Z31" s="1205"/>
      <c r="AA31" s="1205"/>
      <c r="AB31" s="1205"/>
      <c r="AC31" s="1205"/>
      <c r="AD31" s="1205"/>
      <c r="AE31" s="1205"/>
      <c r="AF31" s="1205"/>
      <c r="AG31" s="1205"/>
      <c r="AH31" s="1205"/>
      <c r="AI31" s="1205"/>
      <c r="AJ31" s="1205"/>
      <c r="AK31" s="1205"/>
      <c r="AL31" s="1205"/>
      <c r="AM31" s="1205"/>
      <c r="AN31" s="1263"/>
      <c r="AO31" s="1263"/>
      <c r="AP31" s="1199"/>
      <c r="AQ31" s="1199"/>
      <c r="AR31" s="1199"/>
      <c r="AS31" s="120"/>
      <c r="AT31" s="120"/>
      <c r="AU31" s="120"/>
      <c r="AV31" s="120"/>
      <c r="AW31" s="120"/>
      <c r="AX31" s="120"/>
      <c r="AY31" s="1263"/>
      <c r="AZ31" s="1264"/>
      <c r="BA31" s="1264"/>
      <c r="BB31" s="1264"/>
      <c r="BC31" s="1264"/>
      <c r="BD31" s="1264"/>
      <c r="BE31" s="1264"/>
      <c r="BF31" s="1291"/>
    </row>
    <row r="32" spans="1:58" ht="16.5" customHeight="1">
      <c r="G32" s="1205"/>
      <c r="H32" s="1205"/>
      <c r="I32" s="1205"/>
      <c r="J32" s="1205"/>
      <c r="K32" s="1205"/>
      <c r="L32" s="1205"/>
      <c r="M32" s="1205"/>
      <c r="N32" s="1205"/>
      <c r="O32" s="1205"/>
      <c r="P32" s="1205"/>
      <c r="Q32" s="1205"/>
      <c r="R32" s="1205"/>
      <c r="S32" s="1205"/>
      <c r="T32" s="1205"/>
      <c r="U32" s="1205"/>
      <c r="V32" s="1205"/>
      <c r="W32" s="1205"/>
      <c r="X32" s="1205"/>
      <c r="Y32" s="1205"/>
      <c r="Z32" s="1205"/>
      <c r="AA32" s="1205"/>
      <c r="AB32" s="1205"/>
      <c r="AC32" s="1205"/>
      <c r="AD32" s="1205"/>
      <c r="AE32" s="1205"/>
      <c r="AF32" s="1205"/>
      <c r="AG32" s="1205"/>
      <c r="AH32" s="1205"/>
      <c r="AI32" s="1205"/>
      <c r="AJ32" s="1205"/>
      <c r="AK32" s="1205"/>
      <c r="AL32" s="1205"/>
      <c r="AM32" s="1205"/>
      <c r="AN32" s="1263"/>
      <c r="AO32" s="1263"/>
      <c r="AP32" s="1199"/>
      <c r="AQ32" s="1199"/>
      <c r="AR32" s="1199"/>
      <c r="AS32" s="120"/>
      <c r="AT32" s="120"/>
      <c r="AU32" s="120"/>
      <c r="AV32" s="120"/>
      <c r="AW32" s="120"/>
      <c r="AX32" s="120"/>
      <c r="AY32" s="1263"/>
      <c r="AZ32" s="1264"/>
      <c r="BA32" s="1264"/>
      <c r="BB32" s="1264"/>
      <c r="BC32" s="1264"/>
      <c r="BD32" s="1264"/>
      <c r="BE32" s="1264"/>
      <c r="BF32" s="1261"/>
    </row>
    <row r="33" spans="7:58" ht="16.5" customHeight="1">
      <c r="G33" s="1205"/>
      <c r="H33" s="1205"/>
      <c r="I33" s="1205"/>
      <c r="J33" s="1205"/>
      <c r="K33" s="1205"/>
      <c r="L33" s="1205"/>
      <c r="M33" s="1205"/>
      <c r="N33" s="1205"/>
      <c r="O33" s="1205"/>
      <c r="P33" s="1205"/>
      <c r="Q33" s="1205"/>
      <c r="R33" s="1205"/>
      <c r="S33" s="1205"/>
      <c r="T33" s="1205"/>
      <c r="U33" s="1205"/>
      <c r="V33" s="1205"/>
      <c r="W33" s="1205"/>
      <c r="X33" s="1205"/>
      <c r="Y33" s="1205"/>
      <c r="Z33" s="1205"/>
      <c r="AA33" s="1205"/>
      <c r="AB33" s="1205"/>
      <c r="AC33" s="1205"/>
      <c r="AD33" s="1205"/>
      <c r="AE33" s="1205"/>
      <c r="AF33" s="1205"/>
      <c r="AG33" s="1205"/>
      <c r="AH33" s="1205"/>
      <c r="AI33" s="1205"/>
      <c r="AJ33" s="1205"/>
      <c r="AK33" s="1205"/>
      <c r="AL33" s="1205"/>
      <c r="AM33" s="1205"/>
      <c r="AN33" s="1263"/>
      <c r="AO33" s="1263"/>
      <c r="AP33" s="1199"/>
      <c r="AQ33" s="1199"/>
      <c r="AR33" s="1199"/>
      <c r="AS33" s="120"/>
      <c r="AT33" s="120"/>
      <c r="AU33" s="120"/>
      <c r="AV33" s="120"/>
      <c r="AW33" s="120"/>
      <c r="AX33" s="120"/>
      <c r="AY33" s="1263"/>
      <c r="AZ33" s="1264">
        <v>2</v>
      </c>
      <c r="BA33" s="1264"/>
      <c r="BB33" s="1268" t="s">
        <v>438</v>
      </c>
      <c r="BC33" s="1268"/>
      <c r="BD33" s="1268"/>
      <c r="BE33" s="1268"/>
      <c r="BF33" s="1260"/>
    </row>
    <row r="34" spans="7:58" ht="16.5" customHeight="1">
      <c r="G34" s="1205"/>
      <c r="H34" s="1205"/>
      <c r="I34" s="1205"/>
      <c r="J34" s="1205"/>
      <c r="K34" s="1205"/>
      <c r="L34" s="1205"/>
      <c r="M34" s="1205"/>
      <c r="N34" s="1205"/>
      <c r="O34" s="1205"/>
      <c r="P34" s="1205"/>
      <c r="Q34" s="1205"/>
      <c r="R34" s="1205"/>
      <c r="S34" s="1205"/>
      <c r="T34" s="1205"/>
      <c r="U34" s="1205"/>
      <c r="V34" s="1205"/>
      <c r="W34" s="1205"/>
      <c r="X34" s="1205"/>
      <c r="Y34" s="1205"/>
      <c r="Z34" s="1205"/>
      <c r="AA34" s="1205"/>
      <c r="AB34" s="1205"/>
      <c r="AC34" s="1205"/>
      <c r="AD34" s="1205"/>
      <c r="AE34" s="1205"/>
      <c r="AF34" s="1205"/>
      <c r="AG34" s="1205"/>
      <c r="AH34" s="1205"/>
      <c r="AI34" s="1205"/>
      <c r="AJ34" s="1205"/>
      <c r="AK34" s="1205"/>
      <c r="AL34" s="1205"/>
      <c r="AM34" s="1205"/>
      <c r="AN34" s="1263"/>
      <c r="AO34" s="1263"/>
      <c r="AP34" s="1199"/>
      <c r="AQ34" s="1199"/>
      <c r="AR34" s="1199"/>
      <c r="AS34" s="120"/>
      <c r="AT34" s="120"/>
      <c r="AU34" s="120"/>
      <c r="AV34" s="120"/>
      <c r="AW34" s="120"/>
      <c r="AX34" s="120"/>
      <c r="AY34" s="1263"/>
      <c r="AZ34" s="1264"/>
      <c r="BA34" s="1264"/>
      <c r="BB34" s="1268"/>
      <c r="BC34" s="1268"/>
      <c r="BD34" s="1268"/>
      <c r="BE34" s="1268"/>
      <c r="BF34" s="1261"/>
    </row>
    <row r="35" spans="7:58" ht="15.75" customHeight="1">
      <c r="G35" s="1205"/>
      <c r="H35" s="1205"/>
      <c r="I35" s="1205"/>
      <c r="J35" s="1205"/>
      <c r="K35" s="1205"/>
      <c r="L35" s="1205"/>
      <c r="M35" s="1205"/>
      <c r="N35" s="1205"/>
      <c r="O35" s="1205"/>
      <c r="P35" s="1205"/>
      <c r="Q35" s="1205"/>
      <c r="R35" s="1205"/>
      <c r="S35" s="1205"/>
      <c r="T35" s="1205"/>
      <c r="U35" s="1205"/>
      <c r="V35" s="1205"/>
      <c r="W35" s="1205"/>
      <c r="X35" s="1205"/>
      <c r="Y35" s="1205"/>
      <c r="Z35" s="1205"/>
      <c r="AA35" s="1205"/>
      <c r="AB35" s="1205"/>
      <c r="AC35" s="1205"/>
      <c r="AD35" s="1205"/>
      <c r="AE35" s="1205"/>
      <c r="AF35" s="1205"/>
      <c r="AG35" s="1205"/>
      <c r="AH35" s="1205"/>
      <c r="AI35" s="1205"/>
      <c r="AJ35" s="1205"/>
      <c r="AK35" s="1205"/>
      <c r="AL35" s="1205"/>
      <c r="AM35" s="1205"/>
      <c r="AN35" s="1263"/>
      <c r="AO35" s="1263"/>
      <c r="AP35" s="1199"/>
      <c r="AQ35" s="1199"/>
      <c r="AR35" s="1199"/>
      <c r="AS35" s="120"/>
      <c r="AT35" s="120"/>
      <c r="AU35" s="120"/>
      <c r="AV35" s="120"/>
      <c r="AW35" s="120"/>
      <c r="AX35" s="120"/>
      <c r="AY35" s="1263"/>
      <c r="AZ35" s="1262"/>
      <c r="BA35" s="1262"/>
      <c r="BB35" s="1262"/>
      <c r="BC35" s="1262"/>
      <c r="BD35" s="1262"/>
      <c r="BE35" s="1262"/>
      <c r="BF35" s="1262"/>
    </row>
    <row r="36" spans="7:58" ht="9" customHeight="1">
      <c r="G36" s="1205"/>
      <c r="H36" s="1205"/>
      <c r="I36" s="1205"/>
      <c r="J36" s="1205"/>
      <c r="K36" s="1205"/>
      <c r="L36" s="1205"/>
      <c r="M36" s="1205"/>
      <c r="N36" s="1205"/>
      <c r="O36" s="1205"/>
      <c r="P36" s="1205"/>
      <c r="Q36" s="1205"/>
      <c r="R36" s="1205"/>
      <c r="S36" s="1205"/>
      <c r="T36" s="1205"/>
      <c r="U36" s="1205"/>
      <c r="V36" s="1205"/>
      <c r="W36" s="1205"/>
      <c r="X36" s="1205"/>
      <c r="Y36" s="1205"/>
      <c r="Z36" s="1205"/>
      <c r="AA36" s="1205"/>
      <c r="AB36" s="1205"/>
      <c r="AC36" s="1205"/>
      <c r="AD36" s="1205"/>
      <c r="AE36" s="1205"/>
      <c r="AF36" s="1205"/>
      <c r="AG36" s="1205"/>
      <c r="AH36" s="1205"/>
      <c r="AI36" s="1205"/>
      <c r="AJ36" s="1205"/>
      <c r="AK36" s="1205"/>
      <c r="AL36" s="1205"/>
      <c r="AM36" s="1205"/>
      <c r="AN36" s="1263"/>
      <c r="AO36" s="1263"/>
      <c r="AP36" s="1199"/>
      <c r="AQ36" s="1199"/>
      <c r="AR36" s="1199"/>
      <c r="AS36" s="120"/>
      <c r="AT36" s="120"/>
      <c r="AU36" s="120"/>
      <c r="AV36" s="120"/>
      <c r="AW36" s="120"/>
      <c r="AX36" s="120"/>
      <c r="AY36" s="1263"/>
      <c r="AZ36" s="1263"/>
      <c r="BA36" s="1263"/>
      <c r="BB36" s="1263"/>
      <c r="BC36" s="1263"/>
      <c r="BD36" s="1263"/>
      <c r="BE36" s="1263"/>
      <c r="BF36" s="1263"/>
    </row>
    <row r="37" spans="7:58" ht="6" customHeight="1">
      <c r="G37" s="1205"/>
      <c r="H37" s="1205"/>
      <c r="I37" s="1205"/>
      <c r="J37" s="1205"/>
      <c r="K37" s="1205"/>
      <c r="L37" s="1205"/>
      <c r="M37" s="1205"/>
      <c r="N37" s="1205"/>
      <c r="O37" s="1205"/>
      <c r="P37" s="1205"/>
      <c r="Q37" s="1205"/>
      <c r="R37" s="1205"/>
      <c r="S37" s="1205"/>
      <c r="T37" s="1205"/>
      <c r="U37" s="1205"/>
      <c r="V37" s="1205"/>
      <c r="W37" s="1205"/>
      <c r="X37" s="1205"/>
      <c r="Y37" s="1205"/>
      <c r="Z37" s="1205"/>
      <c r="AA37" s="1205"/>
      <c r="AB37" s="1205"/>
      <c r="AC37" s="1205"/>
      <c r="AD37" s="1205"/>
      <c r="AE37" s="1205"/>
      <c r="AF37" s="1205"/>
      <c r="AG37" s="1205"/>
      <c r="AH37" s="1205"/>
      <c r="AI37" s="1205"/>
      <c r="AJ37" s="1205"/>
      <c r="AK37" s="1205"/>
      <c r="AL37" s="1205"/>
      <c r="AM37" s="1205"/>
      <c r="AN37" s="1263"/>
      <c r="AO37" s="1263"/>
      <c r="AP37" s="1199"/>
      <c r="AQ37" s="1199"/>
      <c r="AR37" s="1199"/>
      <c r="AS37" s="120"/>
      <c r="AT37" s="120"/>
      <c r="AU37" s="120"/>
      <c r="AV37" s="120"/>
      <c r="AW37" s="120"/>
      <c r="AX37" s="120"/>
      <c r="AY37" s="1263"/>
      <c r="AZ37" s="1263"/>
      <c r="BA37" s="1263"/>
      <c r="BB37" s="1263"/>
      <c r="BC37" s="1263"/>
      <c r="BD37" s="1263"/>
      <c r="BE37" s="1263"/>
      <c r="BF37" s="1263"/>
    </row>
    <row r="38" spans="7:58" ht="15.75" customHeight="1">
      <c r="G38" s="1205"/>
      <c r="H38" s="1205"/>
      <c r="I38" s="1205"/>
      <c r="J38" s="1205"/>
      <c r="K38" s="1205"/>
      <c r="L38" s="1205"/>
      <c r="M38" s="1205"/>
      <c r="N38" s="1205"/>
      <c r="O38" s="1205"/>
      <c r="P38" s="1205"/>
      <c r="Q38" s="1205"/>
      <c r="R38" s="1205"/>
      <c r="S38" s="1205"/>
      <c r="T38" s="1205"/>
      <c r="U38" s="1205"/>
      <c r="V38" s="1205"/>
      <c r="W38" s="1205"/>
      <c r="X38" s="1205"/>
      <c r="Y38" s="1205"/>
      <c r="Z38" s="1205"/>
      <c r="AA38" s="1205"/>
      <c r="AB38" s="1205"/>
      <c r="AC38" s="1205"/>
      <c r="AD38" s="1205"/>
      <c r="AE38" s="1205"/>
      <c r="AF38" s="1205"/>
      <c r="AG38" s="1205"/>
      <c r="AH38" s="1205"/>
      <c r="AI38" s="1205"/>
      <c r="AJ38" s="1205"/>
      <c r="AK38" s="1205"/>
      <c r="AL38" s="1205"/>
      <c r="AM38" s="1205"/>
      <c r="AN38" s="1263"/>
      <c r="AO38" s="1263"/>
      <c r="AP38" s="1199"/>
      <c r="AQ38" s="1199"/>
      <c r="AR38" s="1199"/>
      <c r="AS38" s="120"/>
      <c r="AT38" s="120"/>
      <c r="AU38" s="120"/>
      <c r="AV38" s="120"/>
      <c r="AW38" s="120"/>
      <c r="AX38" s="120"/>
      <c r="AY38" s="1263"/>
      <c r="BE38" s="1263" t="s">
        <v>430</v>
      </c>
      <c r="BF38" s="1263"/>
    </row>
    <row r="39" spans="7:58" ht="15.75" customHeight="1">
      <c r="G39" s="1205"/>
      <c r="H39" s="1205"/>
      <c r="I39" s="1205"/>
      <c r="J39" s="1205"/>
      <c r="K39" s="1205"/>
      <c r="L39" s="1205"/>
      <c r="M39" s="1205"/>
      <c r="N39" s="1205"/>
      <c r="O39" s="1205"/>
      <c r="P39" s="1205"/>
      <c r="Q39" s="1205"/>
      <c r="R39" s="1205"/>
      <c r="S39" s="1205"/>
      <c r="T39" s="1205"/>
      <c r="U39" s="1205"/>
      <c r="V39" s="1205"/>
      <c r="W39" s="1205"/>
      <c r="X39" s="1205"/>
      <c r="Y39" s="1205"/>
      <c r="Z39" s="1205"/>
      <c r="AA39" s="1205"/>
      <c r="AB39" s="1205"/>
      <c r="AC39" s="1205"/>
      <c r="AD39" s="1205"/>
      <c r="AE39" s="1205"/>
      <c r="AF39" s="1205"/>
      <c r="AG39" s="1205"/>
      <c r="AH39" s="1205"/>
      <c r="AI39" s="1205"/>
      <c r="AJ39" s="1205"/>
      <c r="AK39" s="1205"/>
      <c r="AL39" s="1205"/>
      <c r="AM39" s="1205"/>
      <c r="AN39" s="1263"/>
      <c r="AO39" s="1263"/>
      <c r="AP39" s="1199"/>
      <c r="AQ39" s="1199"/>
      <c r="AR39" s="1199"/>
      <c r="AS39" s="120"/>
      <c r="AT39" s="120"/>
      <c r="AU39" s="120"/>
      <c r="AV39" s="120"/>
      <c r="AW39" s="120"/>
      <c r="AX39" s="120"/>
      <c r="AY39" s="1263"/>
      <c r="AZ39" s="1283" t="s">
        <v>285</v>
      </c>
      <c r="BA39" s="1283"/>
      <c r="BB39" s="1283"/>
      <c r="BC39" s="1283"/>
      <c r="BD39" s="1283"/>
      <c r="BE39" s="1283"/>
      <c r="BF39" s="1283"/>
    </row>
    <row r="40" spans="7:58" ht="15.75" customHeight="1">
      <c r="G40" s="1205"/>
      <c r="H40" s="1205"/>
      <c r="I40" s="1205"/>
      <c r="J40" s="1205"/>
      <c r="K40" s="1205"/>
      <c r="L40" s="1205"/>
      <c r="M40" s="1205"/>
      <c r="N40" s="1205"/>
      <c r="O40" s="1205"/>
      <c r="P40" s="1205"/>
      <c r="Q40" s="1205"/>
      <c r="R40" s="1205"/>
      <c r="S40" s="1205"/>
      <c r="T40" s="1205"/>
      <c r="U40" s="1205"/>
      <c r="V40" s="1205"/>
      <c r="W40" s="1205"/>
      <c r="X40" s="1205"/>
      <c r="Y40" s="1205"/>
      <c r="Z40" s="1205"/>
      <c r="AA40" s="1205"/>
      <c r="AB40" s="1205"/>
      <c r="AC40" s="1205"/>
      <c r="AD40" s="1205"/>
      <c r="AE40" s="1205"/>
      <c r="AF40" s="1205"/>
      <c r="AG40" s="1205"/>
      <c r="AH40" s="1205"/>
      <c r="AI40" s="1205"/>
      <c r="AJ40" s="1205"/>
      <c r="AK40" s="1205"/>
      <c r="AL40" s="1205"/>
      <c r="AM40" s="1205"/>
      <c r="AN40" s="1263"/>
      <c r="AO40" s="1263"/>
      <c r="AP40" s="1199"/>
      <c r="AQ40" s="1199"/>
      <c r="AR40" s="1199"/>
      <c r="AS40" s="120"/>
      <c r="AT40" s="120"/>
      <c r="AU40" s="120"/>
      <c r="AV40" s="120"/>
      <c r="AW40" s="120"/>
      <c r="AX40" s="120"/>
      <c r="AY40" s="1263"/>
      <c r="AZ40" s="1283"/>
      <c r="BA40" s="1283"/>
      <c r="BB40" s="1283"/>
      <c r="BC40" s="1283"/>
      <c r="BD40" s="1283"/>
      <c r="BE40" s="1283"/>
      <c r="BF40" s="1283"/>
    </row>
    <row r="41" spans="7:58" ht="15.75" customHeight="1">
      <c r="G41" s="1205"/>
      <c r="H41" s="1205"/>
      <c r="I41" s="1205"/>
      <c r="J41" s="1205"/>
      <c r="K41" s="1205"/>
      <c r="L41" s="1205"/>
      <c r="M41" s="1205"/>
      <c r="N41" s="1205"/>
      <c r="O41" s="1205"/>
      <c r="P41" s="1205"/>
      <c r="Q41" s="1205"/>
      <c r="R41" s="1205"/>
      <c r="S41" s="1205"/>
      <c r="T41" s="1205"/>
      <c r="U41" s="1205"/>
      <c r="V41" s="1205"/>
      <c r="W41" s="1205"/>
      <c r="X41" s="1205"/>
      <c r="Y41" s="1205"/>
      <c r="Z41" s="1205"/>
      <c r="AA41" s="1205"/>
      <c r="AB41" s="1205"/>
      <c r="AC41" s="1205"/>
      <c r="AD41" s="1205"/>
      <c r="AE41" s="1205"/>
      <c r="AF41" s="1205"/>
      <c r="AG41" s="1205"/>
      <c r="AH41" s="1205"/>
      <c r="AI41" s="1205"/>
      <c r="AJ41" s="1205"/>
      <c r="AK41" s="1205"/>
      <c r="AL41" s="1205"/>
      <c r="AM41" s="1205"/>
      <c r="AN41" s="1263"/>
      <c r="AO41" s="1263"/>
      <c r="AP41" s="1199"/>
      <c r="AQ41" s="1199"/>
      <c r="AR41" s="1199"/>
      <c r="AS41" s="120"/>
      <c r="AT41" s="120"/>
      <c r="AU41" s="120"/>
      <c r="AV41" s="120"/>
      <c r="AW41" s="120"/>
      <c r="AX41" s="120"/>
      <c r="AY41" s="1263"/>
    </row>
    <row r="42" spans="7:58" ht="15.75" customHeight="1">
      <c r="G42" s="1205"/>
      <c r="H42" s="1205"/>
      <c r="I42" s="1205"/>
      <c r="J42" s="1205"/>
      <c r="K42" s="1205"/>
      <c r="L42" s="1205"/>
      <c r="M42" s="1205"/>
      <c r="N42" s="1205"/>
      <c r="O42" s="1205"/>
      <c r="P42" s="1205"/>
      <c r="Q42" s="1205"/>
      <c r="R42" s="1205"/>
      <c r="S42" s="1205"/>
      <c r="T42" s="1205"/>
      <c r="U42" s="1205"/>
      <c r="V42" s="1205"/>
      <c r="W42" s="1205"/>
      <c r="X42" s="1205"/>
      <c r="Y42" s="1205"/>
      <c r="Z42" s="1205"/>
      <c r="AA42" s="1205"/>
      <c r="AB42" s="1205"/>
      <c r="AC42" s="1205"/>
      <c r="AD42" s="1205"/>
      <c r="AE42" s="1205"/>
      <c r="AF42" s="1205"/>
      <c r="AG42" s="1205"/>
      <c r="AH42" s="1205"/>
      <c r="AI42" s="1205"/>
      <c r="AJ42" s="1205"/>
      <c r="AK42" s="1205"/>
      <c r="AL42" s="1205"/>
      <c r="AM42" s="1205"/>
      <c r="AN42" s="1263"/>
      <c r="AO42" s="1263"/>
      <c r="AP42" s="1199"/>
      <c r="AQ42" s="1199"/>
      <c r="AR42" s="1199"/>
      <c r="AS42" s="120"/>
      <c r="AT42" s="120"/>
      <c r="AU42" s="120"/>
      <c r="AV42" s="120"/>
      <c r="AW42" s="120"/>
      <c r="AX42" s="120"/>
      <c r="AY42" s="1263"/>
      <c r="AZ42" s="132"/>
      <c r="BA42" s="10" t="s">
        <v>431</v>
      </c>
      <c r="BB42" s="1263">
        <f>'Basic Data'!O6</f>
        <v>0</v>
      </c>
      <c r="BC42" s="1263"/>
      <c r="BD42" s="1284" t="s">
        <v>439</v>
      </c>
      <c r="BE42" s="1284"/>
      <c r="BF42" s="1284"/>
    </row>
    <row r="43" spans="7:58" ht="15.75" customHeight="1">
      <c r="G43" s="1205"/>
      <c r="H43" s="1205"/>
      <c r="I43" s="1205"/>
      <c r="J43" s="1205"/>
      <c r="K43" s="1205"/>
      <c r="L43" s="1205"/>
      <c r="M43" s="1205"/>
      <c r="N43" s="1205"/>
      <c r="O43" s="1205"/>
      <c r="P43" s="1205"/>
      <c r="Q43" s="1205"/>
      <c r="R43" s="1205"/>
      <c r="S43" s="1205"/>
      <c r="T43" s="1205"/>
      <c r="U43" s="1205"/>
      <c r="V43" s="1205"/>
      <c r="W43" s="1205"/>
      <c r="X43" s="1205"/>
      <c r="Y43" s="1205"/>
      <c r="Z43" s="1205"/>
      <c r="AA43" s="1205"/>
      <c r="AB43" s="1205"/>
      <c r="AC43" s="1205"/>
      <c r="AD43" s="1205"/>
      <c r="AE43" s="1205"/>
      <c r="AF43" s="1205"/>
      <c r="AG43" s="1205"/>
      <c r="AH43" s="1205"/>
      <c r="AI43" s="1205"/>
      <c r="AJ43" s="1205"/>
      <c r="AK43" s="1205"/>
      <c r="AL43" s="1205"/>
      <c r="AM43" s="1205"/>
      <c r="AN43" s="1263"/>
      <c r="AO43" s="1263"/>
      <c r="AP43" s="1199"/>
      <c r="AQ43" s="1199"/>
      <c r="AR43" s="1199"/>
      <c r="AS43" s="120"/>
      <c r="AT43" s="120"/>
      <c r="AU43" s="120"/>
      <c r="AV43" s="120"/>
      <c r="AW43" s="120"/>
      <c r="AX43" s="120"/>
      <c r="AY43" s="1263"/>
      <c r="BA43" s="1287" t="s">
        <v>440</v>
      </c>
      <c r="BB43" s="1287"/>
      <c r="BC43" s="1287"/>
      <c r="BD43" s="1287"/>
      <c r="BE43" s="1287"/>
      <c r="BF43" s="1287"/>
    </row>
    <row r="44" spans="7:58" ht="15.75" customHeight="1">
      <c r="G44" s="1205"/>
      <c r="H44" s="1205"/>
      <c r="I44" s="1205"/>
      <c r="J44" s="1205"/>
      <c r="K44" s="1205"/>
      <c r="L44" s="1205"/>
      <c r="M44" s="1205"/>
      <c r="N44" s="1205"/>
      <c r="O44" s="1205"/>
      <c r="P44" s="1205"/>
      <c r="Q44" s="1205"/>
      <c r="R44" s="1205"/>
      <c r="S44" s="1205"/>
      <c r="T44" s="1205"/>
      <c r="U44" s="1205"/>
      <c r="V44" s="1205"/>
      <c r="W44" s="1205"/>
      <c r="X44" s="1205"/>
      <c r="Y44" s="1205"/>
      <c r="Z44" s="1205"/>
      <c r="AA44" s="1205"/>
      <c r="AB44" s="1205"/>
      <c r="AC44" s="1205"/>
      <c r="AD44" s="1205"/>
      <c r="AE44" s="1205"/>
      <c r="AF44" s="1205"/>
      <c r="AG44" s="1205"/>
      <c r="AH44" s="1205"/>
      <c r="AI44" s="1205"/>
      <c r="AJ44" s="1205"/>
      <c r="AK44" s="1205"/>
      <c r="AL44" s="1205"/>
      <c r="AM44" s="1205"/>
      <c r="AN44" s="1263"/>
      <c r="AO44" s="1263"/>
      <c r="AP44" s="1199"/>
      <c r="AQ44" s="1199"/>
      <c r="AR44" s="1199"/>
      <c r="AS44" s="120"/>
      <c r="AT44" s="120"/>
      <c r="AU44" s="120"/>
      <c r="AV44" s="120"/>
      <c r="AW44" s="120"/>
      <c r="AX44" s="120"/>
      <c r="AY44" s="1263"/>
      <c r="BA44" s="1287"/>
      <c r="BB44" s="1287"/>
      <c r="BC44" s="1287"/>
      <c r="BD44" s="1287"/>
      <c r="BE44" s="1287"/>
      <c r="BF44" s="1287"/>
    </row>
    <row r="45" spans="7:58" ht="15.75" customHeight="1">
      <c r="G45" s="1205"/>
      <c r="H45" s="1205"/>
      <c r="I45" s="1205"/>
      <c r="J45" s="1205"/>
      <c r="K45" s="1205"/>
      <c r="L45" s="1205"/>
      <c r="M45" s="1205"/>
      <c r="N45" s="1205"/>
      <c r="O45" s="1205"/>
      <c r="P45" s="1205"/>
      <c r="Q45" s="1205"/>
      <c r="R45" s="1205"/>
      <c r="S45" s="1205"/>
      <c r="T45" s="1205"/>
      <c r="U45" s="1205"/>
      <c r="V45" s="1205"/>
      <c r="W45" s="1205"/>
      <c r="X45" s="1205"/>
      <c r="Y45" s="1205"/>
      <c r="Z45" s="1205"/>
      <c r="AA45" s="1205"/>
      <c r="AB45" s="1205"/>
      <c r="AC45" s="1205"/>
      <c r="AD45" s="1205"/>
      <c r="AE45" s="1205"/>
      <c r="AF45" s="1205"/>
      <c r="AG45" s="1205"/>
      <c r="AH45" s="1205"/>
      <c r="AI45" s="1205"/>
      <c r="AJ45" s="1205"/>
      <c r="AK45" s="1205"/>
      <c r="AL45" s="1205"/>
      <c r="AM45" s="1205"/>
      <c r="AN45" s="1263"/>
      <c r="AO45" s="1263"/>
      <c r="AP45" s="1199"/>
      <c r="AQ45" s="1199"/>
      <c r="AR45" s="1199"/>
      <c r="AS45" s="120"/>
      <c r="AT45" s="120"/>
      <c r="AU45" s="120"/>
      <c r="AV45" s="120"/>
      <c r="AW45" s="120"/>
      <c r="AX45" s="120"/>
      <c r="AY45" s="1263"/>
      <c r="BA45" s="1287"/>
      <c r="BB45" s="1287"/>
      <c r="BC45" s="1287"/>
      <c r="BD45" s="1287"/>
      <c r="BE45" s="1287"/>
      <c r="BF45" s="1287"/>
    </row>
    <row r="46" spans="7:58" ht="15.75" customHeight="1">
      <c r="G46" s="1205"/>
      <c r="H46" s="1205"/>
      <c r="I46" s="1205"/>
      <c r="J46" s="1205"/>
      <c r="K46" s="1205"/>
      <c r="L46" s="1205"/>
      <c r="M46" s="1205"/>
      <c r="N46" s="1205"/>
      <c r="O46" s="1205"/>
      <c r="P46" s="1205"/>
      <c r="Q46" s="1205"/>
      <c r="R46" s="1205"/>
      <c r="S46" s="1205"/>
      <c r="T46" s="1205"/>
      <c r="U46" s="1205"/>
      <c r="V46" s="1205"/>
      <c r="W46" s="1205"/>
      <c r="X46" s="1205"/>
      <c r="Y46" s="1205"/>
      <c r="Z46" s="1205"/>
      <c r="AA46" s="1205"/>
      <c r="AB46" s="1205"/>
      <c r="AC46" s="1205"/>
      <c r="AD46" s="1205"/>
      <c r="AE46" s="1205"/>
      <c r="AF46" s="1205"/>
      <c r="AG46" s="1205"/>
      <c r="AH46" s="1205"/>
      <c r="AI46" s="1205"/>
      <c r="AJ46" s="1205"/>
      <c r="AK46" s="1205"/>
      <c r="AL46" s="1205"/>
      <c r="AM46" s="1205"/>
      <c r="AN46" s="1263"/>
      <c r="AO46" s="1263"/>
      <c r="AP46" s="1199"/>
      <c r="AQ46" s="1199"/>
      <c r="AR46" s="1199"/>
      <c r="AS46" s="120"/>
      <c r="AT46" s="120"/>
      <c r="AU46" s="120"/>
      <c r="AV46" s="120"/>
      <c r="AW46" s="120"/>
      <c r="AX46" s="120"/>
      <c r="AY46" s="1263"/>
      <c r="BA46" s="1287"/>
      <c r="BB46" s="1287"/>
      <c r="BC46" s="1287"/>
      <c r="BD46" s="1287"/>
      <c r="BE46" s="1287"/>
      <c r="BF46" s="1287"/>
    </row>
    <row r="47" spans="7:58" s="148" customFormat="1" ht="15.75" customHeight="1">
      <c r="G47" s="1205"/>
      <c r="H47" s="1205"/>
      <c r="I47" s="1205"/>
      <c r="J47" s="1205"/>
      <c r="K47" s="1205"/>
      <c r="L47" s="1205"/>
      <c r="M47" s="1205"/>
      <c r="N47" s="1205"/>
      <c r="O47" s="1205"/>
      <c r="P47" s="1205"/>
      <c r="Q47" s="1205"/>
      <c r="R47" s="1205"/>
      <c r="S47" s="1205"/>
      <c r="T47" s="1205"/>
      <c r="U47" s="1205"/>
      <c r="V47" s="1205"/>
      <c r="W47" s="1205"/>
      <c r="X47" s="1205"/>
      <c r="Y47" s="1205"/>
      <c r="Z47" s="1205"/>
      <c r="AA47" s="1205"/>
      <c r="AB47" s="1205"/>
      <c r="AC47" s="1205"/>
      <c r="AD47" s="1205"/>
      <c r="AE47" s="1205"/>
      <c r="AF47" s="1205"/>
      <c r="AG47" s="1205"/>
      <c r="AH47" s="1205"/>
      <c r="AI47" s="1205"/>
      <c r="AJ47" s="1205"/>
      <c r="AK47" s="1205"/>
      <c r="AL47" s="1205"/>
      <c r="AM47" s="1205"/>
      <c r="AN47" s="1263"/>
      <c r="AO47" s="1263"/>
      <c r="AP47" s="1199"/>
      <c r="AQ47" s="1199"/>
      <c r="AR47" s="1199"/>
      <c r="AS47" s="147"/>
      <c r="AT47" s="147"/>
      <c r="AU47" s="147"/>
      <c r="AV47" s="147"/>
      <c r="AW47" s="147"/>
      <c r="AX47" s="147"/>
      <c r="AY47" s="1263"/>
      <c r="BA47" s="1265" t="s">
        <v>432</v>
      </c>
      <c r="BB47" s="1265"/>
      <c r="BC47" s="1285" t="str">
        <f>'Exemp.(HRA+Other) &amp; Other incom'!A1</f>
        <v>Office: Govt. Sr. School Raimalwada (DDO Code :-12345)</v>
      </c>
      <c r="BD47" s="1285"/>
      <c r="BE47" s="1263"/>
      <c r="BF47" s="1263"/>
    </row>
    <row r="48" spans="7:58" ht="15.75" customHeight="1">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c r="AD48" s="1205"/>
      <c r="AE48" s="1205"/>
      <c r="AF48" s="1205"/>
      <c r="AG48" s="1205"/>
      <c r="AH48" s="1205"/>
      <c r="AI48" s="1205"/>
      <c r="AJ48" s="1205"/>
      <c r="AK48" s="1205"/>
      <c r="AL48" s="1205"/>
      <c r="AM48" s="1205"/>
      <c r="AN48" s="1263"/>
      <c r="AO48" s="1263"/>
      <c r="AP48" s="1199"/>
      <c r="AQ48" s="1199"/>
      <c r="AR48" s="1199"/>
      <c r="AS48" s="120"/>
      <c r="AT48" s="120"/>
      <c r="AU48" s="120"/>
      <c r="AV48" s="120"/>
      <c r="AW48" s="120"/>
      <c r="AX48" s="120"/>
      <c r="AY48" s="1263"/>
      <c r="BA48" s="1263" t="s">
        <v>433</v>
      </c>
      <c r="BB48" s="1263"/>
      <c r="BC48" s="1286">
        <f ca="1">TODAY()</f>
        <v>45621</v>
      </c>
      <c r="BD48" s="1286"/>
      <c r="BE48" s="1263"/>
      <c r="BF48" s="1263"/>
    </row>
  </sheetData>
  <sheetProtection password="E8FA" sheet="1" objects="1" scenarios="1" formatCells="0" selectLockedCells="1"/>
  <mergeCells count="113">
    <mergeCell ref="G2:AM2"/>
    <mergeCell ref="G3:AM3"/>
    <mergeCell ref="G4:G11"/>
    <mergeCell ref="H4:H11"/>
    <mergeCell ref="U4:U11"/>
    <mergeCell ref="V4:V11"/>
    <mergeCell ref="AA4:AA11"/>
    <mergeCell ref="AB4:AB11"/>
    <mergeCell ref="AC4:AC11"/>
    <mergeCell ref="AD4:AD11"/>
    <mergeCell ref="L4:L11"/>
    <mergeCell ref="M4:M11"/>
    <mergeCell ref="N4:N11"/>
    <mergeCell ref="T4:T11"/>
    <mergeCell ref="G1:AM1"/>
    <mergeCell ref="AN1:AO48"/>
    <mergeCell ref="AP30:AR48"/>
    <mergeCell ref="AY1:AY48"/>
    <mergeCell ref="AP1:AR3"/>
    <mergeCell ref="AZ1:BF1"/>
    <mergeCell ref="J4:J11"/>
    <mergeCell ref="BE38:BF38"/>
    <mergeCell ref="AZ39:BF40"/>
    <mergeCell ref="BB42:BC42"/>
    <mergeCell ref="BD42:BF42"/>
    <mergeCell ref="BC47:BD47"/>
    <mergeCell ref="BC48:BD48"/>
    <mergeCell ref="Q4:Q11"/>
    <mergeCell ref="W4:W11"/>
    <mergeCell ref="O4:O11"/>
    <mergeCell ref="R4:R11"/>
    <mergeCell ref="Z4:Z11"/>
    <mergeCell ref="BA43:BF46"/>
    <mergeCell ref="BE47:BF48"/>
    <mergeCell ref="BF17:BF19"/>
    <mergeCell ref="BF20:BF23"/>
    <mergeCell ref="BF24:BF29"/>
    <mergeCell ref="BF30:BF32"/>
    <mergeCell ref="BF33:BF34"/>
    <mergeCell ref="AZ35:BF37"/>
    <mergeCell ref="BB20:BE23"/>
    <mergeCell ref="BB17:BE19"/>
    <mergeCell ref="BB24:BE29"/>
    <mergeCell ref="BB30:BE32"/>
    <mergeCell ref="BA47:BB47"/>
    <mergeCell ref="BA48:BB48"/>
    <mergeCell ref="AK4:AK11"/>
    <mergeCell ref="AL4:AL11"/>
    <mergeCell ref="AM4:AM11"/>
    <mergeCell ref="AZ16:BE16"/>
    <mergeCell ref="AZ33:AZ34"/>
    <mergeCell ref="BB33:BE34"/>
    <mergeCell ref="BA33:BA34"/>
    <mergeCell ref="AZ6:BF6"/>
    <mergeCell ref="AZ12:BF12"/>
    <mergeCell ref="AZ15:BF15"/>
    <mergeCell ref="BA17:BA19"/>
    <mergeCell ref="AZ17:AZ32"/>
    <mergeCell ref="BA20:BA23"/>
    <mergeCell ref="BA24:BA29"/>
    <mergeCell ref="BA30:BA32"/>
    <mergeCell ref="AZ7:BD8"/>
    <mergeCell ref="BE9:BF10"/>
    <mergeCell ref="BE11:BF11"/>
    <mergeCell ref="A2:A8"/>
    <mergeCell ref="A9:A20"/>
    <mergeCell ref="AU16:AU18"/>
    <mergeCell ref="AX16:AX18"/>
    <mergeCell ref="AE4:AE11"/>
    <mergeCell ref="AF4:AF11"/>
    <mergeCell ref="AG4:AG11"/>
    <mergeCell ref="AH4:AH11"/>
    <mergeCell ref="AZ11:BD11"/>
    <mergeCell ref="AZ9:BD10"/>
    <mergeCell ref="BE7:BF8"/>
    <mergeCell ref="AR7:AR9"/>
    <mergeCell ref="AR10:AR11"/>
    <mergeCell ref="AR12:AR15"/>
    <mergeCell ref="AZ2:BF2"/>
    <mergeCell ref="AZ3:BF3"/>
    <mergeCell ref="AZ4:BF5"/>
    <mergeCell ref="B2:C2"/>
    <mergeCell ref="D3:E3"/>
    <mergeCell ref="D2:E2"/>
    <mergeCell ref="I4:I11"/>
    <mergeCell ref="B3:C3"/>
    <mergeCell ref="D4:E4"/>
    <mergeCell ref="D5:E5"/>
    <mergeCell ref="B9:C9"/>
    <mergeCell ref="B10:C10"/>
    <mergeCell ref="B11:D11"/>
    <mergeCell ref="AR16:AR18"/>
    <mergeCell ref="AR19:AR20"/>
    <mergeCell ref="AU7:AU9"/>
    <mergeCell ref="AX7:AX9"/>
    <mergeCell ref="B4:C4"/>
    <mergeCell ref="B5:C5"/>
    <mergeCell ref="B6:C6"/>
    <mergeCell ref="B7:C7"/>
    <mergeCell ref="B8:C8"/>
    <mergeCell ref="AP12:AP15"/>
    <mergeCell ref="AQ12:AQ15"/>
    <mergeCell ref="AR21:AR23"/>
    <mergeCell ref="AR24:AR26"/>
    <mergeCell ref="AP4:AR4"/>
    <mergeCell ref="AP5:AR5"/>
    <mergeCell ref="AP6:AR6"/>
    <mergeCell ref="G25:AM48"/>
    <mergeCell ref="P4:P11"/>
    <mergeCell ref="S4:S11"/>
    <mergeCell ref="X4:X11"/>
    <mergeCell ref="Y4:Y11"/>
    <mergeCell ref="K4:K11"/>
  </mergeCells>
  <dataValidations count="4">
    <dataValidation type="textLength" operator="equal" allowBlank="1" showInputMessage="1" showErrorMessage="1" errorTitle="PAN less than 10 digits" error="PAN Should be 10 Digits" prompt="PAN Should be 10 Digits" sqref="E6">
      <formula1>10</formula1>
    </dataValidation>
    <dataValidation type="list" allowBlank="1" showInputMessage="1" showErrorMessage="1" errorTitle="Select" error="Select from the drop down menu" promptTitle="Residential Status" prompt="Select from the drop down menu" sqref="E9">
      <formula1>rstatus</formula1>
    </dataValidation>
    <dataValidation type="list" allowBlank="1" showInputMessage="1" showErrorMessage="1" sqref="E8">
      <formula1>"Male,Female"</formula1>
    </dataValidation>
    <dataValidation type="list" allowBlank="1" showInputMessage="1" showErrorMessage="1" sqref="D2:E2">
      <formula1>"Yes,No"</formula1>
    </dataValidation>
  </dataValidations>
  <pageMargins left="0.12" right="0.12" top="0.13" bottom="0.15" header="0.12" footer="0.11"/>
  <pageSetup paperSize="9" orientation="portrait" horizontalDpi="4294967293" verticalDpi="4294967293" r:id="rId1"/>
</worksheet>
</file>

<file path=xl/worksheets/sheet11.xml><?xml version="1.0" encoding="utf-8"?>
<worksheet xmlns="http://schemas.openxmlformats.org/spreadsheetml/2006/main" xmlns:r="http://schemas.openxmlformats.org/officeDocument/2006/relationships">
  <sheetPr>
    <tabColor theme="9" tint="-0.249977111117893"/>
  </sheetPr>
  <dimension ref="A1:AV84"/>
  <sheetViews>
    <sheetView showGridLines="0" showRowColHeaders="0" topLeftCell="A64" zoomScale="55" zoomScaleNormal="55" workbookViewId="0">
      <selection activeCell="K62" sqref="K62"/>
    </sheetView>
  </sheetViews>
  <sheetFormatPr defaultColWidth="0" defaultRowHeight="15" zeroHeight="1"/>
  <cols>
    <col min="1" max="1" width="3.28515625" style="1" customWidth="1"/>
    <col min="2" max="2" width="4" style="1" customWidth="1"/>
    <col min="3" max="3" width="11.7109375" style="1" bestFit="1" customWidth="1"/>
    <col min="4" max="4" width="9.85546875" style="1" customWidth="1"/>
    <col min="5" max="5" width="9.140625" style="1" customWidth="1"/>
    <col min="6" max="6" width="15.140625" style="1" customWidth="1"/>
    <col min="7" max="7" width="13.28515625" style="1" customWidth="1"/>
    <col min="8" max="8" width="9.140625" style="1" customWidth="1"/>
    <col min="9" max="9" width="13.140625" style="1" customWidth="1"/>
    <col min="10" max="10" width="4" style="1" customWidth="1"/>
    <col min="11" max="11" width="12.85546875" style="1" customWidth="1"/>
    <col min="12" max="13" width="2.5703125" style="1" customWidth="1"/>
    <col min="14" max="14" width="4" style="1" customWidth="1"/>
    <col min="15" max="15" width="11.7109375" style="1" bestFit="1" customWidth="1"/>
    <col min="16" max="16" width="9.85546875" style="1" customWidth="1"/>
    <col min="17" max="17" width="9.140625" style="1" customWidth="1"/>
    <col min="18" max="18" width="15.140625" style="1" customWidth="1"/>
    <col min="19" max="19" width="13.28515625" style="1" customWidth="1"/>
    <col min="20" max="20" width="9.140625" style="1" customWidth="1"/>
    <col min="21" max="21" width="13.140625" style="1" customWidth="1"/>
    <col min="22" max="22" width="4" style="1" customWidth="1"/>
    <col min="23" max="23" width="14" style="1" customWidth="1"/>
    <col min="24" max="24" width="2.28515625" style="1" customWidth="1"/>
    <col min="25" max="25" width="4" style="1" customWidth="1"/>
    <col min="26" max="47" width="9.140625" style="1" customWidth="1"/>
    <col min="48" max="48" width="9.140625" style="1" hidden="1" customWidth="1"/>
    <col min="49" max="16384" width="9.140625" style="1" hidden="1"/>
  </cols>
  <sheetData>
    <row r="1" spans="1:24" ht="35.25" customHeight="1" thickBot="1">
      <c r="A1" s="1263"/>
      <c r="B1" s="1263"/>
      <c r="C1" s="1263"/>
      <c r="D1" s="1263"/>
      <c r="E1" s="1263"/>
      <c r="F1" s="1263"/>
      <c r="G1" s="1263"/>
      <c r="H1" s="1263"/>
      <c r="I1" s="1263"/>
      <c r="J1" s="1263"/>
      <c r="K1" s="1263"/>
      <c r="L1" s="1263"/>
      <c r="M1" s="1263"/>
      <c r="N1" s="1263"/>
      <c r="O1" s="1263"/>
      <c r="P1" s="1263"/>
      <c r="Q1" s="1263"/>
      <c r="R1" s="1263"/>
      <c r="S1" s="1263"/>
      <c r="T1" s="1263"/>
      <c r="U1" s="1263"/>
      <c r="V1" s="1263"/>
      <c r="W1" s="1263"/>
      <c r="X1" s="18"/>
    </row>
    <row r="2" spans="1:24" ht="35.25" customHeight="1">
      <c r="A2" s="1263"/>
      <c r="B2" s="19">
        <v>1</v>
      </c>
      <c r="C2" s="1353" t="s">
        <v>62</v>
      </c>
      <c r="D2" s="1353"/>
      <c r="E2" s="1353"/>
      <c r="F2" s="1353"/>
      <c r="G2" s="1353"/>
      <c r="H2" s="1353"/>
      <c r="I2" s="1353"/>
      <c r="J2" s="1353"/>
      <c r="K2" s="1354"/>
      <c r="L2" s="1229"/>
      <c r="M2" s="1263"/>
      <c r="N2" s="19">
        <v>2</v>
      </c>
      <c r="O2" s="1353" t="s">
        <v>62</v>
      </c>
      <c r="P2" s="1353"/>
      <c r="Q2" s="1353"/>
      <c r="R2" s="1353"/>
      <c r="S2" s="1353"/>
      <c r="T2" s="1353"/>
      <c r="U2" s="1353"/>
      <c r="V2" s="1353"/>
      <c r="W2" s="1354"/>
      <c r="X2" s="1263"/>
    </row>
    <row r="3" spans="1:24" ht="35.25" customHeight="1">
      <c r="A3" s="1263"/>
      <c r="B3" s="1350" t="s">
        <v>63</v>
      </c>
      <c r="C3" s="1351"/>
      <c r="D3" s="1351"/>
      <c r="E3" s="1351"/>
      <c r="F3" s="1351"/>
      <c r="G3" s="1351"/>
      <c r="H3" s="1351"/>
      <c r="I3" s="1351"/>
      <c r="J3" s="1351"/>
      <c r="K3" s="1352"/>
      <c r="L3" s="1229"/>
      <c r="M3" s="1263"/>
      <c r="N3" s="1350" t="s">
        <v>63</v>
      </c>
      <c r="O3" s="1351"/>
      <c r="P3" s="1351"/>
      <c r="Q3" s="1351"/>
      <c r="R3" s="1351"/>
      <c r="S3" s="1351"/>
      <c r="T3" s="1351"/>
      <c r="U3" s="1351"/>
      <c r="V3" s="1351"/>
      <c r="W3" s="1352"/>
      <c r="X3" s="1263"/>
    </row>
    <row r="4" spans="1:24" ht="35.25" customHeight="1" thickBot="1">
      <c r="A4" s="1263"/>
      <c r="B4" s="1345"/>
      <c r="C4" s="1346"/>
      <c r="D4" s="1346"/>
      <c r="E4" s="1346"/>
      <c r="F4" s="1346"/>
      <c r="G4" s="1346"/>
      <c r="H4" s="1346"/>
      <c r="I4" s="1346"/>
      <c r="J4" s="1346"/>
      <c r="K4" s="1347"/>
      <c r="L4" s="1229"/>
      <c r="M4" s="1263"/>
      <c r="N4" s="1345"/>
      <c r="O4" s="1346"/>
      <c r="P4" s="1346"/>
      <c r="Q4" s="1346"/>
      <c r="R4" s="1346"/>
      <c r="S4" s="1346"/>
      <c r="T4" s="1346"/>
      <c r="U4" s="1346"/>
      <c r="V4" s="1346"/>
      <c r="W4" s="1347"/>
      <c r="X4" s="1263"/>
    </row>
    <row r="5" spans="1:24" ht="35.25" customHeight="1">
      <c r="A5" s="1263"/>
      <c r="B5" s="1337"/>
      <c r="C5" s="1338"/>
      <c r="D5" s="1338"/>
      <c r="E5" s="1338"/>
      <c r="F5" s="1338"/>
      <c r="G5" s="1338"/>
      <c r="H5" s="1338"/>
      <c r="I5" s="1339" t="s">
        <v>64</v>
      </c>
      <c r="J5" s="1339"/>
      <c r="K5" s="20"/>
      <c r="L5" s="1229"/>
      <c r="M5" s="1263"/>
      <c r="N5" s="1337"/>
      <c r="O5" s="1338"/>
      <c r="P5" s="1338"/>
      <c r="Q5" s="1338"/>
      <c r="R5" s="1338"/>
      <c r="S5" s="1338"/>
      <c r="T5" s="1338"/>
      <c r="U5" s="1339" t="s">
        <v>64</v>
      </c>
      <c r="V5" s="1339"/>
      <c r="W5" s="20"/>
      <c r="X5" s="1263"/>
    </row>
    <row r="6" spans="1:24" ht="35.25" customHeight="1">
      <c r="A6" s="1263"/>
      <c r="B6" s="1340"/>
      <c r="C6" s="21" t="s">
        <v>65</v>
      </c>
      <c r="D6" s="1332">
        <f>'Exemp.(HRA+Other) &amp; Other incom'!$O$4</f>
        <v>0</v>
      </c>
      <c r="E6" s="1332"/>
      <c r="F6" s="1332"/>
      <c r="G6" s="1332"/>
      <c r="H6" s="1332"/>
      <c r="I6" s="1332"/>
      <c r="J6" s="1332"/>
      <c r="K6" s="1333"/>
      <c r="L6" s="1229"/>
      <c r="M6" s="1263"/>
      <c r="N6" s="1340"/>
      <c r="O6" s="21" t="s">
        <v>65</v>
      </c>
      <c r="P6" s="1332">
        <f>'Exemp.(HRA+Other) &amp; Other incom'!$O$4</f>
        <v>0</v>
      </c>
      <c r="Q6" s="1332"/>
      <c r="R6" s="1332"/>
      <c r="S6" s="1332"/>
      <c r="T6" s="1332"/>
      <c r="U6" s="1332"/>
      <c r="V6" s="1332"/>
      <c r="W6" s="1333"/>
      <c r="X6" s="1263"/>
    </row>
    <row r="7" spans="1:24" ht="35.25" customHeight="1">
      <c r="A7" s="1263"/>
      <c r="B7" s="1340"/>
      <c r="C7" s="21"/>
      <c r="D7" s="1330" t="s">
        <v>66</v>
      </c>
      <c r="E7" s="1330"/>
      <c r="F7" s="1330"/>
      <c r="G7" s="1330"/>
      <c r="H7" s="1331" t="str">
        <f>'Exemp.(HRA+Other) &amp; Other incom'!$A$4</f>
        <v>a</v>
      </c>
      <c r="I7" s="1331"/>
      <c r="J7" s="1331"/>
      <c r="K7" s="546" t="str">
        <f>CONCATENATE("(",'Exemp.(HRA+Other) &amp; Other incom'!$C$4,")")</f>
        <v>(Teacher)</v>
      </c>
      <c r="L7" s="1229"/>
      <c r="M7" s="1263"/>
      <c r="N7" s="1340"/>
      <c r="O7" s="21"/>
      <c r="P7" s="1330" t="s">
        <v>66</v>
      </c>
      <c r="Q7" s="1330"/>
      <c r="R7" s="1330"/>
      <c r="S7" s="1330"/>
      <c r="T7" s="1331" t="str">
        <f>'Exemp.(HRA+Other) &amp; Other incom'!$A$4</f>
        <v>a</v>
      </c>
      <c r="U7" s="1331"/>
      <c r="V7" s="1331"/>
      <c r="W7" s="546" t="str">
        <f>CONCATENATE("(",'Exemp.(HRA+Other) &amp; Other incom'!$C$4,")")</f>
        <v>(Teacher)</v>
      </c>
      <c r="X7" s="1263"/>
    </row>
    <row r="8" spans="1:24" ht="35.25" customHeight="1">
      <c r="A8" s="1263"/>
      <c r="B8" s="1340"/>
      <c r="C8" s="21" t="s">
        <v>67</v>
      </c>
      <c r="D8" s="1332" t="str">
        <f>'Basic Data'!$I$10</f>
        <v>Govt. Sr. School Raimalwada</v>
      </c>
      <c r="E8" s="1332"/>
      <c r="F8" s="1332"/>
      <c r="G8" s="1332"/>
      <c r="H8" s="1332"/>
      <c r="I8" s="1332"/>
      <c r="J8" s="1332"/>
      <c r="K8" s="1333"/>
      <c r="L8" s="1229"/>
      <c r="M8" s="1263"/>
      <c r="N8" s="1340"/>
      <c r="O8" s="21" t="s">
        <v>67</v>
      </c>
      <c r="P8" s="1332" t="str">
        <f>'Basic Data'!$I$10</f>
        <v>Govt. Sr. School Raimalwada</v>
      </c>
      <c r="Q8" s="1332"/>
      <c r="R8" s="1332"/>
      <c r="S8" s="1332"/>
      <c r="T8" s="1332"/>
      <c r="U8" s="1332"/>
      <c r="V8" s="1332"/>
      <c r="W8" s="1333"/>
      <c r="X8" s="1263"/>
    </row>
    <row r="9" spans="1:24" ht="35.25" customHeight="1">
      <c r="A9" s="1263"/>
      <c r="B9" s="1340"/>
      <c r="C9" s="1355" t="s">
        <v>77</v>
      </c>
      <c r="D9" s="1355"/>
      <c r="E9" s="1355"/>
      <c r="F9" s="1355"/>
      <c r="G9" s="1343">
        <f>G10*3</f>
        <v>0</v>
      </c>
      <c r="H9" s="1343"/>
      <c r="I9" s="1343"/>
      <c r="J9" s="1343"/>
      <c r="K9" s="1344"/>
      <c r="L9" s="1229"/>
      <c r="M9" s="1263"/>
      <c r="N9" s="1340"/>
      <c r="O9" s="1355" t="s">
        <v>77</v>
      </c>
      <c r="P9" s="1355"/>
      <c r="Q9" s="1355"/>
      <c r="R9" s="1355"/>
      <c r="S9" s="1343">
        <f>G10*3</f>
        <v>0</v>
      </c>
      <c r="T9" s="1343"/>
      <c r="U9" s="1343"/>
      <c r="V9" s="1343"/>
      <c r="W9" s="1344"/>
      <c r="X9" s="1263"/>
    </row>
    <row r="10" spans="1:24" ht="35.25" customHeight="1">
      <c r="A10" s="1263"/>
      <c r="B10" s="1340"/>
      <c r="C10" s="1356" t="s">
        <v>76</v>
      </c>
      <c r="D10" s="1356"/>
      <c r="E10" s="1356"/>
      <c r="F10" s="1356"/>
      <c r="G10" s="1343">
        <f>'Exemp.(HRA+Other) &amp; Other incom'!$M$4</f>
        <v>0</v>
      </c>
      <c r="H10" s="1343"/>
      <c r="I10" s="1343"/>
      <c r="J10" s="1343"/>
      <c r="K10" s="1344"/>
      <c r="L10" s="1229"/>
      <c r="M10" s="1263"/>
      <c r="N10" s="1340"/>
      <c r="O10" s="1356" t="s">
        <v>76</v>
      </c>
      <c r="P10" s="1356"/>
      <c r="Q10" s="1356"/>
      <c r="R10" s="1356"/>
      <c r="S10" s="1343">
        <f>'Exemp.(HRA+Other) &amp; Other incom'!$M$4</f>
        <v>0</v>
      </c>
      <c r="T10" s="1343"/>
      <c r="U10" s="1343"/>
      <c r="V10" s="1343"/>
      <c r="W10" s="1344"/>
      <c r="X10" s="1263"/>
    </row>
    <row r="11" spans="1:24" ht="35.25" customHeight="1">
      <c r="A11" s="1263"/>
      <c r="B11" s="1340"/>
      <c r="C11" s="1342" t="s">
        <v>68</v>
      </c>
      <c r="D11" s="1342"/>
      <c r="E11" s="1300" t="s">
        <v>586</v>
      </c>
      <c r="F11" s="1300"/>
      <c r="G11" s="1300"/>
      <c r="H11" s="1300"/>
      <c r="I11" s="1300"/>
      <c r="J11" s="1300"/>
      <c r="K11" s="1301"/>
      <c r="L11" s="1229"/>
      <c r="M11" s="1263"/>
      <c r="N11" s="1340"/>
      <c r="O11" s="1342" t="s">
        <v>68</v>
      </c>
      <c r="P11" s="1342"/>
      <c r="Q11" s="1300" t="s">
        <v>587</v>
      </c>
      <c r="R11" s="1300"/>
      <c r="S11" s="1300"/>
      <c r="T11" s="1300"/>
      <c r="U11" s="1300"/>
      <c r="V11" s="1300"/>
      <c r="W11" s="1301"/>
      <c r="X11" s="1263"/>
    </row>
    <row r="12" spans="1:24" ht="35.25" customHeight="1">
      <c r="A12" s="1263"/>
      <c r="B12" s="1340"/>
      <c r="C12" s="1327"/>
      <c r="D12" s="1327"/>
      <c r="E12" s="1327"/>
      <c r="F12" s="1327"/>
      <c r="G12" s="1327"/>
      <c r="H12" s="1327"/>
      <c r="I12" s="1327"/>
      <c r="J12" s="1327"/>
      <c r="K12" s="1328"/>
      <c r="L12" s="1229"/>
      <c r="M12" s="1263"/>
      <c r="N12" s="1340"/>
      <c r="O12" s="1327"/>
      <c r="P12" s="1327"/>
      <c r="Q12" s="1327"/>
      <c r="R12" s="1327"/>
      <c r="S12" s="1327"/>
      <c r="T12" s="1327"/>
      <c r="U12" s="1327"/>
      <c r="V12" s="1327"/>
      <c r="W12" s="1328"/>
      <c r="X12" s="1263"/>
    </row>
    <row r="13" spans="1:24" ht="35.25" customHeight="1">
      <c r="A13" s="1263"/>
      <c r="B13" s="1340"/>
      <c r="C13" s="21" t="s">
        <v>69</v>
      </c>
      <c r="D13" s="1310">
        <f>G9</f>
        <v>0</v>
      </c>
      <c r="E13" s="1310"/>
      <c r="F13" s="1329"/>
      <c r="G13" s="1327"/>
      <c r="H13" s="1327"/>
      <c r="I13" s="1327"/>
      <c r="J13" s="1327"/>
      <c r="K13" s="1328"/>
      <c r="L13" s="1229"/>
      <c r="M13" s="1263"/>
      <c r="N13" s="1340"/>
      <c r="O13" s="21" t="s">
        <v>69</v>
      </c>
      <c r="P13" s="1310">
        <f>G9</f>
        <v>0</v>
      </c>
      <c r="Q13" s="1310"/>
      <c r="R13" s="1329"/>
      <c r="S13" s="1327"/>
      <c r="T13" s="1327"/>
      <c r="U13" s="1327"/>
      <c r="V13" s="1327"/>
      <c r="W13" s="1328"/>
      <c r="X13" s="1263"/>
    </row>
    <row r="14" spans="1:24" ht="35.25" customHeight="1">
      <c r="A14" s="1263"/>
      <c r="B14" s="1340"/>
      <c r="C14" s="1315"/>
      <c r="D14" s="1315"/>
      <c r="E14" s="1315"/>
      <c r="F14" s="1315"/>
      <c r="G14" s="1315"/>
      <c r="H14" s="1315"/>
      <c r="I14" s="1315"/>
      <c r="J14" s="1315"/>
      <c r="K14" s="1316"/>
      <c r="L14" s="1229"/>
      <c r="M14" s="1263"/>
      <c r="N14" s="1340"/>
      <c r="O14" s="1315"/>
      <c r="P14" s="1315"/>
      <c r="Q14" s="1315"/>
      <c r="R14" s="1315"/>
      <c r="S14" s="1315"/>
      <c r="T14" s="1315"/>
      <c r="U14" s="1315"/>
      <c r="V14" s="1315"/>
      <c r="W14" s="1316"/>
      <c r="X14" s="1263"/>
    </row>
    <row r="15" spans="1:24" ht="35.25" customHeight="1">
      <c r="A15" s="1263"/>
      <c r="B15" s="1340"/>
      <c r="C15" s="21" t="s">
        <v>70</v>
      </c>
      <c r="D15" s="1323">
        <f>K5</f>
        <v>0</v>
      </c>
      <c r="E15" s="1323"/>
      <c r="F15" s="1324"/>
      <c r="G15" s="1325"/>
      <c r="H15" s="1325"/>
      <c r="I15" s="1325"/>
      <c r="J15" s="1325"/>
      <c r="K15" s="1326"/>
      <c r="L15" s="1229"/>
      <c r="M15" s="1263"/>
      <c r="N15" s="1340"/>
      <c r="O15" s="21" t="s">
        <v>70</v>
      </c>
      <c r="P15" s="1323">
        <f>K5</f>
        <v>0</v>
      </c>
      <c r="Q15" s="1323"/>
      <c r="R15" s="1324"/>
      <c r="S15" s="1325"/>
      <c r="T15" s="1325"/>
      <c r="U15" s="1325"/>
      <c r="V15" s="1325"/>
      <c r="W15" s="1326"/>
      <c r="X15" s="1263"/>
    </row>
    <row r="16" spans="1:24" ht="35.25" customHeight="1" thickBot="1">
      <c r="A16" s="1263"/>
      <c r="B16" s="1340"/>
      <c r="C16" s="1315"/>
      <c r="D16" s="1315"/>
      <c r="E16" s="1315"/>
      <c r="F16" s="1315"/>
      <c r="G16" s="1315"/>
      <c r="H16" s="1315"/>
      <c r="I16" s="1315"/>
      <c r="J16" s="1315"/>
      <c r="K16" s="1316"/>
      <c r="L16" s="1229"/>
      <c r="M16" s="1263"/>
      <c r="N16" s="1340"/>
      <c r="O16" s="1315"/>
      <c r="P16" s="1315"/>
      <c r="Q16" s="1315"/>
      <c r="R16" s="1315"/>
      <c r="S16" s="1315"/>
      <c r="T16" s="1315"/>
      <c r="U16" s="1315"/>
      <c r="V16" s="1315"/>
      <c r="W16" s="1316"/>
      <c r="X16" s="1263"/>
    </row>
    <row r="17" spans="1:24" ht="35.25" customHeight="1">
      <c r="A17" s="1263"/>
      <c r="B17" s="1340"/>
      <c r="C17" s="1315"/>
      <c r="D17" s="1315"/>
      <c r="E17" s="1315"/>
      <c r="F17" s="1315"/>
      <c r="G17" s="1317" t="s">
        <v>71</v>
      </c>
      <c r="H17" s="1318"/>
      <c r="I17" s="1318"/>
      <c r="J17" s="1318"/>
      <c r="K17" s="1319"/>
      <c r="L17" s="1229"/>
      <c r="M17" s="1263"/>
      <c r="N17" s="1340"/>
      <c r="O17" s="1315"/>
      <c r="P17" s="1315"/>
      <c r="Q17" s="1315"/>
      <c r="R17" s="1315"/>
      <c r="S17" s="1317" t="s">
        <v>71</v>
      </c>
      <c r="T17" s="1318"/>
      <c r="U17" s="1318"/>
      <c r="V17" s="1318"/>
      <c r="W17" s="1319"/>
      <c r="X17" s="1263"/>
    </row>
    <row r="18" spans="1:24" ht="35.25" customHeight="1">
      <c r="A18" s="1263"/>
      <c r="B18" s="1340"/>
      <c r="C18" s="1315"/>
      <c r="D18" s="1315"/>
      <c r="E18" s="1315"/>
      <c r="F18" s="1315"/>
      <c r="G18" s="1320" t="s">
        <v>72</v>
      </c>
      <c r="H18" s="1321"/>
      <c r="I18" s="1321"/>
      <c r="J18" s="1321"/>
      <c r="K18" s="1322"/>
      <c r="L18" s="1229"/>
      <c r="M18" s="1263"/>
      <c r="N18" s="1340"/>
      <c r="O18" s="1315"/>
      <c r="P18" s="1315"/>
      <c r="Q18" s="1315"/>
      <c r="R18" s="1315"/>
      <c r="S18" s="1320" t="s">
        <v>72</v>
      </c>
      <c r="T18" s="1321"/>
      <c r="U18" s="1321"/>
      <c r="V18" s="1321"/>
      <c r="W18" s="1322"/>
      <c r="X18" s="1263"/>
    </row>
    <row r="19" spans="1:24" ht="35.25" customHeight="1">
      <c r="A19" s="1263"/>
      <c r="B19" s="1340"/>
      <c r="C19" s="1315"/>
      <c r="D19" s="1315"/>
      <c r="E19" s="1315"/>
      <c r="F19" s="1315"/>
      <c r="G19" s="1296" t="s">
        <v>73</v>
      </c>
      <c r="H19" s="1297"/>
      <c r="I19" s="1298">
        <f>D6</f>
        <v>0</v>
      </c>
      <c r="J19" s="1298"/>
      <c r="K19" s="1299"/>
      <c r="L19" s="1229"/>
      <c r="M19" s="1263"/>
      <c r="N19" s="1340"/>
      <c r="O19" s="1315"/>
      <c r="P19" s="1315"/>
      <c r="Q19" s="1315"/>
      <c r="R19" s="1315"/>
      <c r="S19" s="1296" t="s">
        <v>73</v>
      </c>
      <c r="T19" s="1297"/>
      <c r="U19" s="1298">
        <f>D6</f>
        <v>0</v>
      </c>
      <c r="V19" s="1298"/>
      <c r="W19" s="1299"/>
      <c r="X19" s="1263"/>
    </row>
    <row r="20" spans="1:24" ht="35.25" customHeight="1">
      <c r="A20" s="1263"/>
      <c r="B20" s="1340"/>
      <c r="C20" s="1315"/>
      <c r="D20" s="1315"/>
      <c r="E20" s="1315"/>
      <c r="F20" s="1315"/>
      <c r="G20" s="1309" t="s">
        <v>74</v>
      </c>
      <c r="H20" s="1310"/>
      <c r="I20" s="1310"/>
      <c r="J20" s="1310"/>
      <c r="K20" s="1311"/>
      <c r="L20" s="1229"/>
      <c r="M20" s="1263"/>
      <c r="N20" s="1340"/>
      <c r="O20" s="1315"/>
      <c r="P20" s="1315"/>
      <c r="Q20" s="1315"/>
      <c r="R20" s="1315"/>
      <c r="S20" s="1309" t="s">
        <v>74</v>
      </c>
      <c r="T20" s="1310"/>
      <c r="U20" s="1310"/>
      <c r="V20" s="1310"/>
      <c r="W20" s="1311"/>
      <c r="X20" s="1263"/>
    </row>
    <row r="21" spans="1:24" ht="35.25" customHeight="1">
      <c r="A21" s="1263"/>
      <c r="B21" s="1340"/>
      <c r="C21" s="1315"/>
      <c r="D21" s="1315"/>
      <c r="E21" s="1315"/>
      <c r="F21" s="1315"/>
      <c r="G21" s="1312">
        <f>'Exemp.(HRA+Other) &amp; Other incom'!$P$4</f>
        <v>0</v>
      </c>
      <c r="H21" s="1313"/>
      <c r="I21" s="1313"/>
      <c r="J21" s="1313"/>
      <c r="K21" s="1314"/>
      <c r="L21" s="1229"/>
      <c r="M21" s="1263"/>
      <c r="N21" s="1340"/>
      <c r="O21" s="1315"/>
      <c r="P21" s="1315"/>
      <c r="Q21" s="1315"/>
      <c r="R21" s="1315"/>
      <c r="S21" s="1312">
        <f>'Exemp.(HRA+Other) &amp; Other incom'!$P$4</f>
        <v>0</v>
      </c>
      <c r="T21" s="1313"/>
      <c r="U21" s="1313"/>
      <c r="V21" s="1313"/>
      <c r="W21" s="1314"/>
      <c r="X21" s="1263"/>
    </row>
    <row r="22" spans="1:24" ht="35.25" customHeight="1">
      <c r="A22" s="1263"/>
      <c r="B22" s="1340"/>
      <c r="C22" s="1315"/>
      <c r="D22" s="1315"/>
      <c r="E22" s="1315"/>
      <c r="F22" s="1315"/>
      <c r="G22" s="1312"/>
      <c r="H22" s="1313"/>
      <c r="I22" s="1313"/>
      <c r="J22" s="1313"/>
      <c r="K22" s="1314"/>
      <c r="L22" s="1229"/>
      <c r="M22" s="1263"/>
      <c r="N22" s="1340"/>
      <c r="O22" s="1315"/>
      <c r="P22" s="1315"/>
      <c r="Q22" s="1315"/>
      <c r="R22" s="1315"/>
      <c r="S22" s="1312"/>
      <c r="T22" s="1313"/>
      <c r="U22" s="1313"/>
      <c r="V22" s="1313"/>
      <c r="W22" s="1314"/>
      <c r="X22" s="1263"/>
    </row>
    <row r="23" spans="1:24" ht="35.25" customHeight="1" thickBot="1">
      <c r="A23" s="1263"/>
      <c r="B23" s="1340"/>
      <c r="C23" s="1315"/>
      <c r="D23" s="1315"/>
      <c r="E23" s="1315"/>
      <c r="F23" s="1315"/>
      <c r="G23" s="1303" t="s">
        <v>75</v>
      </c>
      <c r="H23" s="1304"/>
      <c r="I23" s="1304"/>
      <c r="J23" s="1305">
        <f>'Exemp.(HRA+Other) &amp; Other incom'!$Q$4</f>
        <v>0</v>
      </c>
      <c r="K23" s="1306"/>
      <c r="L23" s="1229"/>
      <c r="M23" s="1263"/>
      <c r="N23" s="1340"/>
      <c r="O23" s="1315"/>
      <c r="P23" s="1315"/>
      <c r="Q23" s="1315"/>
      <c r="R23" s="1315"/>
      <c r="S23" s="1303" t="s">
        <v>75</v>
      </c>
      <c r="T23" s="1304"/>
      <c r="U23" s="1304"/>
      <c r="V23" s="1305">
        <f>'Exemp.(HRA+Other) &amp; Other incom'!$Q$4</f>
        <v>0</v>
      </c>
      <c r="W23" s="1306"/>
      <c r="X23" s="1263"/>
    </row>
    <row r="24" spans="1:24" ht="35.25" customHeight="1" thickBot="1">
      <c r="A24" s="1263"/>
      <c r="B24" s="1341"/>
      <c r="C24" s="1307"/>
      <c r="D24" s="1307"/>
      <c r="E24" s="1307"/>
      <c r="F24" s="1307"/>
      <c r="G24" s="1307"/>
      <c r="H24" s="1307"/>
      <c r="I24" s="1307"/>
      <c r="J24" s="1307"/>
      <c r="K24" s="1308"/>
      <c r="L24" s="1229"/>
      <c r="M24" s="1263"/>
      <c r="N24" s="1341"/>
      <c r="O24" s="1307"/>
      <c r="P24" s="1307"/>
      <c r="Q24" s="1307"/>
      <c r="R24" s="1307"/>
      <c r="S24" s="1307"/>
      <c r="T24" s="1307"/>
      <c r="U24" s="1307"/>
      <c r="V24" s="1307"/>
      <c r="W24" s="1308"/>
      <c r="X24" s="1263"/>
    </row>
    <row r="25" spans="1:24" ht="35.25" customHeight="1" thickBot="1">
      <c r="A25" s="1263"/>
      <c r="B25" s="1357"/>
      <c r="C25" s="1357"/>
      <c r="D25" s="1357"/>
      <c r="E25" s="1357"/>
      <c r="F25" s="1357"/>
      <c r="G25" s="1357"/>
      <c r="H25" s="1357"/>
      <c r="I25" s="1357"/>
      <c r="J25" s="1357"/>
      <c r="K25" s="1357"/>
      <c r="L25" s="1229"/>
      <c r="M25" s="1263"/>
      <c r="N25" s="1357"/>
      <c r="O25" s="1357"/>
      <c r="P25" s="1357"/>
      <c r="Q25" s="1357"/>
      <c r="R25" s="1357"/>
      <c r="S25" s="1357"/>
      <c r="T25" s="1357"/>
      <c r="U25" s="1357"/>
      <c r="V25" s="1357"/>
      <c r="W25" s="1357"/>
      <c r="X25" s="1263"/>
    </row>
    <row r="26" spans="1:24" ht="35.25" customHeight="1">
      <c r="A26" s="1263"/>
      <c r="B26" s="19">
        <v>3</v>
      </c>
      <c r="C26" s="1353" t="s">
        <v>62</v>
      </c>
      <c r="D26" s="1353"/>
      <c r="E26" s="1353"/>
      <c r="F26" s="1353"/>
      <c r="G26" s="1353"/>
      <c r="H26" s="1353"/>
      <c r="I26" s="1353"/>
      <c r="J26" s="1353"/>
      <c r="K26" s="1354"/>
      <c r="L26" s="1229"/>
      <c r="M26" s="1263"/>
      <c r="N26" s="19">
        <v>4</v>
      </c>
      <c r="O26" s="1353" t="s">
        <v>62</v>
      </c>
      <c r="P26" s="1353"/>
      <c r="Q26" s="1353"/>
      <c r="R26" s="1353"/>
      <c r="S26" s="1353"/>
      <c r="T26" s="1353"/>
      <c r="U26" s="1353"/>
      <c r="V26" s="1353"/>
      <c r="W26" s="1354"/>
      <c r="X26" s="1263"/>
    </row>
    <row r="27" spans="1:24" ht="35.25" customHeight="1">
      <c r="A27" s="1263"/>
      <c r="B27" s="1350" t="s">
        <v>63</v>
      </c>
      <c r="C27" s="1351"/>
      <c r="D27" s="1351"/>
      <c r="E27" s="1351"/>
      <c r="F27" s="1351"/>
      <c r="G27" s="1351"/>
      <c r="H27" s="1351"/>
      <c r="I27" s="1351"/>
      <c r="J27" s="1351"/>
      <c r="K27" s="1352"/>
      <c r="L27" s="1229"/>
      <c r="M27" s="1263"/>
      <c r="N27" s="1350" t="s">
        <v>63</v>
      </c>
      <c r="O27" s="1351"/>
      <c r="P27" s="1351"/>
      <c r="Q27" s="1351"/>
      <c r="R27" s="1351"/>
      <c r="S27" s="1351"/>
      <c r="T27" s="1351"/>
      <c r="U27" s="1351"/>
      <c r="V27" s="1351"/>
      <c r="W27" s="1352"/>
      <c r="X27" s="1263"/>
    </row>
    <row r="28" spans="1:24" ht="35.25" customHeight="1" thickBot="1">
      <c r="A28" s="1263"/>
      <c r="B28" s="1345"/>
      <c r="C28" s="1346"/>
      <c r="D28" s="1346"/>
      <c r="E28" s="1346"/>
      <c r="F28" s="1346"/>
      <c r="G28" s="1346"/>
      <c r="H28" s="1346"/>
      <c r="I28" s="1346"/>
      <c r="J28" s="1346"/>
      <c r="K28" s="1347"/>
      <c r="L28" s="1229"/>
      <c r="M28" s="1263"/>
      <c r="N28" s="1345"/>
      <c r="O28" s="1346"/>
      <c r="P28" s="1346"/>
      <c r="Q28" s="1346"/>
      <c r="R28" s="1346"/>
      <c r="S28" s="1346"/>
      <c r="T28" s="1346"/>
      <c r="U28" s="1346"/>
      <c r="V28" s="1346"/>
      <c r="W28" s="1347"/>
      <c r="X28" s="1263"/>
    </row>
    <row r="29" spans="1:24" ht="35.25" customHeight="1">
      <c r="A29" s="1263"/>
      <c r="B29" s="1337"/>
      <c r="C29" s="1338"/>
      <c r="D29" s="1338"/>
      <c r="E29" s="1338"/>
      <c r="F29" s="1338"/>
      <c r="G29" s="1338"/>
      <c r="H29" s="1338"/>
      <c r="I29" s="1339" t="s">
        <v>64</v>
      </c>
      <c r="J29" s="1339"/>
      <c r="K29" s="20"/>
      <c r="L29" s="1229"/>
      <c r="M29" s="1263"/>
      <c r="N29" s="1337"/>
      <c r="O29" s="1338"/>
      <c r="P29" s="1338"/>
      <c r="Q29" s="1338"/>
      <c r="R29" s="1338"/>
      <c r="S29" s="1338"/>
      <c r="T29" s="1338"/>
      <c r="U29" s="1339" t="s">
        <v>64</v>
      </c>
      <c r="V29" s="1339"/>
      <c r="W29" s="20"/>
      <c r="X29" s="1263"/>
    </row>
    <row r="30" spans="1:24" ht="35.25" customHeight="1">
      <c r="A30" s="1263"/>
      <c r="B30" s="1340"/>
      <c r="C30" s="21" t="s">
        <v>65</v>
      </c>
      <c r="D30" s="1332">
        <f>'Exemp.(HRA+Other) &amp; Other incom'!$O$4</f>
        <v>0</v>
      </c>
      <c r="E30" s="1332"/>
      <c r="F30" s="1332"/>
      <c r="G30" s="1332"/>
      <c r="H30" s="1332"/>
      <c r="I30" s="1332"/>
      <c r="J30" s="1332"/>
      <c r="K30" s="1333"/>
      <c r="L30" s="1229"/>
      <c r="M30" s="1263"/>
      <c r="N30" s="1340"/>
      <c r="O30" s="21" t="s">
        <v>65</v>
      </c>
      <c r="P30" s="1332">
        <f>'Exemp.(HRA+Other) &amp; Other incom'!$O$4</f>
        <v>0</v>
      </c>
      <c r="Q30" s="1332"/>
      <c r="R30" s="1332"/>
      <c r="S30" s="1332"/>
      <c r="T30" s="1332"/>
      <c r="U30" s="1332"/>
      <c r="V30" s="1332"/>
      <c r="W30" s="1333"/>
      <c r="X30" s="1263"/>
    </row>
    <row r="31" spans="1:24" ht="35.25" customHeight="1">
      <c r="A31" s="1263"/>
      <c r="B31" s="1340"/>
      <c r="C31" s="21"/>
      <c r="D31" s="1330" t="s">
        <v>66</v>
      </c>
      <c r="E31" s="1330"/>
      <c r="F31" s="1330"/>
      <c r="G31" s="1330"/>
      <c r="H31" s="1331" t="str">
        <f>'Exemp.(HRA+Other) &amp; Other incom'!$A$4</f>
        <v>a</v>
      </c>
      <c r="I31" s="1331"/>
      <c r="J31" s="1331"/>
      <c r="K31" s="546" t="str">
        <f>CONCATENATE("(",'Exemp.(HRA+Other) &amp; Other incom'!$C$4,")")</f>
        <v>(Teacher)</v>
      </c>
      <c r="L31" s="1229"/>
      <c r="M31" s="1263"/>
      <c r="N31" s="1340"/>
      <c r="O31" s="21"/>
      <c r="P31" s="1330" t="s">
        <v>66</v>
      </c>
      <c r="Q31" s="1330"/>
      <c r="R31" s="1330"/>
      <c r="S31" s="1330"/>
      <c r="T31" s="1331" t="str">
        <f>'Exemp.(HRA+Other) &amp; Other incom'!$A$4</f>
        <v>a</v>
      </c>
      <c r="U31" s="1331"/>
      <c r="V31" s="1331"/>
      <c r="W31" s="546" t="str">
        <f>CONCATENATE("(",'Exemp.(HRA+Other) &amp; Other incom'!$C$4,")")</f>
        <v>(Teacher)</v>
      </c>
      <c r="X31" s="1263"/>
    </row>
    <row r="32" spans="1:24" ht="35.25" customHeight="1">
      <c r="A32" s="1263"/>
      <c r="B32" s="1340"/>
      <c r="C32" s="21" t="s">
        <v>67</v>
      </c>
      <c r="D32" s="1332" t="str">
        <f>'Basic Data'!$I$10</f>
        <v>Govt. Sr. School Raimalwada</v>
      </c>
      <c r="E32" s="1332"/>
      <c r="F32" s="1332"/>
      <c r="G32" s="1332"/>
      <c r="H32" s="1332"/>
      <c r="I32" s="1332"/>
      <c r="J32" s="1332"/>
      <c r="K32" s="1333"/>
      <c r="L32" s="1229"/>
      <c r="M32" s="1263"/>
      <c r="N32" s="1340"/>
      <c r="O32" s="21" t="s">
        <v>67</v>
      </c>
      <c r="P32" s="1332" t="str">
        <f>'Basic Data'!$I$10</f>
        <v>Govt. Sr. School Raimalwada</v>
      </c>
      <c r="Q32" s="1332"/>
      <c r="R32" s="1332"/>
      <c r="S32" s="1332"/>
      <c r="T32" s="1332"/>
      <c r="U32" s="1332"/>
      <c r="V32" s="1332"/>
      <c r="W32" s="1333"/>
      <c r="X32" s="1263"/>
    </row>
    <row r="33" spans="1:24" ht="35.25" customHeight="1">
      <c r="A33" s="1263"/>
      <c r="B33" s="1340"/>
      <c r="C33" s="1355" t="s">
        <v>77</v>
      </c>
      <c r="D33" s="1355"/>
      <c r="E33" s="1355"/>
      <c r="F33" s="1355"/>
      <c r="G33" s="1343">
        <f>G34*3</f>
        <v>0</v>
      </c>
      <c r="H33" s="1343"/>
      <c r="I33" s="1343"/>
      <c r="J33" s="1343"/>
      <c r="K33" s="1344"/>
      <c r="L33" s="1229"/>
      <c r="M33" s="1263"/>
      <c r="N33" s="1340"/>
      <c r="O33" s="1355" t="s">
        <v>77</v>
      </c>
      <c r="P33" s="1355"/>
      <c r="Q33" s="1355"/>
      <c r="R33" s="1355"/>
      <c r="S33" s="1343">
        <f>S34*3</f>
        <v>0</v>
      </c>
      <c r="T33" s="1343"/>
      <c r="U33" s="1343"/>
      <c r="V33" s="1343"/>
      <c r="W33" s="1344"/>
      <c r="X33" s="1263"/>
    </row>
    <row r="34" spans="1:24" ht="35.25" customHeight="1">
      <c r="A34" s="1263"/>
      <c r="B34" s="1340"/>
      <c r="C34" s="1356" t="s">
        <v>76</v>
      </c>
      <c r="D34" s="1356"/>
      <c r="E34" s="1356"/>
      <c r="F34" s="1356"/>
      <c r="G34" s="1343">
        <f>'Exemp.(HRA+Other) &amp; Other incom'!$M$4</f>
        <v>0</v>
      </c>
      <c r="H34" s="1343"/>
      <c r="I34" s="1343"/>
      <c r="J34" s="1343"/>
      <c r="K34" s="1344"/>
      <c r="L34" s="1229"/>
      <c r="M34" s="1263"/>
      <c r="N34" s="1340"/>
      <c r="O34" s="1356" t="s">
        <v>76</v>
      </c>
      <c r="P34" s="1356"/>
      <c r="Q34" s="1356"/>
      <c r="R34" s="1356"/>
      <c r="S34" s="1343">
        <f>'Exemp.(HRA+Other) &amp; Other incom'!$M$4</f>
        <v>0</v>
      </c>
      <c r="T34" s="1343"/>
      <c r="U34" s="1343"/>
      <c r="V34" s="1343"/>
      <c r="W34" s="1344"/>
      <c r="X34" s="1263"/>
    </row>
    <row r="35" spans="1:24" ht="35.25" customHeight="1">
      <c r="A35" s="1263"/>
      <c r="B35" s="1340"/>
      <c r="C35" s="1342" t="s">
        <v>68</v>
      </c>
      <c r="D35" s="1342"/>
      <c r="E35" s="1300" t="s">
        <v>588</v>
      </c>
      <c r="F35" s="1300"/>
      <c r="G35" s="1300"/>
      <c r="H35" s="1300"/>
      <c r="I35" s="1300"/>
      <c r="J35" s="1300"/>
      <c r="K35" s="1301"/>
      <c r="L35" s="1229"/>
      <c r="M35" s="1263"/>
      <c r="N35" s="1340"/>
      <c r="O35" s="1342" t="s">
        <v>68</v>
      </c>
      <c r="P35" s="1342"/>
      <c r="Q35" s="1300" t="s">
        <v>589</v>
      </c>
      <c r="R35" s="1300"/>
      <c r="S35" s="1300"/>
      <c r="T35" s="1300"/>
      <c r="U35" s="1300"/>
      <c r="V35" s="1300"/>
      <c r="W35" s="1301"/>
      <c r="X35" s="1263"/>
    </row>
    <row r="36" spans="1:24" ht="35.25" customHeight="1">
      <c r="A36" s="1263"/>
      <c r="B36" s="1340"/>
      <c r="C36" s="1327"/>
      <c r="D36" s="1327"/>
      <c r="E36" s="1327"/>
      <c r="F36" s="1327"/>
      <c r="G36" s="1327"/>
      <c r="H36" s="1327"/>
      <c r="I36" s="1327"/>
      <c r="J36" s="1327"/>
      <c r="K36" s="1328"/>
      <c r="L36" s="1229"/>
      <c r="M36" s="1263"/>
      <c r="N36" s="1340"/>
      <c r="O36" s="1327"/>
      <c r="P36" s="1327"/>
      <c r="Q36" s="1327"/>
      <c r="R36" s="1327"/>
      <c r="S36" s="1327"/>
      <c r="T36" s="1327"/>
      <c r="U36" s="1327"/>
      <c r="V36" s="1327"/>
      <c r="W36" s="1328"/>
      <c r="X36" s="1263"/>
    </row>
    <row r="37" spans="1:24" ht="35.25" customHeight="1">
      <c r="A37" s="1263"/>
      <c r="B37" s="1340"/>
      <c r="C37" s="21" t="s">
        <v>69</v>
      </c>
      <c r="D37" s="1310">
        <f>G33</f>
        <v>0</v>
      </c>
      <c r="E37" s="1310"/>
      <c r="F37" s="1329"/>
      <c r="G37" s="1327"/>
      <c r="H37" s="1327"/>
      <c r="I37" s="1327"/>
      <c r="J37" s="1327"/>
      <c r="K37" s="1328"/>
      <c r="L37" s="1229"/>
      <c r="M37" s="1263"/>
      <c r="N37" s="1340"/>
      <c r="O37" s="21" t="s">
        <v>69</v>
      </c>
      <c r="P37" s="1310">
        <f>S33</f>
        <v>0</v>
      </c>
      <c r="Q37" s="1310"/>
      <c r="R37" s="1329"/>
      <c r="S37" s="1327"/>
      <c r="T37" s="1327"/>
      <c r="U37" s="1327"/>
      <c r="V37" s="1327"/>
      <c r="W37" s="1328"/>
      <c r="X37" s="1263"/>
    </row>
    <row r="38" spans="1:24" ht="35.25" customHeight="1">
      <c r="A38" s="1263"/>
      <c r="B38" s="1340"/>
      <c r="C38" s="1315"/>
      <c r="D38" s="1315"/>
      <c r="E38" s="1315"/>
      <c r="F38" s="1315"/>
      <c r="G38" s="1315"/>
      <c r="H38" s="1315"/>
      <c r="I38" s="1315"/>
      <c r="J38" s="1315"/>
      <c r="K38" s="1316"/>
      <c r="L38" s="1229"/>
      <c r="M38" s="1263"/>
      <c r="N38" s="1340"/>
      <c r="O38" s="1315"/>
      <c r="P38" s="1315"/>
      <c r="Q38" s="1315"/>
      <c r="R38" s="1315"/>
      <c r="S38" s="1315"/>
      <c r="T38" s="1315"/>
      <c r="U38" s="1315"/>
      <c r="V38" s="1315"/>
      <c r="W38" s="1316"/>
      <c r="X38" s="1263"/>
    </row>
    <row r="39" spans="1:24" ht="35.25" customHeight="1">
      <c r="A39" s="1263"/>
      <c r="B39" s="1340"/>
      <c r="C39" s="21" t="s">
        <v>70</v>
      </c>
      <c r="D39" s="1323">
        <f>K29</f>
        <v>0</v>
      </c>
      <c r="E39" s="1323"/>
      <c r="F39" s="1324"/>
      <c r="G39" s="1325"/>
      <c r="H39" s="1325"/>
      <c r="I39" s="1325"/>
      <c r="J39" s="1325"/>
      <c r="K39" s="1326"/>
      <c r="L39" s="1229"/>
      <c r="M39" s="1263"/>
      <c r="N39" s="1340"/>
      <c r="O39" s="21" t="s">
        <v>70</v>
      </c>
      <c r="P39" s="1323">
        <f>W29</f>
        <v>0</v>
      </c>
      <c r="Q39" s="1323"/>
      <c r="R39" s="1324"/>
      <c r="S39" s="1325"/>
      <c r="T39" s="1325"/>
      <c r="U39" s="1325"/>
      <c r="V39" s="1325"/>
      <c r="W39" s="1326"/>
      <c r="X39" s="1263"/>
    </row>
    <row r="40" spans="1:24" ht="35.25" customHeight="1" thickBot="1">
      <c r="A40" s="1263"/>
      <c r="B40" s="1340"/>
      <c r="C40" s="1315"/>
      <c r="D40" s="1315"/>
      <c r="E40" s="1315"/>
      <c r="F40" s="1315"/>
      <c r="G40" s="1315"/>
      <c r="H40" s="1315"/>
      <c r="I40" s="1315"/>
      <c r="J40" s="1315"/>
      <c r="K40" s="1316"/>
      <c r="L40" s="1229"/>
      <c r="M40" s="1263"/>
      <c r="N40" s="1340"/>
      <c r="O40" s="1315"/>
      <c r="P40" s="1315"/>
      <c r="Q40" s="1315"/>
      <c r="R40" s="1315"/>
      <c r="S40" s="1315"/>
      <c r="T40" s="1315"/>
      <c r="U40" s="1315"/>
      <c r="V40" s="1315"/>
      <c r="W40" s="1316"/>
      <c r="X40" s="1263"/>
    </row>
    <row r="41" spans="1:24" ht="35.25" customHeight="1">
      <c r="A41" s="1263"/>
      <c r="B41" s="1340"/>
      <c r="C41" s="1315"/>
      <c r="D41" s="1315"/>
      <c r="E41" s="1315"/>
      <c r="F41" s="1315"/>
      <c r="G41" s="1317" t="s">
        <v>71</v>
      </c>
      <c r="H41" s="1318"/>
      <c r="I41" s="1318"/>
      <c r="J41" s="1318"/>
      <c r="K41" s="1319"/>
      <c r="L41" s="1229"/>
      <c r="M41" s="1263"/>
      <c r="N41" s="1340"/>
      <c r="O41" s="1315"/>
      <c r="P41" s="1315"/>
      <c r="Q41" s="1315"/>
      <c r="R41" s="1315"/>
      <c r="S41" s="1317" t="s">
        <v>71</v>
      </c>
      <c r="T41" s="1318"/>
      <c r="U41" s="1318"/>
      <c r="V41" s="1318"/>
      <c r="W41" s="1319"/>
      <c r="X41" s="1263"/>
    </row>
    <row r="42" spans="1:24" ht="35.25" customHeight="1">
      <c r="A42" s="1263"/>
      <c r="B42" s="1340"/>
      <c r="C42" s="1315"/>
      <c r="D42" s="1315"/>
      <c r="E42" s="1315"/>
      <c r="F42" s="1315"/>
      <c r="G42" s="1320" t="s">
        <v>72</v>
      </c>
      <c r="H42" s="1321"/>
      <c r="I42" s="1321"/>
      <c r="J42" s="1321"/>
      <c r="K42" s="1322"/>
      <c r="L42" s="1229"/>
      <c r="M42" s="1263"/>
      <c r="N42" s="1340"/>
      <c r="O42" s="1315"/>
      <c r="P42" s="1315"/>
      <c r="Q42" s="1315"/>
      <c r="R42" s="1315"/>
      <c r="S42" s="1320" t="s">
        <v>72</v>
      </c>
      <c r="T42" s="1321"/>
      <c r="U42" s="1321"/>
      <c r="V42" s="1321"/>
      <c r="W42" s="1322"/>
      <c r="X42" s="1263"/>
    </row>
    <row r="43" spans="1:24" ht="35.25" customHeight="1">
      <c r="A43" s="1263"/>
      <c r="B43" s="1340"/>
      <c r="C43" s="1315"/>
      <c r="D43" s="1315"/>
      <c r="E43" s="1315"/>
      <c r="F43" s="1315"/>
      <c r="G43" s="1296" t="s">
        <v>73</v>
      </c>
      <c r="H43" s="1297"/>
      <c r="I43" s="1298">
        <f>D30</f>
        <v>0</v>
      </c>
      <c r="J43" s="1298"/>
      <c r="K43" s="1299"/>
      <c r="L43" s="1229"/>
      <c r="M43" s="1263"/>
      <c r="N43" s="1340"/>
      <c r="O43" s="1315"/>
      <c r="P43" s="1315"/>
      <c r="Q43" s="1315"/>
      <c r="R43" s="1315"/>
      <c r="S43" s="1296" t="s">
        <v>73</v>
      </c>
      <c r="T43" s="1297"/>
      <c r="U43" s="1298">
        <f>P30</f>
        <v>0</v>
      </c>
      <c r="V43" s="1298"/>
      <c r="W43" s="1299"/>
      <c r="X43" s="1263"/>
    </row>
    <row r="44" spans="1:24" ht="35.25" customHeight="1">
      <c r="A44" s="1263"/>
      <c r="B44" s="1340"/>
      <c r="C44" s="1315"/>
      <c r="D44" s="1315"/>
      <c r="E44" s="1315"/>
      <c r="F44" s="1315"/>
      <c r="G44" s="1309" t="s">
        <v>74</v>
      </c>
      <c r="H44" s="1310"/>
      <c r="I44" s="1310"/>
      <c r="J44" s="1310"/>
      <c r="K44" s="1311"/>
      <c r="L44" s="1229"/>
      <c r="M44" s="1263"/>
      <c r="N44" s="1340"/>
      <c r="O44" s="1315"/>
      <c r="P44" s="1315"/>
      <c r="Q44" s="1315"/>
      <c r="R44" s="1315"/>
      <c r="S44" s="1309" t="s">
        <v>74</v>
      </c>
      <c r="T44" s="1310"/>
      <c r="U44" s="1310"/>
      <c r="V44" s="1310"/>
      <c r="W44" s="1311"/>
      <c r="X44" s="1263"/>
    </row>
    <row r="45" spans="1:24" ht="35.25" customHeight="1">
      <c r="A45" s="1263"/>
      <c r="B45" s="1340"/>
      <c r="C45" s="1315"/>
      <c r="D45" s="1315"/>
      <c r="E45" s="1315"/>
      <c r="F45" s="1315"/>
      <c r="G45" s="1312">
        <f>'Exemp.(HRA+Other) &amp; Other incom'!$P$4</f>
        <v>0</v>
      </c>
      <c r="H45" s="1313"/>
      <c r="I45" s="1313"/>
      <c r="J45" s="1313"/>
      <c r="K45" s="1314"/>
      <c r="L45" s="1229"/>
      <c r="M45" s="1263"/>
      <c r="N45" s="1340"/>
      <c r="O45" s="1315"/>
      <c r="P45" s="1315"/>
      <c r="Q45" s="1315"/>
      <c r="R45" s="1315"/>
      <c r="S45" s="1312">
        <f>'Exemp.(HRA+Other) &amp; Other incom'!$P$4</f>
        <v>0</v>
      </c>
      <c r="T45" s="1313"/>
      <c r="U45" s="1313"/>
      <c r="V45" s="1313"/>
      <c r="W45" s="1314"/>
      <c r="X45" s="1263"/>
    </row>
    <row r="46" spans="1:24" ht="35.25" customHeight="1">
      <c r="A46" s="1263"/>
      <c r="B46" s="1340"/>
      <c r="C46" s="1315"/>
      <c r="D46" s="1315"/>
      <c r="E46" s="1315"/>
      <c r="F46" s="1315"/>
      <c r="G46" s="1312"/>
      <c r="H46" s="1313"/>
      <c r="I46" s="1313"/>
      <c r="J46" s="1313"/>
      <c r="K46" s="1314"/>
      <c r="L46" s="1229"/>
      <c r="M46" s="1263"/>
      <c r="N46" s="1340"/>
      <c r="O46" s="1315"/>
      <c r="P46" s="1315"/>
      <c r="Q46" s="1315"/>
      <c r="R46" s="1315"/>
      <c r="S46" s="1312"/>
      <c r="T46" s="1313"/>
      <c r="U46" s="1313"/>
      <c r="V46" s="1313"/>
      <c r="W46" s="1314"/>
      <c r="X46" s="1263"/>
    </row>
    <row r="47" spans="1:24" ht="35.25" customHeight="1" thickBot="1">
      <c r="A47" s="1263"/>
      <c r="B47" s="1340"/>
      <c r="C47" s="1315"/>
      <c r="D47" s="1315"/>
      <c r="E47" s="1315"/>
      <c r="F47" s="1315"/>
      <c r="G47" s="1303" t="s">
        <v>75</v>
      </c>
      <c r="H47" s="1304"/>
      <c r="I47" s="1304"/>
      <c r="J47" s="1305">
        <f>'Exemp.(HRA+Other) &amp; Other incom'!$Q$4</f>
        <v>0</v>
      </c>
      <c r="K47" s="1306"/>
      <c r="L47" s="1229"/>
      <c r="M47" s="1263"/>
      <c r="N47" s="1340"/>
      <c r="O47" s="1315"/>
      <c r="P47" s="1315"/>
      <c r="Q47" s="1315"/>
      <c r="R47" s="1315"/>
      <c r="S47" s="1303" t="s">
        <v>75</v>
      </c>
      <c r="T47" s="1304"/>
      <c r="U47" s="1304"/>
      <c r="V47" s="1305">
        <f>'Exemp.(HRA+Other) &amp; Other incom'!$Q$4</f>
        <v>0</v>
      </c>
      <c r="W47" s="1306"/>
      <c r="X47" s="1263"/>
    </row>
    <row r="48" spans="1:24" ht="35.25" customHeight="1" thickBot="1">
      <c r="A48" s="1263"/>
      <c r="B48" s="1341"/>
      <c r="C48" s="1307"/>
      <c r="D48" s="1307"/>
      <c r="E48" s="1307"/>
      <c r="F48" s="1307"/>
      <c r="G48" s="1307"/>
      <c r="H48" s="1307"/>
      <c r="I48" s="1307"/>
      <c r="J48" s="1307"/>
      <c r="K48" s="1308"/>
      <c r="L48" s="1229"/>
      <c r="M48" s="1263"/>
      <c r="N48" s="1341"/>
      <c r="O48" s="1307"/>
      <c r="P48" s="1307"/>
      <c r="Q48" s="1307"/>
      <c r="R48" s="1307"/>
      <c r="S48" s="1307"/>
      <c r="T48" s="1307"/>
      <c r="U48" s="1307"/>
      <c r="V48" s="1307"/>
      <c r="W48" s="1308"/>
      <c r="X48" s="1263"/>
    </row>
    <row r="49" spans="1:48">
      <c r="A49" s="1263"/>
      <c r="B49" s="1263"/>
      <c r="C49" s="1263"/>
      <c r="D49" s="1263"/>
      <c r="E49" s="1263"/>
      <c r="F49" s="1263"/>
      <c r="G49" s="1263"/>
      <c r="H49" s="1263"/>
      <c r="I49" s="1263"/>
      <c r="J49" s="1263"/>
      <c r="K49" s="1263"/>
      <c r="L49" s="1263"/>
      <c r="M49" s="1263"/>
      <c r="N49" s="1263"/>
      <c r="O49" s="1263"/>
      <c r="P49" s="1263"/>
      <c r="Q49" s="1263"/>
      <c r="R49" s="1263"/>
      <c r="S49" s="1263"/>
      <c r="T49" s="1263"/>
      <c r="U49" s="1263"/>
      <c r="V49" s="1263"/>
      <c r="W49" s="1263"/>
      <c r="X49" s="1263"/>
    </row>
    <row r="50" spans="1:48">
      <c r="A50" s="1263"/>
      <c r="B50" s="1263"/>
      <c r="C50" s="1263"/>
      <c r="D50" s="1263"/>
      <c r="E50" s="1263"/>
      <c r="F50" s="1263"/>
      <c r="G50" s="1263"/>
      <c r="H50" s="1263"/>
      <c r="I50" s="1263"/>
      <c r="J50" s="1263"/>
      <c r="K50" s="1263"/>
      <c r="L50" s="1263"/>
      <c r="M50" s="1263"/>
      <c r="N50" s="1263"/>
      <c r="O50" s="1263"/>
      <c r="P50" s="1263"/>
      <c r="Q50" s="1263"/>
      <c r="R50" s="1263"/>
      <c r="S50" s="1263"/>
      <c r="T50" s="1263"/>
      <c r="U50" s="1263"/>
      <c r="V50" s="1263"/>
      <c r="W50" s="1263"/>
      <c r="X50" s="1263"/>
    </row>
    <row r="51" spans="1:48">
      <c r="A51" s="1263"/>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row>
    <row r="52" spans="1:48">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row>
    <row r="53" spans="1:48">
      <c r="A53" s="1263"/>
      <c r="B53" s="1263"/>
      <c r="C53" s="1263"/>
      <c r="D53" s="1263"/>
      <c r="E53" s="1263"/>
      <c r="F53" s="1263"/>
      <c r="G53" s="1263"/>
      <c r="H53" s="1263"/>
      <c r="I53" s="1263"/>
      <c r="J53" s="1263"/>
      <c r="K53" s="1263"/>
      <c r="L53" s="1263"/>
      <c r="M53" s="1263"/>
      <c r="N53" s="1263"/>
      <c r="O53" s="1263"/>
      <c r="P53" s="1263"/>
      <c r="Q53" s="1263"/>
      <c r="R53" s="1263"/>
      <c r="S53" s="1263"/>
      <c r="T53" s="1263"/>
      <c r="U53" s="1263"/>
      <c r="V53" s="1263"/>
      <c r="W53" s="1263"/>
      <c r="X53" s="1263"/>
    </row>
    <row r="54" spans="1:48">
      <c r="A54" s="1263"/>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row>
    <row r="55" spans="1:48">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row>
    <row r="56" spans="1:48" ht="35.25" customHeight="1" thickBo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302"/>
      <c r="Y56" s="1302"/>
      <c r="Z56" s="1302"/>
      <c r="AA56" s="1302"/>
      <c r="AB56" s="1302"/>
      <c r="AC56" s="1302"/>
      <c r="AD56" s="1302"/>
      <c r="AE56" s="1302"/>
      <c r="AF56" s="1302"/>
      <c r="AG56" s="1302"/>
      <c r="AH56" s="1302"/>
      <c r="AI56" s="1302"/>
      <c r="AJ56" s="1302"/>
      <c r="AK56" s="1302"/>
      <c r="AL56" s="1302"/>
      <c r="AM56" s="1302"/>
      <c r="AN56" s="1302"/>
      <c r="AO56" s="1302"/>
      <c r="AP56" s="1302"/>
      <c r="AQ56" s="1302"/>
      <c r="AR56" s="1302"/>
      <c r="AS56" s="1302"/>
      <c r="AT56" s="1302"/>
      <c r="AU56" s="1302"/>
      <c r="AV56" s="1302"/>
    </row>
    <row r="57" spans="1:48" ht="35.25" customHeight="1">
      <c r="A57" s="113"/>
      <c r="B57" s="19">
        <v>1</v>
      </c>
      <c r="C57" s="1348" t="s">
        <v>62</v>
      </c>
      <c r="D57" s="1348"/>
      <c r="E57" s="1348"/>
      <c r="F57" s="1348"/>
      <c r="G57" s="1348"/>
      <c r="H57" s="1348"/>
      <c r="I57" s="1348"/>
      <c r="J57" s="1348"/>
      <c r="K57" s="1349"/>
      <c r="L57" s="113"/>
      <c r="M57" s="113"/>
      <c r="N57" s="19">
        <v>2</v>
      </c>
      <c r="O57" s="1348" t="s">
        <v>62</v>
      </c>
      <c r="P57" s="1348"/>
      <c r="Q57" s="1348"/>
      <c r="R57" s="1348"/>
      <c r="S57" s="1348"/>
      <c r="T57" s="1348"/>
      <c r="U57" s="1348"/>
      <c r="V57" s="1348"/>
      <c r="W57" s="1349"/>
      <c r="X57" s="1302"/>
      <c r="Y57" s="1302"/>
      <c r="Z57" s="1302"/>
      <c r="AA57" s="1302"/>
      <c r="AB57" s="1302"/>
      <c r="AC57" s="1302"/>
      <c r="AD57" s="1302"/>
      <c r="AE57" s="1302"/>
      <c r="AF57" s="1302"/>
      <c r="AG57" s="1302"/>
      <c r="AH57" s="1302"/>
      <c r="AI57" s="1302"/>
      <c r="AJ57" s="1302"/>
      <c r="AK57" s="1302"/>
      <c r="AL57" s="1302"/>
      <c r="AM57" s="1302"/>
      <c r="AN57" s="1302"/>
      <c r="AO57" s="1302"/>
      <c r="AP57" s="1302"/>
      <c r="AQ57" s="1302"/>
      <c r="AR57" s="1302"/>
      <c r="AS57" s="1302"/>
      <c r="AT57" s="1302"/>
      <c r="AU57" s="1302"/>
      <c r="AV57" s="1302"/>
    </row>
    <row r="58" spans="1:48" ht="35.25" customHeight="1">
      <c r="A58" s="113"/>
      <c r="B58" s="1350" t="s">
        <v>63</v>
      </c>
      <c r="C58" s="1351"/>
      <c r="D58" s="1351"/>
      <c r="E58" s="1351"/>
      <c r="F58" s="1351"/>
      <c r="G58" s="1351"/>
      <c r="H58" s="1351"/>
      <c r="I58" s="1351"/>
      <c r="J58" s="1351"/>
      <c r="K58" s="1352"/>
      <c r="L58" s="113"/>
      <c r="M58" s="113"/>
      <c r="N58" s="1350" t="s">
        <v>63</v>
      </c>
      <c r="O58" s="1351"/>
      <c r="P58" s="1351"/>
      <c r="Q58" s="1351"/>
      <c r="R58" s="1351"/>
      <c r="S58" s="1351"/>
      <c r="T58" s="1351"/>
      <c r="U58" s="1351"/>
      <c r="V58" s="1351"/>
      <c r="W58" s="1352"/>
      <c r="X58" s="1302"/>
      <c r="Y58" s="1302"/>
      <c r="Z58" s="1302"/>
      <c r="AA58" s="1302"/>
      <c r="AB58" s="1302"/>
      <c r="AC58" s="1302"/>
      <c r="AD58" s="1302"/>
      <c r="AE58" s="1302"/>
      <c r="AF58" s="1302"/>
      <c r="AG58" s="1302"/>
      <c r="AH58" s="1302"/>
      <c r="AI58" s="1302"/>
      <c r="AJ58" s="1302"/>
      <c r="AK58" s="1302"/>
      <c r="AL58" s="1302"/>
      <c r="AM58" s="1302"/>
      <c r="AN58" s="1302"/>
      <c r="AO58" s="1302"/>
      <c r="AP58" s="1302"/>
      <c r="AQ58" s="1302"/>
      <c r="AR58" s="1302"/>
      <c r="AS58" s="1302"/>
      <c r="AT58" s="1302"/>
      <c r="AU58" s="1302"/>
      <c r="AV58" s="1302"/>
    </row>
    <row r="59" spans="1:48" ht="35.25" customHeight="1" thickBot="1">
      <c r="A59" s="113"/>
      <c r="B59" s="1345"/>
      <c r="C59" s="1346"/>
      <c r="D59" s="1346"/>
      <c r="E59" s="1346"/>
      <c r="F59" s="1346"/>
      <c r="G59" s="1346"/>
      <c r="H59" s="1346"/>
      <c r="I59" s="1346"/>
      <c r="J59" s="1346"/>
      <c r="K59" s="1347"/>
      <c r="L59" s="113"/>
      <c r="M59" s="113"/>
      <c r="N59" s="1345"/>
      <c r="O59" s="1346"/>
      <c r="P59" s="1346"/>
      <c r="Q59" s="1346"/>
      <c r="R59" s="1346"/>
      <c r="S59" s="1346"/>
      <c r="T59" s="1346"/>
      <c r="U59" s="1346"/>
      <c r="V59" s="1346"/>
      <c r="W59" s="1347"/>
      <c r="X59" s="1302"/>
      <c r="Y59" s="1302"/>
      <c r="Z59" s="1302"/>
      <c r="AA59" s="1302"/>
      <c r="AB59" s="1302"/>
      <c r="AC59" s="1302"/>
      <c r="AD59" s="1302"/>
      <c r="AE59" s="1302"/>
      <c r="AF59" s="1302"/>
      <c r="AG59" s="1302"/>
      <c r="AH59" s="1302"/>
      <c r="AI59" s="1302"/>
      <c r="AJ59" s="1302"/>
      <c r="AK59" s="1302"/>
      <c r="AL59" s="1302"/>
      <c r="AM59" s="1302"/>
      <c r="AN59" s="1302"/>
      <c r="AO59" s="1302"/>
      <c r="AP59" s="1302"/>
      <c r="AQ59" s="1302"/>
      <c r="AR59" s="1302"/>
      <c r="AS59" s="1302"/>
      <c r="AT59" s="1302"/>
      <c r="AU59" s="1302"/>
      <c r="AV59" s="1302"/>
    </row>
    <row r="60" spans="1:48" ht="35.25" customHeight="1">
      <c r="A60" s="113"/>
      <c r="B60" s="1337"/>
      <c r="C60" s="1338"/>
      <c r="D60" s="1338"/>
      <c r="E60" s="1338"/>
      <c r="F60" s="1338"/>
      <c r="G60" s="1338"/>
      <c r="H60" s="1338"/>
      <c r="I60" s="1339" t="s">
        <v>64</v>
      </c>
      <c r="J60" s="1339"/>
      <c r="K60" s="20"/>
      <c r="L60" s="113"/>
      <c r="M60" s="113"/>
      <c r="N60" s="1337"/>
      <c r="O60" s="1338"/>
      <c r="P60" s="1338"/>
      <c r="Q60" s="1338"/>
      <c r="R60" s="1338"/>
      <c r="S60" s="1338"/>
      <c r="T60" s="1338"/>
      <c r="U60" s="1339" t="s">
        <v>64</v>
      </c>
      <c r="V60" s="1339"/>
      <c r="W60" s="20"/>
      <c r="X60" s="1302"/>
      <c r="Y60" s="1302"/>
      <c r="Z60" s="1302"/>
      <c r="AA60" s="1302"/>
      <c r="AB60" s="1302"/>
      <c r="AC60" s="1302"/>
      <c r="AD60" s="1302"/>
      <c r="AE60" s="1302"/>
      <c r="AF60" s="1302"/>
      <c r="AG60" s="1302"/>
      <c r="AH60" s="1302"/>
      <c r="AI60" s="1302"/>
      <c r="AJ60" s="1302"/>
      <c r="AK60" s="1302"/>
      <c r="AL60" s="1302"/>
      <c r="AM60" s="1302"/>
      <c r="AN60" s="1302"/>
      <c r="AO60" s="1302"/>
      <c r="AP60" s="1302"/>
      <c r="AQ60" s="1302"/>
      <c r="AR60" s="1302"/>
      <c r="AS60" s="1302"/>
      <c r="AT60" s="1302"/>
      <c r="AU60" s="1302"/>
      <c r="AV60" s="1302"/>
    </row>
    <row r="61" spans="1:48" ht="35.25" customHeight="1">
      <c r="A61" s="113"/>
      <c r="B61" s="1340"/>
      <c r="C61" s="21" t="s">
        <v>65</v>
      </c>
      <c r="D61" s="1332">
        <f>'Exemp.(HRA+Other) &amp; Other incom'!$O$4</f>
        <v>0</v>
      </c>
      <c r="E61" s="1332"/>
      <c r="F61" s="1332"/>
      <c r="G61" s="1332"/>
      <c r="H61" s="1332"/>
      <c r="I61" s="1332"/>
      <c r="J61" s="1332"/>
      <c r="K61" s="1333"/>
      <c r="L61" s="113"/>
      <c r="M61" s="113"/>
      <c r="N61" s="1340"/>
      <c r="O61" s="21" t="s">
        <v>65</v>
      </c>
      <c r="P61" s="1332">
        <f>'Exemp.(HRA+Other) &amp; Other incom'!$O$4</f>
        <v>0</v>
      </c>
      <c r="Q61" s="1332"/>
      <c r="R61" s="1332"/>
      <c r="S61" s="1332"/>
      <c r="T61" s="1332"/>
      <c r="U61" s="1332"/>
      <c r="V61" s="1332"/>
      <c r="W61" s="1333"/>
      <c r="X61" s="1302"/>
      <c r="Y61" s="1302"/>
      <c r="Z61" s="1302"/>
      <c r="AA61" s="1302"/>
      <c r="AB61" s="1302"/>
      <c r="AC61" s="1302"/>
      <c r="AD61" s="1302"/>
      <c r="AE61" s="1302"/>
      <c r="AF61" s="1302"/>
      <c r="AG61" s="1302"/>
      <c r="AH61" s="1302"/>
      <c r="AI61" s="1302"/>
      <c r="AJ61" s="1302"/>
      <c r="AK61" s="1302"/>
      <c r="AL61" s="1302"/>
      <c r="AM61" s="1302"/>
      <c r="AN61" s="1302"/>
      <c r="AO61" s="1302"/>
      <c r="AP61" s="1302"/>
      <c r="AQ61" s="1302"/>
      <c r="AR61" s="1302"/>
      <c r="AS61" s="1302"/>
      <c r="AT61" s="1302"/>
      <c r="AU61" s="1302"/>
      <c r="AV61" s="1302"/>
    </row>
    <row r="62" spans="1:48" ht="35.25" customHeight="1">
      <c r="A62" s="113"/>
      <c r="B62" s="1340"/>
      <c r="C62" s="21"/>
      <c r="D62" s="1330" t="s">
        <v>66</v>
      </c>
      <c r="E62" s="1330"/>
      <c r="F62" s="1330"/>
      <c r="G62" s="1330"/>
      <c r="H62" s="1331" t="str">
        <f>'Exemp.(HRA+Other) &amp; Other incom'!$A$4</f>
        <v>a</v>
      </c>
      <c r="I62" s="1331"/>
      <c r="J62" s="1331"/>
      <c r="K62" s="546" t="str">
        <f>CONCATENATE("(",'Exemp.(HRA+Other) &amp; Other incom'!$C$4,")")</f>
        <v>(Teacher)</v>
      </c>
      <c r="L62" s="113"/>
      <c r="M62" s="113"/>
      <c r="N62" s="1340"/>
      <c r="O62" s="21"/>
      <c r="P62" s="1330" t="s">
        <v>66</v>
      </c>
      <c r="Q62" s="1330"/>
      <c r="R62" s="1330"/>
      <c r="S62" s="1330"/>
      <c r="T62" s="1331" t="str">
        <f>'Exemp.(HRA+Other) &amp; Other incom'!$A$4</f>
        <v>a</v>
      </c>
      <c r="U62" s="1331"/>
      <c r="V62" s="1331"/>
      <c r="W62" s="546" t="str">
        <f>CONCATENATE("(",'Exemp.(HRA+Other) &amp; Other incom'!$C$4,")")</f>
        <v>(Teacher)</v>
      </c>
      <c r="X62" s="1302"/>
      <c r="Y62" s="1302"/>
      <c r="Z62" s="1302"/>
      <c r="AA62" s="1302"/>
      <c r="AB62" s="1302"/>
      <c r="AC62" s="1302"/>
      <c r="AD62" s="1302"/>
      <c r="AE62" s="1302"/>
      <c r="AF62" s="1302"/>
      <c r="AG62" s="1302"/>
      <c r="AH62" s="1302"/>
      <c r="AI62" s="1302"/>
      <c r="AJ62" s="1302"/>
      <c r="AK62" s="1302"/>
      <c r="AL62" s="1302"/>
      <c r="AM62" s="1302"/>
      <c r="AN62" s="1302"/>
      <c r="AO62" s="1302"/>
      <c r="AP62" s="1302"/>
      <c r="AQ62" s="1302"/>
      <c r="AR62" s="1302"/>
      <c r="AS62" s="1302"/>
      <c r="AT62" s="1302"/>
      <c r="AU62" s="1302"/>
      <c r="AV62" s="1302"/>
    </row>
    <row r="63" spans="1:48" ht="35.25" customHeight="1">
      <c r="A63" s="113"/>
      <c r="B63" s="1340"/>
      <c r="C63" s="21" t="s">
        <v>67</v>
      </c>
      <c r="D63" s="1332" t="str">
        <f>'Basic Data'!$I$10</f>
        <v>Govt. Sr. School Raimalwada</v>
      </c>
      <c r="E63" s="1332"/>
      <c r="F63" s="1332"/>
      <c r="G63" s="1332"/>
      <c r="H63" s="1332"/>
      <c r="I63" s="1332"/>
      <c r="J63" s="1332"/>
      <c r="K63" s="1333"/>
      <c r="L63" s="113"/>
      <c r="M63" s="113"/>
      <c r="N63" s="1340"/>
      <c r="O63" s="21" t="s">
        <v>67</v>
      </c>
      <c r="P63" s="1332" t="str">
        <f>'Basic Data'!$I$10</f>
        <v>Govt. Sr. School Raimalwada</v>
      </c>
      <c r="Q63" s="1332"/>
      <c r="R63" s="1332"/>
      <c r="S63" s="1332"/>
      <c r="T63" s="1332"/>
      <c r="U63" s="1332"/>
      <c r="V63" s="1332"/>
      <c r="W63" s="1333"/>
      <c r="X63" s="1302"/>
      <c r="Y63" s="1302"/>
      <c r="Z63" s="1302"/>
      <c r="AA63" s="1302"/>
      <c r="AB63" s="1302"/>
      <c r="AC63" s="1302"/>
      <c r="AD63" s="1302"/>
      <c r="AE63" s="1302"/>
      <c r="AF63" s="1302"/>
      <c r="AG63" s="1302"/>
      <c r="AH63" s="1302"/>
      <c r="AI63" s="1302"/>
      <c r="AJ63" s="1302"/>
      <c r="AK63" s="1302"/>
      <c r="AL63" s="1302"/>
      <c r="AM63" s="1302"/>
      <c r="AN63" s="1302"/>
      <c r="AO63" s="1302"/>
      <c r="AP63" s="1302"/>
      <c r="AQ63" s="1302"/>
      <c r="AR63" s="1302"/>
      <c r="AS63" s="1302"/>
      <c r="AT63" s="1302"/>
      <c r="AU63" s="1302"/>
      <c r="AV63" s="1302"/>
    </row>
    <row r="64" spans="1:48" ht="35.25" customHeight="1">
      <c r="A64" s="113"/>
      <c r="B64" s="1340"/>
      <c r="C64" s="1334" t="s">
        <v>78</v>
      </c>
      <c r="D64" s="1334"/>
      <c r="E64" s="1334"/>
      <c r="F64" s="1334"/>
      <c r="G64" s="1335">
        <f>G65*12</f>
        <v>0</v>
      </c>
      <c r="H64" s="1335"/>
      <c r="I64" s="1335"/>
      <c r="J64" s="1335"/>
      <c r="K64" s="1336"/>
      <c r="L64" s="113"/>
      <c r="M64" s="113"/>
      <c r="N64" s="1340"/>
      <c r="O64" s="1334" t="s">
        <v>78</v>
      </c>
      <c r="P64" s="1334"/>
      <c r="Q64" s="1334"/>
      <c r="R64" s="1334"/>
      <c r="S64" s="1335">
        <f>G65*12</f>
        <v>0</v>
      </c>
      <c r="T64" s="1335"/>
      <c r="U64" s="1335"/>
      <c r="V64" s="1335"/>
      <c r="W64" s="1336"/>
      <c r="X64" s="1302"/>
      <c r="Y64" s="1302"/>
      <c r="Z64" s="1302"/>
      <c r="AA64" s="1302"/>
      <c r="AB64" s="1302"/>
      <c r="AC64" s="1302"/>
      <c r="AD64" s="1302"/>
      <c r="AE64" s="1302"/>
      <c r="AF64" s="1302"/>
      <c r="AG64" s="1302"/>
      <c r="AH64" s="1302"/>
      <c r="AI64" s="1302"/>
      <c r="AJ64" s="1302"/>
      <c r="AK64" s="1302"/>
      <c r="AL64" s="1302"/>
      <c r="AM64" s="1302"/>
      <c r="AN64" s="1302"/>
      <c r="AO64" s="1302"/>
      <c r="AP64" s="1302"/>
      <c r="AQ64" s="1302"/>
      <c r="AR64" s="1302"/>
      <c r="AS64" s="1302"/>
      <c r="AT64" s="1302"/>
      <c r="AU64" s="1302"/>
      <c r="AV64" s="1302"/>
    </row>
    <row r="65" spans="1:48" ht="35.25" customHeight="1">
      <c r="A65" s="113"/>
      <c r="B65" s="1340"/>
      <c r="C65" s="1334" t="s">
        <v>76</v>
      </c>
      <c r="D65" s="1334"/>
      <c r="E65" s="1334"/>
      <c r="F65" s="1334"/>
      <c r="G65" s="1335">
        <f>'Exemp.(HRA+Other) &amp; Other incom'!$M$4</f>
        <v>0</v>
      </c>
      <c r="H65" s="1335"/>
      <c r="I65" s="1335"/>
      <c r="J65" s="1335"/>
      <c r="K65" s="1336"/>
      <c r="L65" s="113"/>
      <c r="M65" s="113"/>
      <c r="N65" s="1340"/>
      <c r="O65" s="1334" t="s">
        <v>76</v>
      </c>
      <c r="P65" s="1334"/>
      <c r="Q65" s="1334"/>
      <c r="R65" s="1334"/>
      <c r="S65" s="1335">
        <f>'Exemp.(HRA+Other) &amp; Other incom'!$M$4</f>
        <v>0</v>
      </c>
      <c r="T65" s="1335"/>
      <c r="U65" s="1335"/>
      <c r="V65" s="1335"/>
      <c r="W65" s="1336"/>
      <c r="X65" s="1302"/>
      <c r="Y65" s="1302"/>
      <c r="Z65" s="1302"/>
      <c r="AA65" s="1302"/>
      <c r="AB65" s="1302"/>
      <c r="AC65" s="1302"/>
      <c r="AD65" s="1302"/>
      <c r="AE65" s="1302"/>
      <c r="AF65" s="1302"/>
      <c r="AG65" s="1302"/>
      <c r="AH65" s="1302"/>
      <c r="AI65" s="1302"/>
      <c r="AJ65" s="1302"/>
      <c r="AK65" s="1302"/>
      <c r="AL65" s="1302"/>
      <c r="AM65" s="1302"/>
      <c r="AN65" s="1302"/>
      <c r="AO65" s="1302"/>
      <c r="AP65" s="1302"/>
      <c r="AQ65" s="1302"/>
      <c r="AR65" s="1302"/>
      <c r="AS65" s="1302"/>
      <c r="AT65" s="1302"/>
      <c r="AU65" s="1302"/>
      <c r="AV65" s="1302"/>
    </row>
    <row r="66" spans="1:48" ht="35.25" customHeight="1">
      <c r="A66" s="113"/>
      <c r="B66" s="1340"/>
      <c r="C66" s="1342" t="s">
        <v>68</v>
      </c>
      <c r="D66" s="1342"/>
      <c r="E66" s="1300" t="s">
        <v>610</v>
      </c>
      <c r="F66" s="1300"/>
      <c r="G66" s="1300"/>
      <c r="H66" s="1300"/>
      <c r="I66" s="1300"/>
      <c r="J66" s="1300"/>
      <c r="K66" s="1301"/>
      <c r="L66" s="113"/>
      <c r="M66" s="113"/>
      <c r="N66" s="1340"/>
      <c r="O66" s="1342" t="s">
        <v>68</v>
      </c>
      <c r="P66" s="1342"/>
      <c r="Q66" s="1300" t="str">
        <f>E66</f>
        <v>1 April, 2024 To 31 March, 2025</v>
      </c>
      <c r="R66" s="1300"/>
      <c r="S66" s="1300"/>
      <c r="T66" s="1300"/>
      <c r="U66" s="1300"/>
      <c r="V66" s="1300"/>
      <c r="W66" s="1301"/>
      <c r="X66" s="1302"/>
      <c r="Y66" s="1302"/>
      <c r="Z66" s="1302"/>
      <c r="AA66" s="1302"/>
      <c r="AB66" s="1302"/>
      <c r="AC66" s="1302"/>
      <c r="AD66" s="1302"/>
      <c r="AE66" s="1302"/>
      <c r="AF66" s="1302"/>
      <c r="AG66" s="1302"/>
      <c r="AH66" s="1302"/>
      <c r="AI66" s="1302"/>
      <c r="AJ66" s="1302"/>
      <c r="AK66" s="1302"/>
      <c r="AL66" s="1302"/>
      <c r="AM66" s="1302"/>
      <c r="AN66" s="1302"/>
      <c r="AO66" s="1302"/>
      <c r="AP66" s="1302"/>
      <c r="AQ66" s="1302"/>
      <c r="AR66" s="1302"/>
      <c r="AS66" s="1302"/>
      <c r="AT66" s="1302"/>
      <c r="AU66" s="1302"/>
      <c r="AV66" s="1302"/>
    </row>
    <row r="67" spans="1:48" ht="35.25" customHeight="1">
      <c r="A67" s="113"/>
      <c r="B67" s="1340"/>
      <c r="C67" s="1327"/>
      <c r="D67" s="1327"/>
      <c r="E67" s="1327"/>
      <c r="F67" s="1327"/>
      <c r="G67" s="1327"/>
      <c r="H67" s="1327"/>
      <c r="I67" s="1327"/>
      <c r="J67" s="1327"/>
      <c r="K67" s="1328"/>
      <c r="L67" s="113"/>
      <c r="M67" s="113"/>
      <c r="N67" s="1340"/>
      <c r="O67" s="1327"/>
      <c r="P67" s="1327"/>
      <c r="Q67" s="1327"/>
      <c r="R67" s="1327"/>
      <c r="S67" s="1327"/>
      <c r="T67" s="1327"/>
      <c r="U67" s="1327"/>
      <c r="V67" s="1327"/>
      <c r="W67" s="1328"/>
      <c r="X67" s="1302"/>
      <c r="Y67" s="1302"/>
      <c r="Z67" s="1302"/>
      <c r="AA67" s="1302"/>
      <c r="AB67" s="1302"/>
      <c r="AC67" s="1302"/>
      <c r="AD67" s="1302"/>
      <c r="AE67" s="1302"/>
      <c r="AF67" s="1302"/>
      <c r="AG67" s="1302"/>
      <c r="AH67" s="1302"/>
      <c r="AI67" s="1302"/>
      <c r="AJ67" s="1302"/>
      <c r="AK67" s="1302"/>
      <c r="AL67" s="1302"/>
      <c r="AM67" s="1302"/>
      <c r="AN67" s="1302"/>
      <c r="AO67" s="1302"/>
      <c r="AP67" s="1302"/>
      <c r="AQ67" s="1302"/>
      <c r="AR67" s="1302"/>
      <c r="AS67" s="1302"/>
      <c r="AT67" s="1302"/>
      <c r="AU67" s="1302"/>
      <c r="AV67" s="1302"/>
    </row>
    <row r="68" spans="1:48" ht="35.25" customHeight="1">
      <c r="A68" s="113"/>
      <c r="B68" s="1340"/>
      <c r="C68" s="21" t="s">
        <v>69</v>
      </c>
      <c r="D68" s="1310">
        <f>G64</f>
        <v>0</v>
      </c>
      <c r="E68" s="1310"/>
      <c r="F68" s="1329"/>
      <c r="G68" s="1327"/>
      <c r="H68" s="1327"/>
      <c r="I68" s="1327"/>
      <c r="J68" s="1327"/>
      <c r="K68" s="1328"/>
      <c r="L68" s="113"/>
      <c r="M68" s="113"/>
      <c r="N68" s="1340"/>
      <c r="O68" s="21" t="s">
        <v>69</v>
      </c>
      <c r="P68" s="1310">
        <f>G64</f>
        <v>0</v>
      </c>
      <c r="Q68" s="1310"/>
      <c r="R68" s="1329"/>
      <c r="S68" s="1327"/>
      <c r="T68" s="1327"/>
      <c r="U68" s="1327"/>
      <c r="V68" s="1327"/>
      <c r="W68" s="1328"/>
      <c r="X68" s="1302"/>
      <c r="Y68" s="1302"/>
      <c r="Z68" s="1302"/>
      <c r="AA68" s="1302"/>
      <c r="AB68" s="1302"/>
      <c r="AC68" s="1302"/>
      <c r="AD68" s="1302"/>
      <c r="AE68" s="1302"/>
      <c r="AF68" s="1302"/>
      <c r="AG68" s="1302"/>
      <c r="AH68" s="1302"/>
      <c r="AI68" s="1302"/>
      <c r="AJ68" s="1302"/>
      <c r="AK68" s="1302"/>
      <c r="AL68" s="1302"/>
      <c r="AM68" s="1302"/>
      <c r="AN68" s="1302"/>
      <c r="AO68" s="1302"/>
      <c r="AP68" s="1302"/>
      <c r="AQ68" s="1302"/>
      <c r="AR68" s="1302"/>
      <c r="AS68" s="1302"/>
      <c r="AT68" s="1302"/>
      <c r="AU68" s="1302"/>
      <c r="AV68" s="1302"/>
    </row>
    <row r="69" spans="1:48" ht="35.25" customHeight="1">
      <c r="A69" s="113"/>
      <c r="B69" s="1340"/>
      <c r="C69" s="1315"/>
      <c r="D69" s="1315"/>
      <c r="E69" s="1315"/>
      <c r="F69" s="1315"/>
      <c r="G69" s="1315"/>
      <c r="H69" s="1315"/>
      <c r="I69" s="1315"/>
      <c r="J69" s="1315"/>
      <c r="K69" s="1316"/>
      <c r="L69" s="113"/>
      <c r="M69" s="113"/>
      <c r="N69" s="1340"/>
      <c r="O69" s="1315"/>
      <c r="P69" s="1315"/>
      <c r="Q69" s="1315"/>
      <c r="R69" s="1315"/>
      <c r="S69" s="1315"/>
      <c r="T69" s="1315"/>
      <c r="U69" s="1315"/>
      <c r="V69" s="1315"/>
      <c r="W69" s="1316"/>
      <c r="X69" s="1302"/>
      <c r="Y69" s="1302"/>
      <c r="Z69" s="1302"/>
      <c r="AA69" s="1302"/>
      <c r="AB69" s="1302"/>
      <c r="AC69" s="1302"/>
      <c r="AD69" s="1302"/>
      <c r="AE69" s="1302"/>
      <c r="AF69" s="1302"/>
      <c r="AG69" s="1302"/>
      <c r="AH69" s="1302"/>
      <c r="AI69" s="1302"/>
      <c r="AJ69" s="1302"/>
      <c r="AK69" s="1302"/>
      <c r="AL69" s="1302"/>
      <c r="AM69" s="1302"/>
      <c r="AN69" s="1302"/>
      <c r="AO69" s="1302"/>
      <c r="AP69" s="1302"/>
      <c r="AQ69" s="1302"/>
      <c r="AR69" s="1302"/>
      <c r="AS69" s="1302"/>
      <c r="AT69" s="1302"/>
      <c r="AU69" s="1302"/>
      <c r="AV69" s="1302"/>
    </row>
    <row r="70" spans="1:48" ht="35.25" customHeight="1">
      <c r="A70" s="113"/>
      <c r="B70" s="1340"/>
      <c r="C70" s="21" t="s">
        <v>70</v>
      </c>
      <c r="D70" s="1323">
        <f>K60</f>
        <v>0</v>
      </c>
      <c r="E70" s="1323"/>
      <c r="F70" s="1324"/>
      <c r="G70" s="1325"/>
      <c r="H70" s="1325"/>
      <c r="I70" s="1325"/>
      <c r="J70" s="1325"/>
      <c r="K70" s="1326"/>
      <c r="L70" s="113"/>
      <c r="M70" s="113"/>
      <c r="N70" s="1340"/>
      <c r="O70" s="21" t="s">
        <v>70</v>
      </c>
      <c r="P70" s="1323">
        <f>K60</f>
        <v>0</v>
      </c>
      <c r="Q70" s="1323"/>
      <c r="R70" s="1324"/>
      <c r="S70" s="1325"/>
      <c r="T70" s="1325"/>
      <c r="U70" s="1325"/>
      <c r="V70" s="1325"/>
      <c r="W70" s="1326"/>
      <c r="X70" s="1302"/>
      <c r="Y70" s="1302"/>
      <c r="Z70" s="1302"/>
      <c r="AA70" s="1302"/>
      <c r="AB70" s="1302"/>
      <c r="AC70" s="1302"/>
      <c r="AD70" s="1302"/>
      <c r="AE70" s="1302"/>
      <c r="AF70" s="1302"/>
      <c r="AG70" s="1302"/>
      <c r="AH70" s="1302"/>
      <c r="AI70" s="1302"/>
      <c r="AJ70" s="1302"/>
      <c r="AK70" s="1302"/>
      <c r="AL70" s="1302"/>
      <c r="AM70" s="1302"/>
      <c r="AN70" s="1302"/>
      <c r="AO70" s="1302"/>
      <c r="AP70" s="1302"/>
      <c r="AQ70" s="1302"/>
      <c r="AR70" s="1302"/>
      <c r="AS70" s="1302"/>
      <c r="AT70" s="1302"/>
      <c r="AU70" s="1302"/>
      <c r="AV70" s="1302"/>
    </row>
    <row r="71" spans="1:48" ht="35.25" customHeight="1" thickBot="1">
      <c r="A71" s="113"/>
      <c r="B71" s="1340"/>
      <c r="C71" s="1315"/>
      <c r="D71" s="1315"/>
      <c r="E71" s="1315"/>
      <c r="F71" s="1315"/>
      <c r="G71" s="1315"/>
      <c r="H71" s="1315"/>
      <c r="I71" s="1315"/>
      <c r="J71" s="1315"/>
      <c r="K71" s="1316"/>
      <c r="L71" s="113"/>
      <c r="M71" s="113"/>
      <c r="N71" s="1340"/>
      <c r="O71" s="1315"/>
      <c r="P71" s="1315"/>
      <c r="Q71" s="1315"/>
      <c r="R71" s="1315"/>
      <c r="S71" s="1315"/>
      <c r="T71" s="1315"/>
      <c r="U71" s="1315"/>
      <c r="V71" s="1315"/>
      <c r="W71" s="1316"/>
      <c r="X71" s="1302"/>
      <c r="Y71" s="1302"/>
      <c r="Z71" s="1302"/>
      <c r="AA71" s="1302"/>
      <c r="AB71" s="1302"/>
      <c r="AC71" s="1302"/>
      <c r="AD71" s="1302"/>
      <c r="AE71" s="1302"/>
      <c r="AF71" s="1302"/>
      <c r="AG71" s="1302"/>
      <c r="AH71" s="1302"/>
      <c r="AI71" s="1302"/>
      <c r="AJ71" s="1302"/>
      <c r="AK71" s="1302"/>
      <c r="AL71" s="1302"/>
      <c r="AM71" s="1302"/>
      <c r="AN71" s="1302"/>
      <c r="AO71" s="1302"/>
      <c r="AP71" s="1302"/>
      <c r="AQ71" s="1302"/>
      <c r="AR71" s="1302"/>
      <c r="AS71" s="1302"/>
      <c r="AT71" s="1302"/>
      <c r="AU71" s="1302"/>
      <c r="AV71" s="1302"/>
    </row>
    <row r="72" spans="1:48" ht="35.25" customHeight="1">
      <c r="A72" s="113"/>
      <c r="B72" s="1340"/>
      <c r="C72" s="1315"/>
      <c r="D72" s="1315"/>
      <c r="E72" s="1315"/>
      <c r="F72" s="1315"/>
      <c r="G72" s="1317" t="s">
        <v>71</v>
      </c>
      <c r="H72" s="1318"/>
      <c r="I72" s="1318"/>
      <c r="J72" s="1318"/>
      <c r="K72" s="1319"/>
      <c r="L72" s="113"/>
      <c r="M72" s="113"/>
      <c r="N72" s="1340"/>
      <c r="O72" s="1315"/>
      <c r="P72" s="1315"/>
      <c r="Q72" s="1315"/>
      <c r="R72" s="1315"/>
      <c r="S72" s="1317" t="s">
        <v>71</v>
      </c>
      <c r="T72" s="1318"/>
      <c r="U72" s="1318"/>
      <c r="V72" s="1318"/>
      <c r="W72" s="1319"/>
      <c r="X72" s="1302"/>
      <c r="Y72" s="1302"/>
      <c r="Z72" s="1302"/>
      <c r="AA72" s="1302"/>
      <c r="AB72" s="1302"/>
      <c r="AC72" s="1302"/>
      <c r="AD72" s="1302"/>
      <c r="AE72" s="1302"/>
      <c r="AF72" s="1302"/>
      <c r="AG72" s="1302"/>
      <c r="AH72" s="1302"/>
      <c r="AI72" s="1302"/>
      <c r="AJ72" s="1302"/>
      <c r="AK72" s="1302"/>
      <c r="AL72" s="1302"/>
      <c r="AM72" s="1302"/>
      <c r="AN72" s="1302"/>
      <c r="AO72" s="1302"/>
      <c r="AP72" s="1302"/>
      <c r="AQ72" s="1302"/>
      <c r="AR72" s="1302"/>
      <c r="AS72" s="1302"/>
      <c r="AT72" s="1302"/>
      <c r="AU72" s="1302"/>
      <c r="AV72" s="1302"/>
    </row>
    <row r="73" spans="1:48" ht="35.25" customHeight="1">
      <c r="A73" s="113"/>
      <c r="B73" s="1340"/>
      <c r="C73" s="1315"/>
      <c r="D73" s="1315"/>
      <c r="E73" s="1315"/>
      <c r="F73" s="1315"/>
      <c r="G73" s="1320" t="s">
        <v>72</v>
      </c>
      <c r="H73" s="1321"/>
      <c r="I73" s="1321"/>
      <c r="J73" s="1321"/>
      <c r="K73" s="1322"/>
      <c r="L73" s="113"/>
      <c r="M73" s="113"/>
      <c r="N73" s="1340"/>
      <c r="O73" s="1315"/>
      <c r="P73" s="1315"/>
      <c r="Q73" s="1315"/>
      <c r="R73" s="1315"/>
      <c r="S73" s="1320" t="s">
        <v>72</v>
      </c>
      <c r="T73" s="1321"/>
      <c r="U73" s="1321"/>
      <c r="V73" s="1321"/>
      <c r="W73" s="1322"/>
      <c r="X73" s="1302"/>
      <c r="Y73" s="1302"/>
      <c r="Z73" s="1302"/>
      <c r="AA73" s="1302"/>
      <c r="AB73" s="1302"/>
      <c r="AC73" s="1302"/>
      <c r="AD73" s="1302"/>
      <c r="AE73" s="1302"/>
      <c r="AF73" s="1302"/>
      <c r="AG73" s="1302"/>
      <c r="AH73" s="1302"/>
      <c r="AI73" s="1302"/>
      <c r="AJ73" s="1302"/>
      <c r="AK73" s="1302"/>
      <c r="AL73" s="1302"/>
      <c r="AM73" s="1302"/>
      <c r="AN73" s="1302"/>
      <c r="AO73" s="1302"/>
      <c r="AP73" s="1302"/>
      <c r="AQ73" s="1302"/>
      <c r="AR73" s="1302"/>
      <c r="AS73" s="1302"/>
      <c r="AT73" s="1302"/>
      <c r="AU73" s="1302"/>
      <c r="AV73" s="1302"/>
    </row>
    <row r="74" spans="1:48" ht="35.25" customHeight="1">
      <c r="A74" s="113"/>
      <c r="B74" s="1340"/>
      <c r="C74" s="1315"/>
      <c r="D74" s="1315"/>
      <c r="E74" s="1315"/>
      <c r="F74" s="1315"/>
      <c r="G74" s="1296" t="s">
        <v>73</v>
      </c>
      <c r="H74" s="1297"/>
      <c r="I74" s="1298">
        <f>D61</f>
        <v>0</v>
      </c>
      <c r="J74" s="1298"/>
      <c r="K74" s="1299"/>
      <c r="L74" s="113"/>
      <c r="M74" s="113"/>
      <c r="N74" s="1340"/>
      <c r="O74" s="1315"/>
      <c r="P74" s="1315"/>
      <c r="Q74" s="1315"/>
      <c r="R74" s="1315"/>
      <c r="S74" s="1296" t="s">
        <v>73</v>
      </c>
      <c r="T74" s="1297"/>
      <c r="U74" s="1298">
        <f>D61</f>
        <v>0</v>
      </c>
      <c r="V74" s="1298"/>
      <c r="W74" s="1299"/>
      <c r="X74" s="1302"/>
      <c r="Y74" s="1302"/>
      <c r="Z74" s="1302"/>
      <c r="AA74" s="1302"/>
      <c r="AB74" s="1302"/>
      <c r="AC74" s="1302"/>
      <c r="AD74" s="1302"/>
      <c r="AE74" s="1302"/>
      <c r="AF74" s="1302"/>
      <c r="AG74" s="1302"/>
      <c r="AH74" s="1302"/>
      <c r="AI74" s="1302"/>
      <c r="AJ74" s="1302"/>
      <c r="AK74" s="1302"/>
      <c r="AL74" s="1302"/>
      <c r="AM74" s="1302"/>
      <c r="AN74" s="1302"/>
      <c r="AO74" s="1302"/>
      <c r="AP74" s="1302"/>
      <c r="AQ74" s="1302"/>
      <c r="AR74" s="1302"/>
      <c r="AS74" s="1302"/>
      <c r="AT74" s="1302"/>
      <c r="AU74" s="1302"/>
      <c r="AV74" s="1302"/>
    </row>
    <row r="75" spans="1:48" ht="35.25" customHeight="1">
      <c r="A75" s="113"/>
      <c r="B75" s="1340"/>
      <c r="C75" s="1315"/>
      <c r="D75" s="1315"/>
      <c r="E75" s="1315"/>
      <c r="F75" s="1315"/>
      <c r="G75" s="1309" t="s">
        <v>74</v>
      </c>
      <c r="H75" s="1310"/>
      <c r="I75" s="1310"/>
      <c r="J75" s="1310"/>
      <c r="K75" s="1311"/>
      <c r="L75" s="113"/>
      <c r="M75" s="113"/>
      <c r="N75" s="1340"/>
      <c r="O75" s="1315"/>
      <c r="P75" s="1315"/>
      <c r="Q75" s="1315"/>
      <c r="R75" s="1315"/>
      <c r="S75" s="1309" t="s">
        <v>74</v>
      </c>
      <c r="T75" s="1310"/>
      <c r="U75" s="1310"/>
      <c r="V75" s="1310"/>
      <c r="W75" s="1311"/>
      <c r="X75" s="1302"/>
      <c r="Y75" s="1302"/>
      <c r="Z75" s="1302"/>
      <c r="AA75" s="1302"/>
      <c r="AB75" s="1302"/>
      <c r="AC75" s="1302"/>
      <c r="AD75" s="1302"/>
      <c r="AE75" s="1302"/>
      <c r="AF75" s="1302"/>
      <c r="AG75" s="1302"/>
      <c r="AH75" s="1302"/>
      <c r="AI75" s="1302"/>
      <c r="AJ75" s="1302"/>
      <c r="AK75" s="1302"/>
      <c r="AL75" s="1302"/>
      <c r="AM75" s="1302"/>
      <c r="AN75" s="1302"/>
      <c r="AO75" s="1302"/>
      <c r="AP75" s="1302"/>
      <c r="AQ75" s="1302"/>
      <c r="AR75" s="1302"/>
      <c r="AS75" s="1302"/>
      <c r="AT75" s="1302"/>
      <c r="AU75" s="1302"/>
      <c r="AV75" s="1302"/>
    </row>
    <row r="76" spans="1:48" ht="35.25" customHeight="1">
      <c r="A76" s="113"/>
      <c r="B76" s="1340"/>
      <c r="C76" s="1315"/>
      <c r="D76" s="1315"/>
      <c r="E76" s="1315"/>
      <c r="F76" s="1315"/>
      <c r="G76" s="1312">
        <f>'Exemp.(HRA+Other) &amp; Other incom'!$P$4</f>
        <v>0</v>
      </c>
      <c r="H76" s="1313"/>
      <c r="I76" s="1313"/>
      <c r="J76" s="1313"/>
      <c r="K76" s="1314"/>
      <c r="L76" s="113"/>
      <c r="M76" s="113"/>
      <c r="N76" s="1340"/>
      <c r="O76" s="1315"/>
      <c r="P76" s="1315"/>
      <c r="Q76" s="1315"/>
      <c r="R76" s="1315"/>
      <c r="S76" s="1312">
        <f>'Exemp.(HRA+Other) &amp; Other incom'!$P$4</f>
        <v>0</v>
      </c>
      <c r="T76" s="1313"/>
      <c r="U76" s="1313"/>
      <c r="V76" s="1313"/>
      <c r="W76" s="1314"/>
      <c r="X76" s="1302"/>
      <c r="Y76" s="1302"/>
      <c r="Z76" s="1302"/>
      <c r="AA76" s="1302"/>
      <c r="AB76" s="1302"/>
      <c r="AC76" s="1302"/>
      <c r="AD76" s="1302"/>
      <c r="AE76" s="1302"/>
      <c r="AF76" s="1302"/>
      <c r="AG76" s="1302"/>
      <c r="AH76" s="1302"/>
      <c r="AI76" s="1302"/>
      <c r="AJ76" s="1302"/>
      <c r="AK76" s="1302"/>
      <c r="AL76" s="1302"/>
      <c r="AM76" s="1302"/>
      <c r="AN76" s="1302"/>
      <c r="AO76" s="1302"/>
      <c r="AP76" s="1302"/>
      <c r="AQ76" s="1302"/>
      <c r="AR76" s="1302"/>
      <c r="AS76" s="1302"/>
      <c r="AT76" s="1302"/>
      <c r="AU76" s="1302"/>
      <c r="AV76" s="1302"/>
    </row>
    <row r="77" spans="1:48" ht="35.25" customHeight="1">
      <c r="A77" s="113"/>
      <c r="B77" s="1340"/>
      <c r="C77" s="1315"/>
      <c r="D77" s="1315"/>
      <c r="E77" s="1315"/>
      <c r="F77" s="1315"/>
      <c r="G77" s="1312"/>
      <c r="H77" s="1313"/>
      <c r="I77" s="1313"/>
      <c r="J77" s="1313"/>
      <c r="K77" s="1314"/>
      <c r="L77" s="113"/>
      <c r="M77" s="113"/>
      <c r="N77" s="1340"/>
      <c r="O77" s="1315"/>
      <c r="P77" s="1315"/>
      <c r="Q77" s="1315"/>
      <c r="R77" s="1315"/>
      <c r="S77" s="1312"/>
      <c r="T77" s="1313"/>
      <c r="U77" s="1313"/>
      <c r="V77" s="1313"/>
      <c r="W77" s="1314"/>
      <c r="X77" s="1302"/>
      <c r="Y77" s="1302"/>
      <c r="Z77" s="1302"/>
      <c r="AA77" s="1302"/>
      <c r="AB77" s="1302"/>
      <c r="AC77" s="1302"/>
      <c r="AD77" s="1302"/>
      <c r="AE77" s="1302"/>
      <c r="AF77" s="1302"/>
      <c r="AG77" s="1302"/>
      <c r="AH77" s="1302"/>
      <c r="AI77" s="1302"/>
      <c r="AJ77" s="1302"/>
      <c r="AK77" s="1302"/>
      <c r="AL77" s="1302"/>
      <c r="AM77" s="1302"/>
      <c r="AN77" s="1302"/>
      <c r="AO77" s="1302"/>
      <c r="AP77" s="1302"/>
      <c r="AQ77" s="1302"/>
      <c r="AR77" s="1302"/>
      <c r="AS77" s="1302"/>
      <c r="AT77" s="1302"/>
      <c r="AU77" s="1302"/>
      <c r="AV77" s="1302"/>
    </row>
    <row r="78" spans="1:48" ht="35.25" customHeight="1" thickBot="1">
      <c r="A78" s="113"/>
      <c r="B78" s="1340"/>
      <c r="C78" s="1315"/>
      <c r="D78" s="1315"/>
      <c r="E78" s="1315"/>
      <c r="F78" s="1315"/>
      <c r="G78" s="1303" t="s">
        <v>75</v>
      </c>
      <c r="H78" s="1304"/>
      <c r="I78" s="1304"/>
      <c r="J78" s="1305">
        <f>'Exemp.(HRA+Other) &amp; Other incom'!$Q$4</f>
        <v>0</v>
      </c>
      <c r="K78" s="1306"/>
      <c r="L78" s="113"/>
      <c r="M78" s="113"/>
      <c r="N78" s="1340"/>
      <c r="O78" s="1315"/>
      <c r="P78" s="1315"/>
      <c r="Q78" s="1315"/>
      <c r="R78" s="1315"/>
      <c r="S78" s="1303" t="s">
        <v>75</v>
      </c>
      <c r="T78" s="1304"/>
      <c r="U78" s="1304"/>
      <c r="V78" s="1305">
        <f>'Exemp.(HRA+Other) &amp; Other incom'!$Q$4</f>
        <v>0</v>
      </c>
      <c r="W78" s="1306"/>
      <c r="X78" s="1302"/>
      <c r="Y78" s="1302"/>
      <c r="Z78" s="1302"/>
      <c r="AA78" s="1302"/>
      <c r="AB78" s="1302"/>
      <c r="AC78" s="1302"/>
      <c r="AD78" s="1302"/>
      <c r="AE78" s="1302"/>
      <c r="AF78" s="1302"/>
      <c r="AG78" s="1302"/>
      <c r="AH78" s="1302"/>
      <c r="AI78" s="1302"/>
      <c r="AJ78" s="1302"/>
      <c r="AK78" s="1302"/>
      <c r="AL78" s="1302"/>
      <c r="AM78" s="1302"/>
      <c r="AN78" s="1302"/>
      <c r="AO78" s="1302"/>
      <c r="AP78" s="1302"/>
      <c r="AQ78" s="1302"/>
      <c r="AR78" s="1302"/>
      <c r="AS78" s="1302"/>
      <c r="AT78" s="1302"/>
      <c r="AU78" s="1302"/>
      <c r="AV78" s="1302"/>
    </row>
    <row r="79" spans="1:48" ht="35.25" customHeight="1" thickBot="1">
      <c r="A79" s="113"/>
      <c r="B79" s="1341"/>
      <c r="C79" s="1307"/>
      <c r="D79" s="1307"/>
      <c r="E79" s="1307"/>
      <c r="F79" s="1307"/>
      <c r="G79" s="1307"/>
      <c r="H79" s="1307"/>
      <c r="I79" s="1307"/>
      <c r="J79" s="1307"/>
      <c r="K79" s="1308"/>
      <c r="L79" s="113"/>
      <c r="M79" s="113"/>
      <c r="N79" s="1341"/>
      <c r="O79" s="1307"/>
      <c r="P79" s="1307"/>
      <c r="Q79" s="1307"/>
      <c r="R79" s="1307"/>
      <c r="S79" s="1307"/>
      <c r="T79" s="1307"/>
      <c r="U79" s="1307"/>
      <c r="V79" s="1307"/>
      <c r="W79" s="1308"/>
      <c r="X79" s="1302"/>
      <c r="Y79" s="1302"/>
      <c r="Z79" s="1302"/>
      <c r="AA79" s="1302"/>
      <c r="AB79" s="1302"/>
      <c r="AC79" s="1302"/>
      <c r="AD79" s="1302"/>
      <c r="AE79" s="1302"/>
      <c r="AF79" s="1302"/>
      <c r="AG79" s="1302"/>
      <c r="AH79" s="1302"/>
      <c r="AI79" s="1302"/>
      <c r="AJ79" s="1302"/>
      <c r="AK79" s="1302"/>
      <c r="AL79" s="1302"/>
      <c r="AM79" s="1302"/>
      <c r="AN79" s="1302"/>
      <c r="AO79" s="1302"/>
      <c r="AP79" s="1302"/>
      <c r="AQ79" s="1302"/>
      <c r="AR79" s="1302"/>
      <c r="AS79" s="1302"/>
      <c r="AT79" s="1302"/>
      <c r="AU79" s="1302"/>
      <c r="AV79" s="1302"/>
    </row>
    <row r="80" spans="1:48">
      <c r="A80" s="1263"/>
      <c r="B80" s="1263"/>
      <c r="C80" s="1263"/>
      <c r="D80" s="1263"/>
      <c r="E80" s="1263"/>
      <c r="F80" s="1263"/>
      <c r="G80" s="1263"/>
      <c r="H80" s="1263"/>
      <c r="I80" s="1263"/>
      <c r="J80" s="1263"/>
      <c r="K80" s="1263"/>
      <c r="L80" s="1263"/>
      <c r="M80" s="1263"/>
      <c r="N80" s="1263"/>
      <c r="O80" s="1263"/>
      <c r="P80" s="1263"/>
      <c r="Q80" s="1263"/>
      <c r="R80" s="1263"/>
      <c r="S80" s="1263"/>
      <c r="T80" s="1263"/>
      <c r="U80" s="1263"/>
      <c r="V80" s="1263"/>
      <c r="W80" s="1263"/>
      <c r="X80" s="1302"/>
      <c r="Y80" s="1302"/>
      <c r="Z80" s="1302"/>
      <c r="AA80" s="1302"/>
      <c r="AB80" s="1302"/>
      <c r="AC80" s="1302"/>
      <c r="AD80" s="1302"/>
      <c r="AE80" s="1302"/>
      <c r="AF80" s="1302"/>
      <c r="AG80" s="1302"/>
      <c r="AH80" s="1302"/>
      <c r="AI80" s="1302"/>
      <c r="AJ80" s="1302"/>
      <c r="AK80" s="1302"/>
      <c r="AL80" s="1302"/>
      <c r="AM80" s="1302"/>
      <c r="AN80" s="1302"/>
      <c r="AO80" s="1302"/>
      <c r="AP80" s="1302"/>
      <c r="AQ80" s="1302"/>
      <c r="AR80" s="1302"/>
      <c r="AS80" s="1302"/>
      <c r="AT80" s="1302"/>
      <c r="AU80" s="1302"/>
      <c r="AV80" s="1302"/>
    </row>
    <row r="81"/>
    <row r="82"/>
    <row r="83"/>
    <row r="84"/>
  </sheetData>
  <sheetProtection password="E8FA" sheet="1" objects="1" scenarios="1" formatCells="0" formatColumns="0" formatRows="0" selectLockedCells="1"/>
  <mergeCells count="209">
    <mergeCell ref="C2:K2"/>
    <mergeCell ref="D6:K6"/>
    <mergeCell ref="D7:G7"/>
    <mergeCell ref="H7:J7"/>
    <mergeCell ref="I5:J5"/>
    <mergeCell ref="N5:T5"/>
    <mergeCell ref="U5:V5"/>
    <mergeCell ref="N6:N24"/>
    <mergeCell ref="O12:W12"/>
    <mergeCell ref="R13:W13"/>
    <mergeCell ref="G24:K24"/>
    <mergeCell ref="S19:T19"/>
    <mergeCell ref="U19:W19"/>
    <mergeCell ref="S20:W20"/>
    <mergeCell ref="B3:K3"/>
    <mergeCell ref="C16:K16"/>
    <mergeCell ref="G20:K20"/>
    <mergeCell ref="G21:K22"/>
    <mergeCell ref="G23:I23"/>
    <mergeCell ref="G17:K17"/>
    <mergeCell ref="S23:U23"/>
    <mergeCell ref="N3:W3"/>
    <mergeCell ref="P6:W6"/>
    <mergeCell ref="P7:S7"/>
    <mergeCell ref="T7:V7"/>
    <mergeCell ref="P8:W8"/>
    <mergeCell ref="O10:R10"/>
    <mergeCell ref="S10:W10"/>
    <mergeCell ref="O17:R24"/>
    <mergeCell ref="Q11:W11"/>
    <mergeCell ref="S21:W22"/>
    <mergeCell ref="O9:R9"/>
    <mergeCell ref="A49:X55"/>
    <mergeCell ref="X2:X48"/>
    <mergeCell ref="S33:W33"/>
    <mergeCell ref="D30:K30"/>
    <mergeCell ref="P30:W30"/>
    <mergeCell ref="D31:G31"/>
    <mergeCell ref="H31:J31"/>
    <mergeCell ref="P31:S31"/>
    <mergeCell ref="T31:V31"/>
    <mergeCell ref="G42:K42"/>
    <mergeCell ref="S44:W44"/>
    <mergeCell ref="G45:K46"/>
    <mergeCell ref="D39:E39"/>
    <mergeCell ref="P39:Q39"/>
    <mergeCell ref="G41:K41"/>
    <mergeCell ref="S45:W46"/>
    <mergeCell ref="B4:K4"/>
    <mergeCell ref="N4:W4"/>
    <mergeCell ref="B5:H5"/>
    <mergeCell ref="G47:I47"/>
    <mergeCell ref="J47:K47"/>
    <mergeCell ref="S47:U47"/>
    <mergeCell ref="V47:W47"/>
    <mergeCell ref="G48:K48"/>
    <mergeCell ref="S48:W48"/>
    <mergeCell ref="O41:R48"/>
    <mergeCell ref="S42:W42"/>
    <mergeCell ref="G43:H43"/>
    <mergeCell ref="I43:K43"/>
    <mergeCell ref="S43:T43"/>
    <mergeCell ref="U43:W43"/>
    <mergeCell ref="G44:K44"/>
    <mergeCell ref="D37:E37"/>
    <mergeCell ref="L2:L48"/>
    <mergeCell ref="N25:W25"/>
    <mergeCell ref="V23:W23"/>
    <mergeCell ref="S24:W24"/>
    <mergeCell ref="O2:W2"/>
    <mergeCell ref="B25:K25"/>
    <mergeCell ref="B30:B48"/>
    <mergeCell ref="A1:W1"/>
    <mergeCell ref="A2:A48"/>
    <mergeCell ref="M2:M48"/>
    <mergeCell ref="S41:W41"/>
    <mergeCell ref="F39:K39"/>
    <mergeCell ref="C40:K40"/>
    <mergeCell ref="C41:F48"/>
    <mergeCell ref="C34:F34"/>
    <mergeCell ref="G34:K34"/>
    <mergeCell ref="O34:R34"/>
    <mergeCell ref="S34:W34"/>
    <mergeCell ref="C35:D35"/>
    <mergeCell ref="O35:P35"/>
    <mergeCell ref="D32:K32"/>
    <mergeCell ref="P32:W32"/>
    <mergeCell ref="C33:F33"/>
    <mergeCell ref="O16:W16"/>
    <mergeCell ref="G33:K33"/>
    <mergeCell ref="O33:R33"/>
    <mergeCell ref="F13:K13"/>
    <mergeCell ref="B28:K28"/>
    <mergeCell ref="B29:H29"/>
    <mergeCell ref="C14:K14"/>
    <mergeCell ref="I29:J29"/>
    <mergeCell ref="O14:W14"/>
    <mergeCell ref="R15:W15"/>
    <mergeCell ref="D8:K8"/>
    <mergeCell ref="C9:F9"/>
    <mergeCell ref="G9:K9"/>
    <mergeCell ref="J23:K23"/>
    <mergeCell ref="C10:F10"/>
    <mergeCell ref="G10:K10"/>
    <mergeCell ref="D13:E13"/>
    <mergeCell ref="D15:E15"/>
    <mergeCell ref="G18:K18"/>
    <mergeCell ref="G19:H19"/>
    <mergeCell ref="C17:F24"/>
    <mergeCell ref="F15:K15"/>
    <mergeCell ref="C11:D11"/>
    <mergeCell ref="E11:K11"/>
    <mergeCell ref="I19:K19"/>
    <mergeCell ref="O57:W57"/>
    <mergeCell ref="B58:K58"/>
    <mergeCell ref="N58:W58"/>
    <mergeCell ref="C26:K26"/>
    <mergeCell ref="O26:W26"/>
    <mergeCell ref="B27:K27"/>
    <mergeCell ref="N27:W27"/>
    <mergeCell ref="P37:Q37"/>
    <mergeCell ref="Q35:W35"/>
    <mergeCell ref="E35:K35"/>
    <mergeCell ref="B6:B24"/>
    <mergeCell ref="C12:K12"/>
    <mergeCell ref="S17:W17"/>
    <mergeCell ref="S18:W18"/>
    <mergeCell ref="S9:W9"/>
    <mergeCell ref="O11:P11"/>
    <mergeCell ref="P13:Q13"/>
    <mergeCell ref="P15:Q15"/>
    <mergeCell ref="B59:K59"/>
    <mergeCell ref="N59:W59"/>
    <mergeCell ref="N28:W28"/>
    <mergeCell ref="N29:T29"/>
    <mergeCell ref="U29:V29"/>
    <mergeCell ref="N30:N48"/>
    <mergeCell ref="O36:W36"/>
    <mergeCell ref="R37:W37"/>
    <mergeCell ref="O38:W38"/>
    <mergeCell ref="R39:W39"/>
    <mergeCell ref="O40:W40"/>
    <mergeCell ref="C36:K36"/>
    <mergeCell ref="F37:K37"/>
    <mergeCell ref="C38:K38"/>
    <mergeCell ref="A56:W56"/>
    <mergeCell ref="C57:K57"/>
    <mergeCell ref="P62:S62"/>
    <mergeCell ref="T62:V62"/>
    <mergeCell ref="D63:K63"/>
    <mergeCell ref="P63:W63"/>
    <mergeCell ref="C64:F64"/>
    <mergeCell ref="G64:K64"/>
    <mergeCell ref="O64:R64"/>
    <mergeCell ref="S64:W64"/>
    <mergeCell ref="B60:H60"/>
    <mergeCell ref="I60:J60"/>
    <mergeCell ref="N60:T60"/>
    <mergeCell ref="U60:V60"/>
    <mergeCell ref="B61:B79"/>
    <mergeCell ref="D61:K61"/>
    <mergeCell ref="N61:N79"/>
    <mergeCell ref="P61:W61"/>
    <mergeCell ref="D62:G62"/>
    <mergeCell ref="H62:J62"/>
    <mergeCell ref="C65:F65"/>
    <mergeCell ref="G65:K65"/>
    <mergeCell ref="O65:R65"/>
    <mergeCell ref="S65:W65"/>
    <mergeCell ref="C66:D66"/>
    <mergeCell ref="O66:P66"/>
    <mergeCell ref="G73:K73"/>
    <mergeCell ref="S73:W73"/>
    <mergeCell ref="C69:K69"/>
    <mergeCell ref="O69:W69"/>
    <mergeCell ref="D70:E70"/>
    <mergeCell ref="F70:K70"/>
    <mergeCell ref="P70:Q70"/>
    <mergeCell ref="R70:W70"/>
    <mergeCell ref="C67:K67"/>
    <mergeCell ref="O67:W67"/>
    <mergeCell ref="D68:E68"/>
    <mergeCell ref="F68:K68"/>
    <mergeCell ref="P68:Q68"/>
    <mergeCell ref="R68:W68"/>
    <mergeCell ref="G74:H74"/>
    <mergeCell ref="I74:K74"/>
    <mergeCell ref="E66:K66"/>
    <mergeCell ref="Q66:W66"/>
    <mergeCell ref="A80:W80"/>
    <mergeCell ref="X56:AV80"/>
    <mergeCell ref="G78:I78"/>
    <mergeCell ref="J78:K78"/>
    <mergeCell ref="S78:U78"/>
    <mergeCell ref="V78:W78"/>
    <mergeCell ref="G79:K79"/>
    <mergeCell ref="S79:W79"/>
    <mergeCell ref="S74:T74"/>
    <mergeCell ref="U74:W74"/>
    <mergeCell ref="G75:K75"/>
    <mergeCell ref="S75:W75"/>
    <mergeCell ref="G76:K77"/>
    <mergeCell ref="S76:W77"/>
    <mergeCell ref="C71:K71"/>
    <mergeCell ref="O71:W71"/>
    <mergeCell ref="C72:F79"/>
    <mergeCell ref="G72:K72"/>
    <mergeCell ref="O72:R79"/>
    <mergeCell ref="S72:W72"/>
  </mergeCells>
  <conditionalFormatting sqref="O57:W57 X56 C57:K57 B57:B61 K60:K65 F61:J65 D68:F68 D70:F70 C61:C72 G72:K79 N57:N79 R67:W79 D63:K63 D61:E66 O59:Q79 R59:W65 N2:N4 N2:W2 X1 C2:K2 B2:B6 K5:K10 R12:W34 D13:F13 D15:F15 C6:C17 R36:W48 D32:K32 N4:Q48 F36:K48 B25:E48 F25:F34 G17:K34 R4:W10 D6:E11 F6:J10">
    <cfRule type="cellIs" dxfId="14" priority="2" operator="equal">
      <formula>0</formula>
    </cfRule>
  </conditionalFormatting>
  <pageMargins left="0.23622047244094491" right="0.23622047244094491" top="0.23622047244094491" bottom="0.23622047244094491" header="0.19685039370078741" footer="0.19685039370078741"/>
  <pageSetup paperSize="9" scale="46" orientation="portrait" r:id="rId1"/>
  <drawing r:id="rId2"/>
</worksheet>
</file>

<file path=xl/worksheets/sheet12.xml><?xml version="1.0" encoding="utf-8"?>
<worksheet xmlns="http://schemas.openxmlformats.org/spreadsheetml/2006/main" xmlns:r="http://schemas.openxmlformats.org/officeDocument/2006/relationships">
  <sheetPr>
    <tabColor rgb="FF7030A0"/>
  </sheetPr>
  <dimension ref="A1:R15"/>
  <sheetViews>
    <sheetView showRowColHeaders="0" workbookViewId="0">
      <selection activeCell="C5" sqref="C5:D5"/>
    </sheetView>
  </sheetViews>
  <sheetFormatPr defaultColWidth="0" defaultRowHeight="33" zeroHeight="1"/>
  <cols>
    <col min="1" max="1" width="3.140625" style="1" customWidth="1"/>
    <col min="2" max="2" width="40.85546875" style="1" customWidth="1"/>
    <col min="3" max="3" width="16.28515625" style="1" customWidth="1"/>
    <col min="4" max="4" width="32.42578125" style="1" customWidth="1"/>
    <col min="5" max="5" width="3.28515625" style="1" customWidth="1"/>
    <col min="6" max="6" width="6.140625" style="332" customWidth="1"/>
    <col min="7" max="7" width="51.7109375" style="332" customWidth="1"/>
    <col min="8" max="8" width="14.7109375" style="332" customWidth="1"/>
    <col min="9" max="9" width="14.28515625" style="332" customWidth="1"/>
    <col min="10" max="10" width="3" style="1" customWidth="1"/>
    <col min="11" max="11" width="6" style="1" hidden="1" customWidth="1"/>
    <col min="12" max="12" width="16" style="1" hidden="1" customWidth="1"/>
    <col min="13" max="14" width="9.7109375" style="1" hidden="1" customWidth="1"/>
    <col min="15" max="15" width="6" style="1" hidden="1" customWidth="1"/>
    <col min="16" max="16" width="8.85546875" style="1" hidden="1" customWidth="1"/>
    <col min="17" max="18" width="9.140625" style="1" hidden="1" customWidth="1"/>
    <col min="19" max="16384" width="9.140625" hidden="1"/>
  </cols>
  <sheetData>
    <row r="1" spans="1:18" ht="28.5" thickBot="1">
      <c r="A1" s="1358"/>
      <c r="B1" s="1359" t="s">
        <v>482</v>
      </c>
      <c r="C1" s="1360"/>
      <c r="D1" s="1360"/>
      <c r="E1" s="1360"/>
      <c r="F1" s="1360"/>
      <c r="G1" s="1360"/>
      <c r="H1" s="1360"/>
      <c r="I1" s="1360"/>
      <c r="J1" s="1358"/>
    </row>
    <row r="2" spans="1:18" ht="33.75" thickBot="1">
      <c r="A2" s="1358"/>
      <c r="B2" s="1361" t="s">
        <v>483</v>
      </c>
      <c r="C2" s="1362"/>
      <c r="D2" s="1363"/>
      <c r="E2" s="1364"/>
      <c r="F2" s="1365" t="s">
        <v>484</v>
      </c>
      <c r="G2" s="1366"/>
      <c r="H2" s="1366"/>
      <c r="I2" s="1367"/>
      <c r="J2" s="1358"/>
    </row>
    <row r="3" spans="1:18" ht="40.5">
      <c r="A3" s="1358"/>
      <c r="B3" s="317" t="s">
        <v>485</v>
      </c>
      <c r="C3" s="1368" t="str">
        <f>CONCATENATE('Basic Data'!G5," ","(",'Basic Data'!M5,'Basic Data'!O5,")")</f>
        <v>Govt. Sr. School Raimalwada (DDO Code :-12345)</v>
      </c>
      <c r="D3" s="1369"/>
      <c r="E3" s="1364"/>
      <c r="F3" s="318" t="s">
        <v>4</v>
      </c>
      <c r="G3" s="319" t="s">
        <v>486</v>
      </c>
      <c r="H3" s="320" t="s">
        <v>487</v>
      </c>
      <c r="I3" s="321" t="s">
        <v>488</v>
      </c>
      <c r="J3" s="1358"/>
      <c r="K3" s="5"/>
      <c r="L3" s="5"/>
      <c r="M3" s="5"/>
      <c r="N3" s="5"/>
      <c r="O3" s="5"/>
      <c r="P3" s="5"/>
      <c r="Q3" s="5"/>
      <c r="R3" s="5"/>
    </row>
    <row r="4" spans="1:18" ht="18">
      <c r="A4" s="1358"/>
      <c r="B4" s="322" t="s">
        <v>489</v>
      </c>
      <c r="C4" s="1370" t="s">
        <v>490</v>
      </c>
      <c r="D4" s="1371"/>
      <c r="E4" s="1364"/>
      <c r="F4" s="323">
        <v>1</v>
      </c>
      <c r="G4" s="324" t="s">
        <v>491</v>
      </c>
      <c r="H4" s="325">
        <f>M12</f>
        <v>99432</v>
      </c>
      <c r="I4" s="326">
        <f>H4</f>
        <v>99432</v>
      </c>
      <c r="J4" s="1358"/>
      <c r="K4" s="327"/>
      <c r="L4" s="5" t="s">
        <v>33</v>
      </c>
      <c r="M4" s="327">
        <f>C8</f>
        <v>45100</v>
      </c>
      <c r="N4" s="327">
        <f>ROUND(M4*103%,-2)</f>
        <v>46500</v>
      </c>
      <c r="O4" s="5"/>
      <c r="P4" s="327">
        <f>MIN(I4:I9)</f>
        <v>-75510</v>
      </c>
      <c r="Q4" s="5"/>
      <c r="R4" s="5"/>
    </row>
    <row r="5" spans="1:18" ht="18">
      <c r="A5" s="1358"/>
      <c r="B5" s="322" t="s">
        <v>492</v>
      </c>
      <c r="C5" s="1370" t="s">
        <v>493</v>
      </c>
      <c r="D5" s="1371"/>
      <c r="E5" s="1364"/>
      <c r="F5" s="1372">
        <v>2</v>
      </c>
      <c r="G5" s="1373" t="s">
        <v>494</v>
      </c>
      <c r="H5" s="1375">
        <f>C9*12</f>
        <v>0</v>
      </c>
      <c r="I5" s="1377">
        <f>H5-H7</f>
        <v>-75510</v>
      </c>
      <c r="J5" s="1358"/>
      <c r="K5" s="1380"/>
      <c r="L5" s="5" t="s">
        <v>34</v>
      </c>
      <c r="M5" s="5">
        <f>ROUND(M4*0.34,0)</f>
        <v>15334</v>
      </c>
      <c r="N5" s="5">
        <f>ROUND(N4*0.38,0)</f>
        <v>17670</v>
      </c>
      <c r="O5" s="5"/>
      <c r="P5" s="5"/>
      <c r="Q5" s="5"/>
      <c r="R5" s="5"/>
    </row>
    <row r="6" spans="1:18" ht="18">
      <c r="A6" s="1358"/>
      <c r="B6" s="322" t="s">
        <v>495</v>
      </c>
      <c r="C6" s="1370" t="s">
        <v>496</v>
      </c>
      <c r="D6" s="1371"/>
      <c r="E6" s="1364"/>
      <c r="F6" s="1372"/>
      <c r="G6" s="1374"/>
      <c r="H6" s="1376"/>
      <c r="I6" s="1378"/>
      <c r="J6" s="1358"/>
      <c r="K6" s="1380"/>
      <c r="L6" s="5"/>
      <c r="M6" s="5"/>
      <c r="N6" s="5"/>
      <c r="O6" s="5"/>
      <c r="P6" s="5"/>
      <c r="Q6" s="5"/>
      <c r="R6" s="5"/>
    </row>
    <row r="7" spans="1:18" ht="36">
      <c r="A7" s="1358"/>
      <c r="B7" s="322" t="s">
        <v>497</v>
      </c>
      <c r="C7" s="1370" t="s">
        <v>498</v>
      </c>
      <c r="D7" s="1381"/>
      <c r="E7" s="1364"/>
      <c r="F7" s="1372"/>
      <c r="G7" s="324" t="s">
        <v>499</v>
      </c>
      <c r="H7" s="325">
        <f>ROUND(M9*10%,0)</f>
        <v>75510</v>
      </c>
      <c r="I7" s="1379"/>
      <c r="J7" s="1358"/>
      <c r="K7" s="1380"/>
      <c r="L7" s="5" t="s">
        <v>8</v>
      </c>
      <c r="M7" s="327">
        <f>M4+M5</f>
        <v>60434</v>
      </c>
      <c r="N7" s="327">
        <f>N4+N5</f>
        <v>64170</v>
      </c>
      <c r="O7" s="5"/>
      <c r="P7" s="5"/>
      <c r="Q7" s="5"/>
      <c r="R7" s="5"/>
    </row>
    <row r="8" spans="1:18" ht="20.25">
      <c r="A8" s="1358"/>
      <c r="B8" s="322" t="s">
        <v>500</v>
      </c>
      <c r="C8" s="1382">
        <v>45100</v>
      </c>
      <c r="D8" s="1383"/>
      <c r="E8" s="1364"/>
      <c r="F8" s="1384">
        <v>3</v>
      </c>
      <c r="G8" s="1386" t="s">
        <v>501</v>
      </c>
      <c r="H8" s="1388">
        <f>IF(C4="Metro City",ROUND(H7*5,0),IF(C4="Non Metro City",ROUND(H7*4,0),H7))</f>
        <v>75510</v>
      </c>
      <c r="I8" s="1377">
        <f>H8</f>
        <v>75510</v>
      </c>
      <c r="J8" s="1358"/>
      <c r="K8" s="1408"/>
      <c r="L8" s="5"/>
      <c r="M8" s="327">
        <f>M7*4</f>
        <v>241736</v>
      </c>
      <c r="N8" s="327">
        <f>N7*8</f>
        <v>513360</v>
      </c>
      <c r="O8" s="5"/>
      <c r="P8" s="5"/>
      <c r="Q8" s="5"/>
      <c r="R8" s="5"/>
    </row>
    <row r="9" spans="1:18" ht="21" thickBot="1">
      <c r="A9" s="1358"/>
      <c r="B9" s="322" t="s">
        <v>502</v>
      </c>
      <c r="C9" s="1391">
        <v>0</v>
      </c>
      <c r="D9" s="1392"/>
      <c r="E9" s="1364"/>
      <c r="F9" s="1385"/>
      <c r="G9" s="1387"/>
      <c r="H9" s="1389"/>
      <c r="I9" s="1390"/>
      <c r="J9" s="1358"/>
      <c r="K9" s="1380"/>
      <c r="L9" s="328" t="s">
        <v>503</v>
      </c>
      <c r="M9" s="1393">
        <f>M8+N8</f>
        <v>755096</v>
      </c>
      <c r="N9" s="1393"/>
      <c r="O9" s="5"/>
      <c r="P9" s="5"/>
      <c r="Q9" s="5"/>
      <c r="R9" s="5"/>
    </row>
    <row r="10" spans="1:18" ht="20.25">
      <c r="A10" s="1358"/>
      <c r="B10" s="322" t="s">
        <v>504</v>
      </c>
      <c r="C10" s="1370" t="s">
        <v>505</v>
      </c>
      <c r="D10" s="1381"/>
      <c r="E10" s="1364"/>
      <c r="F10" s="1398" t="s">
        <v>506</v>
      </c>
      <c r="G10" s="1399"/>
      <c r="H10" s="1400" t="str">
        <f>IF(P4&lt;0,"Please enter the proper amount of per month's rent",P4)</f>
        <v>Please enter the proper amount of per month's rent</v>
      </c>
      <c r="I10" s="1401"/>
      <c r="J10" s="1358"/>
      <c r="K10" s="5"/>
      <c r="L10" s="5" t="s">
        <v>35</v>
      </c>
      <c r="M10" s="5">
        <f>IF($D$4="Rural Area",ROUND(M4*0.09,0),ROUND(M4*0.18,0))</f>
        <v>8118</v>
      </c>
      <c r="N10" s="5">
        <f>IF($D$4="Rural Area",ROUND(N4*0.09,0),ROUND(N4*0.18,0))</f>
        <v>8370</v>
      </c>
      <c r="O10" s="5"/>
      <c r="P10" s="5"/>
      <c r="Q10" s="5"/>
      <c r="R10" s="5"/>
    </row>
    <row r="11" spans="1:18" ht="21" thickBot="1">
      <c r="A11" s="1358"/>
      <c r="B11" s="329" t="s">
        <v>507</v>
      </c>
      <c r="C11" s="1404" t="s">
        <v>508</v>
      </c>
      <c r="D11" s="1405"/>
      <c r="E11" s="1364"/>
      <c r="F11" s="1406" t="s">
        <v>509</v>
      </c>
      <c r="G11" s="1407"/>
      <c r="H11" s="1402"/>
      <c r="I11" s="1403"/>
      <c r="J11" s="1358"/>
      <c r="K11" s="5"/>
      <c r="L11" s="5"/>
      <c r="M11" s="5">
        <f>M10*4</f>
        <v>32472</v>
      </c>
      <c r="N11" s="5">
        <f>N10*8</f>
        <v>66960</v>
      </c>
      <c r="O11" s="5"/>
      <c r="P11" s="5"/>
      <c r="Q11" s="5"/>
      <c r="R11" s="5"/>
    </row>
    <row r="12" spans="1:18" ht="19.5" thickBot="1">
      <c r="A12" s="1358"/>
      <c r="B12" s="1364"/>
      <c r="C12" s="1364"/>
      <c r="D12" s="1364"/>
      <c r="E12" s="1364"/>
      <c r="F12" s="1364"/>
      <c r="G12" s="1364"/>
      <c r="H12" s="1364"/>
      <c r="I12" s="1364"/>
      <c r="J12" s="1358"/>
      <c r="L12" s="328" t="s">
        <v>503</v>
      </c>
      <c r="M12" s="1393">
        <f>M11+N11</f>
        <v>99432</v>
      </c>
      <c r="N12" s="1393"/>
    </row>
    <row r="13" spans="1:18" ht="27.75" thickBot="1">
      <c r="A13" s="1358"/>
      <c r="B13" s="1394" t="s">
        <v>510</v>
      </c>
      <c r="C13" s="1395"/>
      <c r="D13" s="330">
        <f>C9*3</f>
        <v>0</v>
      </c>
      <c r="E13" s="331"/>
      <c r="F13" s="1394" t="s">
        <v>511</v>
      </c>
      <c r="G13" s="1395"/>
      <c r="H13" s="1396">
        <f>H5</f>
        <v>0</v>
      </c>
      <c r="I13" s="1397"/>
      <c r="J13" s="1358"/>
    </row>
    <row r="14" spans="1:18" ht="15">
      <c r="A14" s="1358"/>
      <c r="B14" s="1358"/>
      <c r="C14" s="1358"/>
      <c r="D14" s="1358"/>
      <c r="E14" s="1358"/>
      <c r="F14" s="1358"/>
      <c r="G14" s="1358"/>
      <c r="H14" s="1358"/>
      <c r="I14" s="1358"/>
      <c r="J14" s="1358"/>
    </row>
    <row r="15" spans="1:18" ht="20.25" hidden="1" customHeight="1"/>
  </sheetData>
  <sheetProtection password="E8FA" sheet="1" objects="1" scenarios="1" formatCells="0" formatColumns="0" formatRows="0" selectLockedCells="1"/>
  <mergeCells count="35">
    <mergeCell ref="M12:N12"/>
    <mergeCell ref="B13:C13"/>
    <mergeCell ref="F13:G13"/>
    <mergeCell ref="H13:I13"/>
    <mergeCell ref="M9:N9"/>
    <mergeCell ref="C10:D10"/>
    <mergeCell ref="F10:G10"/>
    <mergeCell ref="H10:I11"/>
    <mergeCell ref="C11:D11"/>
    <mergeCell ref="F11:G11"/>
    <mergeCell ref="K8:K9"/>
    <mergeCell ref="K5:K7"/>
    <mergeCell ref="C6:D6"/>
    <mergeCell ref="C7:D7"/>
    <mergeCell ref="C8:D8"/>
    <mergeCell ref="F8:F9"/>
    <mergeCell ref="G8:G9"/>
    <mergeCell ref="H8:H9"/>
    <mergeCell ref="I8:I9"/>
    <mergeCell ref="C9:D9"/>
    <mergeCell ref="A1:A14"/>
    <mergeCell ref="B1:I1"/>
    <mergeCell ref="J1:J14"/>
    <mergeCell ref="B2:D2"/>
    <mergeCell ref="E2:E11"/>
    <mergeCell ref="F2:I2"/>
    <mergeCell ref="C3:D3"/>
    <mergeCell ref="C4:D4"/>
    <mergeCell ref="C5:D5"/>
    <mergeCell ref="F5:F7"/>
    <mergeCell ref="G5:G6"/>
    <mergeCell ref="H5:H6"/>
    <mergeCell ref="I5:I7"/>
    <mergeCell ref="B14:I14"/>
    <mergeCell ref="B12:I12"/>
  </mergeCells>
  <conditionalFormatting sqref="H10:I11">
    <cfRule type="cellIs" dxfId="13" priority="2" operator="equal">
      <formula>"Please enter the proper amount of per month's rent"</formula>
    </cfRule>
  </conditionalFormatting>
  <conditionalFormatting sqref="A13:I13">
    <cfRule type="expression" dxfId="12" priority="1">
      <formula>$A13="Please enter the proper amount of per month's rent"</formula>
    </cfRule>
  </conditionalFormatting>
  <dataValidations count="1">
    <dataValidation type="list" allowBlank="1" showInputMessage="1" showErrorMessage="1" sqref="C4">
      <formula1>"Metro City,Non Metro City,Rural Area"</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sheetPr>
    <tabColor rgb="FFFFFF00"/>
  </sheetPr>
  <dimension ref="A1:BF198"/>
  <sheetViews>
    <sheetView showRowColHeaders="0" topLeftCell="J2" workbookViewId="0">
      <selection activeCell="AF4" sqref="AF4:AH4"/>
    </sheetView>
  </sheetViews>
  <sheetFormatPr defaultColWidth="0" defaultRowHeight="15" zeroHeight="1"/>
  <cols>
    <col min="1" max="1" width="2.7109375" style="1" hidden="1" customWidth="1"/>
    <col min="2" max="2" width="4.140625" style="1" hidden="1" customWidth="1"/>
    <col min="3" max="3" width="2.140625" style="1" customWidth="1"/>
    <col min="4" max="4" width="6.28515625" style="5" customWidth="1"/>
    <col min="5" max="5" width="21.140625" style="5" customWidth="1"/>
    <col min="6" max="6" width="13.5703125" style="5" customWidth="1"/>
    <col min="7" max="7" width="7.5703125" style="5" customWidth="1"/>
    <col min="8" max="8" width="7" style="5" customWidth="1"/>
    <col min="9" max="11" width="8.5703125" style="5" customWidth="1"/>
    <col min="12" max="12" width="6.85546875" style="5" customWidth="1"/>
    <col min="13" max="14" width="21.140625" style="5" customWidth="1"/>
    <col min="15" max="15" width="9.140625" style="5" hidden="1" customWidth="1"/>
    <col min="16" max="16" width="6" style="5" hidden="1" customWidth="1"/>
    <col min="17" max="17" width="5.7109375" style="5" hidden="1" customWidth="1"/>
    <col min="18" max="20" width="9.140625" style="5" hidden="1" customWidth="1"/>
    <col min="21" max="21" width="17.42578125" style="5" customWidth="1"/>
    <col min="22" max="23" width="9.140625" style="5" hidden="1" customWidth="1"/>
    <col min="24" max="27" width="9.140625" style="1" hidden="1" customWidth="1"/>
    <col min="28" max="28" width="7.7109375" style="1" hidden="1" customWidth="1"/>
    <col min="29" max="29" width="9.140625" style="1" hidden="1" customWidth="1"/>
    <col min="30" max="30" width="18.140625" style="1" customWidth="1"/>
    <col min="31" max="31" width="12.42578125" style="1" customWidth="1"/>
    <col min="32" max="32" width="8" style="1" customWidth="1"/>
    <col min="33" max="33" width="7.140625" style="1" customWidth="1"/>
    <col min="34" max="37" width="8" style="1" customWidth="1"/>
    <col min="38" max="38" width="8.28515625" style="1" customWidth="1"/>
    <col min="39" max="39" width="8.28515625" style="1" hidden="1" customWidth="1"/>
    <col min="40" max="40" width="9.5703125" style="1" customWidth="1"/>
    <col min="41" max="41" width="3.28515625" style="376" customWidth="1"/>
    <col min="42" max="42" width="3.140625" style="1" customWidth="1"/>
    <col min="43" max="45" width="7.85546875" style="1" hidden="1" customWidth="1"/>
    <col min="46" max="47" width="9.28515625" style="1" hidden="1" customWidth="1"/>
    <col min="48" max="48" width="6.5703125" style="1" hidden="1" customWidth="1"/>
    <col min="49" max="51" width="7.85546875" style="1" hidden="1" customWidth="1"/>
    <col min="52" max="52" width="10.28515625" style="1" hidden="1" customWidth="1"/>
    <col min="53" max="53" width="9.28515625" style="1" hidden="1" customWidth="1"/>
    <col min="54" max="54" width="6.5703125" style="1" hidden="1" customWidth="1"/>
    <col min="55" max="57" width="3.140625" style="1" hidden="1" customWidth="1"/>
    <col min="58" max="58" width="3.140625" hidden="1" customWidth="1"/>
    <col min="59" max="16384" width="9.140625" hidden="1"/>
  </cols>
  <sheetData>
    <row r="1" spans="1:57" ht="26.25" hidden="1" thickBot="1">
      <c r="C1" s="1429"/>
      <c r="D1" s="1430" t="s">
        <v>512</v>
      </c>
      <c r="E1" s="1431"/>
      <c r="F1" s="1431"/>
      <c r="G1" s="1431"/>
      <c r="H1" s="1431"/>
      <c r="I1" s="1431"/>
      <c r="J1" s="1431"/>
      <c r="K1" s="1431"/>
      <c r="L1" s="1431"/>
      <c r="M1" s="1431"/>
      <c r="N1" s="1431"/>
      <c r="O1" s="1431"/>
      <c r="P1" s="1431"/>
      <c r="Q1" s="1431"/>
      <c r="R1" s="1431"/>
      <c r="S1" s="1431"/>
      <c r="T1" s="1431"/>
      <c r="U1" s="1431"/>
      <c r="V1" s="1431"/>
      <c r="W1" s="1431"/>
      <c r="X1" s="1431"/>
      <c r="Y1" s="1431"/>
      <c r="Z1" s="1431"/>
      <c r="AA1" s="1431"/>
      <c r="AB1" s="1431"/>
      <c r="AC1" s="1431"/>
      <c r="AD1" s="1431"/>
      <c r="AE1" s="1431"/>
      <c r="AF1" s="1431"/>
      <c r="AG1" s="1431"/>
      <c r="AH1" s="1431"/>
      <c r="AI1" s="1431"/>
      <c r="AJ1" s="1431"/>
      <c r="AK1" s="1431"/>
      <c r="AL1" s="1431"/>
      <c r="AM1" s="1431"/>
      <c r="AN1" s="1431"/>
      <c r="AO1" s="1431"/>
      <c r="AP1" s="1429"/>
    </row>
    <row r="2" spans="1:57" ht="22.5">
      <c r="C2" s="1429"/>
      <c r="D2" s="1442" t="str">
        <f>CONCATENATE('Basic Data'!G5," ","(",'Basic Data'!M5,'Basic Data'!O5,")")</f>
        <v>Govt. Sr. School Raimalwada (DDO Code :-12345)</v>
      </c>
      <c r="E2" s="1443"/>
      <c r="F2" s="1443"/>
      <c r="G2" s="1443"/>
      <c r="H2" s="1443"/>
      <c r="I2" s="1443"/>
      <c r="J2" s="1443"/>
      <c r="K2" s="1443"/>
      <c r="L2" s="1443"/>
      <c r="M2" s="1443"/>
      <c r="N2" s="1443"/>
      <c r="O2" s="1443"/>
      <c r="P2" s="1443"/>
      <c r="Q2" s="1443"/>
      <c r="R2" s="1443"/>
      <c r="S2" s="1443"/>
      <c r="T2" s="1443"/>
      <c r="U2" s="1443"/>
      <c r="V2" s="1443"/>
      <c r="W2" s="1443"/>
      <c r="X2" s="1443"/>
      <c r="Y2" s="1443"/>
      <c r="Z2" s="1443"/>
      <c r="AA2" s="1443"/>
      <c r="AB2" s="1443"/>
      <c r="AC2" s="1443"/>
      <c r="AD2" s="1443"/>
      <c r="AE2" s="1443"/>
      <c r="AF2" s="1443"/>
      <c r="AG2" s="1443"/>
      <c r="AH2" s="1443"/>
      <c r="AI2" s="1443"/>
      <c r="AJ2" s="1443"/>
      <c r="AK2" s="1443"/>
      <c r="AL2" s="1443"/>
      <c r="AM2" s="1443"/>
      <c r="AN2" s="1443"/>
      <c r="AO2" s="1444"/>
      <c r="AP2" s="1429"/>
    </row>
    <row r="3" spans="1:57" ht="21" thickBot="1">
      <c r="C3" s="1429"/>
      <c r="D3" s="1445" t="s">
        <v>590</v>
      </c>
      <c r="E3" s="1446"/>
      <c r="F3" s="1446"/>
      <c r="G3" s="1446"/>
      <c r="H3" s="1446"/>
      <c r="I3" s="1446"/>
      <c r="J3" s="1446"/>
      <c r="K3" s="1446"/>
      <c r="L3" s="1446"/>
      <c r="M3" s="1446"/>
      <c r="N3" s="1446"/>
      <c r="O3" s="1446"/>
      <c r="P3" s="1446"/>
      <c r="Q3" s="1446"/>
      <c r="R3" s="1446"/>
      <c r="S3" s="1446"/>
      <c r="T3" s="1446"/>
      <c r="U3" s="1446"/>
      <c r="V3" s="1446"/>
      <c r="W3" s="1446"/>
      <c r="X3" s="1446"/>
      <c r="Y3" s="1446"/>
      <c r="Z3" s="1446"/>
      <c r="AA3" s="1446"/>
      <c r="AB3" s="1446"/>
      <c r="AC3" s="1446"/>
      <c r="AD3" s="1446"/>
      <c r="AE3" s="1446"/>
      <c r="AF3" s="1446"/>
      <c r="AG3" s="1446"/>
      <c r="AH3" s="1446"/>
      <c r="AI3" s="1446"/>
      <c r="AJ3" s="1446"/>
      <c r="AK3" s="1446"/>
      <c r="AL3" s="1446"/>
      <c r="AM3" s="1446"/>
      <c r="AN3" s="1446"/>
      <c r="AO3" s="1447"/>
      <c r="AP3" s="1429"/>
    </row>
    <row r="4" spans="1:57" ht="30.75" customHeight="1">
      <c r="A4" s="5"/>
      <c r="B4" s="5"/>
      <c r="C4" s="1429"/>
      <c r="D4" s="1448" t="s">
        <v>4</v>
      </c>
      <c r="E4" s="1450" t="s">
        <v>513</v>
      </c>
      <c r="F4" s="1452" t="s">
        <v>597</v>
      </c>
      <c r="G4" s="1454" t="s">
        <v>514</v>
      </c>
      <c r="H4" s="1423" t="s">
        <v>515</v>
      </c>
      <c r="I4" s="1425" t="s">
        <v>516</v>
      </c>
      <c r="J4" s="1427" t="s">
        <v>517</v>
      </c>
      <c r="K4" s="1427" t="s">
        <v>518</v>
      </c>
      <c r="L4" s="1427" t="s">
        <v>519</v>
      </c>
      <c r="M4" s="537" t="s">
        <v>591</v>
      </c>
      <c r="N4" s="537" t="s">
        <v>520</v>
      </c>
      <c r="O4" s="1411" t="s">
        <v>596</v>
      </c>
      <c r="P4" s="1412"/>
      <c r="Q4" s="1412"/>
      <c r="R4" s="1412"/>
      <c r="S4" s="1412"/>
      <c r="T4" s="1412"/>
      <c r="U4" s="1413"/>
      <c r="V4" s="1414" t="s">
        <v>595</v>
      </c>
      <c r="W4" s="1415"/>
      <c r="X4" s="1415"/>
      <c r="Y4" s="1415"/>
      <c r="Z4" s="1415"/>
      <c r="AA4" s="1415"/>
      <c r="AB4" s="1415"/>
      <c r="AC4" s="1415"/>
      <c r="AD4" s="1416"/>
      <c r="AE4" s="1417" t="s">
        <v>521</v>
      </c>
      <c r="AF4" s="1419" t="s">
        <v>609</v>
      </c>
      <c r="AG4" s="1420"/>
      <c r="AH4" s="1421"/>
      <c r="AI4" s="1422" t="s">
        <v>522</v>
      </c>
      <c r="AJ4" s="1422"/>
      <c r="AK4" s="1422"/>
      <c r="AL4" s="1433" t="s">
        <v>523</v>
      </c>
      <c r="AM4" s="333"/>
      <c r="AN4" s="1435" t="s">
        <v>524</v>
      </c>
      <c r="AO4" s="1436"/>
      <c r="AP4" s="1429"/>
      <c r="AQ4" s="5"/>
      <c r="AR4" s="5"/>
      <c r="AS4" s="5"/>
      <c r="AT4" s="5"/>
      <c r="AU4" s="5"/>
      <c r="AV4" s="5"/>
      <c r="AW4" s="5"/>
      <c r="AX4" s="5"/>
      <c r="AY4" s="5"/>
      <c r="AZ4" s="5"/>
      <c r="BA4" s="5"/>
      <c r="BB4" s="5"/>
      <c r="BC4" s="5"/>
      <c r="BD4" s="5"/>
      <c r="BE4" s="5"/>
    </row>
    <row r="5" spans="1:57" ht="45">
      <c r="A5" s="310"/>
      <c r="B5" s="310"/>
      <c r="C5" s="1429"/>
      <c r="D5" s="1449"/>
      <c r="E5" s="1451"/>
      <c r="F5" s="1453"/>
      <c r="G5" s="1455"/>
      <c r="H5" s="1424"/>
      <c r="I5" s="1426"/>
      <c r="J5" s="1428"/>
      <c r="K5" s="1428"/>
      <c r="L5" s="1428"/>
      <c r="M5" s="538" t="s">
        <v>598</v>
      </c>
      <c r="N5" s="538" t="s">
        <v>599</v>
      </c>
      <c r="O5" s="334" t="s">
        <v>525</v>
      </c>
      <c r="P5" s="334" t="s">
        <v>526</v>
      </c>
      <c r="Q5" s="334" t="s">
        <v>527</v>
      </c>
      <c r="R5" s="335" t="s">
        <v>8</v>
      </c>
      <c r="S5" s="336" t="s">
        <v>528</v>
      </c>
      <c r="T5" s="335" t="s">
        <v>529</v>
      </c>
      <c r="U5" s="337" t="s">
        <v>530</v>
      </c>
      <c r="V5" s="334" t="s">
        <v>592</v>
      </c>
      <c r="W5" s="334" t="s">
        <v>593</v>
      </c>
      <c r="X5" s="334" t="s">
        <v>594</v>
      </c>
      <c r="Y5" s="334" t="s">
        <v>531</v>
      </c>
      <c r="Z5" s="334" t="s">
        <v>532</v>
      </c>
      <c r="AA5" s="335" t="s">
        <v>8</v>
      </c>
      <c r="AB5" s="336" t="s">
        <v>528</v>
      </c>
      <c r="AC5" s="335" t="s">
        <v>529</v>
      </c>
      <c r="AD5" s="337" t="s">
        <v>530</v>
      </c>
      <c r="AE5" s="1418"/>
      <c r="AF5" s="338" t="s">
        <v>533</v>
      </c>
      <c r="AG5" s="339" t="s">
        <v>534</v>
      </c>
      <c r="AH5" s="338" t="s">
        <v>8</v>
      </c>
      <c r="AI5" s="340">
        <f>IF(AF4="नव.-2024 के वेतन तक की गई Itax कटौती","Dec-24",0)</f>
        <v>0</v>
      </c>
      <c r="AJ5" s="340">
        <f>IF(AF4="नव.-2024 के वेतन तक की गई Itax कटौती","Jan-25",0)</f>
        <v>0</v>
      </c>
      <c r="AK5" s="340">
        <v>45689</v>
      </c>
      <c r="AL5" s="1434"/>
      <c r="AM5" s="341"/>
      <c r="AN5" s="1437"/>
      <c r="AO5" s="1438"/>
      <c r="AP5" s="1429"/>
      <c r="AQ5" s="310"/>
      <c r="AR5" s="342"/>
      <c r="AS5" s="342"/>
      <c r="AT5" s="342"/>
      <c r="AU5" s="310"/>
      <c r="AV5" s="310"/>
      <c r="AW5" s="310"/>
      <c r="AX5" s="310"/>
      <c r="AY5" s="310"/>
      <c r="AZ5" s="310"/>
      <c r="BA5" s="310"/>
      <c r="BB5" s="310"/>
      <c r="BC5" s="310"/>
      <c r="BD5" s="310"/>
      <c r="BE5" s="310"/>
    </row>
    <row r="6" spans="1:57" ht="15.75" thickBot="1">
      <c r="A6" s="310"/>
      <c r="B6" s="310"/>
      <c r="C6" s="1429"/>
      <c r="D6" s="343">
        <v>1</v>
      </c>
      <c r="E6" s="344">
        <v>2</v>
      </c>
      <c r="F6" s="344">
        <v>3</v>
      </c>
      <c r="G6" s="344">
        <v>4</v>
      </c>
      <c r="H6" s="344">
        <v>5</v>
      </c>
      <c r="I6" s="344">
        <v>6</v>
      </c>
      <c r="J6" s="344">
        <v>7</v>
      </c>
      <c r="K6" s="344">
        <v>8</v>
      </c>
      <c r="L6" s="344">
        <v>9</v>
      </c>
      <c r="M6" s="345">
        <v>10</v>
      </c>
      <c r="N6" s="345">
        <v>11</v>
      </c>
      <c r="O6" s="344">
        <v>10</v>
      </c>
      <c r="P6" s="344">
        <v>11</v>
      </c>
      <c r="Q6" s="344">
        <v>12</v>
      </c>
      <c r="R6" s="344">
        <v>13</v>
      </c>
      <c r="S6" s="344">
        <v>14</v>
      </c>
      <c r="T6" s="344">
        <v>15</v>
      </c>
      <c r="U6" s="344">
        <v>12</v>
      </c>
      <c r="V6" s="344">
        <v>17</v>
      </c>
      <c r="W6" s="344">
        <v>18</v>
      </c>
      <c r="X6" s="344">
        <v>19</v>
      </c>
      <c r="Y6" s="344">
        <v>20</v>
      </c>
      <c r="Z6" s="344">
        <v>21</v>
      </c>
      <c r="AA6" s="344">
        <v>22</v>
      </c>
      <c r="AB6" s="344">
        <v>23</v>
      </c>
      <c r="AC6" s="344">
        <v>24</v>
      </c>
      <c r="AD6" s="344">
        <v>13</v>
      </c>
      <c r="AE6" s="344">
        <v>14</v>
      </c>
      <c r="AF6" s="1439">
        <v>15</v>
      </c>
      <c r="AG6" s="1440"/>
      <c r="AH6" s="1441"/>
      <c r="AI6" s="344">
        <v>16</v>
      </c>
      <c r="AJ6" s="344">
        <v>17</v>
      </c>
      <c r="AK6" s="344">
        <v>18</v>
      </c>
      <c r="AL6" s="344">
        <v>19</v>
      </c>
      <c r="AM6" s="346"/>
      <c r="AN6" s="1439">
        <v>20</v>
      </c>
      <c r="AO6" s="1456"/>
      <c r="AP6" s="1429"/>
      <c r="AQ6" s="1409" t="s">
        <v>535</v>
      </c>
      <c r="AR6" s="1409"/>
      <c r="AS6" s="1409"/>
      <c r="AT6" s="1409"/>
      <c r="AU6" s="1409"/>
      <c r="AV6" s="1409"/>
      <c r="AW6" s="1409" t="s">
        <v>536</v>
      </c>
      <c r="AX6" s="1409"/>
      <c r="AY6" s="1409"/>
      <c r="AZ6" s="1409"/>
      <c r="BA6" s="1409"/>
      <c r="BB6" s="1409"/>
      <c r="BC6" s="310"/>
      <c r="BD6" s="310"/>
      <c r="BE6" s="310"/>
    </row>
    <row r="7" spans="1:57" ht="15.75">
      <c r="A7" s="347">
        <f>MIN(U7,AD7)</f>
        <v>51800</v>
      </c>
      <c r="B7" s="347">
        <f t="shared" ref="B7:B38" si="0">IF(F7=0,0,IF(OR(U7=0,AD7=0),"NT",0))</f>
        <v>0</v>
      </c>
      <c r="C7" s="1410"/>
      <c r="D7" s="348">
        <v>1</v>
      </c>
      <c r="E7" s="539" t="s">
        <v>224</v>
      </c>
      <c r="F7" s="349">
        <v>1072452</v>
      </c>
      <c r="G7" s="350">
        <v>32000</v>
      </c>
      <c r="H7" s="350">
        <v>0</v>
      </c>
      <c r="I7" s="350">
        <v>150000</v>
      </c>
      <c r="J7" s="350">
        <v>0</v>
      </c>
      <c r="K7" s="350">
        <v>0</v>
      </c>
      <c r="L7" s="350">
        <v>0</v>
      </c>
      <c r="M7" s="351">
        <f>F7-50000-G7-H7-I7-J7-K7-L7</f>
        <v>840452</v>
      </c>
      <c r="N7" s="351">
        <f>F7-75000</f>
        <v>997452</v>
      </c>
      <c r="O7" s="352">
        <f>IF(M7&lt;250000,0,IF(M7&gt;500000,12500,IF(M7&lt;500000,ROUND((M7-250000)*0.05,0),0)))</f>
        <v>12500</v>
      </c>
      <c r="P7" s="352">
        <f>IF(M7&lt;500000,0,IF(M7&gt;1000000,100000,ROUND((M7-500000)*0.2,0)))</f>
        <v>68090</v>
      </c>
      <c r="Q7" s="352">
        <f>IF(M7&lt;1000000,0,ROUND((M7-1000000)*0.3,0))</f>
        <v>0</v>
      </c>
      <c r="R7" s="351">
        <f t="shared" ref="R7:R38" si="1">IF(F7="","",IF(SUM(O7:Q7)&lt;=12500,0,SUM(O7:Q7)))</f>
        <v>80590</v>
      </c>
      <c r="S7" s="352">
        <f>IF(R7="","",ROUND(R7*0.04,0))</f>
        <v>3224</v>
      </c>
      <c r="T7" s="353">
        <f>IF(R7="","",R7+S7)</f>
        <v>83814</v>
      </c>
      <c r="U7" s="353">
        <f>IF(R7="","",ROUNDUP(T7,-2))</f>
        <v>83900</v>
      </c>
      <c r="V7" s="352">
        <f>IF(N7&gt;700000,20000,IF(N7&gt;300000,(N7-300000)*0.05,0))</f>
        <v>20000</v>
      </c>
      <c r="W7" s="352">
        <f>IF(N7&gt;1000000,30000,IF(N7&gt;700000,(N7-700000)*0.1,0))</f>
        <v>29745.200000000001</v>
      </c>
      <c r="X7" s="352">
        <f>IF(N7&gt;1200000,45000,IF(N7&gt;1000000,(N7-1000000)*0.15,0))</f>
        <v>0</v>
      </c>
      <c r="Y7" s="352">
        <f>IF(N7&gt;1500000,60000,IF(N7&gt;1200000,(N7-1200000)*0.2,0))</f>
        <v>0</v>
      </c>
      <c r="Z7" s="354">
        <f>IF(N7&lt;1500000,0,(N7-1500000)*0.3)</f>
        <v>0</v>
      </c>
      <c r="AA7" s="355">
        <f>IF(F7="","",IF(SUM(V7:Z7)&lt;=25000,0,IF((N7-700000)&lt;SUM(V7:Z7),(N7-700000),(SUM(V7:Z7)))))</f>
        <v>49745.2</v>
      </c>
      <c r="AB7" s="352">
        <f t="shared" ref="AB7:AB38" si="2">IF(F7="","",ROUND(AA7*0.04,0))</f>
        <v>1990</v>
      </c>
      <c r="AC7" s="353">
        <f t="shared" ref="AC7:AC38" si="3">IF(F7="","",(AA7+AB7))</f>
        <v>51735.199999999997</v>
      </c>
      <c r="AD7" s="353">
        <f t="shared" ref="AD7:AD38" si="4">IF(F7="","",ROUNDUP(AC7,-2))</f>
        <v>51800</v>
      </c>
      <c r="AE7" s="377" t="str">
        <f t="shared" ref="AE7:AE38" si="5">IF(F7="","",IF(F7="","",IF(U7=0,0,IF(U7&gt;AD7,"New Regime","Old Regime"))))</f>
        <v>New Regime</v>
      </c>
      <c r="AF7" s="356">
        <v>35000</v>
      </c>
      <c r="AG7" s="356"/>
      <c r="AH7" s="354">
        <f>AF7+AG7</f>
        <v>35000</v>
      </c>
      <c r="AI7" s="354">
        <f>IF(OR(U7=0,AD7=0),0,IF(AE7="Old Regime",AQ7,AW7))</f>
        <v>0</v>
      </c>
      <c r="AJ7" s="354">
        <f>IF(OR(U7=0,AD7=0),0,IF(AE7="Old Regime",AR7,AX7))</f>
        <v>0</v>
      </c>
      <c r="AK7" s="354">
        <f>IF(OR(U7=0,AD7=0),0,IF(AE7="Old Regime",AS7,AY7))</f>
        <v>17000</v>
      </c>
      <c r="AL7" s="355">
        <f>AI7+AJ7+AK7</f>
        <v>17000</v>
      </c>
      <c r="AM7" s="357">
        <f>MIN(U7,AD7)</f>
        <v>51800</v>
      </c>
      <c r="AN7" s="358">
        <f>IF(AM7&lt;=12500,-AH7,AM7-(AH7+AL7))</f>
        <v>-200</v>
      </c>
      <c r="AO7" s="359" t="str">
        <f>IF(AN7=0,0,IF(AN7&gt;0,"(P)","(R)"))</f>
        <v>(R)</v>
      </c>
      <c r="AP7" s="1429"/>
      <c r="AQ7" s="360">
        <f>IF($AF$4="जन.-2025 के वेतन तक की गई Itax कटौती",0,IF(U7&lt;=12500,0,IF(AH7&gt;U7,0,ROUNDUP((U7-AH7)/3,-3))))</f>
        <v>0</v>
      </c>
      <c r="AR7" s="360">
        <f>IF($AF$4="जन.-2025 के वेतन तक की गई Itax कटौती",0,IF(U7&lt;=12500,0,IF(AH7&gt;T7,0,ROUNDUP((U7-AH7)/3,-3))))</f>
        <v>0</v>
      </c>
      <c r="AS7" s="360">
        <f>IF($AF$4="जन.-2025 के वेतन तक की गई Itax कटौती",ROUNDUP((T7-AH7),-3),IF(T7&lt;=12500,0,IF(AH7&gt;T7,0,ROUNDUP((T7-AH7)/3,-3))))</f>
        <v>49000</v>
      </c>
      <c r="AT7" s="361">
        <f>ROUNDUP(AQ7+AR7+AS7,-3)</f>
        <v>49000</v>
      </c>
      <c r="AU7" s="361">
        <f>AT7+AH7</f>
        <v>84000</v>
      </c>
      <c r="AV7" s="360">
        <f>AU7-U7</f>
        <v>100</v>
      </c>
      <c r="AW7" s="360">
        <f>IF($AF$4="जन.-2025 के वेतन तक की गई Itax कटौती",0,IF(AD7&lt;=12500,0,IF(AH7&gt;AD7,0,ROUNDUP((AD7-AH7)/3,-3))))</f>
        <v>0</v>
      </c>
      <c r="AX7" s="360">
        <f>IF($AF$4="जन.-2025 के वेतन तक की गई Itax कटौती",0,IF(AD7&lt;=12500,0,IF(AH7&gt;AD7,0,ROUNDUP((AD7-AH7)/3,-3))))</f>
        <v>0</v>
      </c>
      <c r="AY7" s="360">
        <f>IF($AF$4="जन.-2025 के वेतन तक की गई Itax कटौती",ROUNDUP((AD7-AH7),-3),IF(AD7&lt;=12500,0,IF(AH7&gt;AD7,0,ROUNDUP((AD7-AH7)/3,-3))))</f>
        <v>17000</v>
      </c>
      <c r="AZ7" s="361">
        <f>ROUNDUP(AW7+AX7+AY7,-3)</f>
        <v>17000</v>
      </c>
      <c r="BA7" s="361">
        <f>AZ7+AH7</f>
        <v>52000</v>
      </c>
      <c r="BB7" s="360">
        <f>BA7-AD7</f>
        <v>200</v>
      </c>
      <c r="BC7" s="347"/>
      <c r="BD7" s="347"/>
      <c r="BE7" s="347"/>
    </row>
    <row r="8" spans="1:57" ht="15.75">
      <c r="A8" s="347">
        <f t="shared" ref="A8:A71" si="6">MIN(U8,AD8)</f>
        <v>0</v>
      </c>
      <c r="B8" s="347" t="str">
        <f t="shared" si="0"/>
        <v>NT</v>
      </c>
      <c r="C8" s="1410"/>
      <c r="D8" s="362">
        <v>2</v>
      </c>
      <c r="E8" s="540" t="s">
        <v>123</v>
      </c>
      <c r="F8" s="363">
        <v>777200</v>
      </c>
      <c r="G8" s="364"/>
      <c r="H8" s="364"/>
      <c r="I8" s="364"/>
      <c r="J8" s="364"/>
      <c r="K8" s="364"/>
      <c r="L8" s="364"/>
      <c r="M8" s="339">
        <f t="shared" ref="M8:M71" si="7">F8-50000-G8-H8-I8-J8-K8-L8</f>
        <v>727200</v>
      </c>
      <c r="N8" s="339">
        <f t="shared" ref="N8:N71" si="8">F8-75000</f>
        <v>702200</v>
      </c>
      <c r="O8" s="365">
        <f t="shared" ref="O8:O71" si="9">IF(M8&lt;250000,0,IF(M8&gt;500000,12500,IF(M8&lt;500000,ROUND((M8-250000)*0.05,0),0)))</f>
        <v>12500</v>
      </c>
      <c r="P8" s="365">
        <f t="shared" ref="P8:P71" si="10">IF(M8&lt;500000,0,IF(M8&gt;1000000,100000,ROUND((M8-500000)*0.2,0)))</f>
        <v>45440</v>
      </c>
      <c r="Q8" s="365">
        <f t="shared" ref="Q8:Q71" si="11">IF(M8&lt;1000000,0,ROUND((M8-1000000)*0.3,0))</f>
        <v>0</v>
      </c>
      <c r="R8" s="339">
        <f t="shared" si="1"/>
        <v>57940</v>
      </c>
      <c r="S8" s="365">
        <f t="shared" ref="S8:S71" si="12">IF(R8="","",ROUND(R8*0.04,0))</f>
        <v>2318</v>
      </c>
      <c r="T8" s="366">
        <f t="shared" ref="T8:T71" si="13">IF(R8="","",R8+S8)</f>
        <v>60258</v>
      </c>
      <c r="U8" s="366">
        <f t="shared" ref="U8:U71" si="14">IF(R8="","",ROUNDUP(T8,-2))</f>
        <v>60300</v>
      </c>
      <c r="V8" s="365">
        <f t="shared" ref="V8:V71" si="15">IF(N8&gt;700000,20000,IF(N8&gt;300000,(N8-300000)*0.05,0))</f>
        <v>20000</v>
      </c>
      <c r="W8" s="365">
        <f t="shared" ref="W8:W71" si="16">IF(N8&gt;1000000,30000,IF(N8&gt;700000,(N8-700000)*0.1,0))</f>
        <v>220</v>
      </c>
      <c r="X8" s="367">
        <f t="shared" ref="X8:X71" si="17">IF(N8&gt;1200000,45000,IF(N8&gt;1000000,(N8-1000000)*0.15,0))</f>
        <v>0</v>
      </c>
      <c r="Y8" s="367">
        <f t="shared" ref="Y8:Y71" si="18">IF(N8&gt;1500000,60000,IF(N8&gt;1200000,(N8-1200000)*0.2,0))</f>
        <v>0</v>
      </c>
      <c r="Z8" s="367">
        <f t="shared" ref="Z8:Z71" si="19">IF(N8&lt;1500000,0,(N8-1500000)*0.3)</f>
        <v>0</v>
      </c>
      <c r="AA8" s="368">
        <f t="shared" ref="AA8:AA71" si="20">IF(F8="","",IF(SUM(V8:Z8)&lt;=25000,0,IF((N8-700000)&lt;SUM(V8:Z8),(N8-700000),(SUM(V8:Z8)))))</f>
        <v>0</v>
      </c>
      <c r="AB8" s="365">
        <f t="shared" si="2"/>
        <v>0</v>
      </c>
      <c r="AC8" s="366">
        <f t="shared" si="3"/>
        <v>0</v>
      </c>
      <c r="AD8" s="353">
        <f t="shared" si="4"/>
        <v>0</v>
      </c>
      <c r="AE8" s="377" t="str">
        <f t="shared" si="5"/>
        <v>New Regime</v>
      </c>
      <c r="AF8" s="369"/>
      <c r="AG8" s="369"/>
      <c r="AH8" s="367">
        <f t="shared" ref="AH8:AH71" si="21">AF8+AG8</f>
        <v>0</v>
      </c>
      <c r="AI8" s="367">
        <f t="shared" ref="AI8:AI71" si="22">IF(OR(U8=0,AD8=0),0,IF(AE8="Old Regime",AQ8,AW8))</f>
        <v>0</v>
      </c>
      <c r="AJ8" s="367">
        <f t="shared" ref="AJ8:AJ71" si="23">IF(OR(U8=0,AD8=0),0,IF(AE8="Old Regime",AR8,AX8))</f>
        <v>0</v>
      </c>
      <c r="AK8" s="367">
        <f t="shared" ref="AK8:AK71" si="24">IF(OR(U8=0,AD8=0),0,IF(AE8="Old Regime",AS8,AY8))</f>
        <v>0</v>
      </c>
      <c r="AL8" s="368">
        <f t="shared" ref="AL8:AL71" si="25">AI8+AJ8+AK8</f>
        <v>0</v>
      </c>
      <c r="AM8" s="370">
        <f t="shared" ref="AM8:AM71" si="26">MIN(U8,AD8)</f>
        <v>0</v>
      </c>
      <c r="AN8" s="358">
        <f t="shared" ref="AN8:AN71" si="27">IF(AM8&lt;=12500,-AH8,AM8-(AH8+AL8))</f>
        <v>0</v>
      </c>
      <c r="AO8" s="371">
        <f t="shared" ref="AO8:AO71" si="28">IF(AN8=0,0,IF(AN8&gt;0,"(P)","(R)"))</f>
        <v>0</v>
      </c>
      <c r="AP8" s="1429"/>
      <c r="AQ8" s="360">
        <f t="shared" ref="AQ8:AQ71" si="29">IF($AF$4="जन.-2025 के वेतन तक की गई Itax कटौती",0,IF(U8&lt;=12500,0,IF(AH8&gt;U8,0,ROUNDUP((U8-AH8)/3,-3))))</f>
        <v>0</v>
      </c>
      <c r="AR8" s="360">
        <f t="shared" ref="AR8:AR71" si="30">IF($AF$4="जन.-2025 के वेतन तक की गई Itax कटौती",0,IF(U8&lt;=12500,0,IF(AH8&gt;T8,0,ROUNDUP((U8-AH8)/3,-3))))</f>
        <v>0</v>
      </c>
      <c r="AS8" s="360">
        <f t="shared" ref="AS8:AS71" si="31">IF($AF$4="जन.-2025 के वेतन तक की गई Itax कटौती",ROUNDUP((T8-AH8),-3),IF(T8&lt;=12500,0,IF(AH8&gt;T8,0,ROUNDUP((T8-AH8)/3,-3))))</f>
        <v>61000</v>
      </c>
      <c r="AT8" s="361">
        <f t="shared" ref="AT8:AT71" si="32">ROUNDUP(AQ8+AR8+AS8,-3)</f>
        <v>61000</v>
      </c>
      <c r="AU8" s="361">
        <f t="shared" ref="AU8:AU71" si="33">AT8+AH8</f>
        <v>61000</v>
      </c>
      <c r="AV8" s="360">
        <f t="shared" ref="AV8:AV71" si="34">AU8-U8</f>
        <v>700</v>
      </c>
      <c r="AW8" s="360">
        <f t="shared" ref="AW8:AW71" si="35">IF($AF$4="जन.-2025 के वेतन तक की गई Itax कटौती",0,IF(AD8&lt;=12500,0,IF(AH8&gt;AD8,0,ROUNDUP((AD8-AH8)/3,-3))))</f>
        <v>0</v>
      </c>
      <c r="AX8" s="360">
        <f t="shared" ref="AX8:AX71" si="36">IF($AF$4="जन.-2025 के वेतन तक की गई Itax कटौती",0,IF(AD8&lt;=12500,0,IF(AH8&gt;AD8,0,ROUNDUP((AD8-AH8)/3,-3))))</f>
        <v>0</v>
      </c>
      <c r="AY8" s="360">
        <f t="shared" ref="AY8:AY71" si="37">IF($AF$4="जन.-2025 के वेतन तक की गई Itax कटौती",ROUNDUP((AD8-AH8),-3),IF(AD8&lt;=12500,0,IF(AH8&gt;AD8,0,ROUNDUP((AD8-AH8)/3,-3))))</f>
        <v>0</v>
      </c>
      <c r="AZ8" s="361">
        <f t="shared" ref="AZ8:AZ71" si="38">ROUNDUP(AW8+AX8+AY8,-3)</f>
        <v>0</v>
      </c>
      <c r="BA8" s="361">
        <f t="shared" ref="BA8:BA71" si="39">AZ8+AH8</f>
        <v>0</v>
      </c>
      <c r="BB8" s="360">
        <f t="shared" ref="BB8:BB71" si="40">BA8-AD8</f>
        <v>0</v>
      </c>
      <c r="BC8" s="347"/>
      <c r="BD8" s="347"/>
      <c r="BE8" s="347"/>
    </row>
    <row r="9" spans="1:57" ht="15.75">
      <c r="A9" s="347">
        <f t="shared" si="6"/>
        <v>28200</v>
      </c>
      <c r="B9" s="347">
        <f t="shared" si="0"/>
        <v>0</v>
      </c>
      <c r="C9" s="1410"/>
      <c r="D9" s="362">
        <v>3</v>
      </c>
      <c r="E9" s="540" t="s">
        <v>223</v>
      </c>
      <c r="F9" s="363">
        <v>845545</v>
      </c>
      <c r="G9" s="364"/>
      <c r="H9" s="364"/>
      <c r="I9" s="364"/>
      <c r="J9" s="364"/>
      <c r="K9" s="364"/>
      <c r="L9" s="364"/>
      <c r="M9" s="339">
        <f t="shared" si="7"/>
        <v>795545</v>
      </c>
      <c r="N9" s="339">
        <f t="shared" si="8"/>
        <v>770545</v>
      </c>
      <c r="O9" s="365">
        <f t="shared" si="9"/>
        <v>12500</v>
      </c>
      <c r="P9" s="365">
        <f t="shared" si="10"/>
        <v>59109</v>
      </c>
      <c r="Q9" s="365">
        <f t="shared" si="11"/>
        <v>0</v>
      </c>
      <c r="R9" s="339">
        <f t="shared" si="1"/>
        <v>71609</v>
      </c>
      <c r="S9" s="365">
        <f t="shared" si="12"/>
        <v>2864</v>
      </c>
      <c r="T9" s="366">
        <f t="shared" si="13"/>
        <v>74473</v>
      </c>
      <c r="U9" s="366">
        <f t="shared" si="14"/>
        <v>74500</v>
      </c>
      <c r="V9" s="365">
        <f t="shared" si="15"/>
        <v>20000</v>
      </c>
      <c r="W9" s="365">
        <f t="shared" si="16"/>
        <v>7054.5</v>
      </c>
      <c r="X9" s="367">
        <f t="shared" si="17"/>
        <v>0</v>
      </c>
      <c r="Y9" s="367">
        <f t="shared" si="18"/>
        <v>0</v>
      </c>
      <c r="Z9" s="367">
        <f t="shared" si="19"/>
        <v>0</v>
      </c>
      <c r="AA9" s="368">
        <f t="shared" si="20"/>
        <v>27054.5</v>
      </c>
      <c r="AB9" s="365">
        <f t="shared" si="2"/>
        <v>1082</v>
      </c>
      <c r="AC9" s="366">
        <f t="shared" si="3"/>
        <v>28136.5</v>
      </c>
      <c r="AD9" s="353">
        <f t="shared" si="4"/>
        <v>28200</v>
      </c>
      <c r="AE9" s="377" t="str">
        <f t="shared" si="5"/>
        <v>New Regime</v>
      </c>
      <c r="AF9" s="369"/>
      <c r="AG9" s="369"/>
      <c r="AH9" s="367">
        <f t="shared" si="21"/>
        <v>0</v>
      </c>
      <c r="AI9" s="367">
        <f t="shared" si="22"/>
        <v>0</v>
      </c>
      <c r="AJ9" s="367">
        <f t="shared" si="23"/>
        <v>0</v>
      </c>
      <c r="AK9" s="367">
        <f t="shared" si="24"/>
        <v>29000</v>
      </c>
      <c r="AL9" s="368">
        <f t="shared" si="25"/>
        <v>29000</v>
      </c>
      <c r="AM9" s="370">
        <f t="shared" si="26"/>
        <v>28200</v>
      </c>
      <c r="AN9" s="358">
        <f t="shared" si="27"/>
        <v>-800</v>
      </c>
      <c r="AO9" s="371" t="str">
        <f t="shared" si="28"/>
        <v>(R)</v>
      </c>
      <c r="AP9" s="1429"/>
      <c r="AQ9" s="360">
        <f t="shared" si="29"/>
        <v>0</v>
      </c>
      <c r="AR9" s="360">
        <f t="shared" si="30"/>
        <v>0</v>
      </c>
      <c r="AS9" s="360">
        <f t="shared" si="31"/>
        <v>75000</v>
      </c>
      <c r="AT9" s="361">
        <f t="shared" si="32"/>
        <v>75000</v>
      </c>
      <c r="AU9" s="361">
        <f t="shared" si="33"/>
        <v>75000</v>
      </c>
      <c r="AV9" s="360">
        <f t="shared" si="34"/>
        <v>500</v>
      </c>
      <c r="AW9" s="360">
        <f t="shared" si="35"/>
        <v>0</v>
      </c>
      <c r="AX9" s="360">
        <f t="shared" si="36"/>
        <v>0</v>
      </c>
      <c r="AY9" s="360">
        <f t="shared" si="37"/>
        <v>29000</v>
      </c>
      <c r="AZ9" s="361">
        <f t="shared" si="38"/>
        <v>29000</v>
      </c>
      <c r="BA9" s="361">
        <f t="shared" si="39"/>
        <v>29000</v>
      </c>
      <c r="BB9" s="360">
        <f t="shared" si="40"/>
        <v>800</v>
      </c>
      <c r="BC9" s="347"/>
      <c r="BD9" s="347"/>
      <c r="BE9" s="347"/>
    </row>
    <row r="10" spans="1:57" ht="15.75">
      <c r="A10" s="347">
        <f t="shared" si="6"/>
        <v>0</v>
      </c>
      <c r="B10" s="347">
        <f t="shared" si="0"/>
        <v>0</v>
      </c>
      <c r="C10" s="1410"/>
      <c r="D10" s="362">
        <v>4</v>
      </c>
      <c r="E10" s="540"/>
      <c r="F10" s="363"/>
      <c r="G10" s="364"/>
      <c r="H10" s="364"/>
      <c r="I10" s="364"/>
      <c r="J10" s="364"/>
      <c r="K10" s="364"/>
      <c r="L10" s="364"/>
      <c r="M10" s="339">
        <f t="shared" si="7"/>
        <v>-50000</v>
      </c>
      <c r="N10" s="339">
        <f t="shared" si="8"/>
        <v>-75000</v>
      </c>
      <c r="O10" s="365">
        <f t="shared" si="9"/>
        <v>0</v>
      </c>
      <c r="P10" s="365">
        <f t="shared" si="10"/>
        <v>0</v>
      </c>
      <c r="Q10" s="365">
        <f t="shared" si="11"/>
        <v>0</v>
      </c>
      <c r="R10" s="339" t="str">
        <f t="shared" si="1"/>
        <v/>
      </c>
      <c r="S10" s="365" t="str">
        <f t="shared" si="12"/>
        <v/>
      </c>
      <c r="T10" s="366" t="str">
        <f t="shared" si="13"/>
        <v/>
      </c>
      <c r="U10" s="366" t="str">
        <f t="shared" si="14"/>
        <v/>
      </c>
      <c r="V10" s="365">
        <f t="shared" si="15"/>
        <v>0</v>
      </c>
      <c r="W10" s="365">
        <f t="shared" si="16"/>
        <v>0</v>
      </c>
      <c r="X10" s="367">
        <f t="shared" si="17"/>
        <v>0</v>
      </c>
      <c r="Y10" s="367">
        <f t="shared" si="18"/>
        <v>0</v>
      </c>
      <c r="Z10" s="367">
        <f t="shared" si="19"/>
        <v>0</v>
      </c>
      <c r="AA10" s="368" t="str">
        <f t="shared" si="20"/>
        <v/>
      </c>
      <c r="AB10" s="365" t="str">
        <f t="shared" si="2"/>
        <v/>
      </c>
      <c r="AC10" s="366" t="str">
        <f t="shared" si="3"/>
        <v/>
      </c>
      <c r="AD10" s="353" t="str">
        <f t="shared" si="4"/>
        <v/>
      </c>
      <c r="AE10" s="377" t="str">
        <f t="shared" si="5"/>
        <v/>
      </c>
      <c r="AF10" s="369"/>
      <c r="AG10" s="369"/>
      <c r="AH10" s="367">
        <f t="shared" si="21"/>
        <v>0</v>
      </c>
      <c r="AI10" s="367">
        <f t="shared" si="22"/>
        <v>0</v>
      </c>
      <c r="AJ10" s="367">
        <f t="shared" si="23"/>
        <v>0</v>
      </c>
      <c r="AK10" s="367" t="e">
        <f t="shared" si="24"/>
        <v>#VALUE!</v>
      </c>
      <c r="AL10" s="368" t="e">
        <f t="shared" si="25"/>
        <v>#VALUE!</v>
      </c>
      <c r="AM10" s="370">
        <f t="shared" si="26"/>
        <v>0</v>
      </c>
      <c r="AN10" s="358">
        <f t="shared" si="27"/>
        <v>0</v>
      </c>
      <c r="AO10" s="371">
        <f t="shared" si="28"/>
        <v>0</v>
      </c>
      <c r="AP10" s="1429"/>
      <c r="AQ10" s="360">
        <f t="shared" si="29"/>
        <v>0</v>
      </c>
      <c r="AR10" s="360">
        <f t="shared" si="30"/>
        <v>0</v>
      </c>
      <c r="AS10" s="360" t="e">
        <f t="shared" si="31"/>
        <v>#VALUE!</v>
      </c>
      <c r="AT10" s="361" t="e">
        <f t="shared" si="32"/>
        <v>#VALUE!</v>
      </c>
      <c r="AU10" s="361" t="e">
        <f t="shared" si="33"/>
        <v>#VALUE!</v>
      </c>
      <c r="AV10" s="360" t="e">
        <f t="shared" si="34"/>
        <v>#VALUE!</v>
      </c>
      <c r="AW10" s="360">
        <f t="shared" si="35"/>
        <v>0</v>
      </c>
      <c r="AX10" s="360">
        <f t="shared" si="36"/>
        <v>0</v>
      </c>
      <c r="AY10" s="360" t="e">
        <f t="shared" si="37"/>
        <v>#VALUE!</v>
      </c>
      <c r="AZ10" s="361" t="e">
        <f t="shared" si="38"/>
        <v>#VALUE!</v>
      </c>
      <c r="BA10" s="361" t="e">
        <f t="shared" si="39"/>
        <v>#VALUE!</v>
      </c>
      <c r="BB10" s="360" t="e">
        <f t="shared" si="40"/>
        <v>#VALUE!</v>
      </c>
      <c r="BC10" s="347"/>
      <c r="BD10" s="347"/>
      <c r="BE10" s="347"/>
    </row>
    <row r="11" spans="1:57" ht="15.75">
      <c r="A11" s="347">
        <f t="shared" si="6"/>
        <v>0</v>
      </c>
      <c r="B11" s="347">
        <f t="shared" si="0"/>
        <v>0</v>
      </c>
      <c r="C11" s="1410"/>
      <c r="D11" s="362">
        <v>5</v>
      </c>
      <c r="E11" s="540"/>
      <c r="F11" s="363"/>
      <c r="G11" s="364"/>
      <c r="H11" s="364"/>
      <c r="I11" s="364"/>
      <c r="J11" s="364"/>
      <c r="K11" s="364"/>
      <c r="L11" s="364"/>
      <c r="M11" s="339">
        <f t="shared" si="7"/>
        <v>-50000</v>
      </c>
      <c r="N11" s="339">
        <f t="shared" si="8"/>
        <v>-75000</v>
      </c>
      <c r="O11" s="365">
        <f t="shared" si="9"/>
        <v>0</v>
      </c>
      <c r="P11" s="365">
        <f t="shared" si="10"/>
        <v>0</v>
      </c>
      <c r="Q11" s="365">
        <f t="shared" si="11"/>
        <v>0</v>
      </c>
      <c r="R11" s="339" t="str">
        <f t="shared" si="1"/>
        <v/>
      </c>
      <c r="S11" s="365" t="str">
        <f t="shared" si="12"/>
        <v/>
      </c>
      <c r="T11" s="366" t="str">
        <f t="shared" si="13"/>
        <v/>
      </c>
      <c r="U11" s="366" t="str">
        <f t="shared" si="14"/>
        <v/>
      </c>
      <c r="V11" s="365">
        <f t="shared" si="15"/>
        <v>0</v>
      </c>
      <c r="W11" s="365">
        <f t="shared" si="16"/>
        <v>0</v>
      </c>
      <c r="X11" s="367">
        <f t="shared" si="17"/>
        <v>0</v>
      </c>
      <c r="Y11" s="367">
        <f t="shared" si="18"/>
        <v>0</v>
      </c>
      <c r="Z11" s="367">
        <f t="shared" si="19"/>
        <v>0</v>
      </c>
      <c r="AA11" s="368" t="str">
        <f t="shared" si="20"/>
        <v/>
      </c>
      <c r="AB11" s="365" t="str">
        <f t="shared" si="2"/>
        <v/>
      </c>
      <c r="AC11" s="366" t="str">
        <f t="shared" si="3"/>
        <v/>
      </c>
      <c r="AD11" s="353" t="str">
        <f t="shared" si="4"/>
        <v/>
      </c>
      <c r="AE11" s="377" t="str">
        <f t="shared" si="5"/>
        <v/>
      </c>
      <c r="AF11" s="369"/>
      <c r="AG11" s="369"/>
      <c r="AH11" s="367">
        <f t="shared" si="21"/>
        <v>0</v>
      </c>
      <c r="AI11" s="367">
        <f t="shared" si="22"/>
        <v>0</v>
      </c>
      <c r="AJ11" s="367">
        <f t="shared" si="23"/>
        <v>0</v>
      </c>
      <c r="AK11" s="367" t="e">
        <f t="shared" si="24"/>
        <v>#VALUE!</v>
      </c>
      <c r="AL11" s="368" t="e">
        <f t="shared" si="25"/>
        <v>#VALUE!</v>
      </c>
      <c r="AM11" s="370">
        <f t="shared" si="26"/>
        <v>0</v>
      </c>
      <c r="AN11" s="358">
        <f t="shared" si="27"/>
        <v>0</v>
      </c>
      <c r="AO11" s="371">
        <f t="shared" si="28"/>
        <v>0</v>
      </c>
      <c r="AP11" s="1429"/>
      <c r="AQ11" s="360">
        <f t="shared" si="29"/>
        <v>0</v>
      </c>
      <c r="AR11" s="360">
        <f t="shared" si="30"/>
        <v>0</v>
      </c>
      <c r="AS11" s="360" t="e">
        <f t="shared" si="31"/>
        <v>#VALUE!</v>
      </c>
      <c r="AT11" s="361" t="e">
        <f t="shared" si="32"/>
        <v>#VALUE!</v>
      </c>
      <c r="AU11" s="361" t="e">
        <f t="shared" si="33"/>
        <v>#VALUE!</v>
      </c>
      <c r="AV11" s="360" t="e">
        <f t="shared" si="34"/>
        <v>#VALUE!</v>
      </c>
      <c r="AW11" s="360">
        <f t="shared" si="35"/>
        <v>0</v>
      </c>
      <c r="AX11" s="360">
        <f t="shared" si="36"/>
        <v>0</v>
      </c>
      <c r="AY11" s="360" t="e">
        <f t="shared" si="37"/>
        <v>#VALUE!</v>
      </c>
      <c r="AZ11" s="361" t="e">
        <f t="shared" si="38"/>
        <v>#VALUE!</v>
      </c>
      <c r="BA11" s="361" t="e">
        <f t="shared" si="39"/>
        <v>#VALUE!</v>
      </c>
      <c r="BB11" s="360" t="e">
        <f t="shared" si="40"/>
        <v>#VALUE!</v>
      </c>
      <c r="BC11" s="347"/>
      <c r="BD11" s="347"/>
      <c r="BE11" s="347"/>
    </row>
    <row r="12" spans="1:57" ht="15.75">
      <c r="A12" s="347">
        <f t="shared" si="6"/>
        <v>0</v>
      </c>
      <c r="B12" s="347">
        <f t="shared" si="0"/>
        <v>0</v>
      </c>
      <c r="C12" s="1410"/>
      <c r="D12" s="362">
        <v>6</v>
      </c>
      <c r="E12" s="540"/>
      <c r="F12" s="363"/>
      <c r="G12" s="364"/>
      <c r="H12" s="364"/>
      <c r="I12" s="364"/>
      <c r="J12" s="364"/>
      <c r="K12" s="364"/>
      <c r="L12" s="364"/>
      <c r="M12" s="339">
        <f t="shared" si="7"/>
        <v>-50000</v>
      </c>
      <c r="N12" s="339">
        <f t="shared" si="8"/>
        <v>-75000</v>
      </c>
      <c r="O12" s="365">
        <f t="shared" si="9"/>
        <v>0</v>
      </c>
      <c r="P12" s="365">
        <f t="shared" si="10"/>
        <v>0</v>
      </c>
      <c r="Q12" s="365">
        <f t="shared" si="11"/>
        <v>0</v>
      </c>
      <c r="R12" s="339" t="str">
        <f t="shared" si="1"/>
        <v/>
      </c>
      <c r="S12" s="365" t="str">
        <f t="shared" si="12"/>
        <v/>
      </c>
      <c r="T12" s="366" t="str">
        <f t="shared" si="13"/>
        <v/>
      </c>
      <c r="U12" s="366" t="str">
        <f t="shared" si="14"/>
        <v/>
      </c>
      <c r="V12" s="365">
        <f t="shared" si="15"/>
        <v>0</v>
      </c>
      <c r="W12" s="365">
        <f t="shared" si="16"/>
        <v>0</v>
      </c>
      <c r="X12" s="367">
        <f t="shared" si="17"/>
        <v>0</v>
      </c>
      <c r="Y12" s="367">
        <f t="shared" si="18"/>
        <v>0</v>
      </c>
      <c r="Z12" s="367">
        <f t="shared" si="19"/>
        <v>0</v>
      </c>
      <c r="AA12" s="368" t="str">
        <f t="shared" si="20"/>
        <v/>
      </c>
      <c r="AB12" s="365" t="str">
        <f t="shared" si="2"/>
        <v/>
      </c>
      <c r="AC12" s="366" t="str">
        <f t="shared" si="3"/>
        <v/>
      </c>
      <c r="AD12" s="353" t="str">
        <f t="shared" si="4"/>
        <v/>
      </c>
      <c r="AE12" s="377" t="str">
        <f t="shared" si="5"/>
        <v/>
      </c>
      <c r="AF12" s="369"/>
      <c r="AG12" s="369"/>
      <c r="AH12" s="367">
        <f t="shared" si="21"/>
        <v>0</v>
      </c>
      <c r="AI12" s="367">
        <f t="shared" si="22"/>
        <v>0</v>
      </c>
      <c r="AJ12" s="367">
        <f t="shared" si="23"/>
        <v>0</v>
      </c>
      <c r="AK12" s="367" t="e">
        <f t="shared" si="24"/>
        <v>#VALUE!</v>
      </c>
      <c r="AL12" s="368" t="e">
        <f t="shared" si="25"/>
        <v>#VALUE!</v>
      </c>
      <c r="AM12" s="370">
        <f t="shared" si="26"/>
        <v>0</v>
      </c>
      <c r="AN12" s="358">
        <f t="shared" si="27"/>
        <v>0</v>
      </c>
      <c r="AO12" s="371">
        <f t="shared" si="28"/>
        <v>0</v>
      </c>
      <c r="AP12" s="1429"/>
      <c r="AQ12" s="360">
        <f t="shared" si="29"/>
        <v>0</v>
      </c>
      <c r="AR12" s="360">
        <f t="shared" si="30"/>
        <v>0</v>
      </c>
      <c r="AS12" s="360" t="e">
        <f t="shared" si="31"/>
        <v>#VALUE!</v>
      </c>
      <c r="AT12" s="361" t="e">
        <f t="shared" si="32"/>
        <v>#VALUE!</v>
      </c>
      <c r="AU12" s="361" t="e">
        <f t="shared" si="33"/>
        <v>#VALUE!</v>
      </c>
      <c r="AV12" s="360" t="e">
        <f t="shared" si="34"/>
        <v>#VALUE!</v>
      </c>
      <c r="AW12" s="360">
        <f t="shared" si="35"/>
        <v>0</v>
      </c>
      <c r="AX12" s="360">
        <f t="shared" si="36"/>
        <v>0</v>
      </c>
      <c r="AY12" s="360" t="e">
        <f t="shared" si="37"/>
        <v>#VALUE!</v>
      </c>
      <c r="AZ12" s="361" t="e">
        <f t="shared" si="38"/>
        <v>#VALUE!</v>
      </c>
      <c r="BA12" s="361" t="e">
        <f t="shared" si="39"/>
        <v>#VALUE!</v>
      </c>
      <c r="BB12" s="360" t="e">
        <f t="shared" si="40"/>
        <v>#VALUE!</v>
      </c>
      <c r="BC12" s="347"/>
      <c r="BD12" s="347"/>
      <c r="BE12" s="347"/>
    </row>
    <row r="13" spans="1:57" ht="15.75">
      <c r="A13" s="347">
        <f t="shared" si="6"/>
        <v>0</v>
      </c>
      <c r="B13" s="347">
        <f t="shared" si="0"/>
        <v>0</v>
      </c>
      <c r="C13" s="1410"/>
      <c r="D13" s="362">
        <v>7</v>
      </c>
      <c r="E13" s="540"/>
      <c r="F13" s="363"/>
      <c r="G13" s="364"/>
      <c r="H13" s="364"/>
      <c r="I13" s="364"/>
      <c r="J13" s="364"/>
      <c r="K13" s="364"/>
      <c r="L13" s="364"/>
      <c r="M13" s="339">
        <f t="shared" si="7"/>
        <v>-50000</v>
      </c>
      <c r="N13" s="339">
        <f t="shared" si="8"/>
        <v>-75000</v>
      </c>
      <c r="O13" s="365">
        <f t="shared" si="9"/>
        <v>0</v>
      </c>
      <c r="P13" s="365">
        <f t="shared" si="10"/>
        <v>0</v>
      </c>
      <c r="Q13" s="365">
        <f t="shared" si="11"/>
        <v>0</v>
      </c>
      <c r="R13" s="339" t="str">
        <f t="shared" si="1"/>
        <v/>
      </c>
      <c r="S13" s="365" t="str">
        <f t="shared" si="12"/>
        <v/>
      </c>
      <c r="T13" s="366" t="str">
        <f t="shared" si="13"/>
        <v/>
      </c>
      <c r="U13" s="366" t="str">
        <f t="shared" si="14"/>
        <v/>
      </c>
      <c r="V13" s="365">
        <f t="shared" si="15"/>
        <v>0</v>
      </c>
      <c r="W13" s="365">
        <f t="shared" si="16"/>
        <v>0</v>
      </c>
      <c r="X13" s="367">
        <f t="shared" si="17"/>
        <v>0</v>
      </c>
      <c r="Y13" s="367">
        <f t="shared" si="18"/>
        <v>0</v>
      </c>
      <c r="Z13" s="367">
        <f t="shared" si="19"/>
        <v>0</v>
      </c>
      <c r="AA13" s="368" t="str">
        <f t="shared" si="20"/>
        <v/>
      </c>
      <c r="AB13" s="365" t="str">
        <f t="shared" si="2"/>
        <v/>
      </c>
      <c r="AC13" s="366" t="str">
        <f t="shared" si="3"/>
        <v/>
      </c>
      <c r="AD13" s="353" t="str">
        <f t="shared" si="4"/>
        <v/>
      </c>
      <c r="AE13" s="377" t="str">
        <f t="shared" si="5"/>
        <v/>
      </c>
      <c r="AF13" s="369"/>
      <c r="AG13" s="369"/>
      <c r="AH13" s="367">
        <f t="shared" si="21"/>
        <v>0</v>
      </c>
      <c r="AI13" s="367">
        <f t="shared" si="22"/>
        <v>0</v>
      </c>
      <c r="AJ13" s="367">
        <f t="shared" si="23"/>
        <v>0</v>
      </c>
      <c r="AK13" s="367" t="e">
        <f t="shared" si="24"/>
        <v>#VALUE!</v>
      </c>
      <c r="AL13" s="368" t="e">
        <f t="shared" si="25"/>
        <v>#VALUE!</v>
      </c>
      <c r="AM13" s="370">
        <f t="shared" si="26"/>
        <v>0</v>
      </c>
      <c r="AN13" s="358">
        <f t="shared" si="27"/>
        <v>0</v>
      </c>
      <c r="AO13" s="371">
        <f t="shared" si="28"/>
        <v>0</v>
      </c>
      <c r="AP13" s="1429"/>
      <c r="AQ13" s="360">
        <f t="shared" si="29"/>
        <v>0</v>
      </c>
      <c r="AR13" s="360">
        <f t="shared" si="30"/>
        <v>0</v>
      </c>
      <c r="AS13" s="360" t="e">
        <f t="shared" si="31"/>
        <v>#VALUE!</v>
      </c>
      <c r="AT13" s="361" t="e">
        <f t="shared" si="32"/>
        <v>#VALUE!</v>
      </c>
      <c r="AU13" s="361" t="e">
        <f t="shared" si="33"/>
        <v>#VALUE!</v>
      </c>
      <c r="AV13" s="360" t="e">
        <f t="shared" si="34"/>
        <v>#VALUE!</v>
      </c>
      <c r="AW13" s="360">
        <f t="shared" si="35"/>
        <v>0</v>
      </c>
      <c r="AX13" s="360">
        <f t="shared" si="36"/>
        <v>0</v>
      </c>
      <c r="AY13" s="360" t="e">
        <f t="shared" si="37"/>
        <v>#VALUE!</v>
      </c>
      <c r="AZ13" s="361" t="e">
        <f t="shared" si="38"/>
        <v>#VALUE!</v>
      </c>
      <c r="BA13" s="361" t="e">
        <f t="shared" si="39"/>
        <v>#VALUE!</v>
      </c>
      <c r="BB13" s="360" t="e">
        <f t="shared" si="40"/>
        <v>#VALUE!</v>
      </c>
      <c r="BC13" s="347"/>
      <c r="BD13" s="347"/>
      <c r="BE13" s="347"/>
    </row>
    <row r="14" spans="1:57" ht="15.75">
      <c r="A14" s="347">
        <f t="shared" si="6"/>
        <v>0</v>
      </c>
      <c r="B14" s="347">
        <f t="shared" si="0"/>
        <v>0</v>
      </c>
      <c r="C14" s="1410"/>
      <c r="D14" s="362">
        <v>8</v>
      </c>
      <c r="E14" s="540"/>
      <c r="F14" s="363"/>
      <c r="G14" s="364"/>
      <c r="H14" s="364"/>
      <c r="I14" s="364"/>
      <c r="J14" s="364"/>
      <c r="K14" s="364"/>
      <c r="L14" s="364"/>
      <c r="M14" s="339">
        <f t="shared" si="7"/>
        <v>-50000</v>
      </c>
      <c r="N14" s="339">
        <f t="shared" si="8"/>
        <v>-75000</v>
      </c>
      <c r="O14" s="365">
        <f t="shared" si="9"/>
        <v>0</v>
      </c>
      <c r="P14" s="365">
        <f t="shared" si="10"/>
        <v>0</v>
      </c>
      <c r="Q14" s="365">
        <f t="shared" si="11"/>
        <v>0</v>
      </c>
      <c r="R14" s="339" t="str">
        <f t="shared" si="1"/>
        <v/>
      </c>
      <c r="S14" s="365" t="str">
        <f t="shared" si="12"/>
        <v/>
      </c>
      <c r="T14" s="366" t="str">
        <f t="shared" si="13"/>
        <v/>
      </c>
      <c r="U14" s="366" t="str">
        <f t="shared" si="14"/>
        <v/>
      </c>
      <c r="V14" s="365">
        <f t="shared" si="15"/>
        <v>0</v>
      </c>
      <c r="W14" s="365">
        <f t="shared" si="16"/>
        <v>0</v>
      </c>
      <c r="X14" s="367">
        <f t="shared" si="17"/>
        <v>0</v>
      </c>
      <c r="Y14" s="367">
        <f t="shared" si="18"/>
        <v>0</v>
      </c>
      <c r="Z14" s="367">
        <f t="shared" si="19"/>
        <v>0</v>
      </c>
      <c r="AA14" s="368" t="str">
        <f t="shared" si="20"/>
        <v/>
      </c>
      <c r="AB14" s="365" t="str">
        <f t="shared" si="2"/>
        <v/>
      </c>
      <c r="AC14" s="366" t="str">
        <f t="shared" si="3"/>
        <v/>
      </c>
      <c r="AD14" s="353" t="str">
        <f t="shared" si="4"/>
        <v/>
      </c>
      <c r="AE14" s="377" t="str">
        <f t="shared" si="5"/>
        <v/>
      </c>
      <c r="AF14" s="369"/>
      <c r="AG14" s="369"/>
      <c r="AH14" s="367">
        <f t="shared" si="21"/>
        <v>0</v>
      </c>
      <c r="AI14" s="367">
        <f t="shared" si="22"/>
        <v>0</v>
      </c>
      <c r="AJ14" s="367">
        <f t="shared" si="23"/>
        <v>0</v>
      </c>
      <c r="AK14" s="367" t="e">
        <f t="shared" si="24"/>
        <v>#VALUE!</v>
      </c>
      <c r="AL14" s="368" t="e">
        <f t="shared" si="25"/>
        <v>#VALUE!</v>
      </c>
      <c r="AM14" s="370">
        <f t="shared" si="26"/>
        <v>0</v>
      </c>
      <c r="AN14" s="358">
        <f t="shared" si="27"/>
        <v>0</v>
      </c>
      <c r="AO14" s="371">
        <f t="shared" si="28"/>
        <v>0</v>
      </c>
      <c r="AP14" s="1429"/>
      <c r="AQ14" s="360">
        <f t="shared" si="29"/>
        <v>0</v>
      </c>
      <c r="AR14" s="360">
        <f t="shared" si="30"/>
        <v>0</v>
      </c>
      <c r="AS14" s="360" t="e">
        <f t="shared" si="31"/>
        <v>#VALUE!</v>
      </c>
      <c r="AT14" s="361" t="e">
        <f t="shared" si="32"/>
        <v>#VALUE!</v>
      </c>
      <c r="AU14" s="361" t="e">
        <f t="shared" si="33"/>
        <v>#VALUE!</v>
      </c>
      <c r="AV14" s="360" t="e">
        <f t="shared" si="34"/>
        <v>#VALUE!</v>
      </c>
      <c r="AW14" s="360">
        <f t="shared" si="35"/>
        <v>0</v>
      </c>
      <c r="AX14" s="360">
        <f t="shared" si="36"/>
        <v>0</v>
      </c>
      <c r="AY14" s="360" t="e">
        <f t="shared" si="37"/>
        <v>#VALUE!</v>
      </c>
      <c r="AZ14" s="361" t="e">
        <f t="shared" si="38"/>
        <v>#VALUE!</v>
      </c>
      <c r="BA14" s="361" t="e">
        <f t="shared" si="39"/>
        <v>#VALUE!</v>
      </c>
      <c r="BB14" s="360" t="e">
        <f t="shared" si="40"/>
        <v>#VALUE!</v>
      </c>
      <c r="BC14" s="347"/>
      <c r="BD14" s="347"/>
      <c r="BE14" s="347"/>
    </row>
    <row r="15" spans="1:57" ht="15.75">
      <c r="A15" s="347">
        <f t="shared" si="6"/>
        <v>0</v>
      </c>
      <c r="B15" s="347">
        <f t="shared" si="0"/>
        <v>0</v>
      </c>
      <c r="C15" s="1410"/>
      <c r="D15" s="362">
        <v>9</v>
      </c>
      <c r="E15" s="540"/>
      <c r="F15" s="363"/>
      <c r="G15" s="364"/>
      <c r="H15" s="364"/>
      <c r="I15" s="364"/>
      <c r="J15" s="364"/>
      <c r="K15" s="364"/>
      <c r="L15" s="364"/>
      <c r="M15" s="339">
        <f t="shared" si="7"/>
        <v>-50000</v>
      </c>
      <c r="N15" s="339">
        <f t="shared" si="8"/>
        <v>-75000</v>
      </c>
      <c r="O15" s="365">
        <f t="shared" si="9"/>
        <v>0</v>
      </c>
      <c r="P15" s="365">
        <f t="shared" si="10"/>
        <v>0</v>
      </c>
      <c r="Q15" s="365">
        <f t="shared" si="11"/>
        <v>0</v>
      </c>
      <c r="R15" s="339" t="str">
        <f t="shared" si="1"/>
        <v/>
      </c>
      <c r="S15" s="365" t="str">
        <f t="shared" si="12"/>
        <v/>
      </c>
      <c r="T15" s="366" t="str">
        <f t="shared" si="13"/>
        <v/>
      </c>
      <c r="U15" s="366" t="str">
        <f t="shared" si="14"/>
        <v/>
      </c>
      <c r="V15" s="365">
        <f t="shared" si="15"/>
        <v>0</v>
      </c>
      <c r="W15" s="365">
        <f t="shared" si="16"/>
        <v>0</v>
      </c>
      <c r="X15" s="367">
        <f t="shared" si="17"/>
        <v>0</v>
      </c>
      <c r="Y15" s="367">
        <f t="shared" si="18"/>
        <v>0</v>
      </c>
      <c r="Z15" s="367">
        <f t="shared" si="19"/>
        <v>0</v>
      </c>
      <c r="AA15" s="368" t="str">
        <f t="shared" si="20"/>
        <v/>
      </c>
      <c r="AB15" s="365" t="str">
        <f t="shared" si="2"/>
        <v/>
      </c>
      <c r="AC15" s="366" t="str">
        <f t="shared" si="3"/>
        <v/>
      </c>
      <c r="AD15" s="353" t="str">
        <f t="shared" si="4"/>
        <v/>
      </c>
      <c r="AE15" s="377" t="str">
        <f t="shared" si="5"/>
        <v/>
      </c>
      <c r="AF15" s="369"/>
      <c r="AG15" s="369"/>
      <c r="AH15" s="367">
        <f t="shared" si="21"/>
        <v>0</v>
      </c>
      <c r="AI15" s="367">
        <f t="shared" si="22"/>
        <v>0</v>
      </c>
      <c r="AJ15" s="367">
        <f t="shared" si="23"/>
        <v>0</v>
      </c>
      <c r="AK15" s="367" t="e">
        <f t="shared" si="24"/>
        <v>#VALUE!</v>
      </c>
      <c r="AL15" s="368" t="e">
        <f t="shared" si="25"/>
        <v>#VALUE!</v>
      </c>
      <c r="AM15" s="370">
        <f t="shared" si="26"/>
        <v>0</v>
      </c>
      <c r="AN15" s="358">
        <f t="shared" si="27"/>
        <v>0</v>
      </c>
      <c r="AO15" s="371">
        <f t="shared" si="28"/>
        <v>0</v>
      </c>
      <c r="AP15" s="1429"/>
      <c r="AQ15" s="360">
        <f t="shared" si="29"/>
        <v>0</v>
      </c>
      <c r="AR15" s="360">
        <f t="shared" si="30"/>
        <v>0</v>
      </c>
      <c r="AS15" s="360" t="e">
        <f t="shared" si="31"/>
        <v>#VALUE!</v>
      </c>
      <c r="AT15" s="361" t="e">
        <f t="shared" si="32"/>
        <v>#VALUE!</v>
      </c>
      <c r="AU15" s="361" t="e">
        <f t="shared" si="33"/>
        <v>#VALUE!</v>
      </c>
      <c r="AV15" s="360" t="e">
        <f t="shared" si="34"/>
        <v>#VALUE!</v>
      </c>
      <c r="AW15" s="360">
        <f t="shared" si="35"/>
        <v>0</v>
      </c>
      <c r="AX15" s="360">
        <f t="shared" si="36"/>
        <v>0</v>
      </c>
      <c r="AY15" s="360" t="e">
        <f t="shared" si="37"/>
        <v>#VALUE!</v>
      </c>
      <c r="AZ15" s="361" t="e">
        <f t="shared" si="38"/>
        <v>#VALUE!</v>
      </c>
      <c r="BA15" s="361" t="e">
        <f t="shared" si="39"/>
        <v>#VALUE!</v>
      </c>
      <c r="BB15" s="360" t="e">
        <f t="shared" si="40"/>
        <v>#VALUE!</v>
      </c>
      <c r="BC15" s="347"/>
      <c r="BD15" s="347"/>
      <c r="BE15" s="347"/>
    </row>
    <row r="16" spans="1:57" ht="15.75">
      <c r="A16" s="347">
        <f t="shared" si="6"/>
        <v>0</v>
      </c>
      <c r="B16" s="347">
        <f t="shared" si="0"/>
        <v>0</v>
      </c>
      <c r="C16" s="1410"/>
      <c r="D16" s="362">
        <v>10</v>
      </c>
      <c r="E16" s="540"/>
      <c r="F16" s="363"/>
      <c r="G16" s="364"/>
      <c r="H16" s="364"/>
      <c r="I16" s="364"/>
      <c r="J16" s="364"/>
      <c r="K16" s="364"/>
      <c r="L16" s="364"/>
      <c r="M16" s="339">
        <f t="shared" si="7"/>
        <v>-50000</v>
      </c>
      <c r="N16" s="339">
        <f t="shared" si="8"/>
        <v>-75000</v>
      </c>
      <c r="O16" s="365">
        <f t="shared" si="9"/>
        <v>0</v>
      </c>
      <c r="P16" s="365">
        <f t="shared" si="10"/>
        <v>0</v>
      </c>
      <c r="Q16" s="365">
        <f t="shared" si="11"/>
        <v>0</v>
      </c>
      <c r="R16" s="339" t="str">
        <f t="shared" si="1"/>
        <v/>
      </c>
      <c r="S16" s="365" t="str">
        <f t="shared" si="12"/>
        <v/>
      </c>
      <c r="T16" s="366" t="str">
        <f t="shared" si="13"/>
        <v/>
      </c>
      <c r="U16" s="366" t="str">
        <f t="shared" si="14"/>
        <v/>
      </c>
      <c r="V16" s="365">
        <f t="shared" si="15"/>
        <v>0</v>
      </c>
      <c r="W16" s="365">
        <f t="shared" si="16"/>
        <v>0</v>
      </c>
      <c r="X16" s="367">
        <f t="shared" si="17"/>
        <v>0</v>
      </c>
      <c r="Y16" s="367">
        <f t="shared" si="18"/>
        <v>0</v>
      </c>
      <c r="Z16" s="367">
        <f t="shared" si="19"/>
        <v>0</v>
      </c>
      <c r="AA16" s="368" t="str">
        <f t="shared" si="20"/>
        <v/>
      </c>
      <c r="AB16" s="365" t="str">
        <f t="shared" si="2"/>
        <v/>
      </c>
      <c r="AC16" s="366" t="str">
        <f t="shared" si="3"/>
        <v/>
      </c>
      <c r="AD16" s="353" t="str">
        <f t="shared" si="4"/>
        <v/>
      </c>
      <c r="AE16" s="377" t="str">
        <f t="shared" si="5"/>
        <v/>
      </c>
      <c r="AF16" s="369"/>
      <c r="AG16" s="369"/>
      <c r="AH16" s="367">
        <f t="shared" si="21"/>
        <v>0</v>
      </c>
      <c r="AI16" s="367">
        <f t="shared" si="22"/>
        <v>0</v>
      </c>
      <c r="AJ16" s="367">
        <f t="shared" si="23"/>
        <v>0</v>
      </c>
      <c r="AK16" s="367" t="e">
        <f t="shared" si="24"/>
        <v>#VALUE!</v>
      </c>
      <c r="AL16" s="368" t="e">
        <f t="shared" si="25"/>
        <v>#VALUE!</v>
      </c>
      <c r="AM16" s="370">
        <f t="shared" si="26"/>
        <v>0</v>
      </c>
      <c r="AN16" s="358">
        <f t="shared" si="27"/>
        <v>0</v>
      </c>
      <c r="AO16" s="371">
        <f t="shared" si="28"/>
        <v>0</v>
      </c>
      <c r="AP16" s="1429"/>
      <c r="AQ16" s="360">
        <f t="shared" si="29"/>
        <v>0</v>
      </c>
      <c r="AR16" s="360">
        <f t="shared" si="30"/>
        <v>0</v>
      </c>
      <c r="AS16" s="360" t="e">
        <f t="shared" si="31"/>
        <v>#VALUE!</v>
      </c>
      <c r="AT16" s="361" t="e">
        <f t="shared" si="32"/>
        <v>#VALUE!</v>
      </c>
      <c r="AU16" s="361" t="e">
        <f t="shared" si="33"/>
        <v>#VALUE!</v>
      </c>
      <c r="AV16" s="360" t="e">
        <f t="shared" si="34"/>
        <v>#VALUE!</v>
      </c>
      <c r="AW16" s="360">
        <f t="shared" si="35"/>
        <v>0</v>
      </c>
      <c r="AX16" s="360">
        <f t="shared" si="36"/>
        <v>0</v>
      </c>
      <c r="AY16" s="360" t="e">
        <f t="shared" si="37"/>
        <v>#VALUE!</v>
      </c>
      <c r="AZ16" s="361" t="e">
        <f t="shared" si="38"/>
        <v>#VALUE!</v>
      </c>
      <c r="BA16" s="361" t="e">
        <f t="shared" si="39"/>
        <v>#VALUE!</v>
      </c>
      <c r="BB16" s="360" t="e">
        <f t="shared" si="40"/>
        <v>#VALUE!</v>
      </c>
      <c r="BC16" s="347"/>
      <c r="BD16" s="347"/>
      <c r="BE16" s="347"/>
    </row>
    <row r="17" spans="1:57" ht="15.75">
      <c r="A17" s="347">
        <f t="shared" si="6"/>
        <v>0</v>
      </c>
      <c r="B17" s="347">
        <f t="shared" si="0"/>
        <v>0</v>
      </c>
      <c r="C17" s="1410"/>
      <c r="D17" s="362">
        <v>11</v>
      </c>
      <c r="E17" s="540"/>
      <c r="F17" s="363"/>
      <c r="G17" s="364"/>
      <c r="H17" s="364"/>
      <c r="I17" s="364"/>
      <c r="J17" s="364"/>
      <c r="K17" s="364"/>
      <c r="L17" s="364"/>
      <c r="M17" s="339">
        <f t="shared" si="7"/>
        <v>-50000</v>
      </c>
      <c r="N17" s="339">
        <f t="shared" si="8"/>
        <v>-75000</v>
      </c>
      <c r="O17" s="365">
        <f t="shared" si="9"/>
        <v>0</v>
      </c>
      <c r="P17" s="365">
        <f t="shared" si="10"/>
        <v>0</v>
      </c>
      <c r="Q17" s="365">
        <f t="shared" si="11"/>
        <v>0</v>
      </c>
      <c r="R17" s="339" t="str">
        <f t="shared" si="1"/>
        <v/>
      </c>
      <c r="S17" s="365" t="str">
        <f t="shared" si="12"/>
        <v/>
      </c>
      <c r="T17" s="366" t="str">
        <f t="shared" si="13"/>
        <v/>
      </c>
      <c r="U17" s="366" t="str">
        <f t="shared" si="14"/>
        <v/>
      </c>
      <c r="V17" s="365">
        <f t="shared" si="15"/>
        <v>0</v>
      </c>
      <c r="W17" s="365">
        <f t="shared" si="16"/>
        <v>0</v>
      </c>
      <c r="X17" s="367">
        <f t="shared" si="17"/>
        <v>0</v>
      </c>
      <c r="Y17" s="367">
        <f t="shared" si="18"/>
        <v>0</v>
      </c>
      <c r="Z17" s="367">
        <f t="shared" si="19"/>
        <v>0</v>
      </c>
      <c r="AA17" s="368" t="str">
        <f t="shared" si="20"/>
        <v/>
      </c>
      <c r="AB17" s="365" t="str">
        <f t="shared" si="2"/>
        <v/>
      </c>
      <c r="AC17" s="366" t="str">
        <f t="shared" si="3"/>
        <v/>
      </c>
      <c r="AD17" s="353" t="str">
        <f t="shared" si="4"/>
        <v/>
      </c>
      <c r="AE17" s="377" t="str">
        <f t="shared" si="5"/>
        <v/>
      </c>
      <c r="AF17" s="369"/>
      <c r="AG17" s="369"/>
      <c r="AH17" s="367">
        <f t="shared" si="21"/>
        <v>0</v>
      </c>
      <c r="AI17" s="367">
        <f t="shared" si="22"/>
        <v>0</v>
      </c>
      <c r="AJ17" s="367">
        <f t="shared" si="23"/>
        <v>0</v>
      </c>
      <c r="AK17" s="367" t="e">
        <f t="shared" si="24"/>
        <v>#VALUE!</v>
      </c>
      <c r="AL17" s="368" t="e">
        <f t="shared" si="25"/>
        <v>#VALUE!</v>
      </c>
      <c r="AM17" s="370">
        <f t="shared" si="26"/>
        <v>0</v>
      </c>
      <c r="AN17" s="358">
        <f t="shared" si="27"/>
        <v>0</v>
      </c>
      <c r="AO17" s="371">
        <f t="shared" si="28"/>
        <v>0</v>
      </c>
      <c r="AP17" s="1429"/>
      <c r="AQ17" s="360">
        <f t="shared" si="29"/>
        <v>0</v>
      </c>
      <c r="AR17" s="360">
        <f t="shared" si="30"/>
        <v>0</v>
      </c>
      <c r="AS17" s="360" t="e">
        <f t="shared" si="31"/>
        <v>#VALUE!</v>
      </c>
      <c r="AT17" s="361" t="e">
        <f t="shared" si="32"/>
        <v>#VALUE!</v>
      </c>
      <c r="AU17" s="361" t="e">
        <f t="shared" si="33"/>
        <v>#VALUE!</v>
      </c>
      <c r="AV17" s="360" t="e">
        <f t="shared" si="34"/>
        <v>#VALUE!</v>
      </c>
      <c r="AW17" s="360">
        <f t="shared" si="35"/>
        <v>0</v>
      </c>
      <c r="AX17" s="360">
        <f t="shared" si="36"/>
        <v>0</v>
      </c>
      <c r="AY17" s="360" t="e">
        <f t="shared" si="37"/>
        <v>#VALUE!</v>
      </c>
      <c r="AZ17" s="361" t="e">
        <f t="shared" si="38"/>
        <v>#VALUE!</v>
      </c>
      <c r="BA17" s="361" t="e">
        <f t="shared" si="39"/>
        <v>#VALUE!</v>
      </c>
      <c r="BB17" s="360" t="e">
        <f t="shared" si="40"/>
        <v>#VALUE!</v>
      </c>
      <c r="BC17" s="347"/>
      <c r="BD17" s="347"/>
      <c r="BE17" s="347"/>
    </row>
    <row r="18" spans="1:57" ht="15.75">
      <c r="A18" s="347">
        <f t="shared" si="6"/>
        <v>0</v>
      </c>
      <c r="B18" s="347">
        <f t="shared" si="0"/>
        <v>0</v>
      </c>
      <c r="C18" s="1410"/>
      <c r="D18" s="362">
        <v>12</v>
      </c>
      <c r="E18" s="540"/>
      <c r="F18" s="363"/>
      <c r="G18" s="364"/>
      <c r="H18" s="364"/>
      <c r="I18" s="364"/>
      <c r="J18" s="364"/>
      <c r="K18" s="364"/>
      <c r="L18" s="364"/>
      <c r="M18" s="339">
        <f t="shared" si="7"/>
        <v>-50000</v>
      </c>
      <c r="N18" s="339">
        <f t="shared" si="8"/>
        <v>-75000</v>
      </c>
      <c r="O18" s="365">
        <f t="shared" si="9"/>
        <v>0</v>
      </c>
      <c r="P18" s="365">
        <f t="shared" si="10"/>
        <v>0</v>
      </c>
      <c r="Q18" s="365">
        <f t="shared" si="11"/>
        <v>0</v>
      </c>
      <c r="R18" s="339" t="str">
        <f t="shared" si="1"/>
        <v/>
      </c>
      <c r="S18" s="365" t="str">
        <f t="shared" si="12"/>
        <v/>
      </c>
      <c r="T18" s="366" t="str">
        <f t="shared" si="13"/>
        <v/>
      </c>
      <c r="U18" s="366" t="str">
        <f t="shared" si="14"/>
        <v/>
      </c>
      <c r="V18" s="365">
        <f t="shared" si="15"/>
        <v>0</v>
      </c>
      <c r="W18" s="365">
        <f t="shared" si="16"/>
        <v>0</v>
      </c>
      <c r="X18" s="367">
        <f t="shared" si="17"/>
        <v>0</v>
      </c>
      <c r="Y18" s="367">
        <f t="shared" si="18"/>
        <v>0</v>
      </c>
      <c r="Z18" s="367">
        <f t="shared" si="19"/>
        <v>0</v>
      </c>
      <c r="AA18" s="368" t="str">
        <f t="shared" si="20"/>
        <v/>
      </c>
      <c r="AB18" s="365" t="str">
        <f t="shared" si="2"/>
        <v/>
      </c>
      <c r="AC18" s="366" t="str">
        <f t="shared" si="3"/>
        <v/>
      </c>
      <c r="AD18" s="353" t="str">
        <f t="shared" si="4"/>
        <v/>
      </c>
      <c r="AE18" s="377" t="str">
        <f t="shared" si="5"/>
        <v/>
      </c>
      <c r="AF18" s="369"/>
      <c r="AG18" s="369"/>
      <c r="AH18" s="367">
        <f t="shared" si="21"/>
        <v>0</v>
      </c>
      <c r="AI18" s="367">
        <f t="shared" si="22"/>
        <v>0</v>
      </c>
      <c r="AJ18" s="367">
        <f t="shared" si="23"/>
        <v>0</v>
      </c>
      <c r="AK18" s="367" t="e">
        <f t="shared" si="24"/>
        <v>#VALUE!</v>
      </c>
      <c r="AL18" s="368" t="e">
        <f t="shared" si="25"/>
        <v>#VALUE!</v>
      </c>
      <c r="AM18" s="370">
        <f t="shared" si="26"/>
        <v>0</v>
      </c>
      <c r="AN18" s="358">
        <f t="shared" si="27"/>
        <v>0</v>
      </c>
      <c r="AO18" s="371">
        <f t="shared" si="28"/>
        <v>0</v>
      </c>
      <c r="AP18" s="1429"/>
      <c r="AQ18" s="360">
        <f t="shared" si="29"/>
        <v>0</v>
      </c>
      <c r="AR18" s="360">
        <f t="shared" si="30"/>
        <v>0</v>
      </c>
      <c r="AS18" s="360" t="e">
        <f t="shared" si="31"/>
        <v>#VALUE!</v>
      </c>
      <c r="AT18" s="361" t="e">
        <f t="shared" si="32"/>
        <v>#VALUE!</v>
      </c>
      <c r="AU18" s="361" t="e">
        <f t="shared" si="33"/>
        <v>#VALUE!</v>
      </c>
      <c r="AV18" s="360" t="e">
        <f t="shared" si="34"/>
        <v>#VALUE!</v>
      </c>
      <c r="AW18" s="360">
        <f t="shared" si="35"/>
        <v>0</v>
      </c>
      <c r="AX18" s="360">
        <f t="shared" si="36"/>
        <v>0</v>
      </c>
      <c r="AY18" s="360" t="e">
        <f t="shared" si="37"/>
        <v>#VALUE!</v>
      </c>
      <c r="AZ18" s="361" t="e">
        <f t="shared" si="38"/>
        <v>#VALUE!</v>
      </c>
      <c r="BA18" s="361" t="e">
        <f t="shared" si="39"/>
        <v>#VALUE!</v>
      </c>
      <c r="BB18" s="360" t="e">
        <f t="shared" si="40"/>
        <v>#VALUE!</v>
      </c>
      <c r="BC18" s="347"/>
      <c r="BD18" s="347"/>
      <c r="BE18" s="347"/>
    </row>
    <row r="19" spans="1:57" ht="15.75">
      <c r="A19" s="347">
        <f t="shared" si="6"/>
        <v>0</v>
      </c>
      <c r="B19" s="347">
        <f t="shared" si="0"/>
        <v>0</v>
      </c>
      <c r="C19" s="1410"/>
      <c r="D19" s="362">
        <v>13</v>
      </c>
      <c r="E19" s="540"/>
      <c r="F19" s="363"/>
      <c r="G19" s="364"/>
      <c r="H19" s="364"/>
      <c r="I19" s="364"/>
      <c r="J19" s="364"/>
      <c r="K19" s="364"/>
      <c r="L19" s="364"/>
      <c r="M19" s="339">
        <f t="shared" si="7"/>
        <v>-50000</v>
      </c>
      <c r="N19" s="339">
        <f t="shared" si="8"/>
        <v>-75000</v>
      </c>
      <c r="O19" s="365">
        <f t="shared" si="9"/>
        <v>0</v>
      </c>
      <c r="P19" s="365">
        <f t="shared" si="10"/>
        <v>0</v>
      </c>
      <c r="Q19" s="365">
        <f t="shared" si="11"/>
        <v>0</v>
      </c>
      <c r="R19" s="339" t="str">
        <f t="shared" si="1"/>
        <v/>
      </c>
      <c r="S19" s="365" t="str">
        <f t="shared" si="12"/>
        <v/>
      </c>
      <c r="T19" s="366" t="str">
        <f t="shared" si="13"/>
        <v/>
      </c>
      <c r="U19" s="366" t="str">
        <f t="shared" si="14"/>
        <v/>
      </c>
      <c r="V19" s="365">
        <f t="shared" si="15"/>
        <v>0</v>
      </c>
      <c r="W19" s="365">
        <f t="shared" si="16"/>
        <v>0</v>
      </c>
      <c r="X19" s="367">
        <f t="shared" si="17"/>
        <v>0</v>
      </c>
      <c r="Y19" s="367">
        <f t="shared" si="18"/>
        <v>0</v>
      </c>
      <c r="Z19" s="367">
        <f t="shared" si="19"/>
        <v>0</v>
      </c>
      <c r="AA19" s="368" t="str">
        <f t="shared" si="20"/>
        <v/>
      </c>
      <c r="AB19" s="365" t="str">
        <f t="shared" si="2"/>
        <v/>
      </c>
      <c r="AC19" s="366" t="str">
        <f t="shared" si="3"/>
        <v/>
      </c>
      <c r="AD19" s="353" t="str">
        <f t="shared" si="4"/>
        <v/>
      </c>
      <c r="AE19" s="377" t="str">
        <f t="shared" si="5"/>
        <v/>
      </c>
      <c r="AF19" s="369"/>
      <c r="AG19" s="369"/>
      <c r="AH19" s="367">
        <f t="shared" si="21"/>
        <v>0</v>
      </c>
      <c r="AI19" s="367">
        <f t="shared" si="22"/>
        <v>0</v>
      </c>
      <c r="AJ19" s="367">
        <f t="shared" si="23"/>
        <v>0</v>
      </c>
      <c r="AK19" s="367" t="e">
        <f t="shared" si="24"/>
        <v>#VALUE!</v>
      </c>
      <c r="AL19" s="368" t="e">
        <f t="shared" si="25"/>
        <v>#VALUE!</v>
      </c>
      <c r="AM19" s="370">
        <f t="shared" si="26"/>
        <v>0</v>
      </c>
      <c r="AN19" s="358">
        <f t="shared" si="27"/>
        <v>0</v>
      </c>
      <c r="AO19" s="371">
        <f t="shared" si="28"/>
        <v>0</v>
      </c>
      <c r="AP19" s="1429"/>
      <c r="AQ19" s="360">
        <f t="shared" si="29"/>
        <v>0</v>
      </c>
      <c r="AR19" s="360">
        <f t="shared" si="30"/>
        <v>0</v>
      </c>
      <c r="AS19" s="360" t="e">
        <f t="shared" si="31"/>
        <v>#VALUE!</v>
      </c>
      <c r="AT19" s="361" t="e">
        <f t="shared" si="32"/>
        <v>#VALUE!</v>
      </c>
      <c r="AU19" s="361" t="e">
        <f t="shared" si="33"/>
        <v>#VALUE!</v>
      </c>
      <c r="AV19" s="360" t="e">
        <f t="shared" si="34"/>
        <v>#VALUE!</v>
      </c>
      <c r="AW19" s="360">
        <f t="shared" si="35"/>
        <v>0</v>
      </c>
      <c r="AX19" s="360">
        <f t="shared" si="36"/>
        <v>0</v>
      </c>
      <c r="AY19" s="360" t="e">
        <f t="shared" si="37"/>
        <v>#VALUE!</v>
      </c>
      <c r="AZ19" s="361" t="e">
        <f t="shared" si="38"/>
        <v>#VALUE!</v>
      </c>
      <c r="BA19" s="361" t="e">
        <f t="shared" si="39"/>
        <v>#VALUE!</v>
      </c>
      <c r="BB19" s="360" t="e">
        <f t="shared" si="40"/>
        <v>#VALUE!</v>
      </c>
      <c r="BC19" s="347"/>
      <c r="BD19" s="347"/>
      <c r="BE19" s="347"/>
    </row>
    <row r="20" spans="1:57" ht="15.75">
      <c r="A20" s="347">
        <f t="shared" si="6"/>
        <v>0</v>
      </c>
      <c r="B20" s="347">
        <f t="shared" si="0"/>
        <v>0</v>
      </c>
      <c r="C20" s="1410"/>
      <c r="D20" s="362">
        <v>14</v>
      </c>
      <c r="E20" s="540"/>
      <c r="F20" s="363"/>
      <c r="G20" s="364"/>
      <c r="H20" s="364"/>
      <c r="I20" s="364"/>
      <c r="J20" s="364"/>
      <c r="K20" s="364"/>
      <c r="L20" s="364"/>
      <c r="M20" s="339">
        <f t="shared" si="7"/>
        <v>-50000</v>
      </c>
      <c r="N20" s="339">
        <f t="shared" si="8"/>
        <v>-75000</v>
      </c>
      <c r="O20" s="365">
        <f t="shared" si="9"/>
        <v>0</v>
      </c>
      <c r="P20" s="365">
        <f t="shared" si="10"/>
        <v>0</v>
      </c>
      <c r="Q20" s="365">
        <f t="shared" si="11"/>
        <v>0</v>
      </c>
      <c r="R20" s="339" t="str">
        <f t="shared" si="1"/>
        <v/>
      </c>
      <c r="S20" s="365" t="str">
        <f t="shared" si="12"/>
        <v/>
      </c>
      <c r="T20" s="366" t="str">
        <f t="shared" si="13"/>
        <v/>
      </c>
      <c r="U20" s="366" t="str">
        <f t="shared" si="14"/>
        <v/>
      </c>
      <c r="V20" s="365">
        <f t="shared" si="15"/>
        <v>0</v>
      </c>
      <c r="W20" s="365">
        <f t="shared" si="16"/>
        <v>0</v>
      </c>
      <c r="X20" s="367">
        <f t="shared" si="17"/>
        <v>0</v>
      </c>
      <c r="Y20" s="367">
        <f t="shared" si="18"/>
        <v>0</v>
      </c>
      <c r="Z20" s="367">
        <f t="shared" si="19"/>
        <v>0</v>
      </c>
      <c r="AA20" s="368" t="str">
        <f t="shared" si="20"/>
        <v/>
      </c>
      <c r="AB20" s="365" t="str">
        <f t="shared" si="2"/>
        <v/>
      </c>
      <c r="AC20" s="366" t="str">
        <f t="shared" si="3"/>
        <v/>
      </c>
      <c r="AD20" s="353" t="str">
        <f t="shared" si="4"/>
        <v/>
      </c>
      <c r="AE20" s="377" t="str">
        <f t="shared" si="5"/>
        <v/>
      </c>
      <c r="AF20" s="369"/>
      <c r="AG20" s="369"/>
      <c r="AH20" s="367">
        <f t="shared" si="21"/>
        <v>0</v>
      </c>
      <c r="AI20" s="367">
        <f t="shared" si="22"/>
        <v>0</v>
      </c>
      <c r="AJ20" s="367">
        <f t="shared" si="23"/>
        <v>0</v>
      </c>
      <c r="AK20" s="367" t="e">
        <f t="shared" si="24"/>
        <v>#VALUE!</v>
      </c>
      <c r="AL20" s="368" t="e">
        <f t="shared" si="25"/>
        <v>#VALUE!</v>
      </c>
      <c r="AM20" s="370">
        <f t="shared" si="26"/>
        <v>0</v>
      </c>
      <c r="AN20" s="358">
        <f t="shared" si="27"/>
        <v>0</v>
      </c>
      <c r="AO20" s="371">
        <f t="shared" si="28"/>
        <v>0</v>
      </c>
      <c r="AP20" s="1429"/>
      <c r="AQ20" s="360">
        <f t="shared" si="29"/>
        <v>0</v>
      </c>
      <c r="AR20" s="360">
        <f t="shared" si="30"/>
        <v>0</v>
      </c>
      <c r="AS20" s="360" t="e">
        <f t="shared" si="31"/>
        <v>#VALUE!</v>
      </c>
      <c r="AT20" s="361" t="e">
        <f t="shared" si="32"/>
        <v>#VALUE!</v>
      </c>
      <c r="AU20" s="361" t="e">
        <f t="shared" si="33"/>
        <v>#VALUE!</v>
      </c>
      <c r="AV20" s="360" t="e">
        <f t="shared" si="34"/>
        <v>#VALUE!</v>
      </c>
      <c r="AW20" s="360">
        <f t="shared" si="35"/>
        <v>0</v>
      </c>
      <c r="AX20" s="360">
        <f t="shared" si="36"/>
        <v>0</v>
      </c>
      <c r="AY20" s="360" t="e">
        <f t="shared" si="37"/>
        <v>#VALUE!</v>
      </c>
      <c r="AZ20" s="361" t="e">
        <f t="shared" si="38"/>
        <v>#VALUE!</v>
      </c>
      <c r="BA20" s="361" t="e">
        <f t="shared" si="39"/>
        <v>#VALUE!</v>
      </c>
      <c r="BB20" s="360" t="e">
        <f t="shared" si="40"/>
        <v>#VALUE!</v>
      </c>
      <c r="BC20" s="347"/>
      <c r="BD20" s="347"/>
      <c r="BE20" s="347"/>
    </row>
    <row r="21" spans="1:57" ht="15.75">
      <c r="A21" s="347">
        <f t="shared" si="6"/>
        <v>0</v>
      </c>
      <c r="B21" s="347">
        <f t="shared" si="0"/>
        <v>0</v>
      </c>
      <c r="C21" s="1410"/>
      <c r="D21" s="362">
        <v>15</v>
      </c>
      <c r="E21" s="540"/>
      <c r="F21" s="363"/>
      <c r="G21" s="364"/>
      <c r="H21" s="364"/>
      <c r="I21" s="364"/>
      <c r="J21" s="364"/>
      <c r="K21" s="364"/>
      <c r="L21" s="364"/>
      <c r="M21" s="339">
        <f t="shared" si="7"/>
        <v>-50000</v>
      </c>
      <c r="N21" s="339">
        <f t="shared" si="8"/>
        <v>-75000</v>
      </c>
      <c r="O21" s="365">
        <f t="shared" si="9"/>
        <v>0</v>
      </c>
      <c r="P21" s="365">
        <f t="shared" si="10"/>
        <v>0</v>
      </c>
      <c r="Q21" s="365">
        <f t="shared" si="11"/>
        <v>0</v>
      </c>
      <c r="R21" s="339" t="str">
        <f t="shared" si="1"/>
        <v/>
      </c>
      <c r="S21" s="365" t="str">
        <f t="shared" si="12"/>
        <v/>
      </c>
      <c r="T21" s="366" t="str">
        <f t="shared" si="13"/>
        <v/>
      </c>
      <c r="U21" s="366" t="str">
        <f t="shared" si="14"/>
        <v/>
      </c>
      <c r="V21" s="365">
        <f t="shared" si="15"/>
        <v>0</v>
      </c>
      <c r="W21" s="365">
        <f t="shared" si="16"/>
        <v>0</v>
      </c>
      <c r="X21" s="367">
        <f t="shared" si="17"/>
        <v>0</v>
      </c>
      <c r="Y21" s="367">
        <f t="shared" si="18"/>
        <v>0</v>
      </c>
      <c r="Z21" s="367">
        <f t="shared" si="19"/>
        <v>0</v>
      </c>
      <c r="AA21" s="368" t="str">
        <f t="shared" si="20"/>
        <v/>
      </c>
      <c r="AB21" s="365" t="str">
        <f t="shared" si="2"/>
        <v/>
      </c>
      <c r="AC21" s="366" t="str">
        <f t="shared" si="3"/>
        <v/>
      </c>
      <c r="AD21" s="353" t="str">
        <f t="shared" si="4"/>
        <v/>
      </c>
      <c r="AE21" s="377" t="str">
        <f t="shared" si="5"/>
        <v/>
      </c>
      <c r="AF21" s="369"/>
      <c r="AG21" s="369"/>
      <c r="AH21" s="367">
        <f t="shared" si="21"/>
        <v>0</v>
      </c>
      <c r="AI21" s="367">
        <f t="shared" si="22"/>
        <v>0</v>
      </c>
      <c r="AJ21" s="367">
        <f t="shared" si="23"/>
        <v>0</v>
      </c>
      <c r="AK21" s="367" t="e">
        <f t="shared" si="24"/>
        <v>#VALUE!</v>
      </c>
      <c r="AL21" s="368" t="e">
        <f t="shared" si="25"/>
        <v>#VALUE!</v>
      </c>
      <c r="AM21" s="370">
        <f t="shared" si="26"/>
        <v>0</v>
      </c>
      <c r="AN21" s="358">
        <f t="shared" si="27"/>
        <v>0</v>
      </c>
      <c r="AO21" s="371">
        <f t="shared" si="28"/>
        <v>0</v>
      </c>
      <c r="AP21" s="1429"/>
      <c r="AQ21" s="360">
        <f t="shared" si="29"/>
        <v>0</v>
      </c>
      <c r="AR21" s="360">
        <f t="shared" si="30"/>
        <v>0</v>
      </c>
      <c r="AS21" s="360" t="e">
        <f t="shared" si="31"/>
        <v>#VALUE!</v>
      </c>
      <c r="AT21" s="361" t="e">
        <f t="shared" si="32"/>
        <v>#VALUE!</v>
      </c>
      <c r="AU21" s="361" t="e">
        <f t="shared" si="33"/>
        <v>#VALUE!</v>
      </c>
      <c r="AV21" s="360" t="e">
        <f t="shared" si="34"/>
        <v>#VALUE!</v>
      </c>
      <c r="AW21" s="360">
        <f t="shared" si="35"/>
        <v>0</v>
      </c>
      <c r="AX21" s="360">
        <f t="shared" si="36"/>
        <v>0</v>
      </c>
      <c r="AY21" s="360" t="e">
        <f t="shared" si="37"/>
        <v>#VALUE!</v>
      </c>
      <c r="AZ21" s="361" t="e">
        <f t="shared" si="38"/>
        <v>#VALUE!</v>
      </c>
      <c r="BA21" s="361" t="e">
        <f t="shared" si="39"/>
        <v>#VALUE!</v>
      </c>
      <c r="BB21" s="360" t="e">
        <f t="shared" si="40"/>
        <v>#VALUE!</v>
      </c>
      <c r="BC21" s="347"/>
      <c r="BD21" s="347"/>
      <c r="BE21" s="347"/>
    </row>
    <row r="22" spans="1:57" ht="15.75">
      <c r="A22" s="347">
        <f t="shared" si="6"/>
        <v>0</v>
      </c>
      <c r="B22" s="347">
        <f t="shared" si="0"/>
        <v>0</v>
      </c>
      <c r="C22" s="1410"/>
      <c r="D22" s="362">
        <v>16</v>
      </c>
      <c r="E22" s="540"/>
      <c r="F22" s="363"/>
      <c r="G22" s="364"/>
      <c r="H22" s="364"/>
      <c r="I22" s="364"/>
      <c r="J22" s="364"/>
      <c r="K22" s="364"/>
      <c r="L22" s="364"/>
      <c r="M22" s="339">
        <f t="shared" si="7"/>
        <v>-50000</v>
      </c>
      <c r="N22" s="339">
        <f t="shared" si="8"/>
        <v>-75000</v>
      </c>
      <c r="O22" s="365">
        <f t="shared" si="9"/>
        <v>0</v>
      </c>
      <c r="P22" s="365">
        <f t="shared" si="10"/>
        <v>0</v>
      </c>
      <c r="Q22" s="365">
        <f t="shared" si="11"/>
        <v>0</v>
      </c>
      <c r="R22" s="339" t="str">
        <f t="shared" si="1"/>
        <v/>
      </c>
      <c r="S22" s="365" t="str">
        <f t="shared" si="12"/>
        <v/>
      </c>
      <c r="T22" s="366" t="str">
        <f t="shared" si="13"/>
        <v/>
      </c>
      <c r="U22" s="366" t="str">
        <f t="shared" si="14"/>
        <v/>
      </c>
      <c r="V22" s="365">
        <f t="shared" si="15"/>
        <v>0</v>
      </c>
      <c r="W22" s="365">
        <f t="shared" si="16"/>
        <v>0</v>
      </c>
      <c r="X22" s="367">
        <f t="shared" si="17"/>
        <v>0</v>
      </c>
      <c r="Y22" s="367">
        <f t="shared" si="18"/>
        <v>0</v>
      </c>
      <c r="Z22" s="367">
        <f t="shared" si="19"/>
        <v>0</v>
      </c>
      <c r="AA22" s="368" t="str">
        <f t="shared" si="20"/>
        <v/>
      </c>
      <c r="AB22" s="365" t="str">
        <f t="shared" si="2"/>
        <v/>
      </c>
      <c r="AC22" s="366" t="str">
        <f t="shared" si="3"/>
        <v/>
      </c>
      <c r="AD22" s="353" t="str">
        <f t="shared" si="4"/>
        <v/>
      </c>
      <c r="AE22" s="377" t="str">
        <f t="shared" si="5"/>
        <v/>
      </c>
      <c r="AF22" s="369"/>
      <c r="AG22" s="369"/>
      <c r="AH22" s="367">
        <f t="shared" si="21"/>
        <v>0</v>
      </c>
      <c r="AI22" s="367">
        <f t="shared" si="22"/>
        <v>0</v>
      </c>
      <c r="AJ22" s="367">
        <f t="shared" si="23"/>
        <v>0</v>
      </c>
      <c r="AK22" s="367" t="e">
        <f t="shared" si="24"/>
        <v>#VALUE!</v>
      </c>
      <c r="AL22" s="368" t="e">
        <f t="shared" si="25"/>
        <v>#VALUE!</v>
      </c>
      <c r="AM22" s="370">
        <f t="shared" si="26"/>
        <v>0</v>
      </c>
      <c r="AN22" s="358">
        <f t="shared" si="27"/>
        <v>0</v>
      </c>
      <c r="AO22" s="371">
        <f t="shared" si="28"/>
        <v>0</v>
      </c>
      <c r="AP22" s="1429"/>
      <c r="AQ22" s="360">
        <f t="shared" si="29"/>
        <v>0</v>
      </c>
      <c r="AR22" s="360">
        <f t="shared" si="30"/>
        <v>0</v>
      </c>
      <c r="AS22" s="360" t="e">
        <f t="shared" si="31"/>
        <v>#VALUE!</v>
      </c>
      <c r="AT22" s="361" t="e">
        <f t="shared" si="32"/>
        <v>#VALUE!</v>
      </c>
      <c r="AU22" s="361" t="e">
        <f t="shared" si="33"/>
        <v>#VALUE!</v>
      </c>
      <c r="AV22" s="360" t="e">
        <f t="shared" si="34"/>
        <v>#VALUE!</v>
      </c>
      <c r="AW22" s="360">
        <f t="shared" si="35"/>
        <v>0</v>
      </c>
      <c r="AX22" s="360">
        <f t="shared" si="36"/>
        <v>0</v>
      </c>
      <c r="AY22" s="360" t="e">
        <f t="shared" si="37"/>
        <v>#VALUE!</v>
      </c>
      <c r="AZ22" s="361" t="e">
        <f t="shared" si="38"/>
        <v>#VALUE!</v>
      </c>
      <c r="BA22" s="361" t="e">
        <f t="shared" si="39"/>
        <v>#VALUE!</v>
      </c>
      <c r="BB22" s="360" t="e">
        <f t="shared" si="40"/>
        <v>#VALUE!</v>
      </c>
      <c r="BC22" s="347"/>
      <c r="BD22" s="347"/>
      <c r="BE22" s="347"/>
    </row>
    <row r="23" spans="1:57" ht="15.75">
      <c r="A23" s="347">
        <f t="shared" si="6"/>
        <v>0</v>
      </c>
      <c r="B23" s="347">
        <f t="shared" si="0"/>
        <v>0</v>
      </c>
      <c r="C23" s="1410"/>
      <c r="D23" s="362">
        <v>17</v>
      </c>
      <c r="E23" s="540"/>
      <c r="F23" s="363"/>
      <c r="G23" s="364"/>
      <c r="H23" s="364"/>
      <c r="I23" s="364"/>
      <c r="J23" s="364"/>
      <c r="K23" s="364"/>
      <c r="L23" s="364"/>
      <c r="M23" s="339">
        <f t="shared" si="7"/>
        <v>-50000</v>
      </c>
      <c r="N23" s="339">
        <f t="shared" si="8"/>
        <v>-75000</v>
      </c>
      <c r="O23" s="365">
        <f t="shared" si="9"/>
        <v>0</v>
      </c>
      <c r="P23" s="365">
        <f t="shared" si="10"/>
        <v>0</v>
      </c>
      <c r="Q23" s="365">
        <f t="shared" si="11"/>
        <v>0</v>
      </c>
      <c r="R23" s="339" t="str">
        <f t="shared" si="1"/>
        <v/>
      </c>
      <c r="S23" s="365" t="str">
        <f t="shared" si="12"/>
        <v/>
      </c>
      <c r="T23" s="366" t="str">
        <f t="shared" si="13"/>
        <v/>
      </c>
      <c r="U23" s="366" t="str">
        <f t="shared" si="14"/>
        <v/>
      </c>
      <c r="V23" s="365">
        <f t="shared" si="15"/>
        <v>0</v>
      </c>
      <c r="W23" s="365">
        <f t="shared" si="16"/>
        <v>0</v>
      </c>
      <c r="X23" s="367">
        <f t="shared" si="17"/>
        <v>0</v>
      </c>
      <c r="Y23" s="367">
        <f t="shared" si="18"/>
        <v>0</v>
      </c>
      <c r="Z23" s="367">
        <f t="shared" si="19"/>
        <v>0</v>
      </c>
      <c r="AA23" s="368" t="str">
        <f t="shared" si="20"/>
        <v/>
      </c>
      <c r="AB23" s="365" t="str">
        <f t="shared" si="2"/>
        <v/>
      </c>
      <c r="AC23" s="366" t="str">
        <f t="shared" si="3"/>
        <v/>
      </c>
      <c r="AD23" s="353" t="str">
        <f t="shared" si="4"/>
        <v/>
      </c>
      <c r="AE23" s="377" t="str">
        <f t="shared" si="5"/>
        <v/>
      </c>
      <c r="AF23" s="369"/>
      <c r="AG23" s="369"/>
      <c r="AH23" s="367">
        <f t="shared" si="21"/>
        <v>0</v>
      </c>
      <c r="AI23" s="367">
        <f t="shared" si="22"/>
        <v>0</v>
      </c>
      <c r="AJ23" s="367">
        <f t="shared" si="23"/>
        <v>0</v>
      </c>
      <c r="AK23" s="367" t="e">
        <f t="shared" si="24"/>
        <v>#VALUE!</v>
      </c>
      <c r="AL23" s="368" t="e">
        <f t="shared" si="25"/>
        <v>#VALUE!</v>
      </c>
      <c r="AM23" s="370">
        <f t="shared" si="26"/>
        <v>0</v>
      </c>
      <c r="AN23" s="358">
        <f t="shared" si="27"/>
        <v>0</v>
      </c>
      <c r="AO23" s="371">
        <f t="shared" si="28"/>
        <v>0</v>
      </c>
      <c r="AP23" s="1429"/>
      <c r="AQ23" s="360">
        <f t="shared" si="29"/>
        <v>0</v>
      </c>
      <c r="AR23" s="360">
        <f t="shared" si="30"/>
        <v>0</v>
      </c>
      <c r="AS23" s="360" t="e">
        <f t="shared" si="31"/>
        <v>#VALUE!</v>
      </c>
      <c r="AT23" s="361" t="e">
        <f t="shared" si="32"/>
        <v>#VALUE!</v>
      </c>
      <c r="AU23" s="361" t="e">
        <f t="shared" si="33"/>
        <v>#VALUE!</v>
      </c>
      <c r="AV23" s="360" t="e">
        <f t="shared" si="34"/>
        <v>#VALUE!</v>
      </c>
      <c r="AW23" s="360">
        <f t="shared" si="35"/>
        <v>0</v>
      </c>
      <c r="AX23" s="360">
        <f t="shared" si="36"/>
        <v>0</v>
      </c>
      <c r="AY23" s="360" t="e">
        <f t="shared" si="37"/>
        <v>#VALUE!</v>
      </c>
      <c r="AZ23" s="361" t="e">
        <f t="shared" si="38"/>
        <v>#VALUE!</v>
      </c>
      <c r="BA23" s="361" t="e">
        <f t="shared" si="39"/>
        <v>#VALUE!</v>
      </c>
      <c r="BB23" s="360" t="e">
        <f t="shared" si="40"/>
        <v>#VALUE!</v>
      </c>
      <c r="BC23" s="347"/>
      <c r="BD23" s="347"/>
      <c r="BE23" s="347"/>
    </row>
    <row r="24" spans="1:57" ht="15.75">
      <c r="A24" s="347">
        <f t="shared" si="6"/>
        <v>0</v>
      </c>
      <c r="B24" s="347">
        <f t="shared" si="0"/>
        <v>0</v>
      </c>
      <c r="C24" s="1410"/>
      <c r="D24" s="362">
        <v>18</v>
      </c>
      <c r="E24" s="540"/>
      <c r="F24" s="363"/>
      <c r="G24" s="364"/>
      <c r="H24" s="364"/>
      <c r="I24" s="364"/>
      <c r="J24" s="364"/>
      <c r="K24" s="364"/>
      <c r="L24" s="364"/>
      <c r="M24" s="339">
        <f t="shared" si="7"/>
        <v>-50000</v>
      </c>
      <c r="N24" s="339">
        <f t="shared" si="8"/>
        <v>-75000</v>
      </c>
      <c r="O24" s="365">
        <f t="shared" si="9"/>
        <v>0</v>
      </c>
      <c r="P24" s="365">
        <f t="shared" si="10"/>
        <v>0</v>
      </c>
      <c r="Q24" s="365">
        <f t="shared" si="11"/>
        <v>0</v>
      </c>
      <c r="R24" s="339" t="str">
        <f t="shared" si="1"/>
        <v/>
      </c>
      <c r="S24" s="365" t="str">
        <f t="shared" si="12"/>
        <v/>
      </c>
      <c r="T24" s="366" t="str">
        <f t="shared" si="13"/>
        <v/>
      </c>
      <c r="U24" s="366" t="str">
        <f t="shared" si="14"/>
        <v/>
      </c>
      <c r="V24" s="365">
        <f t="shared" si="15"/>
        <v>0</v>
      </c>
      <c r="W24" s="365">
        <f t="shared" si="16"/>
        <v>0</v>
      </c>
      <c r="X24" s="367">
        <f t="shared" si="17"/>
        <v>0</v>
      </c>
      <c r="Y24" s="367">
        <f t="shared" si="18"/>
        <v>0</v>
      </c>
      <c r="Z24" s="367">
        <f t="shared" si="19"/>
        <v>0</v>
      </c>
      <c r="AA24" s="368" t="str">
        <f t="shared" si="20"/>
        <v/>
      </c>
      <c r="AB24" s="365" t="str">
        <f t="shared" si="2"/>
        <v/>
      </c>
      <c r="AC24" s="366" t="str">
        <f t="shared" si="3"/>
        <v/>
      </c>
      <c r="AD24" s="353" t="str">
        <f t="shared" si="4"/>
        <v/>
      </c>
      <c r="AE24" s="377" t="str">
        <f t="shared" si="5"/>
        <v/>
      </c>
      <c r="AF24" s="369"/>
      <c r="AG24" s="369"/>
      <c r="AH24" s="367">
        <f t="shared" si="21"/>
        <v>0</v>
      </c>
      <c r="AI24" s="367">
        <f t="shared" si="22"/>
        <v>0</v>
      </c>
      <c r="AJ24" s="367">
        <f t="shared" si="23"/>
        <v>0</v>
      </c>
      <c r="AK24" s="367" t="e">
        <f t="shared" si="24"/>
        <v>#VALUE!</v>
      </c>
      <c r="AL24" s="368" t="e">
        <f t="shared" si="25"/>
        <v>#VALUE!</v>
      </c>
      <c r="AM24" s="370">
        <f t="shared" si="26"/>
        <v>0</v>
      </c>
      <c r="AN24" s="358">
        <f t="shared" si="27"/>
        <v>0</v>
      </c>
      <c r="AO24" s="371">
        <f t="shared" si="28"/>
        <v>0</v>
      </c>
      <c r="AP24" s="1429"/>
      <c r="AQ24" s="360">
        <f t="shared" si="29"/>
        <v>0</v>
      </c>
      <c r="AR24" s="360">
        <f t="shared" si="30"/>
        <v>0</v>
      </c>
      <c r="AS24" s="360" t="e">
        <f t="shared" si="31"/>
        <v>#VALUE!</v>
      </c>
      <c r="AT24" s="361" t="e">
        <f t="shared" si="32"/>
        <v>#VALUE!</v>
      </c>
      <c r="AU24" s="361" t="e">
        <f t="shared" si="33"/>
        <v>#VALUE!</v>
      </c>
      <c r="AV24" s="360" t="e">
        <f t="shared" si="34"/>
        <v>#VALUE!</v>
      </c>
      <c r="AW24" s="360">
        <f t="shared" si="35"/>
        <v>0</v>
      </c>
      <c r="AX24" s="360">
        <f t="shared" si="36"/>
        <v>0</v>
      </c>
      <c r="AY24" s="360" t="e">
        <f t="shared" si="37"/>
        <v>#VALUE!</v>
      </c>
      <c r="AZ24" s="361" t="e">
        <f t="shared" si="38"/>
        <v>#VALUE!</v>
      </c>
      <c r="BA24" s="361" t="e">
        <f t="shared" si="39"/>
        <v>#VALUE!</v>
      </c>
      <c r="BB24" s="360" t="e">
        <f t="shared" si="40"/>
        <v>#VALUE!</v>
      </c>
      <c r="BC24" s="347"/>
      <c r="BD24" s="347"/>
      <c r="BE24" s="347"/>
    </row>
    <row r="25" spans="1:57" ht="15.75">
      <c r="A25" s="347">
        <f t="shared" si="6"/>
        <v>0</v>
      </c>
      <c r="B25" s="347">
        <f t="shared" si="0"/>
        <v>0</v>
      </c>
      <c r="C25" s="1410"/>
      <c r="D25" s="362">
        <v>19</v>
      </c>
      <c r="E25" s="540"/>
      <c r="F25" s="363"/>
      <c r="G25" s="364"/>
      <c r="H25" s="364"/>
      <c r="I25" s="364"/>
      <c r="J25" s="364"/>
      <c r="K25" s="364"/>
      <c r="L25" s="364"/>
      <c r="M25" s="339">
        <f t="shared" si="7"/>
        <v>-50000</v>
      </c>
      <c r="N25" s="339">
        <f t="shared" si="8"/>
        <v>-75000</v>
      </c>
      <c r="O25" s="365">
        <f t="shared" si="9"/>
        <v>0</v>
      </c>
      <c r="P25" s="365">
        <f t="shared" si="10"/>
        <v>0</v>
      </c>
      <c r="Q25" s="365">
        <f t="shared" si="11"/>
        <v>0</v>
      </c>
      <c r="R25" s="339" t="str">
        <f t="shared" si="1"/>
        <v/>
      </c>
      <c r="S25" s="365" t="str">
        <f t="shared" si="12"/>
        <v/>
      </c>
      <c r="T25" s="366" t="str">
        <f t="shared" si="13"/>
        <v/>
      </c>
      <c r="U25" s="366" t="str">
        <f t="shared" si="14"/>
        <v/>
      </c>
      <c r="V25" s="365">
        <f t="shared" si="15"/>
        <v>0</v>
      </c>
      <c r="W25" s="365">
        <f t="shared" si="16"/>
        <v>0</v>
      </c>
      <c r="X25" s="367">
        <f t="shared" si="17"/>
        <v>0</v>
      </c>
      <c r="Y25" s="367">
        <f t="shared" si="18"/>
        <v>0</v>
      </c>
      <c r="Z25" s="367">
        <f t="shared" si="19"/>
        <v>0</v>
      </c>
      <c r="AA25" s="368" t="str">
        <f t="shared" si="20"/>
        <v/>
      </c>
      <c r="AB25" s="365" t="str">
        <f t="shared" si="2"/>
        <v/>
      </c>
      <c r="AC25" s="366" t="str">
        <f t="shared" si="3"/>
        <v/>
      </c>
      <c r="AD25" s="353" t="str">
        <f t="shared" si="4"/>
        <v/>
      </c>
      <c r="AE25" s="377" t="str">
        <f t="shared" si="5"/>
        <v/>
      </c>
      <c r="AF25" s="369"/>
      <c r="AG25" s="369"/>
      <c r="AH25" s="367">
        <f t="shared" si="21"/>
        <v>0</v>
      </c>
      <c r="AI25" s="367">
        <f t="shared" si="22"/>
        <v>0</v>
      </c>
      <c r="AJ25" s="367">
        <f t="shared" si="23"/>
        <v>0</v>
      </c>
      <c r="AK25" s="367" t="e">
        <f t="shared" si="24"/>
        <v>#VALUE!</v>
      </c>
      <c r="AL25" s="368" t="e">
        <f t="shared" si="25"/>
        <v>#VALUE!</v>
      </c>
      <c r="AM25" s="370">
        <f t="shared" si="26"/>
        <v>0</v>
      </c>
      <c r="AN25" s="358">
        <f t="shared" si="27"/>
        <v>0</v>
      </c>
      <c r="AO25" s="371">
        <f t="shared" si="28"/>
        <v>0</v>
      </c>
      <c r="AP25" s="1429"/>
      <c r="AQ25" s="360">
        <f t="shared" si="29"/>
        <v>0</v>
      </c>
      <c r="AR25" s="360">
        <f t="shared" si="30"/>
        <v>0</v>
      </c>
      <c r="AS25" s="360" t="e">
        <f t="shared" si="31"/>
        <v>#VALUE!</v>
      </c>
      <c r="AT25" s="361" t="e">
        <f t="shared" si="32"/>
        <v>#VALUE!</v>
      </c>
      <c r="AU25" s="361" t="e">
        <f t="shared" si="33"/>
        <v>#VALUE!</v>
      </c>
      <c r="AV25" s="360" t="e">
        <f t="shared" si="34"/>
        <v>#VALUE!</v>
      </c>
      <c r="AW25" s="360">
        <f t="shared" si="35"/>
        <v>0</v>
      </c>
      <c r="AX25" s="360">
        <f t="shared" si="36"/>
        <v>0</v>
      </c>
      <c r="AY25" s="360" t="e">
        <f t="shared" si="37"/>
        <v>#VALUE!</v>
      </c>
      <c r="AZ25" s="361" t="e">
        <f t="shared" si="38"/>
        <v>#VALUE!</v>
      </c>
      <c r="BA25" s="361" t="e">
        <f t="shared" si="39"/>
        <v>#VALUE!</v>
      </c>
      <c r="BB25" s="360" t="e">
        <f t="shared" si="40"/>
        <v>#VALUE!</v>
      </c>
      <c r="BC25" s="347"/>
      <c r="BD25" s="347"/>
      <c r="BE25" s="347"/>
    </row>
    <row r="26" spans="1:57" ht="15.75">
      <c r="A26" s="347">
        <f t="shared" si="6"/>
        <v>0</v>
      </c>
      <c r="B26" s="347">
        <f t="shared" si="0"/>
        <v>0</v>
      </c>
      <c r="C26" s="1410"/>
      <c r="D26" s="362">
        <v>20</v>
      </c>
      <c r="E26" s="540"/>
      <c r="F26" s="363"/>
      <c r="G26" s="364"/>
      <c r="H26" s="364"/>
      <c r="I26" s="364"/>
      <c r="J26" s="364"/>
      <c r="K26" s="364"/>
      <c r="L26" s="364"/>
      <c r="M26" s="339">
        <f t="shared" si="7"/>
        <v>-50000</v>
      </c>
      <c r="N26" s="339">
        <f t="shared" si="8"/>
        <v>-75000</v>
      </c>
      <c r="O26" s="365">
        <f t="shared" si="9"/>
        <v>0</v>
      </c>
      <c r="P26" s="365">
        <f t="shared" si="10"/>
        <v>0</v>
      </c>
      <c r="Q26" s="365">
        <f t="shared" si="11"/>
        <v>0</v>
      </c>
      <c r="R26" s="339" t="str">
        <f t="shared" si="1"/>
        <v/>
      </c>
      <c r="S26" s="365" t="str">
        <f t="shared" si="12"/>
        <v/>
      </c>
      <c r="T26" s="366" t="str">
        <f t="shared" si="13"/>
        <v/>
      </c>
      <c r="U26" s="366" t="str">
        <f t="shared" si="14"/>
        <v/>
      </c>
      <c r="V26" s="365">
        <f t="shared" si="15"/>
        <v>0</v>
      </c>
      <c r="W26" s="365">
        <f t="shared" si="16"/>
        <v>0</v>
      </c>
      <c r="X26" s="367">
        <f t="shared" si="17"/>
        <v>0</v>
      </c>
      <c r="Y26" s="367">
        <f t="shared" si="18"/>
        <v>0</v>
      </c>
      <c r="Z26" s="367">
        <f t="shared" si="19"/>
        <v>0</v>
      </c>
      <c r="AA26" s="368" t="str">
        <f t="shared" si="20"/>
        <v/>
      </c>
      <c r="AB26" s="365" t="str">
        <f t="shared" si="2"/>
        <v/>
      </c>
      <c r="AC26" s="366" t="str">
        <f t="shared" si="3"/>
        <v/>
      </c>
      <c r="AD26" s="353" t="str">
        <f t="shared" si="4"/>
        <v/>
      </c>
      <c r="AE26" s="377" t="str">
        <f t="shared" si="5"/>
        <v/>
      </c>
      <c r="AF26" s="369"/>
      <c r="AG26" s="369"/>
      <c r="AH26" s="367">
        <f t="shared" si="21"/>
        <v>0</v>
      </c>
      <c r="AI26" s="367">
        <f t="shared" si="22"/>
        <v>0</v>
      </c>
      <c r="AJ26" s="367">
        <f t="shared" si="23"/>
        <v>0</v>
      </c>
      <c r="AK26" s="367" t="e">
        <f t="shared" si="24"/>
        <v>#VALUE!</v>
      </c>
      <c r="AL26" s="368" t="e">
        <f t="shared" si="25"/>
        <v>#VALUE!</v>
      </c>
      <c r="AM26" s="370">
        <f t="shared" si="26"/>
        <v>0</v>
      </c>
      <c r="AN26" s="358">
        <f t="shared" si="27"/>
        <v>0</v>
      </c>
      <c r="AO26" s="371">
        <f t="shared" si="28"/>
        <v>0</v>
      </c>
      <c r="AP26" s="1429"/>
      <c r="AQ26" s="360">
        <f t="shared" si="29"/>
        <v>0</v>
      </c>
      <c r="AR26" s="360">
        <f t="shared" si="30"/>
        <v>0</v>
      </c>
      <c r="AS26" s="360" t="e">
        <f t="shared" si="31"/>
        <v>#VALUE!</v>
      </c>
      <c r="AT26" s="361" t="e">
        <f t="shared" si="32"/>
        <v>#VALUE!</v>
      </c>
      <c r="AU26" s="361" t="e">
        <f t="shared" si="33"/>
        <v>#VALUE!</v>
      </c>
      <c r="AV26" s="360" t="e">
        <f t="shared" si="34"/>
        <v>#VALUE!</v>
      </c>
      <c r="AW26" s="360">
        <f t="shared" si="35"/>
        <v>0</v>
      </c>
      <c r="AX26" s="360">
        <f t="shared" si="36"/>
        <v>0</v>
      </c>
      <c r="AY26" s="360" t="e">
        <f t="shared" si="37"/>
        <v>#VALUE!</v>
      </c>
      <c r="AZ26" s="361" t="e">
        <f t="shared" si="38"/>
        <v>#VALUE!</v>
      </c>
      <c r="BA26" s="361" t="e">
        <f t="shared" si="39"/>
        <v>#VALUE!</v>
      </c>
      <c r="BB26" s="360" t="e">
        <f t="shared" si="40"/>
        <v>#VALUE!</v>
      </c>
      <c r="BC26" s="347"/>
      <c r="BD26" s="347"/>
      <c r="BE26" s="347"/>
    </row>
    <row r="27" spans="1:57" ht="15.75">
      <c r="A27" s="347">
        <f t="shared" si="6"/>
        <v>0</v>
      </c>
      <c r="B27" s="347">
        <f t="shared" si="0"/>
        <v>0</v>
      </c>
      <c r="C27" s="1410"/>
      <c r="D27" s="362">
        <v>21</v>
      </c>
      <c r="E27" s="540"/>
      <c r="F27" s="363"/>
      <c r="G27" s="364"/>
      <c r="H27" s="364"/>
      <c r="I27" s="364"/>
      <c r="J27" s="364"/>
      <c r="K27" s="364"/>
      <c r="L27" s="364"/>
      <c r="M27" s="339">
        <f t="shared" si="7"/>
        <v>-50000</v>
      </c>
      <c r="N27" s="339">
        <f t="shared" si="8"/>
        <v>-75000</v>
      </c>
      <c r="O27" s="365">
        <f t="shared" si="9"/>
        <v>0</v>
      </c>
      <c r="P27" s="365">
        <f t="shared" si="10"/>
        <v>0</v>
      </c>
      <c r="Q27" s="365">
        <f t="shared" si="11"/>
        <v>0</v>
      </c>
      <c r="R27" s="339" t="str">
        <f t="shared" si="1"/>
        <v/>
      </c>
      <c r="S27" s="365" t="str">
        <f t="shared" si="12"/>
        <v/>
      </c>
      <c r="T27" s="366" t="str">
        <f t="shared" si="13"/>
        <v/>
      </c>
      <c r="U27" s="366" t="str">
        <f t="shared" si="14"/>
        <v/>
      </c>
      <c r="V27" s="365">
        <f t="shared" si="15"/>
        <v>0</v>
      </c>
      <c r="W27" s="365">
        <f t="shared" si="16"/>
        <v>0</v>
      </c>
      <c r="X27" s="367">
        <f t="shared" si="17"/>
        <v>0</v>
      </c>
      <c r="Y27" s="367">
        <f t="shared" si="18"/>
        <v>0</v>
      </c>
      <c r="Z27" s="367">
        <f t="shared" si="19"/>
        <v>0</v>
      </c>
      <c r="AA27" s="368" t="str">
        <f t="shared" si="20"/>
        <v/>
      </c>
      <c r="AB27" s="365" t="str">
        <f t="shared" si="2"/>
        <v/>
      </c>
      <c r="AC27" s="366" t="str">
        <f t="shared" si="3"/>
        <v/>
      </c>
      <c r="AD27" s="353" t="str">
        <f t="shared" si="4"/>
        <v/>
      </c>
      <c r="AE27" s="377" t="str">
        <f t="shared" si="5"/>
        <v/>
      </c>
      <c r="AF27" s="369"/>
      <c r="AG27" s="369"/>
      <c r="AH27" s="367">
        <f t="shared" si="21"/>
        <v>0</v>
      </c>
      <c r="AI27" s="367">
        <f t="shared" si="22"/>
        <v>0</v>
      </c>
      <c r="AJ27" s="367">
        <f t="shared" si="23"/>
        <v>0</v>
      </c>
      <c r="AK27" s="367" t="e">
        <f t="shared" si="24"/>
        <v>#VALUE!</v>
      </c>
      <c r="AL27" s="368" t="e">
        <f t="shared" si="25"/>
        <v>#VALUE!</v>
      </c>
      <c r="AM27" s="370">
        <f t="shared" si="26"/>
        <v>0</v>
      </c>
      <c r="AN27" s="358">
        <f t="shared" si="27"/>
        <v>0</v>
      </c>
      <c r="AO27" s="371">
        <f t="shared" si="28"/>
        <v>0</v>
      </c>
      <c r="AP27" s="1429"/>
      <c r="AQ27" s="360">
        <f t="shared" si="29"/>
        <v>0</v>
      </c>
      <c r="AR27" s="360">
        <f t="shared" si="30"/>
        <v>0</v>
      </c>
      <c r="AS27" s="360" t="e">
        <f t="shared" si="31"/>
        <v>#VALUE!</v>
      </c>
      <c r="AT27" s="361" t="e">
        <f t="shared" si="32"/>
        <v>#VALUE!</v>
      </c>
      <c r="AU27" s="361" t="e">
        <f t="shared" si="33"/>
        <v>#VALUE!</v>
      </c>
      <c r="AV27" s="360" t="e">
        <f t="shared" si="34"/>
        <v>#VALUE!</v>
      </c>
      <c r="AW27" s="360">
        <f t="shared" si="35"/>
        <v>0</v>
      </c>
      <c r="AX27" s="360">
        <f t="shared" si="36"/>
        <v>0</v>
      </c>
      <c r="AY27" s="360" t="e">
        <f t="shared" si="37"/>
        <v>#VALUE!</v>
      </c>
      <c r="AZ27" s="361" t="e">
        <f t="shared" si="38"/>
        <v>#VALUE!</v>
      </c>
      <c r="BA27" s="361" t="e">
        <f t="shared" si="39"/>
        <v>#VALUE!</v>
      </c>
      <c r="BB27" s="360" t="e">
        <f t="shared" si="40"/>
        <v>#VALUE!</v>
      </c>
      <c r="BC27" s="347"/>
      <c r="BD27" s="347"/>
      <c r="BE27" s="347"/>
    </row>
    <row r="28" spans="1:57" ht="15.75">
      <c r="A28" s="347">
        <f t="shared" si="6"/>
        <v>0</v>
      </c>
      <c r="B28" s="347">
        <f t="shared" si="0"/>
        <v>0</v>
      </c>
      <c r="C28" s="1410"/>
      <c r="D28" s="362">
        <v>22</v>
      </c>
      <c r="E28" s="540"/>
      <c r="F28" s="363"/>
      <c r="G28" s="364"/>
      <c r="H28" s="364"/>
      <c r="I28" s="364"/>
      <c r="J28" s="364"/>
      <c r="K28" s="364"/>
      <c r="L28" s="364"/>
      <c r="M28" s="339">
        <f t="shared" si="7"/>
        <v>-50000</v>
      </c>
      <c r="N28" s="339">
        <f t="shared" si="8"/>
        <v>-75000</v>
      </c>
      <c r="O28" s="365">
        <f t="shared" si="9"/>
        <v>0</v>
      </c>
      <c r="P28" s="365">
        <f t="shared" si="10"/>
        <v>0</v>
      </c>
      <c r="Q28" s="365">
        <f t="shared" si="11"/>
        <v>0</v>
      </c>
      <c r="R28" s="339" t="str">
        <f t="shared" si="1"/>
        <v/>
      </c>
      <c r="S28" s="365" t="str">
        <f t="shared" si="12"/>
        <v/>
      </c>
      <c r="T28" s="366" t="str">
        <f t="shared" si="13"/>
        <v/>
      </c>
      <c r="U28" s="366" t="str">
        <f t="shared" si="14"/>
        <v/>
      </c>
      <c r="V28" s="365">
        <f t="shared" si="15"/>
        <v>0</v>
      </c>
      <c r="W28" s="365">
        <f t="shared" si="16"/>
        <v>0</v>
      </c>
      <c r="X28" s="367">
        <f t="shared" si="17"/>
        <v>0</v>
      </c>
      <c r="Y28" s="367">
        <f t="shared" si="18"/>
        <v>0</v>
      </c>
      <c r="Z28" s="367">
        <f t="shared" si="19"/>
        <v>0</v>
      </c>
      <c r="AA28" s="368" t="str">
        <f t="shared" si="20"/>
        <v/>
      </c>
      <c r="AB28" s="365" t="str">
        <f t="shared" si="2"/>
        <v/>
      </c>
      <c r="AC28" s="366" t="str">
        <f t="shared" si="3"/>
        <v/>
      </c>
      <c r="AD28" s="353" t="str">
        <f t="shared" si="4"/>
        <v/>
      </c>
      <c r="AE28" s="377" t="str">
        <f t="shared" si="5"/>
        <v/>
      </c>
      <c r="AF28" s="369"/>
      <c r="AG28" s="369"/>
      <c r="AH28" s="367">
        <f t="shared" si="21"/>
        <v>0</v>
      </c>
      <c r="AI28" s="367">
        <f t="shared" si="22"/>
        <v>0</v>
      </c>
      <c r="AJ28" s="367">
        <f t="shared" si="23"/>
        <v>0</v>
      </c>
      <c r="AK28" s="367" t="e">
        <f t="shared" si="24"/>
        <v>#VALUE!</v>
      </c>
      <c r="AL28" s="368" t="e">
        <f t="shared" si="25"/>
        <v>#VALUE!</v>
      </c>
      <c r="AM28" s="370">
        <f t="shared" si="26"/>
        <v>0</v>
      </c>
      <c r="AN28" s="358">
        <f t="shared" si="27"/>
        <v>0</v>
      </c>
      <c r="AO28" s="371">
        <f t="shared" si="28"/>
        <v>0</v>
      </c>
      <c r="AP28" s="1429"/>
      <c r="AQ28" s="360">
        <f t="shared" si="29"/>
        <v>0</v>
      </c>
      <c r="AR28" s="360">
        <f t="shared" si="30"/>
        <v>0</v>
      </c>
      <c r="AS28" s="360" t="e">
        <f t="shared" si="31"/>
        <v>#VALUE!</v>
      </c>
      <c r="AT28" s="361" t="e">
        <f t="shared" si="32"/>
        <v>#VALUE!</v>
      </c>
      <c r="AU28" s="361" t="e">
        <f t="shared" si="33"/>
        <v>#VALUE!</v>
      </c>
      <c r="AV28" s="360" t="e">
        <f t="shared" si="34"/>
        <v>#VALUE!</v>
      </c>
      <c r="AW28" s="360">
        <f t="shared" si="35"/>
        <v>0</v>
      </c>
      <c r="AX28" s="360">
        <f t="shared" si="36"/>
        <v>0</v>
      </c>
      <c r="AY28" s="360" t="e">
        <f t="shared" si="37"/>
        <v>#VALUE!</v>
      </c>
      <c r="AZ28" s="361" t="e">
        <f t="shared" si="38"/>
        <v>#VALUE!</v>
      </c>
      <c r="BA28" s="361" t="e">
        <f t="shared" si="39"/>
        <v>#VALUE!</v>
      </c>
      <c r="BB28" s="360" t="e">
        <f t="shared" si="40"/>
        <v>#VALUE!</v>
      </c>
      <c r="BC28" s="347"/>
      <c r="BD28" s="347"/>
      <c r="BE28" s="347"/>
    </row>
    <row r="29" spans="1:57" ht="15.75">
      <c r="A29" s="347">
        <f t="shared" si="6"/>
        <v>0</v>
      </c>
      <c r="B29" s="347">
        <f t="shared" si="0"/>
        <v>0</v>
      </c>
      <c r="C29" s="1410"/>
      <c r="D29" s="362">
        <v>23</v>
      </c>
      <c r="E29" s="540"/>
      <c r="F29" s="363"/>
      <c r="G29" s="364"/>
      <c r="H29" s="364"/>
      <c r="I29" s="364"/>
      <c r="J29" s="364"/>
      <c r="K29" s="364"/>
      <c r="L29" s="364"/>
      <c r="M29" s="339">
        <f t="shared" si="7"/>
        <v>-50000</v>
      </c>
      <c r="N29" s="339">
        <f t="shared" si="8"/>
        <v>-75000</v>
      </c>
      <c r="O29" s="365">
        <f t="shared" si="9"/>
        <v>0</v>
      </c>
      <c r="P29" s="365">
        <f t="shared" si="10"/>
        <v>0</v>
      </c>
      <c r="Q29" s="365">
        <f t="shared" si="11"/>
        <v>0</v>
      </c>
      <c r="R29" s="339" t="str">
        <f t="shared" si="1"/>
        <v/>
      </c>
      <c r="S29" s="365" t="str">
        <f t="shared" si="12"/>
        <v/>
      </c>
      <c r="T29" s="366" t="str">
        <f t="shared" si="13"/>
        <v/>
      </c>
      <c r="U29" s="366" t="str">
        <f t="shared" si="14"/>
        <v/>
      </c>
      <c r="V29" s="365">
        <f t="shared" si="15"/>
        <v>0</v>
      </c>
      <c r="W29" s="365">
        <f t="shared" si="16"/>
        <v>0</v>
      </c>
      <c r="X29" s="367">
        <f t="shared" si="17"/>
        <v>0</v>
      </c>
      <c r="Y29" s="367">
        <f t="shared" si="18"/>
        <v>0</v>
      </c>
      <c r="Z29" s="367">
        <f t="shared" si="19"/>
        <v>0</v>
      </c>
      <c r="AA29" s="368" t="str">
        <f t="shared" si="20"/>
        <v/>
      </c>
      <c r="AB29" s="365" t="str">
        <f t="shared" si="2"/>
        <v/>
      </c>
      <c r="AC29" s="366" t="str">
        <f t="shared" si="3"/>
        <v/>
      </c>
      <c r="AD29" s="353" t="str">
        <f t="shared" si="4"/>
        <v/>
      </c>
      <c r="AE29" s="377" t="str">
        <f t="shared" si="5"/>
        <v/>
      </c>
      <c r="AF29" s="369"/>
      <c r="AG29" s="369"/>
      <c r="AH29" s="367">
        <f t="shared" si="21"/>
        <v>0</v>
      </c>
      <c r="AI29" s="367">
        <f t="shared" si="22"/>
        <v>0</v>
      </c>
      <c r="AJ29" s="367">
        <f t="shared" si="23"/>
        <v>0</v>
      </c>
      <c r="AK29" s="367" t="e">
        <f t="shared" si="24"/>
        <v>#VALUE!</v>
      </c>
      <c r="AL29" s="368" t="e">
        <f t="shared" si="25"/>
        <v>#VALUE!</v>
      </c>
      <c r="AM29" s="370">
        <f t="shared" si="26"/>
        <v>0</v>
      </c>
      <c r="AN29" s="358">
        <f t="shared" si="27"/>
        <v>0</v>
      </c>
      <c r="AO29" s="371">
        <f t="shared" si="28"/>
        <v>0</v>
      </c>
      <c r="AP29" s="1429"/>
      <c r="AQ29" s="360">
        <f t="shared" si="29"/>
        <v>0</v>
      </c>
      <c r="AR29" s="360">
        <f t="shared" si="30"/>
        <v>0</v>
      </c>
      <c r="AS29" s="360" t="e">
        <f t="shared" si="31"/>
        <v>#VALUE!</v>
      </c>
      <c r="AT29" s="361" t="e">
        <f t="shared" si="32"/>
        <v>#VALUE!</v>
      </c>
      <c r="AU29" s="361" t="e">
        <f t="shared" si="33"/>
        <v>#VALUE!</v>
      </c>
      <c r="AV29" s="360" t="e">
        <f t="shared" si="34"/>
        <v>#VALUE!</v>
      </c>
      <c r="AW29" s="360">
        <f t="shared" si="35"/>
        <v>0</v>
      </c>
      <c r="AX29" s="360">
        <f t="shared" si="36"/>
        <v>0</v>
      </c>
      <c r="AY29" s="360" t="e">
        <f t="shared" si="37"/>
        <v>#VALUE!</v>
      </c>
      <c r="AZ29" s="361" t="e">
        <f t="shared" si="38"/>
        <v>#VALUE!</v>
      </c>
      <c r="BA29" s="361" t="e">
        <f t="shared" si="39"/>
        <v>#VALUE!</v>
      </c>
      <c r="BB29" s="360" t="e">
        <f t="shared" si="40"/>
        <v>#VALUE!</v>
      </c>
      <c r="BC29" s="347"/>
      <c r="BD29" s="347"/>
      <c r="BE29" s="347"/>
    </row>
    <row r="30" spans="1:57" ht="15.75">
      <c r="A30" s="347">
        <f t="shared" si="6"/>
        <v>0</v>
      </c>
      <c r="B30" s="347">
        <f t="shared" si="0"/>
        <v>0</v>
      </c>
      <c r="C30" s="1410"/>
      <c r="D30" s="362">
        <v>24</v>
      </c>
      <c r="E30" s="540"/>
      <c r="F30" s="363"/>
      <c r="G30" s="364"/>
      <c r="H30" s="364"/>
      <c r="I30" s="364"/>
      <c r="J30" s="364"/>
      <c r="K30" s="364"/>
      <c r="L30" s="364"/>
      <c r="M30" s="339">
        <f t="shared" si="7"/>
        <v>-50000</v>
      </c>
      <c r="N30" s="339">
        <f t="shared" si="8"/>
        <v>-75000</v>
      </c>
      <c r="O30" s="365">
        <f t="shared" si="9"/>
        <v>0</v>
      </c>
      <c r="P30" s="365">
        <f t="shared" si="10"/>
        <v>0</v>
      </c>
      <c r="Q30" s="365">
        <f t="shared" si="11"/>
        <v>0</v>
      </c>
      <c r="R30" s="339" t="str">
        <f t="shared" si="1"/>
        <v/>
      </c>
      <c r="S30" s="365" t="str">
        <f t="shared" si="12"/>
        <v/>
      </c>
      <c r="T30" s="366" t="str">
        <f t="shared" si="13"/>
        <v/>
      </c>
      <c r="U30" s="366" t="str">
        <f t="shared" si="14"/>
        <v/>
      </c>
      <c r="V30" s="365">
        <f t="shared" si="15"/>
        <v>0</v>
      </c>
      <c r="W30" s="365">
        <f t="shared" si="16"/>
        <v>0</v>
      </c>
      <c r="X30" s="367">
        <f t="shared" si="17"/>
        <v>0</v>
      </c>
      <c r="Y30" s="367">
        <f t="shared" si="18"/>
        <v>0</v>
      </c>
      <c r="Z30" s="367">
        <f t="shared" si="19"/>
        <v>0</v>
      </c>
      <c r="AA30" s="368" t="str">
        <f t="shared" si="20"/>
        <v/>
      </c>
      <c r="AB30" s="365" t="str">
        <f t="shared" si="2"/>
        <v/>
      </c>
      <c r="AC30" s="366" t="str">
        <f t="shared" si="3"/>
        <v/>
      </c>
      <c r="AD30" s="353" t="str">
        <f t="shared" si="4"/>
        <v/>
      </c>
      <c r="AE30" s="377" t="str">
        <f t="shared" si="5"/>
        <v/>
      </c>
      <c r="AF30" s="369"/>
      <c r="AG30" s="369"/>
      <c r="AH30" s="367">
        <f t="shared" si="21"/>
        <v>0</v>
      </c>
      <c r="AI30" s="367">
        <f t="shared" si="22"/>
        <v>0</v>
      </c>
      <c r="AJ30" s="367">
        <f t="shared" si="23"/>
        <v>0</v>
      </c>
      <c r="AK30" s="367" t="e">
        <f t="shared" si="24"/>
        <v>#VALUE!</v>
      </c>
      <c r="AL30" s="368" t="e">
        <f t="shared" si="25"/>
        <v>#VALUE!</v>
      </c>
      <c r="AM30" s="370">
        <f t="shared" si="26"/>
        <v>0</v>
      </c>
      <c r="AN30" s="358">
        <f t="shared" si="27"/>
        <v>0</v>
      </c>
      <c r="AO30" s="371">
        <f t="shared" si="28"/>
        <v>0</v>
      </c>
      <c r="AP30" s="1429"/>
      <c r="AQ30" s="360">
        <f t="shared" si="29"/>
        <v>0</v>
      </c>
      <c r="AR30" s="360">
        <f t="shared" si="30"/>
        <v>0</v>
      </c>
      <c r="AS30" s="360" t="e">
        <f t="shared" si="31"/>
        <v>#VALUE!</v>
      </c>
      <c r="AT30" s="361" t="e">
        <f t="shared" si="32"/>
        <v>#VALUE!</v>
      </c>
      <c r="AU30" s="361" t="e">
        <f t="shared" si="33"/>
        <v>#VALUE!</v>
      </c>
      <c r="AV30" s="360" t="e">
        <f t="shared" si="34"/>
        <v>#VALUE!</v>
      </c>
      <c r="AW30" s="360">
        <f t="shared" si="35"/>
        <v>0</v>
      </c>
      <c r="AX30" s="360">
        <f t="shared" si="36"/>
        <v>0</v>
      </c>
      <c r="AY30" s="360" t="e">
        <f t="shared" si="37"/>
        <v>#VALUE!</v>
      </c>
      <c r="AZ30" s="361" t="e">
        <f t="shared" si="38"/>
        <v>#VALUE!</v>
      </c>
      <c r="BA30" s="361" t="e">
        <f t="shared" si="39"/>
        <v>#VALUE!</v>
      </c>
      <c r="BB30" s="360" t="e">
        <f t="shared" si="40"/>
        <v>#VALUE!</v>
      </c>
      <c r="BC30" s="347"/>
      <c r="BD30" s="347"/>
      <c r="BE30" s="347"/>
    </row>
    <row r="31" spans="1:57" ht="15.75">
      <c r="A31" s="347">
        <f t="shared" si="6"/>
        <v>0</v>
      </c>
      <c r="B31" s="347">
        <f t="shared" si="0"/>
        <v>0</v>
      </c>
      <c r="C31" s="1410"/>
      <c r="D31" s="362">
        <v>25</v>
      </c>
      <c r="E31" s="540"/>
      <c r="F31" s="363"/>
      <c r="G31" s="364"/>
      <c r="H31" s="364"/>
      <c r="I31" s="364"/>
      <c r="J31" s="364"/>
      <c r="K31" s="364"/>
      <c r="L31" s="364"/>
      <c r="M31" s="339">
        <f t="shared" si="7"/>
        <v>-50000</v>
      </c>
      <c r="N31" s="339">
        <f t="shared" si="8"/>
        <v>-75000</v>
      </c>
      <c r="O31" s="365">
        <f t="shared" si="9"/>
        <v>0</v>
      </c>
      <c r="P31" s="365">
        <f t="shared" si="10"/>
        <v>0</v>
      </c>
      <c r="Q31" s="365">
        <f t="shared" si="11"/>
        <v>0</v>
      </c>
      <c r="R31" s="339" t="str">
        <f t="shared" si="1"/>
        <v/>
      </c>
      <c r="S31" s="365" t="str">
        <f t="shared" si="12"/>
        <v/>
      </c>
      <c r="T31" s="366" t="str">
        <f t="shared" si="13"/>
        <v/>
      </c>
      <c r="U31" s="366" t="str">
        <f t="shared" si="14"/>
        <v/>
      </c>
      <c r="V31" s="365">
        <f t="shared" si="15"/>
        <v>0</v>
      </c>
      <c r="W31" s="365">
        <f t="shared" si="16"/>
        <v>0</v>
      </c>
      <c r="X31" s="367">
        <f t="shared" si="17"/>
        <v>0</v>
      </c>
      <c r="Y31" s="367">
        <f t="shared" si="18"/>
        <v>0</v>
      </c>
      <c r="Z31" s="367">
        <f t="shared" si="19"/>
        <v>0</v>
      </c>
      <c r="AA31" s="368" t="str">
        <f t="shared" si="20"/>
        <v/>
      </c>
      <c r="AB31" s="365" t="str">
        <f t="shared" si="2"/>
        <v/>
      </c>
      <c r="AC31" s="366" t="str">
        <f t="shared" si="3"/>
        <v/>
      </c>
      <c r="AD31" s="353" t="str">
        <f t="shared" si="4"/>
        <v/>
      </c>
      <c r="AE31" s="377" t="str">
        <f t="shared" si="5"/>
        <v/>
      </c>
      <c r="AF31" s="369"/>
      <c r="AG31" s="369"/>
      <c r="AH31" s="367">
        <f t="shared" si="21"/>
        <v>0</v>
      </c>
      <c r="AI31" s="367">
        <f t="shared" si="22"/>
        <v>0</v>
      </c>
      <c r="AJ31" s="367">
        <f t="shared" si="23"/>
        <v>0</v>
      </c>
      <c r="AK31" s="367" t="e">
        <f t="shared" si="24"/>
        <v>#VALUE!</v>
      </c>
      <c r="AL31" s="368" t="e">
        <f t="shared" si="25"/>
        <v>#VALUE!</v>
      </c>
      <c r="AM31" s="370">
        <f t="shared" si="26"/>
        <v>0</v>
      </c>
      <c r="AN31" s="358">
        <f t="shared" si="27"/>
        <v>0</v>
      </c>
      <c r="AO31" s="371">
        <f t="shared" si="28"/>
        <v>0</v>
      </c>
      <c r="AP31" s="1429"/>
      <c r="AQ31" s="360">
        <f t="shared" si="29"/>
        <v>0</v>
      </c>
      <c r="AR31" s="360">
        <f t="shared" si="30"/>
        <v>0</v>
      </c>
      <c r="AS31" s="360" t="e">
        <f t="shared" si="31"/>
        <v>#VALUE!</v>
      </c>
      <c r="AT31" s="361" t="e">
        <f t="shared" si="32"/>
        <v>#VALUE!</v>
      </c>
      <c r="AU31" s="361" t="e">
        <f t="shared" si="33"/>
        <v>#VALUE!</v>
      </c>
      <c r="AV31" s="360" t="e">
        <f t="shared" si="34"/>
        <v>#VALUE!</v>
      </c>
      <c r="AW31" s="360">
        <f t="shared" si="35"/>
        <v>0</v>
      </c>
      <c r="AX31" s="360">
        <f t="shared" si="36"/>
        <v>0</v>
      </c>
      <c r="AY31" s="360" t="e">
        <f t="shared" si="37"/>
        <v>#VALUE!</v>
      </c>
      <c r="AZ31" s="361" t="e">
        <f t="shared" si="38"/>
        <v>#VALUE!</v>
      </c>
      <c r="BA31" s="361" t="e">
        <f t="shared" si="39"/>
        <v>#VALUE!</v>
      </c>
      <c r="BB31" s="360" t="e">
        <f t="shared" si="40"/>
        <v>#VALUE!</v>
      </c>
      <c r="BC31" s="347"/>
      <c r="BD31" s="347"/>
      <c r="BE31" s="347"/>
    </row>
    <row r="32" spans="1:57" ht="15.75">
      <c r="A32" s="347">
        <f t="shared" si="6"/>
        <v>0</v>
      </c>
      <c r="B32" s="347">
        <f t="shared" si="0"/>
        <v>0</v>
      </c>
      <c r="C32" s="1410"/>
      <c r="D32" s="362">
        <v>26</v>
      </c>
      <c r="E32" s="540"/>
      <c r="F32" s="363"/>
      <c r="G32" s="364"/>
      <c r="H32" s="364"/>
      <c r="I32" s="364"/>
      <c r="J32" s="364"/>
      <c r="K32" s="364"/>
      <c r="L32" s="364"/>
      <c r="M32" s="339">
        <f t="shared" si="7"/>
        <v>-50000</v>
      </c>
      <c r="N32" s="339">
        <f t="shared" si="8"/>
        <v>-75000</v>
      </c>
      <c r="O32" s="365">
        <f t="shared" si="9"/>
        <v>0</v>
      </c>
      <c r="P32" s="365">
        <f t="shared" si="10"/>
        <v>0</v>
      </c>
      <c r="Q32" s="365">
        <f t="shared" si="11"/>
        <v>0</v>
      </c>
      <c r="R32" s="339" t="str">
        <f t="shared" si="1"/>
        <v/>
      </c>
      <c r="S32" s="365" t="str">
        <f t="shared" si="12"/>
        <v/>
      </c>
      <c r="T32" s="366" t="str">
        <f t="shared" si="13"/>
        <v/>
      </c>
      <c r="U32" s="366" t="str">
        <f t="shared" si="14"/>
        <v/>
      </c>
      <c r="V32" s="365">
        <f t="shared" si="15"/>
        <v>0</v>
      </c>
      <c r="W32" s="365">
        <f t="shared" si="16"/>
        <v>0</v>
      </c>
      <c r="X32" s="367">
        <f t="shared" si="17"/>
        <v>0</v>
      </c>
      <c r="Y32" s="367">
        <f t="shared" si="18"/>
        <v>0</v>
      </c>
      <c r="Z32" s="367">
        <f t="shared" si="19"/>
        <v>0</v>
      </c>
      <c r="AA32" s="368" t="str">
        <f t="shared" si="20"/>
        <v/>
      </c>
      <c r="AB32" s="365" t="str">
        <f t="shared" si="2"/>
        <v/>
      </c>
      <c r="AC32" s="366" t="str">
        <f t="shared" si="3"/>
        <v/>
      </c>
      <c r="AD32" s="353" t="str">
        <f t="shared" si="4"/>
        <v/>
      </c>
      <c r="AE32" s="377" t="str">
        <f t="shared" si="5"/>
        <v/>
      </c>
      <c r="AF32" s="369"/>
      <c r="AG32" s="369"/>
      <c r="AH32" s="367">
        <f t="shared" si="21"/>
        <v>0</v>
      </c>
      <c r="AI32" s="367">
        <f t="shared" si="22"/>
        <v>0</v>
      </c>
      <c r="AJ32" s="367">
        <f t="shared" si="23"/>
        <v>0</v>
      </c>
      <c r="AK32" s="367" t="e">
        <f t="shared" si="24"/>
        <v>#VALUE!</v>
      </c>
      <c r="AL32" s="368" t="e">
        <f t="shared" si="25"/>
        <v>#VALUE!</v>
      </c>
      <c r="AM32" s="370">
        <f t="shared" si="26"/>
        <v>0</v>
      </c>
      <c r="AN32" s="358">
        <f t="shared" si="27"/>
        <v>0</v>
      </c>
      <c r="AO32" s="371">
        <f t="shared" si="28"/>
        <v>0</v>
      </c>
      <c r="AP32" s="1429"/>
      <c r="AQ32" s="360">
        <f t="shared" si="29"/>
        <v>0</v>
      </c>
      <c r="AR32" s="360">
        <f t="shared" si="30"/>
        <v>0</v>
      </c>
      <c r="AS32" s="360" t="e">
        <f t="shared" si="31"/>
        <v>#VALUE!</v>
      </c>
      <c r="AT32" s="361" t="e">
        <f t="shared" si="32"/>
        <v>#VALUE!</v>
      </c>
      <c r="AU32" s="361" t="e">
        <f t="shared" si="33"/>
        <v>#VALUE!</v>
      </c>
      <c r="AV32" s="360" t="e">
        <f t="shared" si="34"/>
        <v>#VALUE!</v>
      </c>
      <c r="AW32" s="360">
        <f t="shared" si="35"/>
        <v>0</v>
      </c>
      <c r="AX32" s="360">
        <f t="shared" si="36"/>
        <v>0</v>
      </c>
      <c r="AY32" s="360" t="e">
        <f t="shared" si="37"/>
        <v>#VALUE!</v>
      </c>
      <c r="AZ32" s="361" t="e">
        <f t="shared" si="38"/>
        <v>#VALUE!</v>
      </c>
      <c r="BA32" s="361" t="e">
        <f t="shared" si="39"/>
        <v>#VALUE!</v>
      </c>
      <c r="BB32" s="360" t="e">
        <f t="shared" si="40"/>
        <v>#VALUE!</v>
      </c>
      <c r="BC32" s="347"/>
      <c r="BD32" s="347"/>
      <c r="BE32" s="347"/>
    </row>
    <row r="33" spans="1:57" ht="15.75">
      <c r="A33" s="347">
        <f t="shared" si="6"/>
        <v>0</v>
      </c>
      <c r="B33" s="347">
        <f t="shared" si="0"/>
        <v>0</v>
      </c>
      <c r="C33" s="1410"/>
      <c r="D33" s="362">
        <v>27</v>
      </c>
      <c r="E33" s="540"/>
      <c r="F33" s="363"/>
      <c r="G33" s="364"/>
      <c r="H33" s="364"/>
      <c r="I33" s="364"/>
      <c r="J33" s="364"/>
      <c r="K33" s="364"/>
      <c r="L33" s="364"/>
      <c r="M33" s="339">
        <f t="shared" si="7"/>
        <v>-50000</v>
      </c>
      <c r="N33" s="339">
        <f t="shared" si="8"/>
        <v>-75000</v>
      </c>
      <c r="O33" s="365">
        <f t="shared" si="9"/>
        <v>0</v>
      </c>
      <c r="P33" s="365">
        <f t="shared" si="10"/>
        <v>0</v>
      </c>
      <c r="Q33" s="365">
        <f t="shared" si="11"/>
        <v>0</v>
      </c>
      <c r="R33" s="339" t="str">
        <f t="shared" si="1"/>
        <v/>
      </c>
      <c r="S33" s="365" t="str">
        <f t="shared" si="12"/>
        <v/>
      </c>
      <c r="T33" s="366" t="str">
        <f t="shared" si="13"/>
        <v/>
      </c>
      <c r="U33" s="366" t="str">
        <f t="shared" si="14"/>
        <v/>
      </c>
      <c r="V33" s="365">
        <f t="shared" si="15"/>
        <v>0</v>
      </c>
      <c r="W33" s="365">
        <f t="shared" si="16"/>
        <v>0</v>
      </c>
      <c r="X33" s="367">
        <f t="shared" si="17"/>
        <v>0</v>
      </c>
      <c r="Y33" s="367">
        <f t="shared" si="18"/>
        <v>0</v>
      </c>
      <c r="Z33" s="367">
        <f t="shared" si="19"/>
        <v>0</v>
      </c>
      <c r="AA33" s="368" t="str">
        <f t="shared" si="20"/>
        <v/>
      </c>
      <c r="AB33" s="365" t="str">
        <f t="shared" si="2"/>
        <v/>
      </c>
      <c r="AC33" s="366" t="str">
        <f t="shared" si="3"/>
        <v/>
      </c>
      <c r="AD33" s="353" t="str">
        <f t="shared" si="4"/>
        <v/>
      </c>
      <c r="AE33" s="377" t="str">
        <f t="shared" si="5"/>
        <v/>
      </c>
      <c r="AF33" s="369"/>
      <c r="AG33" s="369"/>
      <c r="AH33" s="367">
        <f t="shared" si="21"/>
        <v>0</v>
      </c>
      <c r="AI33" s="367">
        <f t="shared" si="22"/>
        <v>0</v>
      </c>
      <c r="AJ33" s="367">
        <f t="shared" si="23"/>
        <v>0</v>
      </c>
      <c r="AK33" s="367" t="e">
        <f t="shared" si="24"/>
        <v>#VALUE!</v>
      </c>
      <c r="AL33" s="368" t="e">
        <f t="shared" si="25"/>
        <v>#VALUE!</v>
      </c>
      <c r="AM33" s="370">
        <f t="shared" si="26"/>
        <v>0</v>
      </c>
      <c r="AN33" s="358">
        <f t="shared" si="27"/>
        <v>0</v>
      </c>
      <c r="AO33" s="371">
        <f t="shared" si="28"/>
        <v>0</v>
      </c>
      <c r="AP33" s="1429"/>
      <c r="AQ33" s="360">
        <f t="shared" si="29"/>
        <v>0</v>
      </c>
      <c r="AR33" s="360">
        <f t="shared" si="30"/>
        <v>0</v>
      </c>
      <c r="AS33" s="360" t="e">
        <f t="shared" si="31"/>
        <v>#VALUE!</v>
      </c>
      <c r="AT33" s="361" t="e">
        <f t="shared" si="32"/>
        <v>#VALUE!</v>
      </c>
      <c r="AU33" s="361" t="e">
        <f t="shared" si="33"/>
        <v>#VALUE!</v>
      </c>
      <c r="AV33" s="360" t="e">
        <f t="shared" si="34"/>
        <v>#VALUE!</v>
      </c>
      <c r="AW33" s="360">
        <f t="shared" si="35"/>
        <v>0</v>
      </c>
      <c r="AX33" s="360">
        <f t="shared" si="36"/>
        <v>0</v>
      </c>
      <c r="AY33" s="360" t="e">
        <f t="shared" si="37"/>
        <v>#VALUE!</v>
      </c>
      <c r="AZ33" s="361" t="e">
        <f t="shared" si="38"/>
        <v>#VALUE!</v>
      </c>
      <c r="BA33" s="361" t="e">
        <f t="shared" si="39"/>
        <v>#VALUE!</v>
      </c>
      <c r="BB33" s="360" t="e">
        <f t="shared" si="40"/>
        <v>#VALUE!</v>
      </c>
      <c r="BC33" s="347"/>
      <c r="BD33" s="347"/>
      <c r="BE33" s="347"/>
    </row>
    <row r="34" spans="1:57" ht="15.75">
      <c r="A34" s="347">
        <f t="shared" si="6"/>
        <v>0</v>
      </c>
      <c r="B34" s="347">
        <f t="shared" si="0"/>
        <v>0</v>
      </c>
      <c r="C34" s="1410"/>
      <c r="D34" s="362">
        <v>28</v>
      </c>
      <c r="E34" s="540"/>
      <c r="F34" s="363"/>
      <c r="G34" s="364"/>
      <c r="H34" s="364"/>
      <c r="I34" s="364"/>
      <c r="J34" s="364"/>
      <c r="K34" s="364"/>
      <c r="L34" s="364"/>
      <c r="M34" s="339">
        <f t="shared" si="7"/>
        <v>-50000</v>
      </c>
      <c r="N34" s="339">
        <f t="shared" si="8"/>
        <v>-75000</v>
      </c>
      <c r="O34" s="365">
        <f t="shared" si="9"/>
        <v>0</v>
      </c>
      <c r="P34" s="365">
        <f t="shared" si="10"/>
        <v>0</v>
      </c>
      <c r="Q34" s="365">
        <f t="shared" si="11"/>
        <v>0</v>
      </c>
      <c r="R34" s="339" t="str">
        <f t="shared" si="1"/>
        <v/>
      </c>
      <c r="S34" s="365" t="str">
        <f t="shared" si="12"/>
        <v/>
      </c>
      <c r="T34" s="366" t="str">
        <f t="shared" si="13"/>
        <v/>
      </c>
      <c r="U34" s="366" t="str">
        <f t="shared" si="14"/>
        <v/>
      </c>
      <c r="V34" s="365">
        <f t="shared" si="15"/>
        <v>0</v>
      </c>
      <c r="W34" s="365">
        <f t="shared" si="16"/>
        <v>0</v>
      </c>
      <c r="X34" s="367">
        <f t="shared" si="17"/>
        <v>0</v>
      </c>
      <c r="Y34" s="367">
        <f t="shared" si="18"/>
        <v>0</v>
      </c>
      <c r="Z34" s="367">
        <f t="shared" si="19"/>
        <v>0</v>
      </c>
      <c r="AA34" s="368" t="str">
        <f t="shared" si="20"/>
        <v/>
      </c>
      <c r="AB34" s="365" t="str">
        <f t="shared" si="2"/>
        <v/>
      </c>
      <c r="AC34" s="366" t="str">
        <f t="shared" si="3"/>
        <v/>
      </c>
      <c r="AD34" s="353" t="str">
        <f t="shared" si="4"/>
        <v/>
      </c>
      <c r="AE34" s="377" t="str">
        <f t="shared" si="5"/>
        <v/>
      </c>
      <c r="AF34" s="369"/>
      <c r="AG34" s="369"/>
      <c r="AH34" s="367">
        <f t="shared" si="21"/>
        <v>0</v>
      </c>
      <c r="AI34" s="367">
        <f t="shared" si="22"/>
        <v>0</v>
      </c>
      <c r="AJ34" s="367">
        <f t="shared" si="23"/>
        <v>0</v>
      </c>
      <c r="AK34" s="367" t="e">
        <f t="shared" si="24"/>
        <v>#VALUE!</v>
      </c>
      <c r="AL34" s="368" t="e">
        <f t="shared" si="25"/>
        <v>#VALUE!</v>
      </c>
      <c r="AM34" s="370">
        <f t="shared" si="26"/>
        <v>0</v>
      </c>
      <c r="AN34" s="358">
        <f t="shared" si="27"/>
        <v>0</v>
      </c>
      <c r="AO34" s="371">
        <f t="shared" si="28"/>
        <v>0</v>
      </c>
      <c r="AP34" s="1429"/>
      <c r="AQ34" s="360">
        <f t="shared" si="29"/>
        <v>0</v>
      </c>
      <c r="AR34" s="360">
        <f t="shared" si="30"/>
        <v>0</v>
      </c>
      <c r="AS34" s="360" t="e">
        <f t="shared" si="31"/>
        <v>#VALUE!</v>
      </c>
      <c r="AT34" s="361" t="e">
        <f t="shared" si="32"/>
        <v>#VALUE!</v>
      </c>
      <c r="AU34" s="361" t="e">
        <f t="shared" si="33"/>
        <v>#VALUE!</v>
      </c>
      <c r="AV34" s="360" t="e">
        <f t="shared" si="34"/>
        <v>#VALUE!</v>
      </c>
      <c r="AW34" s="360">
        <f t="shared" si="35"/>
        <v>0</v>
      </c>
      <c r="AX34" s="360">
        <f t="shared" si="36"/>
        <v>0</v>
      </c>
      <c r="AY34" s="360" t="e">
        <f t="shared" si="37"/>
        <v>#VALUE!</v>
      </c>
      <c r="AZ34" s="361" t="e">
        <f t="shared" si="38"/>
        <v>#VALUE!</v>
      </c>
      <c r="BA34" s="361" t="e">
        <f t="shared" si="39"/>
        <v>#VALUE!</v>
      </c>
      <c r="BB34" s="360" t="e">
        <f t="shared" si="40"/>
        <v>#VALUE!</v>
      </c>
      <c r="BC34" s="347"/>
      <c r="BD34" s="347"/>
      <c r="BE34" s="347"/>
    </row>
    <row r="35" spans="1:57" ht="15.75">
      <c r="A35" s="347">
        <f t="shared" si="6"/>
        <v>0</v>
      </c>
      <c r="B35" s="347">
        <f t="shared" si="0"/>
        <v>0</v>
      </c>
      <c r="C35" s="1410"/>
      <c r="D35" s="362">
        <v>29</v>
      </c>
      <c r="E35" s="540"/>
      <c r="F35" s="363"/>
      <c r="G35" s="364"/>
      <c r="H35" s="364"/>
      <c r="I35" s="364"/>
      <c r="J35" s="364"/>
      <c r="K35" s="364"/>
      <c r="L35" s="364"/>
      <c r="M35" s="339">
        <f t="shared" si="7"/>
        <v>-50000</v>
      </c>
      <c r="N35" s="339">
        <f t="shared" si="8"/>
        <v>-75000</v>
      </c>
      <c r="O35" s="365">
        <f t="shared" si="9"/>
        <v>0</v>
      </c>
      <c r="P35" s="365">
        <f t="shared" si="10"/>
        <v>0</v>
      </c>
      <c r="Q35" s="365">
        <f t="shared" si="11"/>
        <v>0</v>
      </c>
      <c r="R35" s="339" t="str">
        <f t="shared" si="1"/>
        <v/>
      </c>
      <c r="S35" s="365" t="str">
        <f t="shared" si="12"/>
        <v/>
      </c>
      <c r="T35" s="366" t="str">
        <f t="shared" si="13"/>
        <v/>
      </c>
      <c r="U35" s="366" t="str">
        <f t="shared" si="14"/>
        <v/>
      </c>
      <c r="V35" s="365">
        <f t="shared" si="15"/>
        <v>0</v>
      </c>
      <c r="W35" s="365">
        <f t="shared" si="16"/>
        <v>0</v>
      </c>
      <c r="X35" s="367">
        <f t="shared" si="17"/>
        <v>0</v>
      </c>
      <c r="Y35" s="367">
        <f t="shared" si="18"/>
        <v>0</v>
      </c>
      <c r="Z35" s="367">
        <f t="shared" si="19"/>
        <v>0</v>
      </c>
      <c r="AA35" s="368" t="str">
        <f t="shared" si="20"/>
        <v/>
      </c>
      <c r="AB35" s="365" t="str">
        <f t="shared" si="2"/>
        <v/>
      </c>
      <c r="AC35" s="366" t="str">
        <f t="shared" si="3"/>
        <v/>
      </c>
      <c r="AD35" s="353" t="str">
        <f t="shared" si="4"/>
        <v/>
      </c>
      <c r="AE35" s="377" t="str">
        <f t="shared" si="5"/>
        <v/>
      </c>
      <c r="AF35" s="369"/>
      <c r="AG35" s="369"/>
      <c r="AH35" s="367">
        <f t="shared" si="21"/>
        <v>0</v>
      </c>
      <c r="AI35" s="367">
        <f t="shared" si="22"/>
        <v>0</v>
      </c>
      <c r="AJ35" s="367">
        <f t="shared" si="23"/>
        <v>0</v>
      </c>
      <c r="AK35" s="367" t="e">
        <f t="shared" si="24"/>
        <v>#VALUE!</v>
      </c>
      <c r="AL35" s="368" t="e">
        <f t="shared" si="25"/>
        <v>#VALUE!</v>
      </c>
      <c r="AM35" s="370">
        <f t="shared" si="26"/>
        <v>0</v>
      </c>
      <c r="AN35" s="358">
        <f t="shared" si="27"/>
        <v>0</v>
      </c>
      <c r="AO35" s="371">
        <f t="shared" si="28"/>
        <v>0</v>
      </c>
      <c r="AP35" s="1429"/>
      <c r="AQ35" s="360">
        <f t="shared" si="29"/>
        <v>0</v>
      </c>
      <c r="AR35" s="360">
        <f t="shared" si="30"/>
        <v>0</v>
      </c>
      <c r="AS35" s="360" t="e">
        <f t="shared" si="31"/>
        <v>#VALUE!</v>
      </c>
      <c r="AT35" s="361" t="e">
        <f t="shared" si="32"/>
        <v>#VALUE!</v>
      </c>
      <c r="AU35" s="361" t="e">
        <f t="shared" si="33"/>
        <v>#VALUE!</v>
      </c>
      <c r="AV35" s="360" t="e">
        <f t="shared" si="34"/>
        <v>#VALUE!</v>
      </c>
      <c r="AW35" s="360">
        <f t="shared" si="35"/>
        <v>0</v>
      </c>
      <c r="AX35" s="360">
        <f t="shared" si="36"/>
        <v>0</v>
      </c>
      <c r="AY35" s="360" t="e">
        <f t="shared" si="37"/>
        <v>#VALUE!</v>
      </c>
      <c r="AZ35" s="361" t="e">
        <f t="shared" si="38"/>
        <v>#VALUE!</v>
      </c>
      <c r="BA35" s="361" t="e">
        <f t="shared" si="39"/>
        <v>#VALUE!</v>
      </c>
      <c r="BB35" s="360" t="e">
        <f t="shared" si="40"/>
        <v>#VALUE!</v>
      </c>
      <c r="BC35" s="347"/>
      <c r="BD35" s="347"/>
      <c r="BE35" s="347"/>
    </row>
    <row r="36" spans="1:57" ht="15.75">
      <c r="A36" s="347">
        <f t="shared" si="6"/>
        <v>0</v>
      </c>
      <c r="B36" s="347">
        <f t="shared" si="0"/>
        <v>0</v>
      </c>
      <c r="C36" s="1410"/>
      <c r="D36" s="362">
        <v>30</v>
      </c>
      <c r="E36" s="540"/>
      <c r="F36" s="363"/>
      <c r="G36" s="364"/>
      <c r="H36" s="364"/>
      <c r="I36" s="364"/>
      <c r="J36" s="364"/>
      <c r="K36" s="364"/>
      <c r="L36" s="364"/>
      <c r="M36" s="339">
        <f t="shared" si="7"/>
        <v>-50000</v>
      </c>
      <c r="N36" s="339">
        <f t="shared" si="8"/>
        <v>-75000</v>
      </c>
      <c r="O36" s="365">
        <f t="shared" si="9"/>
        <v>0</v>
      </c>
      <c r="P36" s="365">
        <f t="shared" si="10"/>
        <v>0</v>
      </c>
      <c r="Q36" s="365">
        <f t="shared" si="11"/>
        <v>0</v>
      </c>
      <c r="R36" s="339" t="str">
        <f t="shared" si="1"/>
        <v/>
      </c>
      <c r="S36" s="365" t="str">
        <f t="shared" si="12"/>
        <v/>
      </c>
      <c r="T36" s="366" t="str">
        <f t="shared" si="13"/>
        <v/>
      </c>
      <c r="U36" s="366" t="str">
        <f t="shared" si="14"/>
        <v/>
      </c>
      <c r="V36" s="365">
        <f t="shared" si="15"/>
        <v>0</v>
      </c>
      <c r="W36" s="365">
        <f t="shared" si="16"/>
        <v>0</v>
      </c>
      <c r="X36" s="367">
        <f t="shared" si="17"/>
        <v>0</v>
      </c>
      <c r="Y36" s="367">
        <f t="shared" si="18"/>
        <v>0</v>
      </c>
      <c r="Z36" s="367">
        <f t="shared" si="19"/>
        <v>0</v>
      </c>
      <c r="AA36" s="368" t="str">
        <f t="shared" si="20"/>
        <v/>
      </c>
      <c r="AB36" s="365" t="str">
        <f t="shared" si="2"/>
        <v/>
      </c>
      <c r="AC36" s="366" t="str">
        <f t="shared" si="3"/>
        <v/>
      </c>
      <c r="AD36" s="353" t="str">
        <f t="shared" si="4"/>
        <v/>
      </c>
      <c r="AE36" s="377" t="str">
        <f t="shared" si="5"/>
        <v/>
      </c>
      <c r="AF36" s="369"/>
      <c r="AG36" s="369"/>
      <c r="AH36" s="367">
        <f t="shared" si="21"/>
        <v>0</v>
      </c>
      <c r="AI36" s="367">
        <f t="shared" si="22"/>
        <v>0</v>
      </c>
      <c r="AJ36" s="367">
        <f t="shared" si="23"/>
        <v>0</v>
      </c>
      <c r="AK36" s="367" t="e">
        <f t="shared" si="24"/>
        <v>#VALUE!</v>
      </c>
      <c r="AL36" s="368" t="e">
        <f t="shared" si="25"/>
        <v>#VALUE!</v>
      </c>
      <c r="AM36" s="370">
        <f t="shared" si="26"/>
        <v>0</v>
      </c>
      <c r="AN36" s="358">
        <f t="shared" si="27"/>
        <v>0</v>
      </c>
      <c r="AO36" s="371">
        <f t="shared" si="28"/>
        <v>0</v>
      </c>
      <c r="AP36" s="1429"/>
      <c r="AQ36" s="360">
        <f t="shared" si="29"/>
        <v>0</v>
      </c>
      <c r="AR36" s="360">
        <f t="shared" si="30"/>
        <v>0</v>
      </c>
      <c r="AS36" s="360" t="e">
        <f t="shared" si="31"/>
        <v>#VALUE!</v>
      </c>
      <c r="AT36" s="361" t="e">
        <f t="shared" si="32"/>
        <v>#VALUE!</v>
      </c>
      <c r="AU36" s="361" t="e">
        <f t="shared" si="33"/>
        <v>#VALUE!</v>
      </c>
      <c r="AV36" s="360" t="e">
        <f t="shared" si="34"/>
        <v>#VALUE!</v>
      </c>
      <c r="AW36" s="360">
        <f t="shared" si="35"/>
        <v>0</v>
      </c>
      <c r="AX36" s="360">
        <f t="shared" si="36"/>
        <v>0</v>
      </c>
      <c r="AY36" s="360" t="e">
        <f t="shared" si="37"/>
        <v>#VALUE!</v>
      </c>
      <c r="AZ36" s="361" t="e">
        <f t="shared" si="38"/>
        <v>#VALUE!</v>
      </c>
      <c r="BA36" s="361" t="e">
        <f t="shared" si="39"/>
        <v>#VALUE!</v>
      </c>
      <c r="BB36" s="360" t="e">
        <f t="shared" si="40"/>
        <v>#VALUE!</v>
      </c>
      <c r="BC36" s="347"/>
      <c r="BD36" s="347"/>
      <c r="BE36" s="347"/>
    </row>
    <row r="37" spans="1:57" ht="15.75">
      <c r="A37" s="347">
        <f t="shared" si="6"/>
        <v>0</v>
      </c>
      <c r="B37" s="347">
        <f t="shared" si="0"/>
        <v>0</v>
      </c>
      <c r="C37" s="1410"/>
      <c r="D37" s="362">
        <v>31</v>
      </c>
      <c r="E37" s="540"/>
      <c r="F37" s="363"/>
      <c r="G37" s="364"/>
      <c r="H37" s="364"/>
      <c r="I37" s="364"/>
      <c r="J37" s="364"/>
      <c r="K37" s="364"/>
      <c r="L37" s="364"/>
      <c r="M37" s="339">
        <f t="shared" si="7"/>
        <v>-50000</v>
      </c>
      <c r="N37" s="339">
        <f t="shared" si="8"/>
        <v>-75000</v>
      </c>
      <c r="O37" s="365">
        <f t="shared" si="9"/>
        <v>0</v>
      </c>
      <c r="P37" s="365">
        <f t="shared" si="10"/>
        <v>0</v>
      </c>
      <c r="Q37" s="365">
        <f t="shared" si="11"/>
        <v>0</v>
      </c>
      <c r="R37" s="339" t="str">
        <f t="shared" si="1"/>
        <v/>
      </c>
      <c r="S37" s="365" t="str">
        <f t="shared" si="12"/>
        <v/>
      </c>
      <c r="T37" s="366" t="str">
        <f t="shared" si="13"/>
        <v/>
      </c>
      <c r="U37" s="366" t="str">
        <f t="shared" si="14"/>
        <v/>
      </c>
      <c r="V37" s="365">
        <f t="shared" si="15"/>
        <v>0</v>
      </c>
      <c r="W37" s="365">
        <f t="shared" si="16"/>
        <v>0</v>
      </c>
      <c r="X37" s="367">
        <f t="shared" si="17"/>
        <v>0</v>
      </c>
      <c r="Y37" s="367">
        <f t="shared" si="18"/>
        <v>0</v>
      </c>
      <c r="Z37" s="367">
        <f t="shared" si="19"/>
        <v>0</v>
      </c>
      <c r="AA37" s="368" t="str">
        <f t="shared" si="20"/>
        <v/>
      </c>
      <c r="AB37" s="365" t="str">
        <f t="shared" si="2"/>
        <v/>
      </c>
      <c r="AC37" s="366" t="str">
        <f t="shared" si="3"/>
        <v/>
      </c>
      <c r="AD37" s="353" t="str">
        <f t="shared" si="4"/>
        <v/>
      </c>
      <c r="AE37" s="377" t="str">
        <f t="shared" si="5"/>
        <v/>
      </c>
      <c r="AF37" s="369"/>
      <c r="AG37" s="369"/>
      <c r="AH37" s="367">
        <f t="shared" si="21"/>
        <v>0</v>
      </c>
      <c r="AI37" s="367">
        <f t="shared" si="22"/>
        <v>0</v>
      </c>
      <c r="AJ37" s="367">
        <f t="shared" si="23"/>
        <v>0</v>
      </c>
      <c r="AK37" s="367" t="e">
        <f t="shared" si="24"/>
        <v>#VALUE!</v>
      </c>
      <c r="AL37" s="368" t="e">
        <f t="shared" si="25"/>
        <v>#VALUE!</v>
      </c>
      <c r="AM37" s="370">
        <f t="shared" si="26"/>
        <v>0</v>
      </c>
      <c r="AN37" s="358">
        <f t="shared" si="27"/>
        <v>0</v>
      </c>
      <c r="AO37" s="371">
        <f t="shared" si="28"/>
        <v>0</v>
      </c>
      <c r="AP37" s="1429"/>
      <c r="AQ37" s="360">
        <f t="shared" si="29"/>
        <v>0</v>
      </c>
      <c r="AR37" s="360">
        <f t="shared" si="30"/>
        <v>0</v>
      </c>
      <c r="AS37" s="360" t="e">
        <f t="shared" si="31"/>
        <v>#VALUE!</v>
      </c>
      <c r="AT37" s="361" t="e">
        <f t="shared" si="32"/>
        <v>#VALUE!</v>
      </c>
      <c r="AU37" s="361" t="e">
        <f t="shared" si="33"/>
        <v>#VALUE!</v>
      </c>
      <c r="AV37" s="360" t="e">
        <f t="shared" si="34"/>
        <v>#VALUE!</v>
      </c>
      <c r="AW37" s="360">
        <f t="shared" si="35"/>
        <v>0</v>
      </c>
      <c r="AX37" s="360">
        <f t="shared" si="36"/>
        <v>0</v>
      </c>
      <c r="AY37" s="360" t="e">
        <f t="shared" si="37"/>
        <v>#VALUE!</v>
      </c>
      <c r="AZ37" s="361" t="e">
        <f t="shared" si="38"/>
        <v>#VALUE!</v>
      </c>
      <c r="BA37" s="361" t="e">
        <f t="shared" si="39"/>
        <v>#VALUE!</v>
      </c>
      <c r="BB37" s="360" t="e">
        <f t="shared" si="40"/>
        <v>#VALUE!</v>
      </c>
      <c r="BC37" s="347"/>
      <c r="BD37" s="347"/>
      <c r="BE37" s="347"/>
    </row>
    <row r="38" spans="1:57" ht="15.75">
      <c r="A38" s="347">
        <f t="shared" si="6"/>
        <v>0</v>
      </c>
      <c r="B38" s="347">
        <f t="shared" si="0"/>
        <v>0</v>
      </c>
      <c r="C38" s="1410"/>
      <c r="D38" s="362">
        <v>32</v>
      </c>
      <c r="E38" s="540"/>
      <c r="F38" s="363"/>
      <c r="G38" s="364"/>
      <c r="H38" s="364"/>
      <c r="I38" s="364"/>
      <c r="J38" s="364"/>
      <c r="K38" s="364"/>
      <c r="L38" s="364"/>
      <c r="M38" s="339">
        <f t="shared" si="7"/>
        <v>-50000</v>
      </c>
      <c r="N38" s="339">
        <f t="shared" si="8"/>
        <v>-75000</v>
      </c>
      <c r="O38" s="365">
        <f t="shared" si="9"/>
        <v>0</v>
      </c>
      <c r="P38" s="365">
        <f t="shared" si="10"/>
        <v>0</v>
      </c>
      <c r="Q38" s="365">
        <f t="shared" si="11"/>
        <v>0</v>
      </c>
      <c r="R38" s="339" t="str">
        <f t="shared" si="1"/>
        <v/>
      </c>
      <c r="S38" s="365" t="str">
        <f t="shared" si="12"/>
        <v/>
      </c>
      <c r="T38" s="366" t="str">
        <f t="shared" si="13"/>
        <v/>
      </c>
      <c r="U38" s="366" t="str">
        <f t="shared" si="14"/>
        <v/>
      </c>
      <c r="V38" s="365">
        <f t="shared" si="15"/>
        <v>0</v>
      </c>
      <c r="W38" s="365">
        <f t="shared" si="16"/>
        <v>0</v>
      </c>
      <c r="X38" s="367">
        <f t="shared" si="17"/>
        <v>0</v>
      </c>
      <c r="Y38" s="367">
        <f t="shared" si="18"/>
        <v>0</v>
      </c>
      <c r="Z38" s="367">
        <f t="shared" si="19"/>
        <v>0</v>
      </c>
      <c r="AA38" s="368" t="str">
        <f t="shared" si="20"/>
        <v/>
      </c>
      <c r="AB38" s="365" t="str">
        <f t="shared" si="2"/>
        <v/>
      </c>
      <c r="AC38" s="366" t="str">
        <f t="shared" si="3"/>
        <v/>
      </c>
      <c r="AD38" s="353" t="str">
        <f t="shared" si="4"/>
        <v/>
      </c>
      <c r="AE38" s="377" t="str">
        <f t="shared" si="5"/>
        <v/>
      </c>
      <c r="AF38" s="369"/>
      <c r="AG38" s="369"/>
      <c r="AH38" s="367">
        <f t="shared" si="21"/>
        <v>0</v>
      </c>
      <c r="AI38" s="367">
        <f t="shared" si="22"/>
        <v>0</v>
      </c>
      <c r="AJ38" s="367">
        <f t="shared" si="23"/>
        <v>0</v>
      </c>
      <c r="AK38" s="367" t="e">
        <f t="shared" si="24"/>
        <v>#VALUE!</v>
      </c>
      <c r="AL38" s="368" t="e">
        <f t="shared" si="25"/>
        <v>#VALUE!</v>
      </c>
      <c r="AM38" s="370">
        <f t="shared" si="26"/>
        <v>0</v>
      </c>
      <c r="AN38" s="358">
        <f t="shared" si="27"/>
        <v>0</v>
      </c>
      <c r="AO38" s="371">
        <f t="shared" si="28"/>
        <v>0</v>
      </c>
      <c r="AP38" s="1429"/>
      <c r="AQ38" s="360">
        <f t="shared" si="29"/>
        <v>0</v>
      </c>
      <c r="AR38" s="360">
        <f t="shared" si="30"/>
        <v>0</v>
      </c>
      <c r="AS38" s="360" t="e">
        <f t="shared" si="31"/>
        <v>#VALUE!</v>
      </c>
      <c r="AT38" s="361" t="e">
        <f t="shared" si="32"/>
        <v>#VALUE!</v>
      </c>
      <c r="AU38" s="361" t="e">
        <f t="shared" si="33"/>
        <v>#VALUE!</v>
      </c>
      <c r="AV38" s="360" t="e">
        <f t="shared" si="34"/>
        <v>#VALUE!</v>
      </c>
      <c r="AW38" s="360">
        <f t="shared" si="35"/>
        <v>0</v>
      </c>
      <c r="AX38" s="360">
        <f t="shared" si="36"/>
        <v>0</v>
      </c>
      <c r="AY38" s="360" t="e">
        <f t="shared" si="37"/>
        <v>#VALUE!</v>
      </c>
      <c r="AZ38" s="361" t="e">
        <f t="shared" si="38"/>
        <v>#VALUE!</v>
      </c>
      <c r="BA38" s="361" t="e">
        <f t="shared" si="39"/>
        <v>#VALUE!</v>
      </c>
      <c r="BB38" s="360" t="e">
        <f t="shared" si="40"/>
        <v>#VALUE!</v>
      </c>
      <c r="BC38" s="347"/>
      <c r="BD38" s="347"/>
      <c r="BE38" s="347"/>
    </row>
    <row r="39" spans="1:57" ht="15.75">
      <c r="A39" s="347">
        <f t="shared" si="6"/>
        <v>0</v>
      </c>
      <c r="B39" s="347">
        <f t="shared" ref="B39:B70" si="41">IF(F39=0,0,IF(OR(U39=0,AD39=0),"NT",0))</f>
        <v>0</v>
      </c>
      <c r="C39" s="1410"/>
      <c r="D39" s="362">
        <v>33</v>
      </c>
      <c r="E39" s="540"/>
      <c r="F39" s="363"/>
      <c r="G39" s="364"/>
      <c r="H39" s="364"/>
      <c r="I39" s="364"/>
      <c r="J39" s="364"/>
      <c r="K39" s="364"/>
      <c r="L39" s="364"/>
      <c r="M39" s="339">
        <f t="shared" si="7"/>
        <v>-50000</v>
      </c>
      <c r="N39" s="339">
        <f t="shared" si="8"/>
        <v>-75000</v>
      </c>
      <c r="O39" s="365">
        <f t="shared" si="9"/>
        <v>0</v>
      </c>
      <c r="P39" s="365">
        <f t="shared" si="10"/>
        <v>0</v>
      </c>
      <c r="Q39" s="365">
        <f t="shared" si="11"/>
        <v>0</v>
      </c>
      <c r="R39" s="339" t="str">
        <f t="shared" ref="R39:R70" si="42">IF(F39="","",IF(SUM(O39:Q39)&lt;=12500,0,SUM(O39:Q39)))</f>
        <v/>
      </c>
      <c r="S39" s="365" t="str">
        <f t="shared" si="12"/>
        <v/>
      </c>
      <c r="T39" s="366" t="str">
        <f t="shared" si="13"/>
        <v/>
      </c>
      <c r="U39" s="366" t="str">
        <f t="shared" si="14"/>
        <v/>
      </c>
      <c r="V39" s="365">
        <f t="shared" si="15"/>
        <v>0</v>
      </c>
      <c r="W39" s="365">
        <f t="shared" si="16"/>
        <v>0</v>
      </c>
      <c r="X39" s="367">
        <f t="shared" si="17"/>
        <v>0</v>
      </c>
      <c r="Y39" s="367">
        <f t="shared" si="18"/>
        <v>0</v>
      </c>
      <c r="Z39" s="367">
        <f t="shared" si="19"/>
        <v>0</v>
      </c>
      <c r="AA39" s="368" t="str">
        <f t="shared" si="20"/>
        <v/>
      </c>
      <c r="AB39" s="365" t="str">
        <f t="shared" ref="AB39:AB70" si="43">IF(F39="","",ROUND(AA39*0.04,0))</f>
        <v/>
      </c>
      <c r="AC39" s="366" t="str">
        <f t="shared" ref="AC39:AC70" si="44">IF(F39="","",(AA39+AB39))</f>
        <v/>
      </c>
      <c r="AD39" s="353" t="str">
        <f t="shared" ref="AD39:AD70" si="45">IF(F39="","",ROUNDUP(AC39,-2))</f>
        <v/>
      </c>
      <c r="AE39" s="377" t="str">
        <f t="shared" ref="AE39:AE70" si="46">IF(F39="","",IF(F39="","",IF(U39=0,0,IF(U39&gt;AD39,"New Regime","Old Regime"))))</f>
        <v/>
      </c>
      <c r="AF39" s="369"/>
      <c r="AG39" s="369"/>
      <c r="AH39" s="367">
        <f t="shared" si="21"/>
        <v>0</v>
      </c>
      <c r="AI39" s="367">
        <f t="shared" si="22"/>
        <v>0</v>
      </c>
      <c r="AJ39" s="367">
        <f t="shared" si="23"/>
        <v>0</v>
      </c>
      <c r="AK39" s="367" t="e">
        <f t="shared" si="24"/>
        <v>#VALUE!</v>
      </c>
      <c r="AL39" s="368" t="e">
        <f t="shared" si="25"/>
        <v>#VALUE!</v>
      </c>
      <c r="AM39" s="370">
        <f t="shared" si="26"/>
        <v>0</v>
      </c>
      <c r="AN39" s="358">
        <f t="shared" si="27"/>
        <v>0</v>
      </c>
      <c r="AO39" s="371">
        <f t="shared" si="28"/>
        <v>0</v>
      </c>
      <c r="AP39" s="1429"/>
      <c r="AQ39" s="360">
        <f t="shared" si="29"/>
        <v>0</v>
      </c>
      <c r="AR39" s="360">
        <f t="shared" si="30"/>
        <v>0</v>
      </c>
      <c r="AS39" s="360" t="e">
        <f t="shared" si="31"/>
        <v>#VALUE!</v>
      </c>
      <c r="AT39" s="361" t="e">
        <f t="shared" si="32"/>
        <v>#VALUE!</v>
      </c>
      <c r="AU39" s="361" t="e">
        <f t="shared" si="33"/>
        <v>#VALUE!</v>
      </c>
      <c r="AV39" s="360" t="e">
        <f t="shared" si="34"/>
        <v>#VALUE!</v>
      </c>
      <c r="AW39" s="360">
        <f t="shared" si="35"/>
        <v>0</v>
      </c>
      <c r="AX39" s="360">
        <f t="shared" si="36"/>
        <v>0</v>
      </c>
      <c r="AY39" s="360" t="e">
        <f t="shared" si="37"/>
        <v>#VALUE!</v>
      </c>
      <c r="AZ39" s="361" t="e">
        <f t="shared" si="38"/>
        <v>#VALUE!</v>
      </c>
      <c r="BA39" s="361" t="e">
        <f t="shared" si="39"/>
        <v>#VALUE!</v>
      </c>
      <c r="BB39" s="360" t="e">
        <f t="shared" si="40"/>
        <v>#VALUE!</v>
      </c>
      <c r="BC39" s="347"/>
      <c r="BD39" s="347"/>
      <c r="BE39" s="347"/>
    </row>
    <row r="40" spans="1:57" ht="15.75">
      <c r="A40" s="347">
        <f t="shared" si="6"/>
        <v>0</v>
      </c>
      <c r="B40" s="347">
        <f t="shared" si="41"/>
        <v>0</v>
      </c>
      <c r="C40" s="1410"/>
      <c r="D40" s="362">
        <v>34</v>
      </c>
      <c r="E40" s="540"/>
      <c r="F40" s="363"/>
      <c r="G40" s="364"/>
      <c r="H40" s="364"/>
      <c r="I40" s="364"/>
      <c r="J40" s="364"/>
      <c r="K40" s="364"/>
      <c r="L40" s="364"/>
      <c r="M40" s="339">
        <f t="shared" si="7"/>
        <v>-50000</v>
      </c>
      <c r="N40" s="339">
        <f t="shared" si="8"/>
        <v>-75000</v>
      </c>
      <c r="O40" s="365">
        <f t="shared" si="9"/>
        <v>0</v>
      </c>
      <c r="P40" s="365">
        <f t="shared" si="10"/>
        <v>0</v>
      </c>
      <c r="Q40" s="365">
        <f t="shared" si="11"/>
        <v>0</v>
      </c>
      <c r="R40" s="339" t="str">
        <f t="shared" si="42"/>
        <v/>
      </c>
      <c r="S40" s="365" t="str">
        <f t="shared" si="12"/>
        <v/>
      </c>
      <c r="T40" s="366" t="str">
        <f t="shared" si="13"/>
        <v/>
      </c>
      <c r="U40" s="366" t="str">
        <f t="shared" si="14"/>
        <v/>
      </c>
      <c r="V40" s="365">
        <f t="shared" si="15"/>
        <v>0</v>
      </c>
      <c r="W40" s="365">
        <f t="shared" si="16"/>
        <v>0</v>
      </c>
      <c r="X40" s="367">
        <f t="shared" si="17"/>
        <v>0</v>
      </c>
      <c r="Y40" s="367">
        <f t="shared" si="18"/>
        <v>0</v>
      </c>
      <c r="Z40" s="367">
        <f t="shared" si="19"/>
        <v>0</v>
      </c>
      <c r="AA40" s="368" t="str">
        <f t="shared" si="20"/>
        <v/>
      </c>
      <c r="AB40" s="365" t="str">
        <f t="shared" si="43"/>
        <v/>
      </c>
      <c r="AC40" s="366" t="str">
        <f t="shared" si="44"/>
        <v/>
      </c>
      <c r="AD40" s="353" t="str">
        <f t="shared" si="45"/>
        <v/>
      </c>
      <c r="AE40" s="377" t="str">
        <f t="shared" si="46"/>
        <v/>
      </c>
      <c r="AF40" s="369"/>
      <c r="AG40" s="369"/>
      <c r="AH40" s="367">
        <f t="shared" si="21"/>
        <v>0</v>
      </c>
      <c r="AI40" s="367">
        <f t="shared" si="22"/>
        <v>0</v>
      </c>
      <c r="AJ40" s="367">
        <f t="shared" si="23"/>
        <v>0</v>
      </c>
      <c r="AK40" s="367" t="e">
        <f t="shared" si="24"/>
        <v>#VALUE!</v>
      </c>
      <c r="AL40" s="368" t="e">
        <f t="shared" si="25"/>
        <v>#VALUE!</v>
      </c>
      <c r="AM40" s="370">
        <f t="shared" si="26"/>
        <v>0</v>
      </c>
      <c r="AN40" s="358">
        <f t="shared" si="27"/>
        <v>0</v>
      </c>
      <c r="AO40" s="371">
        <f t="shared" si="28"/>
        <v>0</v>
      </c>
      <c r="AP40" s="1429"/>
      <c r="AQ40" s="360">
        <f t="shared" si="29"/>
        <v>0</v>
      </c>
      <c r="AR40" s="360">
        <f t="shared" si="30"/>
        <v>0</v>
      </c>
      <c r="AS40" s="360" t="e">
        <f t="shared" si="31"/>
        <v>#VALUE!</v>
      </c>
      <c r="AT40" s="361" t="e">
        <f t="shared" si="32"/>
        <v>#VALUE!</v>
      </c>
      <c r="AU40" s="361" t="e">
        <f t="shared" si="33"/>
        <v>#VALUE!</v>
      </c>
      <c r="AV40" s="360" t="e">
        <f t="shared" si="34"/>
        <v>#VALUE!</v>
      </c>
      <c r="AW40" s="360">
        <f t="shared" si="35"/>
        <v>0</v>
      </c>
      <c r="AX40" s="360">
        <f t="shared" si="36"/>
        <v>0</v>
      </c>
      <c r="AY40" s="360" t="e">
        <f t="shared" si="37"/>
        <v>#VALUE!</v>
      </c>
      <c r="AZ40" s="361" t="e">
        <f t="shared" si="38"/>
        <v>#VALUE!</v>
      </c>
      <c r="BA40" s="361" t="e">
        <f t="shared" si="39"/>
        <v>#VALUE!</v>
      </c>
      <c r="BB40" s="360" t="e">
        <f t="shared" si="40"/>
        <v>#VALUE!</v>
      </c>
      <c r="BC40" s="347"/>
      <c r="BD40" s="347"/>
      <c r="BE40" s="347"/>
    </row>
    <row r="41" spans="1:57" ht="15.75">
      <c r="A41" s="347">
        <f t="shared" si="6"/>
        <v>0</v>
      </c>
      <c r="B41" s="347">
        <f t="shared" si="41"/>
        <v>0</v>
      </c>
      <c r="C41" s="1410"/>
      <c r="D41" s="362">
        <v>35</v>
      </c>
      <c r="E41" s="540"/>
      <c r="F41" s="363"/>
      <c r="G41" s="364"/>
      <c r="H41" s="364"/>
      <c r="I41" s="364"/>
      <c r="J41" s="364"/>
      <c r="K41" s="364"/>
      <c r="L41" s="364"/>
      <c r="M41" s="339">
        <f t="shared" si="7"/>
        <v>-50000</v>
      </c>
      <c r="N41" s="339">
        <f t="shared" si="8"/>
        <v>-75000</v>
      </c>
      <c r="O41" s="365">
        <f t="shared" si="9"/>
        <v>0</v>
      </c>
      <c r="P41" s="365">
        <f t="shared" si="10"/>
        <v>0</v>
      </c>
      <c r="Q41" s="365">
        <f t="shared" si="11"/>
        <v>0</v>
      </c>
      <c r="R41" s="339" t="str">
        <f t="shared" si="42"/>
        <v/>
      </c>
      <c r="S41" s="365" t="str">
        <f t="shared" si="12"/>
        <v/>
      </c>
      <c r="T41" s="366" t="str">
        <f t="shared" si="13"/>
        <v/>
      </c>
      <c r="U41" s="366" t="str">
        <f t="shared" si="14"/>
        <v/>
      </c>
      <c r="V41" s="365">
        <f t="shared" si="15"/>
        <v>0</v>
      </c>
      <c r="W41" s="365">
        <f t="shared" si="16"/>
        <v>0</v>
      </c>
      <c r="X41" s="367">
        <f t="shared" si="17"/>
        <v>0</v>
      </c>
      <c r="Y41" s="367">
        <f t="shared" si="18"/>
        <v>0</v>
      </c>
      <c r="Z41" s="367">
        <f t="shared" si="19"/>
        <v>0</v>
      </c>
      <c r="AA41" s="368" t="str">
        <f t="shared" si="20"/>
        <v/>
      </c>
      <c r="AB41" s="365" t="str">
        <f t="shared" si="43"/>
        <v/>
      </c>
      <c r="AC41" s="366" t="str">
        <f t="shared" si="44"/>
        <v/>
      </c>
      <c r="AD41" s="353" t="str">
        <f t="shared" si="45"/>
        <v/>
      </c>
      <c r="AE41" s="377" t="str">
        <f t="shared" si="46"/>
        <v/>
      </c>
      <c r="AF41" s="369"/>
      <c r="AG41" s="369"/>
      <c r="AH41" s="367">
        <f t="shared" si="21"/>
        <v>0</v>
      </c>
      <c r="AI41" s="367">
        <f t="shared" si="22"/>
        <v>0</v>
      </c>
      <c r="AJ41" s="367">
        <f t="shared" si="23"/>
        <v>0</v>
      </c>
      <c r="AK41" s="367" t="e">
        <f t="shared" si="24"/>
        <v>#VALUE!</v>
      </c>
      <c r="AL41" s="368" t="e">
        <f t="shared" si="25"/>
        <v>#VALUE!</v>
      </c>
      <c r="AM41" s="370">
        <f t="shared" si="26"/>
        <v>0</v>
      </c>
      <c r="AN41" s="358">
        <f t="shared" si="27"/>
        <v>0</v>
      </c>
      <c r="AO41" s="371">
        <f t="shared" si="28"/>
        <v>0</v>
      </c>
      <c r="AP41" s="1429"/>
      <c r="AQ41" s="360">
        <f t="shared" si="29"/>
        <v>0</v>
      </c>
      <c r="AR41" s="360">
        <f t="shared" si="30"/>
        <v>0</v>
      </c>
      <c r="AS41" s="360" t="e">
        <f t="shared" si="31"/>
        <v>#VALUE!</v>
      </c>
      <c r="AT41" s="361" t="e">
        <f t="shared" si="32"/>
        <v>#VALUE!</v>
      </c>
      <c r="AU41" s="361" t="e">
        <f t="shared" si="33"/>
        <v>#VALUE!</v>
      </c>
      <c r="AV41" s="360" t="e">
        <f t="shared" si="34"/>
        <v>#VALUE!</v>
      </c>
      <c r="AW41" s="360">
        <f t="shared" si="35"/>
        <v>0</v>
      </c>
      <c r="AX41" s="360">
        <f t="shared" si="36"/>
        <v>0</v>
      </c>
      <c r="AY41" s="360" t="e">
        <f t="shared" si="37"/>
        <v>#VALUE!</v>
      </c>
      <c r="AZ41" s="361" t="e">
        <f t="shared" si="38"/>
        <v>#VALUE!</v>
      </c>
      <c r="BA41" s="361" t="e">
        <f t="shared" si="39"/>
        <v>#VALUE!</v>
      </c>
      <c r="BB41" s="360" t="e">
        <f t="shared" si="40"/>
        <v>#VALUE!</v>
      </c>
      <c r="BC41" s="347"/>
      <c r="BD41" s="347"/>
      <c r="BE41" s="347"/>
    </row>
    <row r="42" spans="1:57" ht="15.75">
      <c r="A42" s="347">
        <f t="shared" si="6"/>
        <v>0</v>
      </c>
      <c r="B42" s="347">
        <f t="shared" si="41"/>
        <v>0</v>
      </c>
      <c r="C42" s="1410"/>
      <c r="D42" s="362">
        <v>36</v>
      </c>
      <c r="E42" s="540"/>
      <c r="F42" s="363"/>
      <c r="G42" s="364"/>
      <c r="H42" s="364"/>
      <c r="I42" s="364"/>
      <c r="J42" s="364"/>
      <c r="K42" s="364"/>
      <c r="L42" s="364"/>
      <c r="M42" s="339">
        <f t="shared" si="7"/>
        <v>-50000</v>
      </c>
      <c r="N42" s="339">
        <f t="shared" si="8"/>
        <v>-75000</v>
      </c>
      <c r="O42" s="365">
        <f t="shared" si="9"/>
        <v>0</v>
      </c>
      <c r="P42" s="365">
        <f t="shared" si="10"/>
        <v>0</v>
      </c>
      <c r="Q42" s="365">
        <f t="shared" si="11"/>
        <v>0</v>
      </c>
      <c r="R42" s="339" t="str">
        <f t="shared" si="42"/>
        <v/>
      </c>
      <c r="S42" s="365" t="str">
        <f t="shared" si="12"/>
        <v/>
      </c>
      <c r="T42" s="366" t="str">
        <f t="shared" si="13"/>
        <v/>
      </c>
      <c r="U42" s="366" t="str">
        <f t="shared" si="14"/>
        <v/>
      </c>
      <c r="V42" s="365">
        <f t="shared" si="15"/>
        <v>0</v>
      </c>
      <c r="W42" s="365">
        <f t="shared" si="16"/>
        <v>0</v>
      </c>
      <c r="X42" s="367">
        <f t="shared" si="17"/>
        <v>0</v>
      </c>
      <c r="Y42" s="367">
        <f t="shared" si="18"/>
        <v>0</v>
      </c>
      <c r="Z42" s="367">
        <f t="shared" si="19"/>
        <v>0</v>
      </c>
      <c r="AA42" s="368" t="str">
        <f t="shared" si="20"/>
        <v/>
      </c>
      <c r="AB42" s="365" t="str">
        <f t="shared" si="43"/>
        <v/>
      </c>
      <c r="AC42" s="366" t="str">
        <f t="shared" si="44"/>
        <v/>
      </c>
      <c r="AD42" s="353" t="str">
        <f t="shared" si="45"/>
        <v/>
      </c>
      <c r="AE42" s="377" t="str">
        <f t="shared" si="46"/>
        <v/>
      </c>
      <c r="AF42" s="369"/>
      <c r="AG42" s="369"/>
      <c r="AH42" s="367">
        <f t="shared" si="21"/>
        <v>0</v>
      </c>
      <c r="AI42" s="367">
        <f t="shared" si="22"/>
        <v>0</v>
      </c>
      <c r="AJ42" s="367">
        <f t="shared" si="23"/>
        <v>0</v>
      </c>
      <c r="AK42" s="367" t="e">
        <f t="shared" si="24"/>
        <v>#VALUE!</v>
      </c>
      <c r="AL42" s="368" t="e">
        <f t="shared" si="25"/>
        <v>#VALUE!</v>
      </c>
      <c r="AM42" s="370">
        <f t="shared" si="26"/>
        <v>0</v>
      </c>
      <c r="AN42" s="358">
        <f t="shared" si="27"/>
        <v>0</v>
      </c>
      <c r="AO42" s="371">
        <f t="shared" si="28"/>
        <v>0</v>
      </c>
      <c r="AP42" s="1429"/>
      <c r="AQ42" s="360">
        <f t="shared" si="29"/>
        <v>0</v>
      </c>
      <c r="AR42" s="360">
        <f t="shared" si="30"/>
        <v>0</v>
      </c>
      <c r="AS42" s="360" t="e">
        <f t="shared" si="31"/>
        <v>#VALUE!</v>
      </c>
      <c r="AT42" s="361" t="e">
        <f t="shared" si="32"/>
        <v>#VALUE!</v>
      </c>
      <c r="AU42" s="361" t="e">
        <f t="shared" si="33"/>
        <v>#VALUE!</v>
      </c>
      <c r="AV42" s="360" t="e">
        <f t="shared" si="34"/>
        <v>#VALUE!</v>
      </c>
      <c r="AW42" s="360">
        <f t="shared" si="35"/>
        <v>0</v>
      </c>
      <c r="AX42" s="360">
        <f t="shared" si="36"/>
        <v>0</v>
      </c>
      <c r="AY42" s="360" t="e">
        <f t="shared" si="37"/>
        <v>#VALUE!</v>
      </c>
      <c r="AZ42" s="361" t="e">
        <f t="shared" si="38"/>
        <v>#VALUE!</v>
      </c>
      <c r="BA42" s="361" t="e">
        <f t="shared" si="39"/>
        <v>#VALUE!</v>
      </c>
      <c r="BB42" s="360" t="e">
        <f t="shared" si="40"/>
        <v>#VALUE!</v>
      </c>
      <c r="BC42" s="347"/>
      <c r="BD42" s="347"/>
      <c r="BE42" s="347"/>
    </row>
    <row r="43" spans="1:57" ht="15.75">
      <c r="A43" s="347">
        <f t="shared" si="6"/>
        <v>0</v>
      </c>
      <c r="B43" s="347">
        <f t="shared" si="41"/>
        <v>0</v>
      </c>
      <c r="C43" s="1410"/>
      <c r="D43" s="362">
        <v>37</v>
      </c>
      <c r="E43" s="540"/>
      <c r="F43" s="363"/>
      <c r="G43" s="364"/>
      <c r="H43" s="364"/>
      <c r="I43" s="364"/>
      <c r="J43" s="364"/>
      <c r="K43" s="364"/>
      <c r="L43" s="364"/>
      <c r="M43" s="339">
        <f t="shared" si="7"/>
        <v>-50000</v>
      </c>
      <c r="N43" s="339">
        <f t="shared" si="8"/>
        <v>-75000</v>
      </c>
      <c r="O43" s="365">
        <f t="shared" si="9"/>
        <v>0</v>
      </c>
      <c r="P43" s="365">
        <f t="shared" si="10"/>
        <v>0</v>
      </c>
      <c r="Q43" s="365">
        <f t="shared" si="11"/>
        <v>0</v>
      </c>
      <c r="R43" s="339" t="str">
        <f t="shared" si="42"/>
        <v/>
      </c>
      <c r="S43" s="365" t="str">
        <f t="shared" si="12"/>
        <v/>
      </c>
      <c r="T43" s="366" t="str">
        <f t="shared" si="13"/>
        <v/>
      </c>
      <c r="U43" s="366" t="str">
        <f t="shared" si="14"/>
        <v/>
      </c>
      <c r="V43" s="365">
        <f t="shared" si="15"/>
        <v>0</v>
      </c>
      <c r="W43" s="365">
        <f t="shared" si="16"/>
        <v>0</v>
      </c>
      <c r="X43" s="367">
        <f t="shared" si="17"/>
        <v>0</v>
      </c>
      <c r="Y43" s="367">
        <f t="shared" si="18"/>
        <v>0</v>
      </c>
      <c r="Z43" s="367">
        <f t="shared" si="19"/>
        <v>0</v>
      </c>
      <c r="AA43" s="368" t="str">
        <f t="shared" si="20"/>
        <v/>
      </c>
      <c r="AB43" s="365" t="str">
        <f t="shared" si="43"/>
        <v/>
      </c>
      <c r="AC43" s="366" t="str">
        <f t="shared" si="44"/>
        <v/>
      </c>
      <c r="AD43" s="353" t="str">
        <f t="shared" si="45"/>
        <v/>
      </c>
      <c r="AE43" s="377" t="str">
        <f t="shared" si="46"/>
        <v/>
      </c>
      <c r="AF43" s="369"/>
      <c r="AG43" s="369"/>
      <c r="AH43" s="367">
        <f t="shared" si="21"/>
        <v>0</v>
      </c>
      <c r="AI43" s="367">
        <f t="shared" si="22"/>
        <v>0</v>
      </c>
      <c r="AJ43" s="367">
        <f t="shared" si="23"/>
        <v>0</v>
      </c>
      <c r="AK43" s="367" t="e">
        <f t="shared" si="24"/>
        <v>#VALUE!</v>
      </c>
      <c r="AL43" s="368" t="e">
        <f t="shared" si="25"/>
        <v>#VALUE!</v>
      </c>
      <c r="AM43" s="370">
        <f t="shared" si="26"/>
        <v>0</v>
      </c>
      <c r="AN43" s="358">
        <f t="shared" si="27"/>
        <v>0</v>
      </c>
      <c r="AO43" s="371">
        <f t="shared" si="28"/>
        <v>0</v>
      </c>
      <c r="AP43" s="1429"/>
      <c r="AQ43" s="360">
        <f t="shared" si="29"/>
        <v>0</v>
      </c>
      <c r="AR43" s="360">
        <f t="shared" si="30"/>
        <v>0</v>
      </c>
      <c r="AS43" s="360" t="e">
        <f t="shared" si="31"/>
        <v>#VALUE!</v>
      </c>
      <c r="AT43" s="361" t="e">
        <f t="shared" si="32"/>
        <v>#VALUE!</v>
      </c>
      <c r="AU43" s="361" t="e">
        <f t="shared" si="33"/>
        <v>#VALUE!</v>
      </c>
      <c r="AV43" s="360" t="e">
        <f t="shared" si="34"/>
        <v>#VALUE!</v>
      </c>
      <c r="AW43" s="360">
        <f t="shared" si="35"/>
        <v>0</v>
      </c>
      <c r="AX43" s="360">
        <f t="shared" si="36"/>
        <v>0</v>
      </c>
      <c r="AY43" s="360" t="e">
        <f t="shared" si="37"/>
        <v>#VALUE!</v>
      </c>
      <c r="AZ43" s="361" t="e">
        <f t="shared" si="38"/>
        <v>#VALUE!</v>
      </c>
      <c r="BA43" s="361" t="e">
        <f t="shared" si="39"/>
        <v>#VALUE!</v>
      </c>
      <c r="BB43" s="360" t="e">
        <f t="shared" si="40"/>
        <v>#VALUE!</v>
      </c>
      <c r="BC43" s="347"/>
      <c r="BD43" s="347"/>
      <c r="BE43" s="347"/>
    </row>
    <row r="44" spans="1:57" ht="15.75">
      <c r="A44" s="347">
        <f t="shared" si="6"/>
        <v>0</v>
      </c>
      <c r="B44" s="347">
        <f t="shared" si="41"/>
        <v>0</v>
      </c>
      <c r="C44" s="1410"/>
      <c r="D44" s="362">
        <v>38</v>
      </c>
      <c r="E44" s="540"/>
      <c r="F44" s="363"/>
      <c r="G44" s="364"/>
      <c r="H44" s="364"/>
      <c r="I44" s="364"/>
      <c r="J44" s="364"/>
      <c r="K44" s="364"/>
      <c r="L44" s="364"/>
      <c r="M44" s="339">
        <f t="shared" si="7"/>
        <v>-50000</v>
      </c>
      <c r="N44" s="339">
        <f t="shared" si="8"/>
        <v>-75000</v>
      </c>
      <c r="O44" s="365">
        <f t="shared" si="9"/>
        <v>0</v>
      </c>
      <c r="P44" s="365">
        <f t="shared" si="10"/>
        <v>0</v>
      </c>
      <c r="Q44" s="365">
        <f t="shared" si="11"/>
        <v>0</v>
      </c>
      <c r="R44" s="339" t="str">
        <f t="shared" si="42"/>
        <v/>
      </c>
      <c r="S44" s="365" t="str">
        <f t="shared" si="12"/>
        <v/>
      </c>
      <c r="T44" s="366" t="str">
        <f t="shared" si="13"/>
        <v/>
      </c>
      <c r="U44" s="366" t="str">
        <f t="shared" si="14"/>
        <v/>
      </c>
      <c r="V44" s="365">
        <f t="shared" si="15"/>
        <v>0</v>
      </c>
      <c r="W44" s="365">
        <f t="shared" si="16"/>
        <v>0</v>
      </c>
      <c r="X44" s="367">
        <f t="shared" si="17"/>
        <v>0</v>
      </c>
      <c r="Y44" s="367">
        <f t="shared" si="18"/>
        <v>0</v>
      </c>
      <c r="Z44" s="367">
        <f t="shared" si="19"/>
        <v>0</v>
      </c>
      <c r="AA44" s="368" t="str">
        <f t="shared" si="20"/>
        <v/>
      </c>
      <c r="AB44" s="365" t="str">
        <f t="shared" si="43"/>
        <v/>
      </c>
      <c r="AC44" s="366" t="str">
        <f t="shared" si="44"/>
        <v/>
      </c>
      <c r="AD44" s="353" t="str">
        <f t="shared" si="45"/>
        <v/>
      </c>
      <c r="AE44" s="377" t="str">
        <f t="shared" si="46"/>
        <v/>
      </c>
      <c r="AF44" s="369"/>
      <c r="AG44" s="369"/>
      <c r="AH44" s="367">
        <f t="shared" si="21"/>
        <v>0</v>
      </c>
      <c r="AI44" s="367">
        <f t="shared" si="22"/>
        <v>0</v>
      </c>
      <c r="AJ44" s="367">
        <f t="shared" si="23"/>
        <v>0</v>
      </c>
      <c r="AK44" s="367" t="e">
        <f t="shared" si="24"/>
        <v>#VALUE!</v>
      </c>
      <c r="AL44" s="368" t="e">
        <f t="shared" si="25"/>
        <v>#VALUE!</v>
      </c>
      <c r="AM44" s="370">
        <f t="shared" si="26"/>
        <v>0</v>
      </c>
      <c r="AN44" s="358">
        <f t="shared" si="27"/>
        <v>0</v>
      </c>
      <c r="AO44" s="371">
        <f t="shared" si="28"/>
        <v>0</v>
      </c>
      <c r="AP44" s="1429"/>
      <c r="AQ44" s="360">
        <f t="shared" si="29"/>
        <v>0</v>
      </c>
      <c r="AR44" s="360">
        <f t="shared" si="30"/>
        <v>0</v>
      </c>
      <c r="AS44" s="360" t="e">
        <f t="shared" si="31"/>
        <v>#VALUE!</v>
      </c>
      <c r="AT44" s="361" t="e">
        <f t="shared" si="32"/>
        <v>#VALUE!</v>
      </c>
      <c r="AU44" s="361" t="e">
        <f t="shared" si="33"/>
        <v>#VALUE!</v>
      </c>
      <c r="AV44" s="360" t="e">
        <f t="shared" si="34"/>
        <v>#VALUE!</v>
      </c>
      <c r="AW44" s="360">
        <f t="shared" si="35"/>
        <v>0</v>
      </c>
      <c r="AX44" s="360">
        <f t="shared" si="36"/>
        <v>0</v>
      </c>
      <c r="AY44" s="360" t="e">
        <f t="shared" si="37"/>
        <v>#VALUE!</v>
      </c>
      <c r="AZ44" s="361" t="e">
        <f t="shared" si="38"/>
        <v>#VALUE!</v>
      </c>
      <c r="BA44" s="361" t="e">
        <f t="shared" si="39"/>
        <v>#VALUE!</v>
      </c>
      <c r="BB44" s="360" t="e">
        <f t="shared" si="40"/>
        <v>#VALUE!</v>
      </c>
      <c r="BC44" s="347"/>
      <c r="BD44" s="347"/>
      <c r="BE44" s="347"/>
    </row>
    <row r="45" spans="1:57" ht="15.75">
      <c r="A45" s="347">
        <f t="shared" si="6"/>
        <v>0</v>
      </c>
      <c r="B45" s="347">
        <f t="shared" si="41"/>
        <v>0</v>
      </c>
      <c r="C45" s="1410"/>
      <c r="D45" s="362">
        <v>39</v>
      </c>
      <c r="E45" s="540"/>
      <c r="F45" s="363"/>
      <c r="G45" s="364"/>
      <c r="H45" s="364"/>
      <c r="I45" s="364"/>
      <c r="J45" s="364"/>
      <c r="K45" s="364"/>
      <c r="L45" s="364"/>
      <c r="M45" s="339">
        <f t="shared" si="7"/>
        <v>-50000</v>
      </c>
      <c r="N45" s="339">
        <f t="shared" si="8"/>
        <v>-75000</v>
      </c>
      <c r="O45" s="365">
        <f t="shared" si="9"/>
        <v>0</v>
      </c>
      <c r="P45" s="365">
        <f t="shared" si="10"/>
        <v>0</v>
      </c>
      <c r="Q45" s="365">
        <f t="shared" si="11"/>
        <v>0</v>
      </c>
      <c r="R45" s="339" t="str">
        <f t="shared" si="42"/>
        <v/>
      </c>
      <c r="S45" s="365" t="str">
        <f t="shared" si="12"/>
        <v/>
      </c>
      <c r="T45" s="366" t="str">
        <f t="shared" si="13"/>
        <v/>
      </c>
      <c r="U45" s="366" t="str">
        <f t="shared" si="14"/>
        <v/>
      </c>
      <c r="V45" s="365">
        <f t="shared" si="15"/>
        <v>0</v>
      </c>
      <c r="W45" s="365">
        <f t="shared" si="16"/>
        <v>0</v>
      </c>
      <c r="X45" s="367">
        <f t="shared" si="17"/>
        <v>0</v>
      </c>
      <c r="Y45" s="367">
        <f t="shared" si="18"/>
        <v>0</v>
      </c>
      <c r="Z45" s="367">
        <f t="shared" si="19"/>
        <v>0</v>
      </c>
      <c r="AA45" s="368" t="str">
        <f t="shared" si="20"/>
        <v/>
      </c>
      <c r="AB45" s="365" t="str">
        <f t="shared" si="43"/>
        <v/>
      </c>
      <c r="AC45" s="366" t="str">
        <f t="shared" si="44"/>
        <v/>
      </c>
      <c r="AD45" s="353" t="str">
        <f t="shared" si="45"/>
        <v/>
      </c>
      <c r="AE45" s="377" t="str">
        <f t="shared" si="46"/>
        <v/>
      </c>
      <c r="AF45" s="369"/>
      <c r="AG45" s="369"/>
      <c r="AH45" s="367">
        <f t="shared" si="21"/>
        <v>0</v>
      </c>
      <c r="AI45" s="367">
        <f t="shared" si="22"/>
        <v>0</v>
      </c>
      <c r="AJ45" s="367">
        <f t="shared" si="23"/>
        <v>0</v>
      </c>
      <c r="AK45" s="367" t="e">
        <f t="shared" si="24"/>
        <v>#VALUE!</v>
      </c>
      <c r="AL45" s="368" t="e">
        <f t="shared" si="25"/>
        <v>#VALUE!</v>
      </c>
      <c r="AM45" s="370">
        <f t="shared" si="26"/>
        <v>0</v>
      </c>
      <c r="AN45" s="358">
        <f t="shared" si="27"/>
        <v>0</v>
      </c>
      <c r="AO45" s="371">
        <f t="shared" si="28"/>
        <v>0</v>
      </c>
      <c r="AP45" s="1429"/>
      <c r="AQ45" s="360">
        <f t="shared" si="29"/>
        <v>0</v>
      </c>
      <c r="AR45" s="360">
        <f t="shared" si="30"/>
        <v>0</v>
      </c>
      <c r="AS45" s="360" t="e">
        <f t="shared" si="31"/>
        <v>#VALUE!</v>
      </c>
      <c r="AT45" s="361" t="e">
        <f t="shared" si="32"/>
        <v>#VALUE!</v>
      </c>
      <c r="AU45" s="361" t="e">
        <f t="shared" si="33"/>
        <v>#VALUE!</v>
      </c>
      <c r="AV45" s="360" t="e">
        <f t="shared" si="34"/>
        <v>#VALUE!</v>
      </c>
      <c r="AW45" s="360">
        <f t="shared" si="35"/>
        <v>0</v>
      </c>
      <c r="AX45" s="360">
        <f t="shared" si="36"/>
        <v>0</v>
      </c>
      <c r="AY45" s="360" t="e">
        <f t="shared" si="37"/>
        <v>#VALUE!</v>
      </c>
      <c r="AZ45" s="361" t="e">
        <f t="shared" si="38"/>
        <v>#VALUE!</v>
      </c>
      <c r="BA45" s="361" t="e">
        <f t="shared" si="39"/>
        <v>#VALUE!</v>
      </c>
      <c r="BB45" s="360" t="e">
        <f t="shared" si="40"/>
        <v>#VALUE!</v>
      </c>
      <c r="BC45" s="347"/>
      <c r="BD45" s="347"/>
      <c r="BE45" s="347"/>
    </row>
    <row r="46" spans="1:57" ht="15.75">
      <c r="A46" s="347">
        <f t="shared" si="6"/>
        <v>0</v>
      </c>
      <c r="B46" s="347">
        <f t="shared" si="41"/>
        <v>0</v>
      </c>
      <c r="C46" s="1410"/>
      <c r="D46" s="362"/>
      <c r="E46" s="540"/>
      <c r="F46" s="363"/>
      <c r="G46" s="364"/>
      <c r="H46" s="364"/>
      <c r="I46" s="364"/>
      <c r="J46" s="364"/>
      <c r="K46" s="364"/>
      <c r="L46" s="364"/>
      <c r="M46" s="339">
        <f t="shared" si="7"/>
        <v>-50000</v>
      </c>
      <c r="N46" s="339">
        <f t="shared" si="8"/>
        <v>-75000</v>
      </c>
      <c r="O46" s="365">
        <f t="shared" si="9"/>
        <v>0</v>
      </c>
      <c r="P46" s="365">
        <f t="shared" si="10"/>
        <v>0</v>
      </c>
      <c r="Q46" s="365">
        <f t="shared" si="11"/>
        <v>0</v>
      </c>
      <c r="R46" s="339" t="str">
        <f t="shared" si="42"/>
        <v/>
      </c>
      <c r="S46" s="365" t="str">
        <f t="shared" si="12"/>
        <v/>
      </c>
      <c r="T46" s="366" t="str">
        <f t="shared" si="13"/>
        <v/>
      </c>
      <c r="U46" s="366" t="str">
        <f t="shared" si="14"/>
        <v/>
      </c>
      <c r="V46" s="365">
        <f t="shared" si="15"/>
        <v>0</v>
      </c>
      <c r="W46" s="365">
        <f t="shared" si="16"/>
        <v>0</v>
      </c>
      <c r="X46" s="367">
        <f t="shared" si="17"/>
        <v>0</v>
      </c>
      <c r="Y46" s="367">
        <f t="shared" si="18"/>
        <v>0</v>
      </c>
      <c r="Z46" s="367">
        <f t="shared" si="19"/>
        <v>0</v>
      </c>
      <c r="AA46" s="368" t="str">
        <f t="shared" si="20"/>
        <v/>
      </c>
      <c r="AB46" s="365" t="str">
        <f t="shared" si="43"/>
        <v/>
      </c>
      <c r="AC46" s="366" t="str">
        <f t="shared" si="44"/>
        <v/>
      </c>
      <c r="AD46" s="353" t="str">
        <f t="shared" si="45"/>
        <v/>
      </c>
      <c r="AE46" s="377" t="str">
        <f t="shared" si="46"/>
        <v/>
      </c>
      <c r="AF46" s="369"/>
      <c r="AG46" s="369"/>
      <c r="AH46" s="367">
        <f t="shared" si="21"/>
        <v>0</v>
      </c>
      <c r="AI46" s="367">
        <f t="shared" si="22"/>
        <v>0</v>
      </c>
      <c r="AJ46" s="367">
        <f t="shared" si="23"/>
        <v>0</v>
      </c>
      <c r="AK46" s="367" t="e">
        <f t="shared" si="24"/>
        <v>#VALUE!</v>
      </c>
      <c r="AL46" s="368" t="e">
        <f t="shared" si="25"/>
        <v>#VALUE!</v>
      </c>
      <c r="AM46" s="370">
        <f t="shared" si="26"/>
        <v>0</v>
      </c>
      <c r="AN46" s="358">
        <f t="shared" si="27"/>
        <v>0</v>
      </c>
      <c r="AO46" s="371">
        <f t="shared" si="28"/>
        <v>0</v>
      </c>
      <c r="AP46" s="1429"/>
      <c r="AQ46" s="360">
        <f t="shared" si="29"/>
        <v>0</v>
      </c>
      <c r="AR46" s="360">
        <f t="shared" si="30"/>
        <v>0</v>
      </c>
      <c r="AS46" s="360" t="e">
        <f t="shared" si="31"/>
        <v>#VALUE!</v>
      </c>
      <c r="AT46" s="361" t="e">
        <f t="shared" si="32"/>
        <v>#VALUE!</v>
      </c>
      <c r="AU46" s="361" t="e">
        <f t="shared" si="33"/>
        <v>#VALUE!</v>
      </c>
      <c r="AV46" s="360" t="e">
        <f t="shared" si="34"/>
        <v>#VALUE!</v>
      </c>
      <c r="AW46" s="360">
        <f t="shared" si="35"/>
        <v>0</v>
      </c>
      <c r="AX46" s="360">
        <f t="shared" si="36"/>
        <v>0</v>
      </c>
      <c r="AY46" s="360" t="e">
        <f t="shared" si="37"/>
        <v>#VALUE!</v>
      </c>
      <c r="AZ46" s="361" t="e">
        <f t="shared" si="38"/>
        <v>#VALUE!</v>
      </c>
      <c r="BA46" s="361" t="e">
        <f t="shared" si="39"/>
        <v>#VALUE!</v>
      </c>
      <c r="BB46" s="360" t="e">
        <f t="shared" si="40"/>
        <v>#VALUE!</v>
      </c>
      <c r="BC46" s="347"/>
      <c r="BD46" s="347"/>
      <c r="BE46" s="347"/>
    </row>
    <row r="47" spans="1:57" ht="15.75">
      <c r="A47" s="347">
        <f t="shared" si="6"/>
        <v>0</v>
      </c>
      <c r="B47" s="347">
        <f t="shared" si="41"/>
        <v>0</v>
      </c>
      <c r="C47" s="1410"/>
      <c r="D47" s="362"/>
      <c r="E47" s="540"/>
      <c r="F47" s="363"/>
      <c r="G47" s="364"/>
      <c r="H47" s="364"/>
      <c r="I47" s="364"/>
      <c r="J47" s="364"/>
      <c r="K47" s="364"/>
      <c r="L47" s="364"/>
      <c r="M47" s="339">
        <f t="shared" si="7"/>
        <v>-50000</v>
      </c>
      <c r="N47" s="339">
        <f t="shared" si="8"/>
        <v>-75000</v>
      </c>
      <c r="O47" s="365">
        <f t="shared" si="9"/>
        <v>0</v>
      </c>
      <c r="P47" s="365">
        <f t="shared" si="10"/>
        <v>0</v>
      </c>
      <c r="Q47" s="365">
        <f t="shared" si="11"/>
        <v>0</v>
      </c>
      <c r="R47" s="339" t="str">
        <f t="shared" si="42"/>
        <v/>
      </c>
      <c r="S47" s="365" t="str">
        <f t="shared" si="12"/>
        <v/>
      </c>
      <c r="T47" s="366" t="str">
        <f t="shared" si="13"/>
        <v/>
      </c>
      <c r="U47" s="366" t="str">
        <f t="shared" si="14"/>
        <v/>
      </c>
      <c r="V47" s="365">
        <f t="shared" si="15"/>
        <v>0</v>
      </c>
      <c r="W47" s="365">
        <f t="shared" si="16"/>
        <v>0</v>
      </c>
      <c r="X47" s="367">
        <f t="shared" si="17"/>
        <v>0</v>
      </c>
      <c r="Y47" s="367">
        <f t="shared" si="18"/>
        <v>0</v>
      </c>
      <c r="Z47" s="367">
        <f t="shared" si="19"/>
        <v>0</v>
      </c>
      <c r="AA47" s="368" t="str">
        <f t="shared" si="20"/>
        <v/>
      </c>
      <c r="AB47" s="365" t="str">
        <f t="shared" si="43"/>
        <v/>
      </c>
      <c r="AC47" s="366" t="str">
        <f t="shared" si="44"/>
        <v/>
      </c>
      <c r="AD47" s="353" t="str">
        <f t="shared" si="45"/>
        <v/>
      </c>
      <c r="AE47" s="377" t="str">
        <f t="shared" si="46"/>
        <v/>
      </c>
      <c r="AF47" s="369"/>
      <c r="AG47" s="369"/>
      <c r="AH47" s="367">
        <f t="shared" si="21"/>
        <v>0</v>
      </c>
      <c r="AI47" s="367">
        <f t="shared" si="22"/>
        <v>0</v>
      </c>
      <c r="AJ47" s="367">
        <f t="shared" si="23"/>
        <v>0</v>
      </c>
      <c r="AK47" s="367" t="e">
        <f t="shared" si="24"/>
        <v>#VALUE!</v>
      </c>
      <c r="AL47" s="368" t="e">
        <f t="shared" si="25"/>
        <v>#VALUE!</v>
      </c>
      <c r="AM47" s="370">
        <f t="shared" si="26"/>
        <v>0</v>
      </c>
      <c r="AN47" s="358">
        <f t="shared" si="27"/>
        <v>0</v>
      </c>
      <c r="AO47" s="371">
        <f t="shared" si="28"/>
        <v>0</v>
      </c>
      <c r="AP47" s="1429"/>
      <c r="AQ47" s="360">
        <f t="shared" si="29"/>
        <v>0</v>
      </c>
      <c r="AR47" s="360">
        <f t="shared" si="30"/>
        <v>0</v>
      </c>
      <c r="AS47" s="360" t="e">
        <f t="shared" si="31"/>
        <v>#VALUE!</v>
      </c>
      <c r="AT47" s="361" t="e">
        <f t="shared" si="32"/>
        <v>#VALUE!</v>
      </c>
      <c r="AU47" s="361" t="e">
        <f t="shared" si="33"/>
        <v>#VALUE!</v>
      </c>
      <c r="AV47" s="360" t="e">
        <f t="shared" si="34"/>
        <v>#VALUE!</v>
      </c>
      <c r="AW47" s="360">
        <f t="shared" si="35"/>
        <v>0</v>
      </c>
      <c r="AX47" s="360">
        <f t="shared" si="36"/>
        <v>0</v>
      </c>
      <c r="AY47" s="360" t="e">
        <f t="shared" si="37"/>
        <v>#VALUE!</v>
      </c>
      <c r="AZ47" s="361" t="e">
        <f t="shared" si="38"/>
        <v>#VALUE!</v>
      </c>
      <c r="BA47" s="361" t="e">
        <f t="shared" si="39"/>
        <v>#VALUE!</v>
      </c>
      <c r="BB47" s="360" t="e">
        <f t="shared" si="40"/>
        <v>#VALUE!</v>
      </c>
      <c r="BC47" s="347"/>
      <c r="BD47" s="347"/>
      <c r="BE47" s="347"/>
    </row>
    <row r="48" spans="1:57" ht="15.75">
      <c r="A48" s="347">
        <f t="shared" si="6"/>
        <v>0</v>
      </c>
      <c r="B48" s="347">
        <f t="shared" si="41"/>
        <v>0</v>
      </c>
      <c r="C48" s="1410"/>
      <c r="D48" s="362"/>
      <c r="E48" s="540"/>
      <c r="F48" s="363"/>
      <c r="G48" s="364"/>
      <c r="H48" s="364"/>
      <c r="I48" s="364"/>
      <c r="J48" s="364"/>
      <c r="K48" s="364"/>
      <c r="L48" s="364"/>
      <c r="M48" s="339">
        <f t="shared" si="7"/>
        <v>-50000</v>
      </c>
      <c r="N48" s="339">
        <f t="shared" si="8"/>
        <v>-75000</v>
      </c>
      <c r="O48" s="365">
        <f t="shared" si="9"/>
        <v>0</v>
      </c>
      <c r="P48" s="365">
        <f t="shared" si="10"/>
        <v>0</v>
      </c>
      <c r="Q48" s="365">
        <f t="shared" si="11"/>
        <v>0</v>
      </c>
      <c r="R48" s="339" t="str">
        <f t="shared" si="42"/>
        <v/>
      </c>
      <c r="S48" s="365" t="str">
        <f t="shared" si="12"/>
        <v/>
      </c>
      <c r="T48" s="366" t="str">
        <f t="shared" si="13"/>
        <v/>
      </c>
      <c r="U48" s="366" t="str">
        <f t="shared" si="14"/>
        <v/>
      </c>
      <c r="V48" s="365">
        <f t="shared" si="15"/>
        <v>0</v>
      </c>
      <c r="W48" s="365">
        <f t="shared" si="16"/>
        <v>0</v>
      </c>
      <c r="X48" s="367">
        <f t="shared" si="17"/>
        <v>0</v>
      </c>
      <c r="Y48" s="367">
        <f t="shared" si="18"/>
        <v>0</v>
      </c>
      <c r="Z48" s="367">
        <f t="shared" si="19"/>
        <v>0</v>
      </c>
      <c r="AA48" s="368" t="str">
        <f t="shared" si="20"/>
        <v/>
      </c>
      <c r="AB48" s="365" t="str">
        <f t="shared" si="43"/>
        <v/>
      </c>
      <c r="AC48" s="366" t="str">
        <f t="shared" si="44"/>
        <v/>
      </c>
      <c r="AD48" s="353" t="str">
        <f t="shared" si="45"/>
        <v/>
      </c>
      <c r="AE48" s="377" t="str">
        <f t="shared" si="46"/>
        <v/>
      </c>
      <c r="AF48" s="369"/>
      <c r="AG48" s="369"/>
      <c r="AH48" s="367">
        <f t="shared" si="21"/>
        <v>0</v>
      </c>
      <c r="AI48" s="367">
        <f t="shared" si="22"/>
        <v>0</v>
      </c>
      <c r="AJ48" s="367">
        <f t="shared" si="23"/>
        <v>0</v>
      </c>
      <c r="AK48" s="367" t="e">
        <f t="shared" si="24"/>
        <v>#VALUE!</v>
      </c>
      <c r="AL48" s="368" t="e">
        <f t="shared" si="25"/>
        <v>#VALUE!</v>
      </c>
      <c r="AM48" s="370">
        <f t="shared" si="26"/>
        <v>0</v>
      </c>
      <c r="AN48" s="358">
        <f t="shared" si="27"/>
        <v>0</v>
      </c>
      <c r="AO48" s="371">
        <f t="shared" si="28"/>
        <v>0</v>
      </c>
      <c r="AP48" s="1429"/>
      <c r="AQ48" s="360">
        <f t="shared" si="29"/>
        <v>0</v>
      </c>
      <c r="AR48" s="360">
        <f t="shared" si="30"/>
        <v>0</v>
      </c>
      <c r="AS48" s="360" t="e">
        <f t="shared" si="31"/>
        <v>#VALUE!</v>
      </c>
      <c r="AT48" s="361" t="e">
        <f t="shared" si="32"/>
        <v>#VALUE!</v>
      </c>
      <c r="AU48" s="361" t="e">
        <f t="shared" si="33"/>
        <v>#VALUE!</v>
      </c>
      <c r="AV48" s="360" t="e">
        <f t="shared" si="34"/>
        <v>#VALUE!</v>
      </c>
      <c r="AW48" s="360">
        <f t="shared" si="35"/>
        <v>0</v>
      </c>
      <c r="AX48" s="360">
        <f t="shared" si="36"/>
        <v>0</v>
      </c>
      <c r="AY48" s="360" t="e">
        <f t="shared" si="37"/>
        <v>#VALUE!</v>
      </c>
      <c r="AZ48" s="361" t="e">
        <f t="shared" si="38"/>
        <v>#VALUE!</v>
      </c>
      <c r="BA48" s="361" t="e">
        <f t="shared" si="39"/>
        <v>#VALUE!</v>
      </c>
      <c r="BB48" s="360" t="e">
        <f t="shared" si="40"/>
        <v>#VALUE!</v>
      </c>
      <c r="BC48" s="347"/>
      <c r="BD48" s="347"/>
      <c r="BE48" s="347"/>
    </row>
    <row r="49" spans="1:57" ht="15.75">
      <c r="A49" s="347">
        <f t="shared" si="6"/>
        <v>0</v>
      </c>
      <c r="B49" s="347">
        <f t="shared" si="41"/>
        <v>0</v>
      </c>
      <c r="C49" s="1410"/>
      <c r="D49" s="362"/>
      <c r="E49" s="540"/>
      <c r="F49" s="363"/>
      <c r="G49" s="364"/>
      <c r="H49" s="364"/>
      <c r="I49" s="364"/>
      <c r="J49" s="364"/>
      <c r="K49" s="364"/>
      <c r="L49" s="364"/>
      <c r="M49" s="339">
        <f t="shared" si="7"/>
        <v>-50000</v>
      </c>
      <c r="N49" s="339">
        <f t="shared" si="8"/>
        <v>-75000</v>
      </c>
      <c r="O49" s="365">
        <f t="shared" si="9"/>
        <v>0</v>
      </c>
      <c r="P49" s="365">
        <f t="shared" si="10"/>
        <v>0</v>
      </c>
      <c r="Q49" s="365">
        <f t="shared" si="11"/>
        <v>0</v>
      </c>
      <c r="R49" s="339" t="str">
        <f t="shared" si="42"/>
        <v/>
      </c>
      <c r="S49" s="365" t="str">
        <f t="shared" si="12"/>
        <v/>
      </c>
      <c r="T49" s="366" t="str">
        <f t="shared" si="13"/>
        <v/>
      </c>
      <c r="U49" s="366" t="str">
        <f t="shared" si="14"/>
        <v/>
      </c>
      <c r="V49" s="365">
        <f t="shared" si="15"/>
        <v>0</v>
      </c>
      <c r="W49" s="365">
        <f t="shared" si="16"/>
        <v>0</v>
      </c>
      <c r="X49" s="367">
        <f t="shared" si="17"/>
        <v>0</v>
      </c>
      <c r="Y49" s="367">
        <f t="shared" si="18"/>
        <v>0</v>
      </c>
      <c r="Z49" s="367">
        <f t="shared" si="19"/>
        <v>0</v>
      </c>
      <c r="AA49" s="368" t="str">
        <f t="shared" si="20"/>
        <v/>
      </c>
      <c r="AB49" s="365" t="str">
        <f t="shared" si="43"/>
        <v/>
      </c>
      <c r="AC49" s="366" t="str">
        <f t="shared" si="44"/>
        <v/>
      </c>
      <c r="AD49" s="353" t="str">
        <f t="shared" si="45"/>
        <v/>
      </c>
      <c r="AE49" s="377" t="str">
        <f t="shared" si="46"/>
        <v/>
      </c>
      <c r="AF49" s="369"/>
      <c r="AG49" s="369"/>
      <c r="AH49" s="367">
        <f t="shared" si="21"/>
        <v>0</v>
      </c>
      <c r="AI49" s="367">
        <f t="shared" si="22"/>
        <v>0</v>
      </c>
      <c r="AJ49" s="367">
        <f t="shared" si="23"/>
        <v>0</v>
      </c>
      <c r="AK49" s="367" t="e">
        <f t="shared" si="24"/>
        <v>#VALUE!</v>
      </c>
      <c r="AL49" s="368" t="e">
        <f t="shared" si="25"/>
        <v>#VALUE!</v>
      </c>
      <c r="AM49" s="370">
        <f t="shared" si="26"/>
        <v>0</v>
      </c>
      <c r="AN49" s="358">
        <f t="shared" si="27"/>
        <v>0</v>
      </c>
      <c r="AO49" s="371">
        <f t="shared" si="28"/>
        <v>0</v>
      </c>
      <c r="AP49" s="1429"/>
      <c r="AQ49" s="360">
        <f t="shared" si="29"/>
        <v>0</v>
      </c>
      <c r="AR49" s="360">
        <f t="shared" si="30"/>
        <v>0</v>
      </c>
      <c r="AS49" s="360" t="e">
        <f t="shared" si="31"/>
        <v>#VALUE!</v>
      </c>
      <c r="AT49" s="361" t="e">
        <f t="shared" si="32"/>
        <v>#VALUE!</v>
      </c>
      <c r="AU49" s="361" t="e">
        <f t="shared" si="33"/>
        <v>#VALUE!</v>
      </c>
      <c r="AV49" s="360" t="e">
        <f t="shared" si="34"/>
        <v>#VALUE!</v>
      </c>
      <c r="AW49" s="360">
        <f t="shared" si="35"/>
        <v>0</v>
      </c>
      <c r="AX49" s="360">
        <f t="shared" si="36"/>
        <v>0</v>
      </c>
      <c r="AY49" s="360" t="e">
        <f t="shared" si="37"/>
        <v>#VALUE!</v>
      </c>
      <c r="AZ49" s="361" t="e">
        <f t="shared" si="38"/>
        <v>#VALUE!</v>
      </c>
      <c r="BA49" s="361" t="e">
        <f t="shared" si="39"/>
        <v>#VALUE!</v>
      </c>
      <c r="BB49" s="360" t="e">
        <f t="shared" si="40"/>
        <v>#VALUE!</v>
      </c>
      <c r="BC49" s="347"/>
      <c r="BD49" s="347"/>
      <c r="BE49" s="347"/>
    </row>
    <row r="50" spans="1:57" ht="15.75">
      <c r="A50" s="347">
        <f t="shared" si="6"/>
        <v>0</v>
      </c>
      <c r="B50" s="347">
        <f t="shared" si="41"/>
        <v>0</v>
      </c>
      <c r="C50" s="1410"/>
      <c r="D50" s="362"/>
      <c r="E50" s="540"/>
      <c r="F50" s="363"/>
      <c r="G50" s="364"/>
      <c r="H50" s="364"/>
      <c r="I50" s="364"/>
      <c r="J50" s="364"/>
      <c r="K50" s="364"/>
      <c r="L50" s="364"/>
      <c r="M50" s="339">
        <f t="shared" si="7"/>
        <v>-50000</v>
      </c>
      <c r="N50" s="339">
        <f t="shared" si="8"/>
        <v>-75000</v>
      </c>
      <c r="O50" s="365">
        <f t="shared" si="9"/>
        <v>0</v>
      </c>
      <c r="P50" s="365">
        <f t="shared" si="10"/>
        <v>0</v>
      </c>
      <c r="Q50" s="365">
        <f t="shared" si="11"/>
        <v>0</v>
      </c>
      <c r="R50" s="339" t="str">
        <f t="shared" si="42"/>
        <v/>
      </c>
      <c r="S50" s="365" t="str">
        <f t="shared" si="12"/>
        <v/>
      </c>
      <c r="T50" s="366" t="str">
        <f t="shared" si="13"/>
        <v/>
      </c>
      <c r="U50" s="366" t="str">
        <f t="shared" si="14"/>
        <v/>
      </c>
      <c r="V50" s="365">
        <f t="shared" si="15"/>
        <v>0</v>
      </c>
      <c r="W50" s="365">
        <f t="shared" si="16"/>
        <v>0</v>
      </c>
      <c r="X50" s="367">
        <f t="shared" si="17"/>
        <v>0</v>
      </c>
      <c r="Y50" s="367">
        <f t="shared" si="18"/>
        <v>0</v>
      </c>
      <c r="Z50" s="367">
        <f t="shared" si="19"/>
        <v>0</v>
      </c>
      <c r="AA50" s="368" t="str">
        <f t="shared" si="20"/>
        <v/>
      </c>
      <c r="AB50" s="365" t="str">
        <f t="shared" si="43"/>
        <v/>
      </c>
      <c r="AC50" s="366" t="str">
        <f t="shared" si="44"/>
        <v/>
      </c>
      <c r="AD50" s="353" t="str">
        <f t="shared" si="45"/>
        <v/>
      </c>
      <c r="AE50" s="377" t="str">
        <f t="shared" si="46"/>
        <v/>
      </c>
      <c r="AF50" s="369"/>
      <c r="AG50" s="369"/>
      <c r="AH50" s="367">
        <f t="shared" si="21"/>
        <v>0</v>
      </c>
      <c r="AI50" s="367">
        <f t="shared" si="22"/>
        <v>0</v>
      </c>
      <c r="AJ50" s="367">
        <f t="shared" si="23"/>
        <v>0</v>
      </c>
      <c r="AK50" s="367" t="e">
        <f t="shared" si="24"/>
        <v>#VALUE!</v>
      </c>
      <c r="AL50" s="368" t="e">
        <f t="shared" si="25"/>
        <v>#VALUE!</v>
      </c>
      <c r="AM50" s="370">
        <f t="shared" si="26"/>
        <v>0</v>
      </c>
      <c r="AN50" s="358">
        <f t="shared" si="27"/>
        <v>0</v>
      </c>
      <c r="AO50" s="371">
        <f t="shared" si="28"/>
        <v>0</v>
      </c>
      <c r="AP50" s="1429"/>
      <c r="AQ50" s="360">
        <f t="shared" si="29"/>
        <v>0</v>
      </c>
      <c r="AR50" s="360">
        <f t="shared" si="30"/>
        <v>0</v>
      </c>
      <c r="AS50" s="360" t="e">
        <f t="shared" si="31"/>
        <v>#VALUE!</v>
      </c>
      <c r="AT50" s="361" t="e">
        <f t="shared" si="32"/>
        <v>#VALUE!</v>
      </c>
      <c r="AU50" s="361" t="e">
        <f t="shared" si="33"/>
        <v>#VALUE!</v>
      </c>
      <c r="AV50" s="360" t="e">
        <f t="shared" si="34"/>
        <v>#VALUE!</v>
      </c>
      <c r="AW50" s="360">
        <f t="shared" si="35"/>
        <v>0</v>
      </c>
      <c r="AX50" s="360">
        <f t="shared" si="36"/>
        <v>0</v>
      </c>
      <c r="AY50" s="360" t="e">
        <f t="shared" si="37"/>
        <v>#VALUE!</v>
      </c>
      <c r="AZ50" s="361" t="e">
        <f t="shared" si="38"/>
        <v>#VALUE!</v>
      </c>
      <c r="BA50" s="361" t="e">
        <f t="shared" si="39"/>
        <v>#VALUE!</v>
      </c>
      <c r="BB50" s="360" t="e">
        <f t="shared" si="40"/>
        <v>#VALUE!</v>
      </c>
      <c r="BC50" s="347"/>
      <c r="BD50" s="347"/>
      <c r="BE50" s="347"/>
    </row>
    <row r="51" spans="1:57" ht="15.75">
      <c r="A51" s="347">
        <f t="shared" si="6"/>
        <v>0</v>
      </c>
      <c r="B51" s="347">
        <f t="shared" si="41"/>
        <v>0</v>
      </c>
      <c r="C51" s="1410"/>
      <c r="D51" s="362"/>
      <c r="E51" s="540"/>
      <c r="F51" s="363"/>
      <c r="G51" s="364"/>
      <c r="H51" s="364"/>
      <c r="I51" s="364"/>
      <c r="J51" s="364"/>
      <c r="K51" s="364"/>
      <c r="L51" s="364"/>
      <c r="M51" s="339">
        <f t="shared" si="7"/>
        <v>-50000</v>
      </c>
      <c r="N51" s="339">
        <f t="shared" si="8"/>
        <v>-75000</v>
      </c>
      <c r="O51" s="365">
        <f t="shared" si="9"/>
        <v>0</v>
      </c>
      <c r="P51" s="365">
        <f t="shared" si="10"/>
        <v>0</v>
      </c>
      <c r="Q51" s="365">
        <f t="shared" si="11"/>
        <v>0</v>
      </c>
      <c r="R51" s="339" t="str">
        <f t="shared" si="42"/>
        <v/>
      </c>
      <c r="S51" s="365" t="str">
        <f t="shared" si="12"/>
        <v/>
      </c>
      <c r="T51" s="366" t="str">
        <f t="shared" si="13"/>
        <v/>
      </c>
      <c r="U51" s="366" t="str">
        <f t="shared" si="14"/>
        <v/>
      </c>
      <c r="V51" s="365">
        <f t="shared" si="15"/>
        <v>0</v>
      </c>
      <c r="W51" s="365">
        <f t="shared" si="16"/>
        <v>0</v>
      </c>
      <c r="X51" s="367">
        <f t="shared" si="17"/>
        <v>0</v>
      </c>
      <c r="Y51" s="367">
        <f t="shared" si="18"/>
        <v>0</v>
      </c>
      <c r="Z51" s="367">
        <f t="shared" si="19"/>
        <v>0</v>
      </c>
      <c r="AA51" s="368" t="str">
        <f t="shared" si="20"/>
        <v/>
      </c>
      <c r="AB51" s="365" t="str">
        <f t="shared" si="43"/>
        <v/>
      </c>
      <c r="AC51" s="366" t="str">
        <f t="shared" si="44"/>
        <v/>
      </c>
      <c r="AD51" s="353" t="str">
        <f t="shared" si="45"/>
        <v/>
      </c>
      <c r="AE51" s="377" t="str">
        <f t="shared" si="46"/>
        <v/>
      </c>
      <c r="AF51" s="369"/>
      <c r="AG51" s="369"/>
      <c r="AH51" s="367">
        <f t="shared" si="21"/>
        <v>0</v>
      </c>
      <c r="AI51" s="367">
        <f t="shared" si="22"/>
        <v>0</v>
      </c>
      <c r="AJ51" s="367">
        <f t="shared" si="23"/>
        <v>0</v>
      </c>
      <c r="AK51" s="367" t="e">
        <f t="shared" si="24"/>
        <v>#VALUE!</v>
      </c>
      <c r="AL51" s="368" t="e">
        <f t="shared" si="25"/>
        <v>#VALUE!</v>
      </c>
      <c r="AM51" s="370">
        <f t="shared" si="26"/>
        <v>0</v>
      </c>
      <c r="AN51" s="358">
        <f t="shared" si="27"/>
        <v>0</v>
      </c>
      <c r="AO51" s="371">
        <f t="shared" si="28"/>
        <v>0</v>
      </c>
      <c r="AP51" s="1429"/>
      <c r="AQ51" s="360">
        <f t="shared" si="29"/>
        <v>0</v>
      </c>
      <c r="AR51" s="360">
        <f t="shared" si="30"/>
        <v>0</v>
      </c>
      <c r="AS51" s="360" t="e">
        <f t="shared" si="31"/>
        <v>#VALUE!</v>
      </c>
      <c r="AT51" s="361" t="e">
        <f t="shared" si="32"/>
        <v>#VALUE!</v>
      </c>
      <c r="AU51" s="361" t="e">
        <f t="shared" si="33"/>
        <v>#VALUE!</v>
      </c>
      <c r="AV51" s="360" t="e">
        <f t="shared" si="34"/>
        <v>#VALUE!</v>
      </c>
      <c r="AW51" s="360">
        <f t="shared" si="35"/>
        <v>0</v>
      </c>
      <c r="AX51" s="360">
        <f t="shared" si="36"/>
        <v>0</v>
      </c>
      <c r="AY51" s="360" t="e">
        <f t="shared" si="37"/>
        <v>#VALUE!</v>
      </c>
      <c r="AZ51" s="361" t="e">
        <f t="shared" si="38"/>
        <v>#VALUE!</v>
      </c>
      <c r="BA51" s="361" t="e">
        <f t="shared" si="39"/>
        <v>#VALUE!</v>
      </c>
      <c r="BB51" s="360" t="e">
        <f t="shared" si="40"/>
        <v>#VALUE!</v>
      </c>
      <c r="BC51" s="347"/>
      <c r="BD51" s="347"/>
      <c r="BE51" s="347"/>
    </row>
    <row r="52" spans="1:57" ht="15.75">
      <c r="A52" s="347">
        <f t="shared" si="6"/>
        <v>0</v>
      </c>
      <c r="B52" s="347">
        <f t="shared" si="41"/>
        <v>0</v>
      </c>
      <c r="C52" s="1410"/>
      <c r="D52" s="362"/>
      <c r="E52" s="540"/>
      <c r="F52" s="363"/>
      <c r="G52" s="364"/>
      <c r="H52" s="364"/>
      <c r="I52" s="364"/>
      <c r="J52" s="364"/>
      <c r="K52" s="364"/>
      <c r="L52" s="364"/>
      <c r="M52" s="339">
        <f t="shared" si="7"/>
        <v>-50000</v>
      </c>
      <c r="N52" s="339">
        <f t="shared" si="8"/>
        <v>-75000</v>
      </c>
      <c r="O52" s="365">
        <f t="shared" si="9"/>
        <v>0</v>
      </c>
      <c r="P52" s="365">
        <f t="shared" si="10"/>
        <v>0</v>
      </c>
      <c r="Q52" s="365">
        <f t="shared" si="11"/>
        <v>0</v>
      </c>
      <c r="R52" s="339" t="str">
        <f t="shared" si="42"/>
        <v/>
      </c>
      <c r="S52" s="365" t="str">
        <f t="shared" si="12"/>
        <v/>
      </c>
      <c r="T52" s="366" t="str">
        <f t="shared" si="13"/>
        <v/>
      </c>
      <c r="U52" s="366" t="str">
        <f t="shared" si="14"/>
        <v/>
      </c>
      <c r="V52" s="365">
        <f t="shared" si="15"/>
        <v>0</v>
      </c>
      <c r="W52" s="365">
        <f t="shared" si="16"/>
        <v>0</v>
      </c>
      <c r="X52" s="367">
        <f t="shared" si="17"/>
        <v>0</v>
      </c>
      <c r="Y52" s="367">
        <f t="shared" si="18"/>
        <v>0</v>
      </c>
      <c r="Z52" s="367">
        <f t="shared" si="19"/>
        <v>0</v>
      </c>
      <c r="AA52" s="368" t="str">
        <f t="shared" si="20"/>
        <v/>
      </c>
      <c r="AB52" s="365" t="str">
        <f t="shared" si="43"/>
        <v/>
      </c>
      <c r="AC52" s="366" t="str">
        <f t="shared" si="44"/>
        <v/>
      </c>
      <c r="AD52" s="353" t="str">
        <f t="shared" si="45"/>
        <v/>
      </c>
      <c r="AE52" s="377" t="str">
        <f t="shared" si="46"/>
        <v/>
      </c>
      <c r="AF52" s="369"/>
      <c r="AG52" s="369"/>
      <c r="AH52" s="367">
        <f t="shared" si="21"/>
        <v>0</v>
      </c>
      <c r="AI52" s="367">
        <f t="shared" si="22"/>
        <v>0</v>
      </c>
      <c r="AJ52" s="367">
        <f t="shared" si="23"/>
        <v>0</v>
      </c>
      <c r="AK52" s="367" t="e">
        <f t="shared" si="24"/>
        <v>#VALUE!</v>
      </c>
      <c r="AL52" s="368" t="e">
        <f t="shared" si="25"/>
        <v>#VALUE!</v>
      </c>
      <c r="AM52" s="370">
        <f t="shared" si="26"/>
        <v>0</v>
      </c>
      <c r="AN52" s="358">
        <f t="shared" si="27"/>
        <v>0</v>
      </c>
      <c r="AO52" s="371">
        <f t="shared" si="28"/>
        <v>0</v>
      </c>
      <c r="AP52" s="1429"/>
      <c r="AQ52" s="360">
        <f t="shared" si="29"/>
        <v>0</v>
      </c>
      <c r="AR52" s="360">
        <f t="shared" si="30"/>
        <v>0</v>
      </c>
      <c r="AS52" s="360" t="e">
        <f t="shared" si="31"/>
        <v>#VALUE!</v>
      </c>
      <c r="AT52" s="361" t="e">
        <f t="shared" si="32"/>
        <v>#VALUE!</v>
      </c>
      <c r="AU52" s="361" t="e">
        <f t="shared" si="33"/>
        <v>#VALUE!</v>
      </c>
      <c r="AV52" s="360" t="e">
        <f t="shared" si="34"/>
        <v>#VALUE!</v>
      </c>
      <c r="AW52" s="360">
        <f t="shared" si="35"/>
        <v>0</v>
      </c>
      <c r="AX52" s="360">
        <f t="shared" si="36"/>
        <v>0</v>
      </c>
      <c r="AY52" s="360" t="e">
        <f t="shared" si="37"/>
        <v>#VALUE!</v>
      </c>
      <c r="AZ52" s="361" t="e">
        <f t="shared" si="38"/>
        <v>#VALUE!</v>
      </c>
      <c r="BA52" s="361" t="e">
        <f t="shared" si="39"/>
        <v>#VALUE!</v>
      </c>
      <c r="BB52" s="360" t="e">
        <f t="shared" si="40"/>
        <v>#VALUE!</v>
      </c>
      <c r="BC52" s="347"/>
      <c r="BD52" s="347"/>
      <c r="BE52" s="347"/>
    </row>
    <row r="53" spans="1:57" ht="15.75">
      <c r="A53" s="347">
        <f t="shared" si="6"/>
        <v>0</v>
      </c>
      <c r="B53" s="347">
        <f t="shared" si="41"/>
        <v>0</v>
      </c>
      <c r="C53" s="1410"/>
      <c r="D53" s="362"/>
      <c r="E53" s="540"/>
      <c r="F53" s="363"/>
      <c r="G53" s="364"/>
      <c r="H53" s="364"/>
      <c r="I53" s="364"/>
      <c r="J53" s="364"/>
      <c r="K53" s="364"/>
      <c r="L53" s="364"/>
      <c r="M53" s="339">
        <f t="shared" si="7"/>
        <v>-50000</v>
      </c>
      <c r="N53" s="339">
        <f t="shared" si="8"/>
        <v>-75000</v>
      </c>
      <c r="O53" s="365">
        <f t="shared" si="9"/>
        <v>0</v>
      </c>
      <c r="P53" s="365">
        <f t="shared" si="10"/>
        <v>0</v>
      </c>
      <c r="Q53" s="365">
        <f t="shared" si="11"/>
        <v>0</v>
      </c>
      <c r="R53" s="339" t="str">
        <f t="shared" si="42"/>
        <v/>
      </c>
      <c r="S53" s="365" t="str">
        <f t="shared" si="12"/>
        <v/>
      </c>
      <c r="T53" s="366" t="str">
        <f t="shared" si="13"/>
        <v/>
      </c>
      <c r="U53" s="366" t="str">
        <f t="shared" si="14"/>
        <v/>
      </c>
      <c r="V53" s="365">
        <f t="shared" si="15"/>
        <v>0</v>
      </c>
      <c r="W53" s="365">
        <f t="shared" si="16"/>
        <v>0</v>
      </c>
      <c r="X53" s="367">
        <f t="shared" si="17"/>
        <v>0</v>
      </c>
      <c r="Y53" s="367">
        <f t="shared" si="18"/>
        <v>0</v>
      </c>
      <c r="Z53" s="367">
        <f t="shared" si="19"/>
        <v>0</v>
      </c>
      <c r="AA53" s="368" t="str">
        <f t="shared" si="20"/>
        <v/>
      </c>
      <c r="AB53" s="365" t="str">
        <f t="shared" si="43"/>
        <v/>
      </c>
      <c r="AC53" s="366" t="str">
        <f t="shared" si="44"/>
        <v/>
      </c>
      <c r="AD53" s="353" t="str">
        <f t="shared" si="45"/>
        <v/>
      </c>
      <c r="AE53" s="377" t="str">
        <f t="shared" si="46"/>
        <v/>
      </c>
      <c r="AF53" s="369"/>
      <c r="AG53" s="369"/>
      <c r="AH53" s="367">
        <f t="shared" si="21"/>
        <v>0</v>
      </c>
      <c r="AI53" s="367">
        <f t="shared" si="22"/>
        <v>0</v>
      </c>
      <c r="AJ53" s="367">
        <f t="shared" si="23"/>
        <v>0</v>
      </c>
      <c r="AK53" s="367" t="e">
        <f t="shared" si="24"/>
        <v>#VALUE!</v>
      </c>
      <c r="AL53" s="368" t="e">
        <f t="shared" si="25"/>
        <v>#VALUE!</v>
      </c>
      <c r="AM53" s="370">
        <f t="shared" si="26"/>
        <v>0</v>
      </c>
      <c r="AN53" s="358">
        <f t="shared" si="27"/>
        <v>0</v>
      </c>
      <c r="AO53" s="371">
        <f t="shared" si="28"/>
        <v>0</v>
      </c>
      <c r="AP53" s="1429"/>
      <c r="AQ53" s="360">
        <f t="shared" si="29"/>
        <v>0</v>
      </c>
      <c r="AR53" s="360">
        <f t="shared" si="30"/>
        <v>0</v>
      </c>
      <c r="AS53" s="360" t="e">
        <f t="shared" si="31"/>
        <v>#VALUE!</v>
      </c>
      <c r="AT53" s="361" t="e">
        <f t="shared" si="32"/>
        <v>#VALUE!</v>
      </c>
      <c r="AU53" s="361" t="e">
        <f t="shared" si="33"/>
        <v>#VALUE!</v>
      </c>
      <c r="AV53" s="360" t="e">
        <f t="shared" si="34"/>
        <v>#VALUE!</v>
      </c>
      <c r="AW53" s="360">
        <f t="shared" si="35"/>
        <v>0</v>
      </c>
      <c r="AX53" s="360">
        <f t="shared" si="36"/>
        <v>0</v>
      </c>
      <c r="AY53" s="360" t="e">
        <f t="shared" si="37"/>
        <v>#VALUE!</v>
      </c>
      <c r="AZ53" s="361" t="e">
        <f t="shared" si="38"/>
        <v>#VALUE!</v>
      </c>
      <c r="BA53" s="361" t="e">
        <f t="shared" si="39"/>
        <v>#VALUE!</v>
      </c>
      <c r="BB53" s="360" t="e">
        <f t="shared" si="40"/>
        <v>#VALUE!</v>
      </c>
      <c r="BC53" s="347"/>
      <c r="BD53" s="347"/>
      <c r="BE53" s="347"/>
    </row>
    <row r="54" spans="1:57" ht="15.75">
      <c r="A54" s="347">
        <f t="shared" si="6"/>
        <v>0</v>
      </c>
      <c r="B54" s="347">
        <f t="shared" si="41"/>
        <v>0</v>
      </c>
      <c r="C54" s="1410"/>
      <c r="D54" s="362"/>
      <c r="E54" s="540"/>
      <c r="F54" s="363"/>
      <c r="G54" s="364"/>
      <c r="H54" s="364"/>
      <c r="I54" s="364"/>
      <c r="J54" s="364"/>
      <c r="K54" s="364"/>
      <c r="L54" s="364"/>
      <c r="M54" s="339">
        <f t="shared" si="7"/>
        <v>-50000</v>
      </c>
      <c r="N54" s="339">
        <f t="shared" si="8"/>
        <v>-75000</v>
      </c>
      <c r="O54" s="365">
        <f t="shared" si="9"/>
        <v>0</v>
      </c>
      <c r="P54" s="365">
        <f t="shared" si="10"/>
        <v>0</v>
      </c>
      <c r="Q54" s="365">
        <f t="shared" si="11"/>
        <v>0</v>
      </c>
      <c r="R54" s="339" t="str">
        <f t="shared" si="42"/>
        <v/>
      </c>
      <c r="S54" s="365" t="str">
        <f t="shared" si="12"/>
        <v/>
      </c>
      <c r="T54" s="366" t="str">
        <f t="shared" si="13"/>
        <v/>
      </c>
      <c r="U54" s="366" t="str">
        <f t="shared" si="14"/>
        <v/>
      </c>
      <c r="V54" s="365">
        <f t="shared" si="15"/>
        <v>0</v>
      </c>
      <c r="W54" s="365">
        <f t="shared" si="16"/>
        <v>0</v>
      </c>
      <c r="X54" s="367">
        <f t="shared" si="17"/>
        <v>0</v>
      </c>
      <c r="Y54" s="367">
        <f t="shared" si="18"/>
        <v>0</v>
      </c>
      <c r="Z54" s="367">
        <f t="shared" si="19"/>
        <v>0</v>
      </c>
      <c r="AA54" s="368" t="str">
        <f t="shared" si="20"/>
        <v/>
      </c>
      <c r="AB54" s="365" t="str">
        <f t="shared" si="43"/>
        <v/>
      </c>
      <c r="AC54" s="366" t="str">
        <f t="shared" si="44"/>
        <v/>
      </c>
      <c r="AD54" s="353" t="str">
        <f t="shared" si="45"/>
        <v/>
      </c>
      <c r="AE54" s="377" t="str">
        <f t="shared" si="46"/>
        <v/>
      </c>
      <c r="AF54" s="369"/>
      <c r="AG54" s="369"/>
      <c r="AH54" s="367">
        <f t="shared" si="21"/>
        <v>0</v>
      </c>
      <c r="AI54" s="367">
        <f t="shared" si="22"/>
        <v>0</v>
      </c>
      <c r="AJ54" s="367">
        <f t="shared" si="23"/>
        <v>0</v>
      </c>
      <c r="AK54" s="367" t="e">
        <f t="shared" si="24"/>
        <v>#VALUE!</v>
      </c>
      <c r="AL54" s="368" t="e">
        <f t="shared" si="25"/>
        <v>#VALUE!</v>
      </c>
      <c r="AM54" s="370">
        <f t="shared" si="26"/>
        <v>0</v>
      </c>
      <c r="AN54" s="358">
        <f t="shared" si="27"/>
        <v>0</v>
      </c>
      <c r="AO54" s="371">
        <f t="shared" si="28"/>
        <v>0</v>
      </c>
      <c r="AP54" s="1429"/>
      <c r="AQ54" s="360">
        <f t="shared" si="29"/>
        <v>0</v>
      </c>
      <c r="AR54" s="360">
        <f t="shared" si="30"/>
        <v>0</v>
      </c>
      <c r="AS54" s="360" t="e">
        <f t="shared" si="31"/>
        <v>#VALUE!</v>
      </c>
      <c r="AT54" s="361" t="e">
        <f t="shared" si="32"/>
        <v>#VALUE!</v>
      </c>
      <c r="AU54" s="361" t="e">
        <f t="shared" si="33"/>
        <v>#VALUE!</v>
      </c>
      <c r="AV54" s="360" t="e">
        <f t="shared" si="34"/>
        <v>#VALUE!</v>
      </c>
      <c r="AW54" s="360">
        <f t="shared" si="35"/>
        <v>0</v>
      </c>
      <c r="AX54" s="360">
        <f t="shared" si="36"/>
        <v>0</v>
      </c>
      <c r="AY54" s="360" t="e">
        <f t="shared" si="37"/>
        <v>#VALUE!</v>
      </c>
      <c r="AZ54" s="361" t="e">
        <f t="shared" si="38"/>
        <v>#VALUE!</v>
      </c>
      <c r="BA54" s="361" t="e">
        <f t="shared" si="39"/>
        <v>#VALUE!</v>
      </c>
      <c r="BB54" s="360" t="e">
        <f t="shared" si="40"/>
        <v>#VALUE!</v>
      </c>
      <c r="BC54" s="347"/>
      <c r="BD54" s="347"/>
      <c r="BE54" s="347"/>
    </row>
    <row r="55" spans="1:57" ht="15.75">
      <c r="A55" s="347">
        <f t="shared" si="6"/>
        <v>0</v>
      </c>
      <c r="B55" s="347">
        <f t="shared" si="41"/>
        <v>0</v>
      </c>
      <c r="C55" s="1410"/>
      <c r="D55" s="362"/>
      <c r="E55" s="540"/>
      <c r="F55" s="363"/>
      <c r="G55" s="364"/>
      <c r="H55" s="364"/>
      <c r="I55" s="364"/>
      <c r="J55" s="364"/>
      <c r="K55" s="364"/>
      <c r="L55" s="364"/>
      <c r="M55" s="339">
        <f t="shared" si="7"/>
        <v>-50000</v>
      </c>
      <c r="N55" s="339">
        <f t="shared" si="8"/>
        <v>-75000</v>
      </c>
      <c r="O55" s="365">
        <f t="shared" si="9"/>
        <v>0</v>
      </c>
      <c r="P55" s="365">
        <f t="shared" si="10"/>
        <v>0</v>
      </c>
      <c r="Q55" s="365">
        <f t="shared" si="11"/>
        <v>0</v>
      </c>
      <c r="R55" s="339" t="str">
        <f t="shared" si="42"/>
        <v/>
      </c>
      <c r="S55" s="365" t="str">
        <f t="shared" si="12"/>
        <v/>
      </c>
      <c r="T55" s="366" t="str">
        <f t="shared" si="13"/>
        <v/>
      </c>
      <c r="U55" s="366" t="str">
        <f t="shared" si="14"/>
        <v/>
      </c>
      <c r="V55" s="365">
        <f t="shared" si="15"/>
        <v>0</v>
      </c>
      <c r="W55" s="365">
        <f t="shared" si="16"/>
        <v>0</v>
      </c>
      <c r="X55" s="367">
        <f t="shared" si="17"/>
        <v>0</v>
      </c>
      <c r="Y55" s="367">
        <f t="shared" si="18"/>
        <v>0</v>
      </c>
      <c r="Z55" s="367">
        <f t="shared" si="19"/>
        <v>0</v>
      </c>
      <c r="AA55" s="368" t="str">
        <f t="shared" si="20"/>
        <v/>
      </c>
      <c r="AB55" s="365" t="str">
        <f t="shared" si="43"/>
        <v/>
      </c>
      <c r="AC55" s="366" t="str">
        <f t="shared" si="44"/>
        <v/>
      </c>
      <c r="AD55" s="353" t="str">
        <f t="shared" si="45"/>
        <v/>
      </c>
      <c r="AE55" s="377" t="str">
        <f t="shared" si="46"/>
        <v/>
      </c>
      <c r="AF55" s="369"/>
      <c r="AG55" s="369"/>
      <c r="AH55" s="367">
        <f t="shared" si="21"/>
        <v>0</v>
      </c>
      <c r="AI55" s="367">
        <f t="shared" si="22"/>
        <v>0</v>
      </c>
      <c r="AJ55" s="367">
        <f t="shared" si="23"/>
        <v>0</v>
      </c>
      <c r="AK55" s="367" t="e">
        <f t="shared" si="24"/>
        <v>#VALUE!</v>
      </c>
      <c r="AL55" s="368" t="e">
        <f t="shared" si="25"/>
        <v>#VALUE!</v>
      </c>
      <c r="AM55" s="370">
        <f t="shared" si="26"/>
        <v>0</v>
      </c>
      <c r="AN55" s="358">
        <f t="shared" si="27"/>
        <v>0</v>
      </c>
      <c r="AO55" s="371">
        <f t="shared" si="28"/>
        <v>0</v>
      </c>
      <c r="AP55" s="1429"/>
      <c r="AQ55" s="360">
        <f t="shared" si="29"/>
        <v>0</v>
      </c>
      <c r="AR55" s="360">
        <f t="shared" si="30"/>
        <v>0</v>
      </c>
      <c r="AS55" s="360" t="e">
        <f t="shared" si="31"/>
        <v>#VALUE!</v>
      </c>
      <c r="AT55" s="361" t="e">
        <f t="shared" si="32"/>
        <v>#VALUE!</v>
      </c>
      <c r="AU55" s="361" t="e">
        <f t="shared" si="33"/>
        <v>#VALUE!</v>
      </c>
      <c r="AV55" s="360" t="e">
        <f t="shared" si="34"/>
        <v>#VALUE!</v>
      </c>
      <c r="AW55" s="360">
        <f t="shared" si="35"/>
        <v>0</v>
      </c>
      <c r="AX55" s="360">
        <f t="shared" si="36"/>
        <v>0</v>
      </c>
      <c r="AY55" s="360" t="e">
        <f t="shared" si="37"/>
        <v>#VALUE!</v>
      </c>
      <c r="AZ55" s="361" t="e">
        <f t="shared" si="38"/>
        <v>#VALUE!</v>
      </c>
      <c r="BA55" s="361" t="e">
        <f t="shared" si="39"/>
        <v>#VALUE!</v>
      </c>
      <c r="BB55" s="360" t="e">
        <f t="shared" si="40"/>
        <v>#VALUE!</v>
      </c>
      <c r="BC55" s="347"/>
      <c r="BD55" s="347"/>
      <c r="BE55" s="347"/>
    </row>
    <row r="56" spans="1:57" ht="15.75">
      <c r="A56" s="347">
        <f t="shared" si="6"/>
        <v>0</v>
      </c>
      <c r="B56" s="347">
        <f t="shared" si="41"/>
        <v>0</v>
      </c>
      <c r="C56" s="1410"/>
      <c r="D56" s="362"/>
      <c r="E56" s="540"/>
      <c r="F56" s="363"/>
      <c r="G56" s="364"/>
      <c r="H56" s="364"/>
      <c r="I56" s="364"/>
      <c r="J56" s="364"/>
      <c r="K56" s="364"/>
      <c r="L56" s="364"/>
      <c r="M56" s="339">
        <f t="shared" si="7"/>
        <v>-50000</v>
      </c>
      <c r="N56" s="339">
        <f t="shared" si="8"/>
        <v>-75000</v>
      </c>
      <c r="O56" s="365">
        <f t="shared" si="9"/>
        <v>0</v>
      </c>
      <c r="P56" s="365">
        <f t="shared" si="10"/>
        <v>0</v>
      </c>
      <c r="Q56" s="365">
        <f t="shared" si="11"/>
        <v>0</v>
      </c>
      <c r="R56" s="339" t="str">
        <f t="shared" si="42"/>
        <v/>
      </c>
      <c r="S56" s="365" t="str">
        <f t="shared" si="12"/>
        <v/>
      </c>
      <c r="T56" s="366" t="str">
        <f t="shared" si="13"/>
        <v/>
      </c>
      <c r="U56" s="366" t="str">
        <f t="shared" si="14"/>
        <v/>
      </c>
      <c r="V56" s="365">
        <f t="shared" si="15"/>
        <v>0</v>
      </c>
      <c r="W56" s="365">
        <f t="shared" si="16"/>
        <v>0</v>
      </c>
      <c r="X56" s="367">
        <f t="shared" si="17"/>
        <v>0</v>
      </c>
      <c r="Y56" s="367">
        <f t="shared" si="18"/>
        <v>0</v>
      </c>
      <c r="Z56" s="367">
        <f t="shared" si="19"/>
        <v>0</v>
      </c>
      <c r="AA56" s="368" t="str">
        <f t="shared" si="20"/>
        <v/>
      </c>
      <c r="AB56" s="365" t="str">
        <f t="shared" si="43"/>
        <v/>
      </c>
      <c r="AC56" s="366" t="str">
        <f t="shared" si="44"/>
        <v/>
      </c>
      <c r="AD56" s="353" t="str">
        <f t="shared" si="45"/>
        <v/>
      </c>
      <c r="AE56" s="377" t="str">
        <f t="shared" si="46"/>
        <v/>
      </c>
      <c r="AF56" s="369"/>
      <c r="AG56" s="369"/>
      <c r="AH56" s="367">
        <f t="shared" si="21"/>
        <v>0</v>
      </c>
      <c r="AI56" s="367">
        <f t="shared" si="22"/>
        <v>0</v>
      </c>
      <c r="AJ56" s="367">
        <f t="shared" si="23"/>
        <v>0</v>
      </c>
      <c r="AK56" s="367" t="e">
        <f t="shared" si="24"/>
        <v>#VALUE!</v>
      </c>
      <c r="AL56" s="368" t="e">
        <f t="shared" si="25"/>
        <v>#VALUE!</v>
      </c>
      <c r="AM56" s="370">
        <f t="shared" si="26"/>
        <v>0</v>
      </c>
      <c r="AN56" s="358">
        <f t="shared" si="27"/>
        <v>0</v>
      </c>
      <c r="AO56" s="371">
        <f t="shared" si="28"/>
        <v>0</v>
      </c>
      <c r="AP56" s="1429"/>
      <c r="AQ56" s="360">
        <f t="shared" si="29"/>
        <v>0</v>
      </c>
      <c r="AR56" s="360">
        <f t="shared" si="30"/>
        <v>0</v>
      </c>
      <c r="AS56" s="360" t="e">
        <f t="shared" si="31"/>
        <v>#VALUE!</v>
      </c>
      <c r="AT56" s="361" t="e">
        <f t="shared" si="32"/>
        <v>#VALUE!</v>
      </c>
      <c r="AU56" s="361" t="e">
        <f t="shared" si="33"/>
        <v>#VALUE!</v>
      </c>
      <c r="AV56" s="360" t="e">
        <f t="shared" si="34"/>
        <v>#VALUE!</v>
      </c>
      <c r="AW56" s="360">
        <f t="shared" si="35"/>
        <v>0</v>
      </c>
      <c r="AX56" s="360">
        <f t="shared" si="36"/>
        <v>0</v>
      </c>
      <c r="AY56" s="360" t="e">
        <f t="shared" si="37"/>
        <v>#VALUE!</v>
      </c>
      <c r="AZ56" s="361" t="e">
        <f t="shared" si="38"/>
        <v>#VALUE!</v>
      </c>
      <c r="BA56" s="361" t="e">
        <f t="shared" si="39"/>
        <v>#VALUE!</v>
      </c>
      <c r="BB56" s="360" t="e">
        <f t="shared" si="40"/>
        <v>#VALUE!</v>
      </c>
      <c r="BC56" s="347"/>
      <c r="BD56" s="347"/>
      <c r="BE56" s="347"/>
    </row>
    <row r="57" spans="1:57" ht="15.75">
      <c r="A57" s="347">
        <f t="shared" si="6"/>
        <v>0</v>
      </c>
      <c r="B57" s="347">
        <f t="shared" si="41"/>
        <v>0</v>
      </c>
      <c r="C57" s="1410"/>
      <c r="D57" s="362"/>
      <c r="E57" s="540"/>
      <c r="F57" s="363"/>
      <c r="G57" s="364"/>
      <c r="H57" s="364"/>
      <c r="I57" s="364"/>
      <c r="J57" s="364"/>
      <c r="K57" s="364"/>
      <c r="L57" s="364"/>
      <c r="M57" s="339">
        <f t="shared" si="7"/>
        <v>-50000</v>
      </c>
      <c r="N57" s="339">
        <f t="shared" si="8"/>
        <v>-75000</v>
      </c>
      <c r="O57" s="365">
        <f t="shared" si="9"/>
        <v>0</v>
      </c>
      <c r="P57" s="365">
        <f t="shared" si="10"/>
        <v>0</v>
      </c>
      <c r="Q57" s="365">
        <f t="shared" si="11"/>
        <v>0</v>
      </c>
      <c r="R57" s="339" t="str">
        <f t="shared" si="42"/>
        <v/>
      </c>
      <c r="S57" s="365" t="str">
        <f t="shared" si="12"/>
        <v/>
      </c>
      <c r="T57" s="366" t="str">
        <f t="shared" si="13"/>
        <v/>
      </c>
      <c r="U57" s="366" t="str">
        <f t="shared" si="14"/>
        <v/>
      </c>
      <c r="V57" s="365">
        <f t="shared" si="15"/>
        <v>0</v>
      </c>
      <c r="W57" s="365">
        <f t="shared" si="16"/>
        <v>0</v>
      </c>
      <c r="X57" s="367">
        <f t="shared" si="17"/>
        <v>0</v>
      </c>
      <c r="Y57" s="367">
        <f t="shared" si="18"/>
        <v>0</v>
      </c>
      <c r="Z57" s="367">
        <f t="shared" si="19"/>
        <v>0</v>
      </c>
      <c r="AA57" s="368" t="str">
        <f t="shared" si="20"/>
        <v/>
      </c>
      <c r="AB57" s="365" t="str">
        <f t="shared" si="43"/>
        <v/>
      </c>
      <c r="AC57" s="366" t="str">
        <f t="shared" si="44"/>
        <v/>
      </c>
      <c r="AD57" s="353" t="str">
        <f t="shared" si="45"/>
        <v/>
      </c>
      <c r="AE57" s="377" t="str">
        <f t="shared" si="46"/>
        <v/>
      </c>
      <c r="AF57" s="369"/>
      <c r="AG57" s="369"/>
      <c r="AH57" s="367">
        <f t="shared" si="21"/>
        <v>0</v>
      </c>
      <c r="AI57" s="367">
        <f t="shared" si="22"/>
        <v>0</v>
      </c>
      <c r="AJ57" s="367">
        <f t="shared" si="23"/>
        <v>0</v>
      </c>
      <c r="AK57" s="367" t="e">
        <f t="shared" si="24"/>
        <v>#VALUE!</v>
      </c>
      <c r="AL57" s="368" t="e">
        <f t="shared" si="25"/>
        <v>#VALUE!</v>
      </c>
      <c r="AM57" s="370">
        <f t="shared" si="26"/>
        <v>0</v>
      </c>
      <c r="AN57" s="358">
        <f t="shared" si="27"/>
        <v>0</v>
      </c>
      <c r="AO57" s="371">
        <f t="shared" si="28"/>
        <v>0</v>
      </c>
      <c r="AP57" s="1429"/>
      <c r="AQ57" s="360">
        <f t="shared" si="29"/>
        <v>0</v>
      </c>
      <c r="AR57" s="360">
        <f t="shared" si="30"/>
        <v>0</v>
      </c>
      <c r="AS57" s="360" t="e">
        <f t="shared" si="31"/>
        <v>#VALUE!</v>
      </c>
      <c r="AT57" s="361" t="e">
        <f t="shared" si="32"/>
        <v>#VALUE!</v>
      </c>
      <c r="AU57" s="361" t="e">
        <f t="shared" si="33"/>
        <v>#VALUE!</v>
      </c>
      <c r="AV57" s="360" t="e">
        <f t="shared" si="34"/>
        <v>#VALUE!</v>
      </c>
      <c r="AW57" s="360">
        <f t="shared" si="35"/>
        <v>0</v>
      </c>
      <c r="AX57" s="360">
        <f t="shared" si="36"/>
        <v>0</v>
      </c>
      <c r="AY57" s="360" t="e">
        <f t="shared" si="37"/>
        <v>#VALUE!</v>
      </c>
      <c r="AZ57" s="361" t="e">
        <f t="shared" si="38"/>
        <v>#VALUE!</v>
      </c>
      <c r="BA57" s="361" t="e">
        <f t="shared" si="39"/>
        <v>#VALUE!</v>
      </c>
      <c r="BB57" s="360" t="e">
        <f t="shared" si="40"/>
        <v>#VALUE!</v>
      </c>
      <c r="BC57" s="347"/>
      <c r="BD57" s="347"/>
      <c r="BE57" s="347"/>
    </row>
    <row r="58" spans="1:57" ht="15.75">
      <c r="A58" s="347">
        <f t="shared" si="6"/>
        <v>0</v>
      </c>
      <c r="B58" s="347">
        <f t="shared" si="41"/>
        <v>0</v>
      </c>
      <c r="C58" s="1410"/>
      <c r="D58" s="362"/>
      <c r="E58" s="540"/>
      <c r="F58" s="363"/>
      <c r="G58" s="364"/>
      <c r="H58" s="364"/>
      <c r="I58" s="364"/>
      <c r="J58" s="364"/>
      <c r="K58" s="364"/>
      <c r="L58" s="364"/>
      <c r="M58" s="339">
        <f t="shared" si="7"/>
        <v>-50000</v>
      </c>
      <c r="N58" s="339">
        <f t="shared" si="8"/>
        <v>-75000</v>
      </c>
      <c r="O58" s="365">
        <f t="shared" si="9"/>
        <v>0</v>
      </c>
      <c r="P58" s="365">
        <f t="shared" si="10"/>
        <v>0</v>
      </c>
      <c r="Q58" s="365">
        <f t="shared" si="11"/>
        <v>0</v>
      </c>
      <c r="R58" s="339" t="str">
        <f t="shared" si="42"/>
        <v/>
      </c>
      <c r="S58" s="365" t="str">
        <f t="shared" si="12"/>
        <v/>
      </c>
      <c r="T58" s="366" t="str">
        <f t="shared" si="13"/>
        <v/>
      </c>
      <c r="U58" s="366" t="str">
        <f t="shared" si="14"/>
        <v/>
      </c>
      <c r="V58" s="365">
        <f t="shared" si="15"/>
        <v>0</v>
      </c>
      <c r="W58" s="365">
        <f t="shared" si="16"/>
        <v>0</v>
      </c>
      <c r="X58" s="367">
        <f t="shared" si="17"/>
        <v>0</v>
      </c>
      <c r="Y58" s="367">
        <f t="shared" si="18"/>
        <v>0</v>
      </c>
      <c r="Z58" s="367">
        <f t="shared" si="19"/>
        <v>0</v>
      </c>
      <c r="AA58" s="368" t="str">
        <f t="shared" si="20"/>
        <v/>
      </c>
      <c r="AB58" s="365" t="str">
        <f t="shared" si="43"/>
        <v/>
      </c>
      <c r="AC58" s="366" t="str">
        <f t="shared" si="44"/>
        <v/>
      </c>
      <c r="AD58" s="353" t="str">
        <f t="shared" si="45"/>
        <v/>
      </c>
      <c r="AE58" s="377" t="str">
        <f t="shared" si="46"/>
        <v/>
      </c>
      <c r="AF58" s="369"/>
      <c r="AG58" s="369"/>
      <c r="AH58" s="367">
        <f t="shared" si="21"/>
        <v>0</v>
      </c>
      <c r="AI58" s="367">
        <f t="shared" si="22"/>
        <v>0</v>
      </c>
      <c r="AJ58" s="367">
        <f t="shared" si="23"/>
        <v>0</v>
      </c>
      <c r="AK58" s="367" t="e">
        <f t="shared" si="24"/>
        <v>#VALUE!</v>
      </c>
      <c r="AL58" s="368" t="e">
        <f t="shared" si="25"/>
        <v>#VALUE!</v>
      </c>
      <c r="AM58" s="370">
        <f t="shared" si="26"/>
        <v>0</v>
      </c>
      <c r="AN58" s="358">
        <f t="shared" si="27"/>
        <v>0</v>
      </c>
      <c r="AO58" s="371">
        <f t="shared" si="28"/>
        <v>0</v>
      </c>
      <c r="AP58" s="1429"/>
      <c r="AQ58" s="360">
        <f t="shared" si="29"/>
        <v>0</v>
      </c>
      <c r="AR58" s="360">
        <f t="shared" si="30"/>
        <v>0</v>
      </c>
      <c r="AS58" s="360" t="e">
        <f t="shared" si="31"/>
        <v>#VALUE!</v>
      </c>
      <c r="AT58" s="361" t="e">
        <f t="shared" si="32"/>
        <v>#VALUE!</v>
      </c>
      <c r="AU58" s="361" t="e">
        <f t="shared" si="33"/>
        <v>#VALUE!</v>
      </c>
      <c r="AV58" s="360" t="e">
        <f t="shared" si="34"/>
        <v>#VALUE!</v>
      </c>
      <c r="AW58" s="360">
        <f t="shared" si="35"/>
        <v>0</v>
      </c>
      <c r="AX58" s="360">
        <f t="shared" si="36"/>
        <v>0</v>
      </c>
      <c r="AY58" s="360" t="e">
        <f t="shared" si="37"/>
        <v>#VALUE!</v>
      </c>
      <c r="AZ58" s="361" t="e">
        <f t="shared" si="38"/>
        <v>#VALUE!</v>
      </c>
      <c r="BA58" s="361" t="e">
        <f t="shared" si="39"/>
        <v>#VALUE!</v>
      </c>
      <c r="BB58" s="360" t="e">
        <f t="shared" si="40"/>
        <v>#VALUE!</v>
      </c>
      <c r="BC58" s="347"/>
      <c r="BD58" s="347"/>
      <c r="BE58" s="347"/>
    </row>
    <row r="59" spans="1:57" ht="15.75">
      <c r="A59" s="347">
        <f t="shared" si="6"/>
        <v>0</v>
      </c>
      <c r="B59" s="347">
        <f t="shared" si="41"/>
        <v>0</v>
      </c>
      <c r="C59" s="1410"/>
      <c r="D59" s="362"/>
      <c r="E59" s="540"/>
      <c r="F59" s="363"/>
      <c r="G59" s="364"/>
      <c r="H59" s="364"/>
      <c r="I59" s="364"/>
      <c r="J59" s="364"/>
      <c r="K59" s="364"/>
      <c r="L59" s="364"/>
      <c r="M59" s="339">
        <f t="shared" si="7"/>
        <v>-50000</v>
      </c>
      <c r="N59" s="339">
        <f t="shared" si="8"/>
        <v>-75000</v>
      </c>
      <c r="O59" s="365">
        <f t="shared" si="9"/>
        <v>0</v>
      </c>
      <c r="P59" s="365">
        <f t="shared" si="10"/>
        <v>0</v>
      </c>
      <c r="Q59" s="365">
        <f t="shared" si="11"/>
        <v>0</v>
      </c>
      <c r="R59" s="339" t="str">
        <f t="shared" si="42"/>
        <v/>
      </c>
      <c r="S59" s="365" t="str">
        <f t="shared" si="12"/>
        <v/>
      </c>
      <c r="T59" s="366" t="str">
        <f t="shared" si="13"/>
        <v/>
      </c>
      <c r="U59" s="366" t="str">
        <f t="shared" si="14"/>
        <v/>
      </c>
      <c r="V59" s="365">
        <f t="shared" si="15"/>
        <v>0</v>
      </c>
      <c r="W59" s="365">
        <f t="shared" si="16"/>
        <v>0</v>
      </c>
      <c r="X59" s="367">
        <f t="shared" si="17"/>
        <v>0</v>
      </c>
      <c r="Y59" s="367">
        <f t="shared" si="18"/>
        <v>0</v>
      </c>
      <c r="Z59" s="367">
        <f t="shared" si="19"/>
        <v>0</v>
      </c>
      <c r="AA59" s="368" t="str">
        <f t="shared" si="20"/>
        <v/>
      </c>
      <c r="AB59" s="365" t="str">
        <f t="shared" si="43"/>
        <v/>
      </c>
      <c r="AC59" s="366" t="str">
        <f t="shared" si="44"/>
        <v/>
      </c>
      <c r="AD59" s="353" t="str">
        <f t="shared" si="45"/>
        <v/>
      </c>
      <c r="AE59" s="377" t="str">
        <f t="shared" si="46"/>
        <v/>
      </c>
      <c r="AF59" s="369"/>
      <c r="AG59" s="369"/>
      <c r="AH59" s="367">
        <f t="shared" si="21"/>
        <v>0</v>
      </c>
      <c r="AI59" s="367">
        <f t="shared" si="22"/>
        <v>0</v>
      </c>
      <c r="AJ59" s="367">
        <f t="shared" si="23"/>
        <v>0</v>
      </c>
      <c r="AK59" s="367" t="e">
        <f t="shared" si="24"/>
        <v>#VALUE!</v>
      </c>
      <c r="AL59" s="368" t="e">
        <f t="shared" si="25"/>
        <v>#VALUE!</v>
      </c>
      <c r="AM59" s="370">
        <f t="shared" si="26"/>
        <v>0</v>
      </c>
      <c r="AN59" s="358">
        <f t="shared" si="27"/>
        <v>0</v>
      </c>
      <c r="AO59" s="371">
        <f t="shared" si="28"/>
        <v>0</v>
      </c>
      <c r="AP59" s="1429"/>
      <c r="AQ59" s="360">
        <f t="shared" si="29"/>
        <v>0</v>
      </c>
      <c r="AR59" s="360">
        <f t="shared" si="30"/>
        <v>0</v>
      </c>
      <c r="AS59" s="360" t="e">
        <f t="shared" si="31"/>
        <v>#VALUE!</v>
      </c>
      <c r="AT59" s="361" t="e">
        <f t="shared" si="32"/>
        <v>#VALUE!</v>
      </c>
      <c r="AU59" s="361" t="e">
        <f t="shared" si="33"/>
        <v>#VALUE!</v>
      </c>
      <c r="AV59" s="360" t="e">
        <f t="shared" si="34"/>
        <v>#VALUE!</v>
      </c>
      <c r="AW59" s="360">
        <f t="shared" si="35"/>
        <v>0</v>
      </c>
      <c r="AX59" s="360">
        <f t="shared" si="36"/>
        <v>0</v>
      </c>
      <c r="AY59" s="360" t="e">
        <f t="shared" si="37"/>
        <v>#VALUE!</v>
      </c>
      <c r="AZ59" s="361" t="e">
        <f t="shared" si="38"/>
        <v>#VALUE!</v>
      </c>
      <c r="BA59" s="361" t="e">
        <f t="shared" si="39"/>
        <v>#VALUE!</v>
      </c>
      <c r="BB59" s="360" t="e">
        <f t="shared" si="40"/>
        <v>#VALUE!</v>
      </c>
      <c r="BC59" s="347"/>
      <c r="BD59" s="347"/>
      <c r="BE59" s="347"/>
    </row>
    <row r="60" spans="1:57" ht="15.75">
      <c r="A60" s="347">
        <f t="shared" si="6"/>
        <v>0</v>
      </c>
      <c r="B60" s="347">
        <f t="shared" si="41"/>
        <v>0</v>
      </c>
      <c r="C60" s="1410"/>
      <c r="D60" s="362"/>
      <c r="E60" s="540"/>
      <c r="F60" s="363"/>
      <c r="G60" s="364"/>
      <c r="H60" s="364"/>
      <c r="I60" s="364"/>
      <c r="J60" s="364"/>
      <c r="K60" s="364"/>
      <c r="L60" s="364"/>
      <c r="M60" s="339">
        <f t="shared" si="7"/>
        <v>-50000</v>
      </c>
      <c r="N60" s="339">
        <f t="shared" si="8"/>
        <v>-75000</v>
      </c>
      <c r="O60" s="365">
        <f t="shared" si="9"/>
        <v>0</v>
      </c>
      <c r="P60" s="365">
        <f t="shared" si="10"/>
        <v>0</v>
      </c>
      <c r="Q60" s="365">
        <f t="shared" si="11"/>
        <v>0</v>
      </c>
      <c r="R60" s="339" t="str">
        <f t="shared" si="42"/>
        <v/>
      </c>
      <c r="S60" s="365" t="str">
        <f t="shared" si="12"/>
        <v/>
      </c>
      <c r="T60" s="366" t="str">
        <f t="shared" si="13"/>
        <v/>
      </c>
      <c r="U60" s="366" t="str">
        <f t="shared" si="14"/>
        <v/>
      </c>
      <c r="V60" s="365">
        <f t="shared" si="15"/>
        <v>0</v>
      </c>
      <c r="W60" s="365">
        <f t="shared" si="16"/>
        <v>0</v>
      </c>
      <c r="X60" s="367">
        <f t="shared" si="17"/>
        <v>0</v>
      </c>
      <c r="Y60" s="367">
        <f t="shared" si="18"/>
        <v>0</v>
      </c>
      <c r="Z60" s="367">
        <f t="shared" si="19"/>
        <v>0</v>
      </c>
      <c r="AA60" s="368" t="str">
        <f t="shared" si="20"/>
        <v/>
      </c>
      <c r="AB60" s="365" t="str">
        <f t="shared" si="43"/>
        <v/>
      </c>
      <c r="AC60" s="366" t="str">
        <f t="shared" si="44"/>
        <v/>
      </c>
      <c r="AD60" s="353" t="str">
        <f t="shared" si="45"/>
        <v/>
      </c>
      <c r="AE60" s="377" t="str">
        <f t="shared" si="46"/>
        <v/>
      </c>
      <c r="AF60" s="369"/>
      <c r="AG60" s="369"/>
      <c r="AH60" s="367">
        <f t="shared" si="21"/>
        <v>0</v>
      </c>
      <c r="AI60" s="367">
        <f t="shared" si="22"/>
        <v>0</v>
      </c>
      <c r="AJ60" s="367">
        <f t="shared" si="23"/>
        <v>0</v>
      </c>
      <c r="AK60" s="367" t="e">
        <f t="shared" si="24"/>
        <v>#VALUE!</v>
      </c>
      <c r="AL60" s="368" t="e">
        <f t="shared" si="25"/>
        <v>#VALUE!</v>
      </c>
      <c r="AM60" s="370">
        <f t="shared" si="26"/>
        <v>0</v>
      </c>
      <c r="AN60" s="358">
        <f t="shared" si="27"/>
        <v>0</v>
      </c>
      <c r="AO60" s="371">
        <f t="shared" si="28"/>
        <v>0</v>
      </c>
      <c r="AP60" s="1429"/>
      <c r="AQ60" s="360">
        <f t="shared" si="29"/>
        <v>0</v>
      </c>
      <c r="AR60" s="360">
        <f t="shared" si="30"/>
        <v>0</v>
      </c>
      <c r="AS60" s="360" t="e">
        <f t="shared" si="31"/>
        <v>#VALUE!</v>
      </c>
      <c r="AT60" s="361" t="e">
        <f t="shared" si="32"/>
        <v>#VALUE!</v>
      </c>
      <c r="AU60" s="361" t="e">
        <f t="shared" si="33"/>
        <v>#VALUE!</v>
      </c>
      <c r="AV60" s="360" t="e">
        <f t="shared" si="34"/>
        <v>#VALUE!</v>
      </c>
      <c r="AW60" s="360">
        <f t="shared" si="35"/>
        <v>0</v>
      </c>
      <c r="AX60" s="360">
        <f t="shared" si="36"/>
        <v>0</v>
      </c>
      <c r="AY60" s="360" t="e">
        <f t="shared" si="37"/>
        <v>#VALUE!</v>
      </c>
      <c r="AZ60" s="361" t="e">
        <f t="shared" si="38"/>
        <v>#VALUE!</v>
      </c>
      <c r="BA60" s="361" t="e">
        <f t="shared" si="39"/>
        <v>#VALUE!</v>
      </c>
      <c r="BB60" s="360" t="e">
        <f t="shared" si="40"/>
        <v>#VALUE!</v>
      </c>
      <c r="BC60" s="347"/>
      <c r="BD60" s="347"/>
      <c r="BE60" s="347"/>
    </row>
    <row r="61" spans="1:57" ht="15.75">
      <c r="A61" s="347">
        <f t="shared" si="6"/>
        <v>0</v>
      </c>
      <c r="B61" s="347">
        <f t="shared" si="41"/>
        <v>0</v>
      </c>
      <c r="C61" s="1410"/>
      <c r="D61" s="362"/>
      <c r="E61" s="540"/>
      <c r="F61" s="363"/>
      <c r="G61" s="364"/>
      <c r="H61" s="364"/>
      <c r="I61" s="364"/>
      <c r="J61" s="364"/>
      <c r="K61" s="364"/>
      <c r="L61" s="364"/>
      <c r="M61" s="339">
        <f t="shared" si="7"/>
        <v>-50000</v>
      </c>
      <c r="N61" s="339">
        <f t="shared" si="8"/>
        <v>-75000</v>
      </c>
      <c r="O61" s="365">
        <f t="shared" si="9"/>
        <v>0</v>
      </c>
      <c r="P61" s="365">
        <f t="shared" si="10"/>
        <v>0</v>
      </c>
      <c r="Q61" s="365">
        <f t="shared" si="11"/>
        <v>0</v>
      </c>
      <c r="R61" s="339" t="str">
        <f t="shared" si="42"/>
        <v/>
      </c>
      <c r="S61" s="365" t="str">
        <f t="shared" si="12"/>
        <v/>
      </c>
      <c r="T61" s="366" t="str">
        <f t="shared" si="13"/>
        <v/>
      </c>
      <c r="U61" s="366" t="str">
        <f t="shared" si="14"/>
        <v/>
      </c>
      <c r="V61" s="365">
        <f t="shared" si="15"/>
        <v>0</v>
      </c>
      <c r="W61" s="365">
        <f t="shared" si="16"/>
        <v>0</v>
      </c>
      <c r="X61" s="367">
        <f t="shared" si="17"/>
        <v>0</v>
      </c>
      <c r="Y61" s="367">
        <f t="shared" si="18"/>
        <v>0</v>
      </c>
      <c r="Z61" s="367">
        <f t="shared" si="19"/>
        <v>0</v>
      </c>
      <c r="AA61" s="368" t="str">
        <f t="shared" si="20"/>
        <v/>
      </c>
      <c r="AB61" s="365" t="str">
        <f t="shared" si="43"/>
        <v/>
      </c>
      <c r="AC61" s="366" t="str">
        <f t="shared" si="44"/>
        <v/>
      </c>
      <c r="AD61" s="353" t="str">
        <f t="shared" si="45"/>
        <v/>
      </c>
      <c r="AE61" s="377" t="str">
        <f t="shared" si="46"/>
        <v/>
      </c>
      <c r="AF61" s="369"/>
      <c r="AG61" s="369"/>
      <c r="AH61" s="367">
        <f t="shared" si="21"/>
        <v>0</v>
      </c>
      <c r="AI61" s="367">
        <f t="shared" si="22"/>
        <v>0</v>
      </c>
      <c r="AJ61" s="367">
        <f t="shared" si="23"/>
        <v>0</v>
      </c>
      <c r="AK61" s="367" t="e">
        <f t="shared" si="24"/>
        <v>#VALUE!</v>
      </c>
      <c r="AL61" s="368" t="e">
        <f t="shared" si="25"/>
        <v>#VALUE!</v>
      </c>
      <c r="AM61" s="370">
        <f t="shared" si="26"/>
        <v>0</v>
      </c>
      <c r="AN61" s="358">
        <f t="shared" si="27"/>
        <v>0</v>
      </c>
      <c r="AO61" s="371">
        <f t="shared" si="28"/>
        <v>0</v>
      </c>
      <c r="AP61" s="1429"/>
      <c r="AQ61" s="360">
        <f t="shared" si="29"/>
        <v>0</v>
      </c>
      <c r="AR61" s="360">
        <f t="shared" si="30"/>
        <v>0</v>
      </c>
      <c r="AS61" s="360" t="e">
        <f t="shared" si="31"/>
        <v>#VALUE!</v>
      </c>
      <c r="AT61" s="361" t="e">
        <f t="shared" si="32"/>
        <v>#VALUE!</v>
      </c>
      <c r="AU61" s="361" t="e">
        <f t="shared" si="33"/>
        <v>#VALUE!</v>
      </c>
      <c r="AV61" s="360" t="e">
        <f t="shared" si="34"/>
        <v>#VALUE!</v>
      </c>
      <c r="AW61" s="360">
        <f t="shared" si="35"/>
        <v>0</v>
      </c>
      <c r="AX61" s="360">
        <f t="shared" si="36"/>
        <v>0</v>
      </c>
      <c r="AY61" s="360" t="e">
        <f t="shared" si="37"/>
        <v>#VALUE!</v>
      </c>
      <c r="AZ61" s="361" t="e">
        <f t="shared" si="38"/>
        <v>#VALUE!</v>
      </c>
      <c r="BA61" s="361" t="e">
        <f t="shared" si="39"/>
        <v>#VALUE!</v>
      </c>
      <c r="BB61" s="360" t="e">
        <f t="shared" si="40"/>
        <v>#VALUE!</v>
      </c>
      <c r="BC61" s="347"/>
      <c r="BD61" s="347"/>
      <c r="BE61" s="347"/>
    </row>
    <row r="62" spans="1:57" ht="15.75">
      <c r="A62" s="347">
        <f t="shared" si="6"/>
        <v>0</v>
      </c>
      <c r="B62" s="347">
        <f t="shared" si="41"/>
        <v>0</v>
      </c>
      <c r="C62" s="1410"/>
      <c r="D62" s="362"/>
      <c r="E62" s="540"/>
      <c r="F62" s="363"/>
      <c r="G62" s="364"/>
      <c r="H62" s="364"/>
      <c r="I62" s="364"/>
      <c r="J62" s="364"/>
      <c r="K62" s="364"/>
      <c r="L62" s="364"/>
      <c r="M62" s="339">
        <f t="shared" si="7"/>
        <v>-50000</v>
      </c>
      <c r="N62" s="339">
        <f t="shared" si="8"/>
        <v>-75000</v>
      </c>
      <c r="O62" s="365">
        <f t="shared" si="9"/>
        <v>0</v>
      </c>
      <c r="P62" s="365">
        <f t="shared" si="10"/>
        <v>0</v>
      </c>
      <c r="Q62" s="365">
        <f t="shared" si="11"/>
        <v>0</v>
      </c>
      <c r="R62" s="339" t="str">
        <f t="shared" si="42"/>
        <v/>
      </c>
      <c r="S62" s="365" t="str">
        <f t="shared" si="12"/>
        <v/>
      </c>
      <c r="T62" s="366" t="str">
        <f t="shared" si="13"/>
        <v/>
      </c>
      <c r="U62" s="366" t="str">
        <f t="shared" si="14"/>
        <v/>
      </c>
      <c r="V62" s="365">
        <f t="shared" si="15"/>
        <v>0</v>
      </c>
      <c r="W62" s="365">
        <f t="shared" si="16"/>
        <v>0</v>
      </c>
      <c r="X62" s="367">
        <f t="shared" si="17"/>
        <v>0</v>
      </c>
      <c r="Y62" s="367">
        <f t="shared" si="18"/>
        <v>0</v>
      </c>
      <c r="Z62" s="367">
        <f t="shared" si="19"/>
        <v>0</v>
      </c>
      <c r="AA62" s="368" t="str">
        <f t="shared" si="20"/>
        <v/>
      </c>
      <c r="AB62" s="365" t="str">
        <f t="shared" si="43"/>
        <v/>
      </c>
      <c r="AC62" s="366" t="str">
        <f t="shared" si="44"/>
        <v/>
      </c>
      <c r="AD62" s="353" t="str">
        <f t="shared" si="45"/>
        <v/>
      </c>
      <c r="AE62" s="377" t="str">
        <f t="shared" si="46"/>
        <v/>
      </c>
      <c r="AF62" s="369"/>
      <c r="AG62" s="369"/>
      <c r="AH62" s="367">
        <f t="shared" si="21"/>
        <v>0</v>
      </c>
      <c r="AI62" s="367">
        <f t="shared" si="22"/>
        <v>0</v>
      </c>
      <c r="AJ62" s="367">
        <f t="shared" si="23"/>
        <v>0</v>
      </c>
      <c r="AK62" s="367" t="e">
        <f t="shared" si="24"/>
        <v>#VALUE!</v>
      </c>
      <c r="AL62" s="368" t="e">
        <f t="shared" si="25"/>
        <v>#VALUE!</v>
      </c>
      <c r="AM62" s="370">
        <f t="shared" si="26"/>
        <v>0</v>
      </c>
      <c r="AN62" s="358">
        <f t="shared" si="27"/>
        <v>0</v>
      </c>
      <c r="AO62" s="371">
        <f t="shared" si="28"/>
        <v>0</v>
      </c>
      <c r="AP62" s="1429"/>
      <c r="AQ62" s="360">
        <f t="shared" si="29"/>
        <v>0</v>
      </c>
      <c r="AR62" s="360">
        <f t="shared" si="30"/>
        <v>0</v>
      </c>
      <c r="AS62" s="360" t="e">
        <f t="shared" si="31"/>
        <v>#VALUE!</v>
      </c>
      <c r="AT62" s="361" t="e">
        <f t="shared" si="32"/>
        <v>#VALUE!</v>
      </c>
      <c r="AU62" s="361" t="e">
        <f t="shared" si="33"/>
        <v>#VALUE!</v>
      </c>
      <c r="AV62" s="360" t="e">
        <f t="shared" si="34"/>
        <v>#VALUE!</v>
      </c>
      <c r="AW62" s="360">
        <f t="shared" si="35"/>
        <v>0</v>
      </c>
      <c r="AX62" s="360">
        <f t="shared" si="36"/>
        <v>0</v>
      </c>
      <c r="AY62" s="360" t="e">
        <f t="shared" si="37"/>
        <v>#VALUE!</v>
      </c>
      <c r="AZ62" s="361" t="e">
        <f t="shared" si="38"/>
        <v>#VALUE!</v>
      </c>
      <c r="BA62" s="361" t="e">
        <f t="shared" si="39"/>
        <v>#VALUE!</v>
      </c>
      <c r="BB62" s="360" t="e">
        <f t="shared" si="40"/>
        <v>#VALUE!</v>
      </c>
      <c r="BC62" s="347"/>
      <c r="BD62" s="347"/>
      <c r="BE62" s="347"/>
    </row>
    <row r="63" spans="1:57" ht="15.75">
      <c r="A63" s="347">
        <f t="shared" si="6"/>
        <v>0</v>
      </c>
      <c r="B63" s="347">
        <f t="shared" si="41"/>
        <v>0</v>
      </c>
      <c r="C63" s="1410"/>
      <c r="D63" s="362"/>
      <c r="E63" s="540"/>
      <c r="F63" s="363"/>
      <c r="G63" s="364"/>
      <c r="H63" s="364"/>
      <c r="I63" s="364"/>
      <c r="J63" s="364"/>
      <c r="K63" s="364"/>
      <c r="L63" s="364"/>
      <c r="M63" s="339">
        <f t="shared" si="7"/>
        <v>-50000</v>
      </c>
      <c r="N63" s="339">
        <f t="shared" si="8"/>
        <v>-75000</v>
      </c>
      <c r="O63" s="365">
        <f t="shared" si="9"/>
        <v>0</v>
      </c>
      <c r="P63" s="365">
        <f t="shared" si="10"/>
        <v>0</v>
      </c>
      <c r="Q63" s="365">
        <f t="shared" si="11"/>
        <v>0</v>
      </c>
      <c r="R63" s="339" t="str">
        <f t="shared" si="42"/>
        <v/>
      </c>
      <c r="S63" s="365" t="str">
        <f t="shared" si="12"/>
        <v/>
      </c>
      <c r="T63" s="366" t="str">
        <f t="shared" si="13"/>
        <v/>
      </c>
      <c r="U63" s="366" t="str">
        <f t="shared" si="14"/>
        <v/>
      </c>
      <c r="V63" s="365">
        <f t="shared" si="15"/>
        <v>0</v>
      </c>
      <c r="W63" s="365">
        <f t="shared" si="16"/>
        <v>0</v>
      </c>
      <c r="X63" s="367">
        <f t="shared" si="17"/>
        <v>0</v>
      </c>
      <c r="Y63" s="367">
        <f t="shared" si="18"/>
        <v>0</v>
      </c>
      <c r="Z63" s="367">
        <f t="shared" si="19"/>
        <v>0</v>
      </c>
      <c r="AA63" s="368" t="str">
        <f t="shared" si="20"/>
        <v/>
      </c>
      <c r="AB63" s="365" t="str">
        <f t="shared" si="43"/>
        <v/>
      </c>
      <c r="AC63" s="366" t="str">
        <f t="shared" si="44"/>
        <v/>
      </c>
      <c r="AD63" s="353" t="str">
        <f t="shared" si="45"/>
        <v/>
      </c>
      <c r="AE63" s="377" t="str">
        <f t="shared" si="46"/>
        <v/>
      </c>
      <c r="AF63" s="369"/>
      <c r="AG63" s="369"/>
      <c r="AH63" s="367">
        <f t="shared" si="21"/>
        <v>0</v>
      </c>
      <c r="AI63" s="367">
        <f t="shared" si="22"/>
        <v>0</v>
      </c>
      <c r="AJ63" s="367">
        <f t="shared" si="23"/>
        <v>0</v>
      </c>
      <c r="AK63" s="367" t="e">
        <f t="shared" si="24"/>
        <v>#VALUE!</v>
      </c>
      <c r="AL63" s="368" t="e">
        <f t="shared" si="25"/>
        <v>#VALUE!</v>
      </c>
      <c r="AM63" s="370">
        <f t="shared" si="26"/>
        <v>0</v>
      </c>
      <c r="AN63" s="358">
        <f t="shared" si="27"/>
        <v>0</v>
      </c>
      <c r="AO63" s="371">
        <f t="shared" si="28"/>
        <v>0</v>
      </c>
      <c r="AP63" s="1429"/>
      <c r="AQ63" s="360">
        <f t="shared" si="29"/>
        <v>0</v>
      </c>
      <c r="AR63" s="360">
        <f t="shared" si="30"/>
        <v>0</v>
      </c>
      <c r="AS63" s="360" t="e">
        <f t="shared" si="31"/>
        <v>#VALUE!</v>
      </c>
      <c r="AT63" s="361" t="e">
        <f t="shared" si="32"/>
        <v>#VALUE!</v>
      </c>
      <c r="AU63" s="361" t="e">
        <f t="shared" si="33"/>
        <v>#VALUE!</v>
      </c>
      <c r="AV63" s="360" t="e">
        <f t="shared" si="34"/>
        <v>#VALUE!</v>
      </c>
      <c r="AW63" s="360">
        <f t="shared" si="35"/>
        <v>0</v>
      </c>
      <c r="AX63" s="360">
        <f t="shared" si="36"/>
        <v>0</v>
      </c>
      <c r="AY63" s="360" t="e">
        <f t="shared" si="37"/>
        <v>#VALUE!</v>
      </c>
      <c r="AZ63" s="361" t="e">
        <f t="shared" si="38"/>
        <v>#VALUE!</v>
      </c>
      <c r="BA63" s="361" t="e">
        <f t="shared" si="39"/>
        <v>#VALUE!</v>
      </c>
      <c r="BB63" s="360" t="e">
        <f t="shared" si="40"/>
        <v>#VALUE!</v>
      </c>
      <c r="BC63" s="347"/>
      <c r="BD63" s="347"/>
      <c r="BE63" s="347"/>
    </row>
    <row r="64" spans="1:57" ht="15.75">
      <c r="A64" s="347">
        <f t="shared" si="6"/>
        <v>0</v>
      </c>
      <c r="B64" s="347">
        <f t="shared" si="41"/>
        <v>0</v>
      </c>
      <c r="C64" s="1410"/>
      <c r="D64" s="362"/>
      <c r="E64" s="540"/>
      <c r="F64" s="363"/>
      <c r="G64" s="364"/>
      <c r="H64" s="364"/>
      <c r="I64" s="364"/>
      <c r="J64" s="364"/>
      <c r="K64" s="364"/>
      <c r="L64" s="364"/>
      <c r="M64" s="339">
        <f t="shared" si="7"/>
        <v>-50000</v>
      </c>
      <c r="N64" s="339">
        <f t="shared" si="8"/>
        <v>-75000</v>
      </c>
      <c r="O64" s="365">
        <f t="shared" si="9"/>
        <v>0</v>
      </c>
      <c r="P64" s="365">
        <f t="shared" si="10"/>
        <v>0</v>
      </c>
      <c r="Q64" s="365">
        <f t="shared" si="11"/>
        <v>0</v>
      </c>
      <c r="R64" s="339" t="str">
        <f t="shared" si="42"/>
        <v/>
      </c>
      <c r="S64" s="365" t="str">
        <f t="shared" si="12"/>
        <v/>
      </c>
      <c r="T64" s="366" t="str">
        <f t="shared" si="13"/>
        <v/>
      </c>
      <c r="U64" s="366" t="str">
        <f t="shared" si="14"/>
        <v/>
      </c>
      <c r="V64" s="365">
        <f t="shared" si="15"/>
        <v>0</v>
      </c>
      <c r="W64" s="365">
        <f t="shared" si="16"/>
        <v>0</v>
      </c>
      <c r="X64" s="367">
        <f t="shared" si="17"/>
        <v>0</v>
      </c>
      <c r="Y64" s="367">
        <f t="shared" si="18"/>
        <v>0</v>
      </c>
      <c r="Z64" s="367">
        <f t="shared" si="19"/>
        <v>0</v>
      </c>
      <c r="AA64" s="368" t="str">
        <f t="shared" si="20"/>
        <v/>
      </c>
      <c r="AB64" s="365" t="str">
        <f t="shared" si="43"/>
        <v/>
      </c>
      <c r="AC64" s="366" t="str">
        <f t="shared" si="44"/>
        <v/>
      </c>
      <c r="AD64" s="353" t="str">
        <f t="shared" si="45"/>
        <v/>
      </c>
      <c r="AE64" s="377" t="str">
        <f t="shared" si="46"/>
        <v/>
      </c>
      <c r="AF64" s="369"/>
      <c r="AG64" s="369"/>
      <c r="AH64" s="367">
        <f t="shared" si="21"/>
        <v>0</v>
      </c>
      <c r="AI64" s="367">
        <f t="shared" si="22"/>
        <v>0</v>
      </c>
      <c r="AJ64" s="367">
        <f t="shared" si="23"/>
        <v>0</v>
      </c>
      <c r="AK64" s="367" t="e">
        <f t="shared" si="24"/>
        <v>#VALUE!</v>
      </c>
      <c r="AL64" s="368" t="e">
        <f t="shared" si="25"/>
        <v>#VALUE!</v>
      </c>
      <c r="AM64" s="370">
        <f t="shared" si="26"/>
        <v>0</v>
      </c>
      <c r="AN64" s="358">
        <f t="shared" si="27"/>
        <v>0</v>
      </c>
      <c r="AO64" s="371">
        <f t="shared" si="28"/>
        <v>0</v>
      </c>
      <c r="AP64" s="1429"/>
      <c r="AQ64" s="360">
        <f t="shared" si="29"/>
        <v>0</v>
      </c>
      <c r="AR64" s="360">
        <f t="shared" si="30"/>
        <v>0</v>
      </c>
      <c r="AS64" s="360" t="e">
        <f t="shared" si="31"/>
        <v>#VALUE!</v>
      </c>
      <c r="AT64" s="361" t="e">
        <f t="shared" si="32"/>
        <v>#VALUE!</v>
      </c>
      <c r="AU64" s="361" t="e">
        <f t="shared" si="33"/>
        <v>#VALUE!</v>
      </c>
      <c r="AV64" s="360" t="e">
        <f t="shared" si="34"/>
        <v>#VALUE!</v>
      </c>
      <c r="AW64" s="360">
        <f t="shared" si="35"/>
        <v>0</v>
      </c>
      <c r="AX64" s="360">
        <f t="shared" si="36"/>
        <v>0</v>
      </c>
      <c r="AY64" s="360" t="e">
        <f t="shared" si="37"/>
        <v>#VALUE!</v>
      </c>
      <c r="AZ64" s="361" t="e">
        <f t="shared" si="38"/>
        <v>#VALUE!</v>
      </c>
      <c r="BA64" s="361" t="e">
        <f t="shared" si="39"/>
        <v>#VALUE!</v>
      </c>
      <c r="BB64" s="360" t="e">
        <f t="shared" si="40"/>
        <v>#VALUE!</v>
      </c>
      <c r="BC64" s="347"/>
      <c r="BD64" s="347"/>
      <c r="BE64" s="347"/>
    </row>
    <row r="65" spans="1:57" ht="15.75">
      <c r="A65" s="347">
        <f t="shared" si="6"/>
        <v>0</v>
      </c>
      <c r="B65" s="347">
        <f t="shared" si="41"/>
        <v>0</v>
      </c>
      <c r="C65" s="1410"/>
      <c r="D65" s="362"/>
      <c r="E65" s="540"/>
      <c r="F65" s="363"/>
      <c r="G65" s="364"/>
      <c r="H65" s="364"/>
      <c r="I65" s="364"/>
      <c r="J65" s="364"/>
      <c r="K65" s="364"/>
      <c r="L65" s="364"/>
      <c r="M65" s="339">
        <f t="shared" si="7"/>
        <v>-50000</v>
      </c>
      <c r="N65" s="339">
        <f t="shared" si="8"/>
        <v>-75000</v>
      </c>
      <c r="O65" s="365">
        <f t="shared" si="9"/>
        <v>0</v>
      </c>
      <c r="P65" s="365">
        <f t="shared" si="10"/>
        <v>0</v>
      </c>
      <c r="Q65" s="365">
        <f t="shared" si="11"/>
        <v>0</v>
      </c>
      <c r="R65" s="339" t="str">
        <f t="shared" si="42"/>
        <v/>
      </c>
      <c r="S65" s="365" t="str">
        <f t="shared" si="12"/>
        <v/>
      </c>
      <c r="T65" s="366" t="str">
        <f t="shared" si="13"/>
        <v/>
      </c>
      <c r="U65" s="366" t="str">
        <f t="shared" si="14"/>
        <v/>
      </c>
      <c r="V65" s="365">
        <f t="shared" si="15"/>
        <v>0</v>
      </c>
      <c r="W65" s="365">
        <f t="shared" si="16"/>
        <v>0</v>
      </c>
      <c r="X65" s="367">
        <f t="shared" si="17"/>
        <v>0</v>
      </c>
      <c r="Y65" s="367">
        <f t="shared" si="18"/>
        <v>0</v>
      </c>
      <c r="Z65" s="367">
        <f t="shared" si="19"/>
        <v>0</v>
      </c>
      <c r="AA65" s="368" t="str">
        <f t="shared" si="20"/>
        <v/>
      </c>
      <c r="AB65" s="365" t="str">
        <f t="shared" si="43"/>
        <v/>
      </c>
      <c r="AC65" s="366" t="str">
        <f t="shared" si="44"/>
        <v/>
      </c>
      <c r="AD65" s="353" t="str">
        <f t="shared" si="45"/>
        <v/>
      </c>
      <c r="AE65" s="377" t="str">
        <f t="shared" si="46"/>
        <v/>
      </c>
      <c r="AF65" s="369"/>
      <c r="AG65" s="369"/>
      <c r="AH65" s="367">
        <f t="shared" si="21"/>
        <v>0</v>
      </c>
      <c r="AI65" s="367">
        <f t="shared" si="22"/>
        <v>0</v>
      </c>
      <c r="AJ65" s="367">
        <f t="shared" si="23"/>
        <v>0</v>
      </c>
      <c r="AK65" s="367" t="e">
        <f t="shared" si="24"/>
        <v>#VALUE!</v>
      </c>
      <c r="AL65" s="368" t="e">
        <f t="shared" si="25"/>
        <v>#VALUE!</v>
      </c>
      <c r="AM65" s="370">
        <f t="shared" si="26"/>
        <v>0</v>
      </c>
      <c r="AN65" s="358">
        <f t="shared" si="27"/>
        <v>0</v>
      </c>
      <c r="AO65" s="371">
        <f t="shared" si="28"/>
        <v>0</v>
      </c>
      <c r="AP65" s="1429"/>
      <c r="AQ65" s="360">
        <f t="shared" si="29"/>
        <v>0</v>
      </c>
      <c r="AR65" s="360">
        <f t="shared" si="30"/>
        <v>0</v>
      </c>
      <c r="AS65" s="360" t="e">
        <f t="shared" si="31"/>
        <v>#VALUE!</v>
      </c>
      <c r="AT65" s="361" t="e">
        <f t="shared" si="32"/>
        <v>#VALUE!</v>
      </c>
      <c r="AU65" s="361" t="e">
        <f t="shared" si="33"/>
        <v>#VALUE!</v>
      </c>
      <c r="AV65" s="360" t="e">
        <f t="shared" si="34"/>
        <v>#VALUE!</v>
      </c>
      <c r="AW65" s="360">
        <f t="shared" si="35"/>
        <v>0</v>
      </c>
      <c r="AX65" s="360">
        <f t="shared" si="36"/>
        <v>0</v>
      </c>
      <c r="AY65" s="360" t="e">
        <f t="shared" si="37"/>
        <v>#VALUE!</v>
      </c>
      <c r="AZ65" s="361" t="e">
        <f t="shared" si="38"/>
        <v>#VALUE!</v>
      </c>
      <c r="BA65" s="361" t="e">
        <f t="shared" si="39"/>
        <v>#VALUE!</v>
      </c>
      <c r="BB65" s="360" t="e">
        <f t="shared" si="40"/>
        <v>#VALUE!</v>
      </c>
      <c r="BC65" s="347"/>
      <c r="BD65" s="347"/>
      <c r="BE65" s="347"/>
    </row>
    <row r="66" spans="1:57" ht="15.75">
      <c r="A66" s="347">
        <f t="shared" si="6"/>
        <v>0</v>
      </c>
      <c r="B66" s="347">
        <f t="shared" si="41"/>
        <v>0</v>
      </c>
      <c r="C66" s="1410"/>
      <c r="D66" s="362"/>
      <c r="E66" s="540"/>
      <c r="F66" s="363"/>
      <c r="G66" s="364"/>
      <c r="H66" s="364"/>
      <c r="I66" s="364"/>
      <c r="J66" s="364"/>
      <c r="K66" s="364"/>
      <c r="L66" s="364"/>
      <c r="M66" s="339">
        <f t="shared" si="7"/>
        <v>-50000</v>
      </c>
      <c r="N66" s="339">
        <f t="shared" si="8"/>
        <v>-75000</v>
      </c>
      <c r="O66" s="365">
        <f t="shared" si="9"/>
        <v>0</v>
      </c>
      <c r="P66" s="365">
        <f t="shared" si="10"/>
        <v>0</v>
      </c>
      <c r="Q66" s="365">
        <f t="shared" si="11"/>
        <v>0</v>
      </c>
      <c r="R66" s="339" t="str">
        <f t="shared" si="42"/>
        <v/>
      </c>
      <c r="S66" s="365" t="str">
        <f t="shared" si="12"/>
        <v/>
      </c>
      <c r="T66" s="366" t="str">
        <f t="shared" si="13"/>
        <v/>
      </c>
      <c r="U66" s="366" t="str">
        <f t="shared" si="14"/>
        <v/>
      </c>
      <c r="V66" s="365">
        <f t="shared" si="15"/>
        <v>0</v>
      </c>
      <c r="W66" s="365">
        <f t="shared" si="16"/>
        <v>0</v>
      </c>
      <c r="X66" s="367">
        <f t="shared" si="17"/>
        <v>0</v>
      </c>
      <c r="Y66" s="367">
        <f t="shared" si="18"/>
        <v>0</v>
      </c>
      <c r="Z66" s="367">
        <f t="shared" si="19"/>
        <v>0</v>
      </c>
      <c r="AA66" s="368" t="str">
        <f t="shared" si="20"/>
        <v/>
      </c>
      <c r="AB66" s="365" t="str">
        <f t="shared" si="43"/>
        <v/>
      </c>
      <c r="AC66" s="366" t="str">
        <f t="shared" si="44"/>
        <v/>
      </c>
      <c r="AD66" s="353" t="str">
        <f t="shared" si="45"/>
        <v/>
      </c>
      <c r="AE66" s="377" t="str">
        <f t="shared" si="46"/>
        <v/>
      </c>
      <c r="AF66" s="369"/>
      <c r="AG66" s="369"/>
      <c r="AH66" s="367">
        <f t="shared" si="21"/>
        <v>0</v>
      </c>
      <c r="AI66" s="367">
        <f t="shared" si="22"/>
        <v>0</v>
      </c>
      <c r="AJ66" s="367">
        <f t="shared" si="23"/>
        <v>0</v>
      </c>
      <c r="AK66" s="367" t="e">
        <f t="shared" si="24"/>
        <v>#VALUE!</v>
      </c>
      <c r="AL66" s="368" t="e">
        <f t="shared" si="25"/>
        <v>#VALUE!</v>
      </c>
      <c r="AM66" s="370">
        <f t="shared" si="26"/>
        <v>0</v>
      </c>
      <c r="AN66" s="358">
        <f t="shared" si="27"/>
        <v>0</v>
      </c>
      <c r="AO66" s="371">
        <f t="shared" si="28"/>
        <v>0</v>
      </c>
      <c r="AP66" s="1429"/>
      <c r="AQ66" s="360">
        <f t="shared" si="29"/>
        <v>0</v>
      </c>
      <c r="AR66" s="360">
        <f t="shared" si="30"/>
        <v>0</v>
      </c>
      <c r="AS66" s="360" t="e">
        <f t="shared" si="31"/>
        <v>#VALUE!</v>
      </c>
      <c r="AT66" s="361" t="e">
        <f t="shared" si="32"/>
        <v>#VALUE!</v>
      </c>
      <c r="AU66" s="361" t="e">
        <f t="shared" si="33"/>
        <v>#VALUE!</v>
      </c>
      <c r="AV66" s="360" t="e">
        <f t="shared" si="34"/>
        <v>#VALUE!</v>
      </c>
      <c r="AW66" s="360">
        <f t="shared" si="35"/>
        <v>0</v>
      </c>
      <c r="AX66" s="360">
        <f t="shared" si="36"/>
        <v>0</v>
      </c>
      <c r="AY66" s="360" t="e">
        <f t="shared" si="37"/>
        <v>#VALUE!</v>
      </c>
      <c r="AZ66" s="361" t="e">
        <f t="shared" si="38"/>
        <v>#VALUE!</v>
      </c>
      <c r="BA66" s="361" t="e">
        <f t="shared" si="39"/>
        <v>#VALUE!</v>
      </c>
      <c r="BB66" s="360" t="e">
        <f t="shared" si="40"/>
        <v>#VALUE!</v>
      </c>
      <c r="BC66" s="347"/>
      <c r="BD66" s="347"/>
      <c r="BE66" s="347"/>
    </row>
    <row r="67" spans="1:57" ht="15.75">
      <c r="A67" s="347">
        <f t="shared" si="6"/>
        <v>0</v>
      </c>
      <c r="B67" s="347">
        <f t="shared" si="41"/>
        <v>0</v>
      </c>
      <c r="C67" s="1410"/>
      <c r="D67" s="362"/>
      <c r="E67" s="540"/>
      <c r="F67" s="363"/>
      <c r="G67" s="364"/>
      <c r="H67" s="364"/>
      <c r="I67" s="364"/>
      <c r="J67" s="364"/>
      <c r="K67" s="364"/>
      <c r="L67" s="364"/>
      <c r="M67" s="339">
        <f t="shared" si="7"/>
        <v>-50000</v>
      </c>
      <c r="N67" s="339">
        <f t="shared" si="8"/>
        <v>-75000</v>
      </c>
      <c r="O67" s="365">
        <f t="shared" si="9"/>
        <v>0</v>
      </c>
      <c r="P67" s="365">
        <f t="shared" si="10"/>
        <v>0</v>
      </c>
      <c r="Q67" s="365">
        <f t="shared" si="11"/>
        <v>0</v>
      </c>
      <c r="R67" s="339" t="str">
        <f t="shared" si="42"/>
        <v/>
      </c>
      <c r="S67" s="365" t="str">
        <f t="shared" si="12"/>
        <v/>
      </c>
      <c r="T67" s="366" t="str">
        <f t="shared" si="13"/>
        <v/>
      </c>
      <c r="U67" s="366" t="str">
        <f t="shared" si="14"/>
        <v/>
      </c>
      <c r="V67" s="365">
        <f t="shared" si="15"/>
        <v>0</v>
      </c>
      <c r="W67" s="365">
        <f t="shared" si="16"/>
        <v>0</v>
      </c>
      <c r="X67" s="367">
        <f t="shared" si="17"/>
        <v>0</v>
      </c>
      <c r="Y67" s="367">
        <f t="shared" si="18"/>
        <v>0</v>
      </c>
      <c r="Z67" s="367">
        <f t="shared" si="19"/>
        <v>0</v>
      </c>
      <c r="AA67" s="368" t="str">
        <f t="shared" si="20"/>
        <v/>
      </c>
      <c r="AB67" s="365" t="str">
        <f t="shared" si="43"/>
        <v/>
      </c>
      <c r="AC67" s="366" t="str">
        <f t="shared" si="44"/>
        <v/>
      </c>
      <c r="AD67" s="353" t="str">
        <f t="shared" si="45"/>
        <v/>
      </c>
      <c r="AE67" s="377" t="str">
        <f t="shared" si="46"/>
        <v/>
      </c>
      <c r="AF67" s="369"/>
      <c r="AG67" s="369"/>
      <c r="AH67" s="367">
        <f t="shared" si="21"/>
        <v>0</v>
      </c>
      <c r="AI67" s="367">
        <f t="shared" si="22"/>
        <v>0</v>
      </c>
      <c r="AJ67" s="367">
        <f t="shared" si="23"/>
        <v>0</v>
      </c>
      <c r="AK67" s="367" t="e">
        <f t="shared" si="24"/>
        <v>#VALUE!</v>
      </c>
      <c r="AL67" s="368" t="e">
        <f t="shared" si="25"/>
        <v>#VALUE!</v>
      </c>
      <c r="AM67" s="370">
        <f t="shared" si="26"/>
        <v>0</v>
      </c>
      <c r="AN67" s="358">
        <f t="shared" si="27"/>
        <v>0</v>
      </c>
      <c r="AO67" s="371">
        <f t="shared" si="28"/>
        <v>0</v>
      </c>
      <c r="AP67" s="1429"/>
      <c r="AQ67" s="360">
        <f t="shared" si="29"/>
        <v>0</v>
      </c>
      <c r="AR67" s="360">
        <f t="shared" si="30"/>
        <v>0</v>
      </c>
      <c r="AS67" s="360" t="e">
        <f t="shared" si="31"/>
        <v>#VALUE!</v>
      </c>
      <c r="AT67" s="361" t="e">
        <f t="shared" si="32"/>
        <v>#VALUE!</v>
      </c>
      <c r="AU67" s="361" t="e">
        <f t="shared" si="33"/>
        <v>#VALUE!</v>
      </c>
      <c r="AV67" s="360" t="e">
        <f t="shared" si="34"/>
        <v>#VALUE!</v>
      </c>
      <c r="AW67" s="360">
        <f t="shared" si="35"/>
        <v>0</v>
      </c>
      <c r="AX67" s="360">
        <f t="shared" si="36"/>
        <v>0</v>
      </c>
      <c r="AY67" s="360" t="e">
        <f t="shared" si="37"/>
        <v>#VALUE!</v>
      </c>
      <c r="AZ67" s="361" t="e">
        <f t="shared" si="38"/>
        <v>#VALUE!</v>
      </c>
      <c r="BA67" s="361" t="e">
        <f t="shared" si="39"/>
        <v>#VALUE!</v>
      </c>
      <c r="BB67" s="360" t="e">
        <f t="shared" si="40"/>
        <v>#VALUE!</v>
      </c>
      <c r="BC67" s="347"/>
      <c r="BD67" s="347"/>
      <c r="BE67" s="347"/>
    </row>
    <row r="68" spans="1:57" ht="15.75">
      <c r="A68" s="347">
        <f t="shared" si="6"/>
        <v>0</v>
      </c>
      <c r="B68" s="347">
        <f t="shared" si="41"/>
        <v>0</v>
      </c>
      <c r="C68" s="1410"/>
      <c r="D68" s="362"/>
      <c r="E68" s="540"/>
      <c r="F68" s="363"/>
      <c r="G68" s="364"/>
      <c r="H68" s="364"/>
      <c r="I68" s="364"/>
      <c r="J68" s="364"/>
      <c r="K68" s="364"/>
      <c r="L68" s="364"/>
      <c r="M68" s="339">
        <f t="shared" si="7"/>
        <v>-50000</v>
      </c>
      <c r="N68" s="339">
        <f t="shared" si="8"/>
        <v>-75000</v>
      </c>
      <c r="O68" s="365">
        <f t="shared" si="9"/>
        <v>0</v>
      </c>
      <c r="P68" s="365">
        <f t="shared" si="10"/>
        <v>0</v>
      </c>
      <c r="Q68" s="365">
        <f t="shared" si="11"/>
        <v>0</v>
      </c>
      <c r="R68" s="339" t="str">
        <f t="shared" si="42"/>
        <v/>
      </c>
      <c r="S68" s="365" t="str">
        <f t="shared" si="12"/>
        <v/>
      </c>
      <c r="T68" s="366" t="str">
        <f t="shared" si="13"/>
        <v/>
      </c>
      <c r="U68" s="366" t="str">
        <f t="shared" si="14"/>
        <v/>
      </c>
      <c r="V68" s="365">
        <f t="shared" si="15"/>
        <v>0</v>
      </c>
      <c r="W68" s="365">
        <f t="shared" si="16"/>
        <v>0</v>
      </c>
      <c r="X68" s="367">
        <f t="shared" si="17"/>
        <v>0</v>
      </c>
      <c r="Y68" s="367">
        <f t="shared" si="18"/>
        <v>0</v>
      </c>
      <c r="Z68" s="367">
        <f t="shared" si="19"/>
        <v>0</v>
      </c>
      <c r="AA68" s="368" t="str">
        <f t="shared" si="20"/>
        <v/>
      </c>
      <c r="AB68" s="365" t="str">
        <f t="shared" si="43"/>
        <v/>
      </c>
      <c r="AC68" s="366" t="str">
        <f t="shared" si="44"/>
        <v/>
      </c>
      <c r="AD68" s="353" t="str">
        <f t="shared" si="45"/>
        <v/>
      </c>
      <c r="AE68" s="377" t="str">
        <f t="shared" si="46"/>
        <v/>
      </c>
      <c r="AF68" s="369"/>
      <c r="AG68" s="369"/>
      <c r="AH68" s="367">
        <f t="shared" si="21"/>
        <v>0</v>
      </c>
      <c r="AI68" s="367">
        <f t="shared" si="22"/>
        <v>0</v>
      </c>
      <c r="AJ68" s="367">
        <f t="shared" si="23"/>
        <v>0</v>
      </c>
      <c r="AK68" s="367" t="e">
        <f t="shared" si="24"/>
        <v>#VALUE!</v>
      </c>
      <c r="AL68" s="368" t="e">
        <f t="shared" si="25"/>
        <v>#VALUE!</v>
      </c>
      <c r="AM68" s="370">
        <f t="shared" si="26"/>
        <v>0</v>
      </c>
      <c r="AN68" s="358">
        <f t="shared" si="27"/>
        <v>0</v>
      </c>
      <c r="AO68" s="371">
        <f t="shared" si="28"/>
        <v>0</v>
      </c>
      <c r="AP68" s="1429"/>
      <c r="AQ68" s="360">
        <f t="shared" si="29"/>
        <v>0</v>
      </c>
      <c r="AR68" s="360">
        <f t="shared" si="30"/>
        <v>0</v>
      </c>
      <c r="AS68" s="360" t="e">
        <f t="shared" si="31"/>
        <v>#VALUE!</v>
      </c>
      <c r="AT68" s="361" t="e">
        <f t="shared" si="32"/>
        <v>#VALUE!</v>
      </c>
      <c r="AU68" s="361" t="e">
        <f t="shared" si="33"/>
        <v>#VALUE!</v>
      </c>
      <c r="AV68" s="360" t="e">
        <f t="shared" si="34"/>
        <v>#VALUE!</v>
      </c>
      <c r="AW68" s="360">
        <f t="shared" si="35"/>
        <v>0</v>
      </c>
      <c r="AX68" s="360">
        <f t="shared" si="36"/>
        <v>0</v>
      </c>
      <c r="AY68" s="360" t="e">
        <f t="shared" si="37"/>
        <v>#VALUE!</v>
      </c>
      <c r="AZ68" s="361" t="e">
        <f t="shared" si="38"/>
        <v>#VALUE!</v>
      </c>
      <c r="BA68" s="361" t="e">
        <f t="shared" si="39"/>
        <v>#VALUE!</v>
      </c>
      <c r="BB68" s="360" t="e">
        <f t="shared" si="40"/>
        <v>#VALUE!</v>
      </c>
      <c r="BC68" s="347"/>
      <c r="BD68" s="347"/>
      <c r="BE68" s="347"/>
    </row>
    <row r="69" spans="1:57" ht="15.75">
      <c r="A69" s="347">
        <f t="shared" si="6"/>
        <v>0</v>
      </c>
      <c r="B69" s="347">
        <f t="shared" si="41"/>
        <v>0</v>
      </c>
      <c r="C69" s="1410"/>
      <c r="D69" s="362"/>
      <c r="E69" s="540"/>
      <c r="F69" s="363"/>
      <c r="G69" s="364"/>
      <c r="H69" s="364"/>
      <c r="I69" s="364"/>
      <c r="J69" s="364"/>
      <c r="K69" s="364"/>
      <c r="L69" s="364"/>
      <c r="M69" s="339">
        <f t="shared" si="7"/>
        <v>-50000</v>
      </c>
      <c r="N69" s="339">
        <f t="shared" si="8"/>
        <v>-75000</v>
      </c>
      <c r="O69" s="365">
        <f t="shared" si="9"/>
        <v>0</v>
      </c>
      <c r="P69" s="365">
        <f t="shared" si="10"/>
        <v>0</v>
      </c>
      <c r="Q69" s="365">
        <f t="shared" si="11"/>
        <v>0</v>
      </c>
      <c r="R69" s="339" t="str">
        <f t="shared" si="42"/>
        <v/>
      </c>
      <c r="S69" s="365" t="str">
        <f t="shared" si="12"/>
        <v/>
      </c>
      <c r="T69" s="366" t="str">
        <f t="shared" si="13"/>
        <v/>
      </c>
      <c r="U69" s="366" t="str">
        <f t="shared" si="14"/>
        <v/>
      </c>
      <c r="V69" s="365">
        <f t="shared" si="15"/>
        <v>0</v>
      </c>
      <c r="W69" s="365">
        <f t="shared" si="16"/>
        <v>0</v>
      </c>
      <c r="X69" s="367">
        <f t="shared" si="17"/>
        <v>0</v>
      </c>
      <c r="Y69" s="367">
        <f t="shared" si="18"/>
        <v>0</v>
      </c>
      <c r="Z69" s="367">
        <f t="shared" si="19"/>
        <v>0</v>
      </c>
      <c r="AA69" s="368" t="str">
        <f t="shared" si="20"/>
        <v/>
      </c>
      <c r="AB69" s="365" t="str">
        <f t="shared" si="43"/>
        <v/>
      </c>
      <c r="AC69" s="366" t="str">
        <f t="shared" si="44"/>
        <v/>
      </c>
      <c r="AD69" s="353" t="str">
        <f t="shared" si="45"/>
        <v/>
      </c>
      <c r="AE69" s="377" t="str">
        <f t="shared" si="46"/>
        <v/>
      </c>
      <c r="AF69" s="369"/>
      <c r="AG69" s="369"/>
      <c r="AH69" s="367">
        <f t="shared" si="21"/>
        <v>0</v>
      </c>
      <c r="AI69" s="367">
        <f t="shared" si="22"/>
        <v>0</v>
      </c>
      <c r="AJ69" s="367">
        <f t="shared" si="23"/>
        <v>0</v>
      </c>
      <c r="AK69" s="367" t="e">
        <f t="shared" si="24"/>
        <v>#VALUE!</v>
      </c>
      <c r="AL69" s="368" t="e">
        <f t="shared" si="25"/>
        <v>#VALUE!</v>
      </c>
      <c r="AM69" s="370">
        <f t="shared" si="26"/>
        <v>0</v>
      </c>
      <c r="AN69" s="358">
        <f t="shared" si="27"/>
        <v>0</v>
      </c>
      <c r="AO69" s="371">
        <f t="shared" si="28"/>
        <v>0</v>
      </c>
      <c r="AP69" s="1429"/>
      <c r="AQ69" s="360">
        <f t="shared" si="29"/>
        <v>0</v>
      </c>
      <c r="AR69" s="360">
        <f t="shared" si="30"/>
        <v>0</v>
      </c>
      <c r="AS69" s="360" t="e">
        <f t="shared" si="31"/>
        <v>#VALUE!</v>
      </c>
      <c r="AT69" s="361" t="e">
        <f t="shared" si="32"/>
        <v>#VALUE!</v>
      </c>
      <c r="AU69" s="361" t="e">
        <f t="shared" si="33"/>
        <v>#VALUE!</v>
      </c>
      <c r="AV69" s="360" t="e">
        <f t="shared" si="34"/>
        <v>#VALUE!</v>
      </c>
      <c r="AW69" s="360">
        <f t="shared" si="35"/>
        <v>0</v>
      </c>
      <c r="AX69" s="360">
        <f t="shared" si="36"/>
        <v>0</v>
      </c>
      <c r="AY69" s="360" t="e">
        <f t="shared" si="37"/>
        <v>#VALUE!</v>
      </c>
      <c r="AZ69" s="361" t="e">
        <f t="shared" si="38"/>
        <v>#VALUE!</v>
      </c>
      <c r="BA69" s="361" t="e">
        <f t="shared" si="39"/>
        <v>#VALUE!</v>
      </c>
      <c r="BB69" s="360" t="e">
        <f t="shared" si="40"/>
        <v>#VALUE!</v>
      </c>
      <c r="BC69" s="347"/>
      <c r="BD69" s="347"/>
      <c r="BE69" s="347"/>
    </row>
    <row r="70" spans="1:57" ht="15.75">
      <c r="A70" s="347">
        <f t="shared" si="6"/>
        <v>0</v>
      </c>
      <c r="B70" s="347">
        <f t="shared" si="41"/>
        <v>0</v>
      </c>
      <c r="C70" s="1410"/>
      <c r="D70" s="362"/>
      <c r="E70" s="540"/>
      <c r="F70" s="363"/>
      <c r="G70" s="364"/>
      <c r="H70" s="364"/>
      <c r="I70" s="364"/>
      <c r="J70" s="364"/>
      <c r="K70" s="364"/>
      <c r="L70" s="364"/>
      <c r="M70" s="339">
        <f t="shared" si="7"/>
        <v>-50000</v>
      </c>
      <c r="N70" s="339">
        <f t="shared" si="8"/>
        <v>-75000</v>
      </c>
      <c r="O70" s="365">
        <f t="shared" si="9"/>
        <v>0</v>
      </c>
      <c r="P70" s="365">
        <f t="shared" si="10"/>
        <v>0</v>
      </c>
      <c r="Q70" s="365">
        <f t="shared" si="11"/>
        <v>0</v>
      </c>
      <c r="R70" s="339" t="str">
        <f t="shared" si="42"/>
        <v/>
      </c>
      <c r="S70" s="365" t="str">
        <f t="shared" si="12"/>
        <v/>
      </c>
      <c r="T70" s="366" t="str">
        <f t="shared" si="13"/>
        <v/>
      </c>
      <c r="U70" s="366" t="str">
        <f t="shared" si="14"/>
        <v/>
      </c>
      <c r="V70" s="365">
        <f t="shared" si="15"/>
        <v>0</v>
      </c>
      <c r="W70" s="365">
        <f t="shared" si="16"/>
        <v>0</v>
      </c>
      <c r="X70" s="367">
        <f t="shared" si="17"/>
        <v>0</v>
      </c>
      <c r="Y70" s="367">
        <f t="shared" si="18"/>
        <v>0</v>
      </c>
      <c r="Z70" s="367">
        <f t="shared" si="19"/>
        <v>0</v>
      </c>
      <c r="AA70" s="368" t="str">
        <f t="shared" si="20"/>
        <v/>
      </c>
      <c r="AB70" s="365" t="str">
        <f t="shared" si="43"/>
        <v/>
      </c>
      <c r="AC70" s="366" t="str">
        <f t="shared" si="44"/>
        <v/>
      </c>
      <c r="AD70" s="353" t="str">
        <f t="shared" si="45"/>
        <v/>
      </c>
      <c r="AE70" s="377" t="str">
        <f t="shared" si="46"/>
        <v/>
      </c>
      <c r="AF70" s="369"/>
      <c r="AG70" s="369"/>
      <c r="AH70" s="367">
        <f t="shared" si="21"/>
        <v>0</v>
      </c>
      <c r="AI70" s="367">
        <f t="shared" si="22"/>
        <v>0</v>
      </c>
      <c r="AJ70" s="367">
        <f t="shared" si="23"/>
        <v>0</v>
      </c>
      <c r="AK70" s="367" t="e">
        <f t="shared" si="24"/>
        <v>#VALUE!</v>
      </c>
      <c r="AL70" s="368" t="e">
        <f t="shared" si="25"/>
        <v>#VALUE!</v>
      </c>
      <c r="AM70" s="370">
        <f t="shared" si="26"/>
        <v>0</v>
      </c>
      <c r="AN70" s="358">
        <f t="shared" si="27"/>
        <v>0</v>
      </c>
      <c r="AO70" s="371">
        <f t="shared" si="28"/>
        <v>0</v>
      </c>
      <c r="AP70" s="1429"/>
      <c r="AQ70" s="360">
        <f t="shared" si="29"/>
        <v>0</v>
      </c>
      <c r="AR70" s="360">
        <f t="shared" si="30"/>
        <v>0</v>
      </c>
      <c r="AS70" s="360" t="e">
        <f t="shared" si="31"/>
        <v>#VALUE!</v>
      </c>
      <c r="AT70" s="361" t="e">
        <f t="shared" si="32"/>
        <v>#VALUE!</v>
      </c>
      <c r="AU70" s="361" t="e">
        <f t="shared" si="33"/>
        <v>#VALUE!</v>
      </c>
      <c r="AV70" s="360" t="e">
        <f t="shared" si="34"/>
        <v>#VALUE!</v>
      </c>
      <c r="AW70" s="360">
        <f t="shared" si="35"/>
        <v>0</v>
      </c>
      <c r="AX70" s="360">
        <f t="shared" si="36"/>
        <v>0</v>
      </c>
      <c r="AY70" s="360" t="e">
        <f t="shared" si="37"/>
        <v>#VALUE!</v>
      </c>
      <c r="AZ70" s="361" t="e">
        <f t="shared" si="38"/>
        <v>#VALUE!</v>
      </c>
      <c r="BA70" s="361" t="e">
        <f t="shared" si="39"/>
        <v>#VALUE!</v>
      </c>
      <c r="BB70" s="360" t="e">
        <f t="shared" si="40"/>
        <v>#VALUE!</v>
      </c>
      <c r="BC70" s="347"/>
      <c r="BD70" s="347"/>
      <c r="BE70" s="347"/>
    </row>
    <row r="71" spans="1:57" ht="15.75">
      <c r="A71" s="347">
        <f t="shared" si="6"/>
        <v>0</v>
      </c>
      <c r="B71" s="347">
        <f t="shared" ref="B71:B106" si="47">IF(F71=0,0,IF(OR(U71=0,AD71=0),"NT",0))</f>
        <v>0</v>
      </c>
      <c r="C71" s="1410"/>
      <c r="D71" s="362"/>
      <c r="E71" s="540"/>
      <c r="F71" s="363"/>
      <c r="G71" s="364"/>
      <c r="H71" s="364"/>
      <c r="I71" s="364"/>
      <c r="J71" s="364"/>
      <c r="K71" s="364"/>
      <c r="L71" s="364"/>
      <c r="M71" s="339">
        <f t="shared" si="7"/>
        <v>-50000</v>
      </c>
      <c r="N71" s="339">
        <f t="shared" si="8"/>
        <v>-75000</v>
      </c>
      <c r="O71" s="365">
        <f t="shared" si="9"/>
        <v>0</v>
      </c>
      <c r="P71" s="365">
        <f t="shared" si="10"/>
        <v>0</v>
      </c>
      <c r="Q71" s="365">
        <f t="shared" si="11"/>
        <v>0</v>
      </c>
      <c r="R71" s="339" t="str">
        <f t="shared" ref="R71:R102" si="48">IF(F71="","",IF(SUM(O71:Q71)&lt;=12500,0,SUM(O71:Q71)))</f>
        <v/>
      </c>
      <c r="S71" s="365" t="str">
        <f t="shared" si="12"/>
        <v/>
      </c>
      <c r="T71" s="366" t="str">
        <f t="shared" si="13"/>
        <v/>
      </c>
      <c r="U71" s="366" t="str">
        <f t="shared" si="14"/>
        <v/>
      </c>
      <c r="V71" s="365">
        <f t="shared" si="15"/>
        <v>0</v>
      </c>
      <c r="W71" s="365">
        <f t="shared" si="16"/>
        <v>0</v>
      </c>
      <c r="X71" s="367">
        <f t="shared" si="17"/>
        <v>0</v>
      </c>
      <c r="Y71" s="367">
        <f t="shared" si="18"/>
        <v>0</v>
      </c>
      <c r="Z71" s="367">
        <f t="shared" si="19"/>
        <v>0</v>
      </c>
      <c r="AA71" s="368" t="str">
        <f t="shared" si="20"/>
        <v/>
      </c>
      <c r="AB71" s="365" t="str">
        <f t="shared" ref="AB71:AB102" si="49">IF(F71="","",ROUND(AA71*0.04,0))</f>
        <v/>
      </c>
      <c r="AC71" s="366" t="str">
        <f t="shared" ref="AC71:AC102" si="50">IF(F71="","",(AA71+AB71))</f>
        <v/>
      </c>
      <c r="AD71" s="353" t="str">
        <f t="shared" ref="AD71:AD102" si="51">IF(F71="","",ROUNDUP(AC71,-2))</f>
        <v/>
      </c>
      <c r="AE71" s="377" t="str">
        <f t="shared" ref="AE71:AE102" si="52">IF(F71="","",IF(F71="","",IF(U71=0,0,IF(U71&gt;AD71,"New Regime","Old Regime"))))</f>
        <v/>
      </c>
      <c r="AF71" s="369"/>
      <c r="AG71" s="369"/>
      <c r="AH71" s="367">
        <f t="shared" si="21"/>
        <v>0</v>
      </c>
      <c r="AI71" s="367">
        <f t="shared" si="22"/>
        <v>0</v>
      </c>
      <c r="AJ71" s="367">
        <f t="shared" si="23"/>
        <v>0</v>
      </c>
      <c r="AK71" s="367" t="e">
        <f t="shared" si="24"/>
        <v>#VALUE!</v>
      </c>
      <c r="AL71" s="368" t="e">
        <f t="shared" si="25"/>
        <v>#VALUE!</v>
      </c>
      <c r="AM71" s="370">
        <f t="shared" si="26"/>
        <v>0</v>
      </c>
      <c r="AN71" s="358">
        <f t="shared" si="27"/>
        <v>0</v>
      </c>
      <c r="AO71" s="371">
        <f t="shared" si="28"/>
        <v>0</v>
      </c>
      <c r="AP71" s="1429"/>
      <c r="AQ71" s="360">
        <f t="shared" si="29"/>
        <v>0</v>
      </c>
      <c r="AR71" s="360">
        <f t="shared" si="30"/>
        <v>0</v>
      </c>
      <c r="AS71" s="360" t="e">
        <f t="shared" si="31"/>
        <v>#VALUE!</v>
      </c>
      <c r="AT71" s="361" t="e">
        <f t="shared" si="32"/>
        <v>#VALUE!</v>
      </c>
      <c r="AU71" s="361" t="e">
        <f t="shared" si="33"/>
        <v>#VALUE!</v>
      </c>
      <c r="AV71" s="360" t="e">
        <f t="shared" si="34"/>
        <v>#VALUE!</v>
      </c>
      <c r="AW71" s="360">
        <f t="shared" si="35"/>
        <v>0</v>
      </c>
      <c r="AX71" s="360">
        <f t="shared" si="36"/>
        <v>0</v>
      </c>
      <c r="AY71" s="360" t="e">
        <f t="shared" si="37"/>
        <v>#VALUE!</v>
      </c>
      <c r="AZ71" s="361" t="e">
        <f t="shared" si="38"/>
        <v>#VALUE!</v>
      </c>
      <c r="BA71" s="361" t="e">
        <f t="shared" si="39"/>
        <v>#VALUE!</v>
      </c>
      <c r="BB71" s="360" t="e">
        <f t="shared" si="40"/>
        <v>#VALUE!</v>
      </c>
      <c r="BC71" s="347"/>
      <c r="BD71" s="347"/>
      <c r="BE71" s="347"/>
    </row>
    <row r="72" spans="1:57" ht="15.75">
      <c r="A72" s="347">
        <f t="shared" ref="A72:A106" si="53">MIN(U72,AD72)</f>
        <v>0</v>
      </c>
      <c r="B72" s="347">
        <f t="shared" si="47"/>
        <v>0</v>
      </c>
      <c r="C72" s="1410"/>
      <c r="D72" s="362"/>
      <c r="E72" s="540"/>
      <c r="F72" s="363"/>
      <c r="G72" s="364"/>
      <c r="H72" s="364"/>
      <c r="I72" s="364"/>
      <c r="J72" s="364"/>
      <c r="K72" s="364"/>
      <c r="L72" s="364"/>
      <c r="M72" s="339">
        <f t="shared" ref="M72:M106" si="54">F72-50000-G72-H72-I72-J72-K72-L72</f>
        <v>-50000</v>
      </c>
      <c r="N72" s="339">
        <f t="shared" ref="N72:N106" si="55">F72-75000</f>
        <v>-75000</v>
      </c>
      <c r="O72" s="365">
        <f t="shared" ref="O72:O106" si="56">IF(M72&lt;250000,0,IF(M72&gt;500000,12500,IF(M72&lt;500000,ROUND((M72-250000)*0.05,0),0)))</f>
        <v>0</v>
      </c>
      <c r="P72" s="365">
        <f t="shared" ref="P72:P106" si="57">IF(M72&lt;500000,0,IF(M72&gt;1000000,100000,ROUND((M72-500000)*0.2,0)))</f>
        <v>0</v>
      </c>
      <c r="Q72" s="365">
        <f t="shared" ref="Q72:Q106" si="58">IF(M72&lt;1000000,0,ROUND((M72-1000000)*0.3,0))</f>
        <v>0</v>
      </c>
      <c r="R72" s="339" t="str">
        <f t="shared" si="48"/>
        <v/>
      </c>
      <c r="S72" s="365" t="str">
        <f t="shared" ref="S72:S106" si="59">IF(R72="","",ROUND(R72*0.04,0))</f>
        <v/>
      </c>
      <c r="T72" s="366" t="str">
        <f t="shared" ref="T72:T106" si="60">IF(R72="","",R72+S72)</f>
        <v/>
      </c>
      <c r="U72" s="366" t="str">
        <f t="shared" ref="U72:U106" si="61">IF(R72="","",ROUNDUP(T72,-2))</f>
        <v/>
      </c>
      <c r="V72" s="365">
        <f t="shared" ref="V72:V106" si="62">IF(N72&gt;700000,20000,IF(N72&gt;300000,(N72-300000)*0.05,0))</f>
        <v>0</v>
      </c>
      <c r="W72" s="365">
        <f t="shared" ref="W72:W106" si="63">IF(N72&gt;1000000,30000,IF(N72&gt;700000,(N72-700000)*0.1,0))</f>
        <v>0</v>
      </c>
      <c r="X72" s="367">
        <f t="shared" ref="X72:X106" si="64">IF(N72&gt;1200000,45000,IF(N72&gt;1000000,(N72-1000000)*0.15,0))</f>
        <v>0</v>
      </c>
      <c r="Y72" s="367">
        <f t="shared" ref="Y72:Y106" si="65">IF(N72&gt;1500000,60000,IF(N72&gt;1200000,(N72-1200000)*0.2,0))</f>
        <v>0</v>
      </c>
      <c r="Z72" s="367">
        <f t="shared" ref="Z72:Z106" si="66">IF(N72&lt;1500000,0,(N72-1500000)*0.3)</f>
        <v>0</v>
      </c>
      <c r="AA72" s="368" t="str">
        <f t="shared" ref="AA72:AA106" si="67">IF(F72="","",IF(SUM(V72:Z72)&lt;=25000,0,IF((N72-700000)&lt;SUM(V72:Z72),(N72-700000),(SUM(V72:Z72)))))</f>
        <v/>
      </c>
      <c r="AB72" s="365" t="str">
        <f t="shared" si="49"/>
        <v/>
      </c>
      <c r="AC72" s="366" t="str">
        <f t="shared" si="50"/>
        <v/>
      </c>
      <c r="AD72" s="353" t="str">
        <f t="shared" si="51"/>
        <v/>
      </c>
      <c r="AE72" s="377" t="str">
        <f t="shared" si="52"/>
        <v/>
      </c>
      <c r="AF72" s="369"/>
      <c r="AG72" s="369"/>
      <c r="AH72" s="367">
        <f t="shared" ref="AH72:AH106" si="68">AF72+AG72</f>
        <v>0</v>
      </c>
      <c r="AI72" s="367">
        <f t="shared" ref="AI72:AI106" si="69">IF(OR(U72=0,AD72=0),0,IF(AE72="Old Regime",AQ72,AW72))</f>
        <v>0</v>
      </c>
      <c r="AJ72" s="367">
        <f t="shared" ref="AJ72:AJ106" si="70">IF(OR(U72=0,AD72=0),0,IF(AE72="Old Regime",AR72,AX72))</f>
        <v>0</v>
      </c>
      <c r="AK72" s="367" t="e">
        <f t="shared" ref="AK72:AK106" si="71">IF(OR(U72=0,AD72=0),0,IF(AE72="Old Regime",AS72,AY72))</f>
        <v>#VALUE!</v>
      </c>
      <c r="AL72" s="368" t="e">
        <f t="shared" ref="AL72:AL106" si="72">AI72+AJ72+AK72</f>
        <v>#VALUE!</v>
      </c>
      <c r="AM72" s="370">
        <f t="shared" ref="AM72:AM106" si="73">MIN(U72,AD72)</f>
        <v>0</v>
      </c>
      <c r="AN72" s="358">
        <f t="shared" ref="AN72:AN106" si="74">IF(AM72&lt;=12500,-AH72,AM72-(AH72+AL72))</f>
        <v>0</v>
      </c>
      <c r="AO72" s="371">
        <f t="shared" ref="AO72:AO106" si="75">IF(AN72=0,0,IF(AN72&gt;0,"(P)","(R)"))</f>
        <v>0</v>
      </c>
      <c r="AP72" s="1429"/>
      <c r="AQ72" s="360">
        <f t="shared" ref="AQ72:AQ106" si="76">IF($AF$4="जन.-2025 के वेतन तक की गई Itax कटौती",0,IF(U72&lt;=12500,0,IF(AH72&gt;U72,0,ROUNDUP((U72-AH72)/3,-3))))</f>
        <v>0</v>
      </c>
      <c r="AR72" s="360">
        <f t="shared" ref="AR72:AR106" si="77">IF($AF$4="जन.-2025 के वेतन तक की गई Itax कटौती",0,IF(U72&lt;=12500,0,IF(AH72&gt;T72,0,ROUNDUP((U72-AH72)/3,-3))))</f>
        <v>0</v>
      </c>
      <c r="AS72" s="360" t="e">
        <f t="shared" ref="AS72:AS106" si="78">IF($AF$4="जन.-2025 के वेतन तक की गई Itax कटौती",ROUNDUP((T72-AH72),-3),IF(T72&lt;=12500,0,IF(AH72&gt;T72,0,ROUNDUP((T72-AH72)/3,-3))))</f>
        <v>#VALUE!</v>
      </c>
      <c r="AT72" s="361" t="e">
        <f t="shared" ref="AT72:AT106" si="79">ROUNDUP(AQ72+AR72+AS72,-3)</f>
        <v>#VALUE!</v>
      </c>
      <c r="AU72" s="361" t="e">
        <f t="shared" ref="AU72:AU106" si="80">AT72+AH72</f>
        <v>#VALUE!</v>
      </c>
      <c r="AV72" s="360" t="e">
        <f t="shared" ref="AV72:AV106" si="81">AU72-U72</f>
        <v>#VALUE!</v>
      </c>
      <c r="AW72" s="360">
        <f t="shared" ref="AW72:AW106" si="82">IF($AF$4="जन.-2025 के वेतन तक की गई Itax कटौती",0,IF(AD72&lt;=12500,0,IF(AH72&gt;AD72,0,ROUNDUP((AD72-AH72)/3,-3))))</f>
        <v>0</v>
      </c>
      <c r="AX72" s="360">
        <f t="shared" ref="AX72:AX106" si="83">IF($AF$4="जन.-2025 के वेतन तक की गई Itax कटौती",0,IF(AD72&lt;=12500,0,IF(AH72&gt;AD72,0,ROUNDUP((AD72-AH72)/3,-3))))</f>
        <v>0</v>
      </c>
      <c r="AY72" s="360" t="e">
        <f t="shared" ref="AY72:AY106" si="84">IF($AF$4="जन.-2025 के वेतन तक की गई Itax कटौती",ROUNDUP((AD72-AH72),-3),IF(AD72&lt;=12500,0,IF(AH72&gt;AD72,0,ROUNDUP((AD72-AH72)/3,-3))))</f>
        <v>#VALUE!</v>
      </c>
      <c r="AZ72" s="361" t="e">
        <f t="shared" ref="AZ72:AZ106" si="85">ROUNDUP(AW72+AX72+AY72,-3)</f>
        <v>#VALUE!</v>
      </c>
      <c r="BA72" s="361" t="e">
        <f t="shared" ref="BA72:BA106" si="86">AZ72+AH72</f>
        <v>#VALUE!</v>
      </c>
      <c r="BB72" s="360" t="e">
        <f t="shared" ref="BB72:BB106" si="87">BA72-AD72</f>
        <v>#VALUE!</v>
      </c>
      <c r="BC72" s="347"/>
      <c r="BD72" s="347"/>
      <c r="BE72" s="347"/>
    </row>
    <row r="73" spans="1:57" ht="15.75">
      <c r="A73" s="347">
        <f t="shared" si="53"/>
        <v>0</v>
      </c>
      <c r="B73" s="347">
        <f t="shared" si="47"/>
        <v>0</v>
      </c>
      <c r="C73" s="1410"/>
      <c r="D73" s="362"/>
      <c r="E73" s="540"/>
      <c r="F73" s="363"/>
      <c r="G73" s="364"/>
      <c r="H73" s="364"/>
      <c r="I73" s="364"/>
      <c r="J73" s="364"/>
      <c r="K73" s="364"/>
      <c r="L73" s="364"/>
      <c r="M73" s="339">
        <f t="shared" si="54"/>
        <v>-50000</v>
      </c>
      <c r="N73" s="339">
        <f t="shared" si="55"/>
        <v>-75000</v>
      </c>
      <c r="O73" s="365">
        <f t="shared" si="56"/>
        <v>0</v>
      </c>
      <c r="P73" s="365">
        <f t="shared" si="57"/>
        <v>0</v>
      </c>
      <c r="Q73" s="365">
        <f t="shared" si="58"/>
        <v>0</v>
      </c>
      <c r="R73" s="339" t="str">
        <f t="shared" si="48"/>
        <v/>
      </c>
      <c r="S73" s="365" t="str">
        <f t="shared" si="59"/>
        <v/>
      </c>
      <c r="T73" s="366" t="str">
        <f t="shared" si="60"/>
        <v/>
      </c>
      <c r="U73" s="366" t="str">
        <f t="shared" si="61"/>
        <v/>
      </c>
      <c r="V73" s="365">
        <f t="shared" si="62"/>
        <v>0</v>
      </c>
      <c r="W73" s="365">
        <f t="shared" si="63"/>
        <v>0</v>
      </c>
      <c r="X73" s="367">
        <f t="shared" si="64"/>
        <v>0</v>
      </c>
      <c r="Y73" s="367">
        <f t="shared" si="65"/>
        <v>0</v>
      </c>
      <c r="Z73" s="367">
        <f t="shared" si="66"/>
        <v>0</v>
      </c>
      <c r="AA73" s="368" t="str">
        <f t="shared" si="67"/>
        <v/>
      </c>
      <c r="AB73" s="365" t="str">
        <f t="shared" si="49"/>
        <v/>
      </c>
      <c r="AC73" s="366" t="str">
        <f t="shared" si="50"/>
        <v/>
      </c>
      <c r="AD73" s="353" t="str">
        <f t="shared" si="51"/>
        <v/>
      </c>
      <c r="AE73" s="377" t="str">
        <f t="shared" si="52"/>
        <v/>
      </c>
      <c r="AF73" s="369"/>
      <c r="AG73" s="369"/>
      <c r="AH73" s="367">
        <f t="shared" si="68"/>
        <v>0</v>
      </c>
      <c r="AI73" s="367">
        <f t="shared" si="69"/>
        <v>0</v>
      </c>
      <c r="AJ73" s="367">
        <f t="shared" si="70"/>
        <v>0</v>
      </c>
      <c r="AK73" s="367" t="e">
        <f t="shared" si="71"/>
        <v>#VALUE!</v>
      </c>
      <c r="AL73" s="368" t="e">
        <f t="shared" si="72"/>
        <v>#VALUE!</v>
      </c>
      <c r="AM73" s="370">
        <f t="shared" si="73"/>
        <v>0</v>
      </c>
      <c r="AN73" s="358">
        <f t="shared" si="74"/>
        <v>0</v>
      </c>
      <c r="AO73" s="371">
        <f t="shared" si="75"/>
        <v>0</v>
      </c>
      <c r="AP73" s="1429"/>
      <c r="AQ73" s="360">
        <f t="shared" si="76"/>
        <v>0</v>
      </c>
      <c r="AR73" s="360">
        <f t="shared" si="77"/>
        <v>0</v>
      </c>
      <c r="AS73" s="360" t="e">
        <f t="shared" si="78"/>
        <v>#VALUE!</v>
      </c>
      <c r="AT73" s="361" t="e">
        <f t="shared" si="79"/>
        <v>#VALUE!</v>
      </c>
      <c r="AU73" s="361" t="e">
        <f t="shared" si="80"/>
        <v>#VALUE!</v>
      </c>
      <c r="AV73" s="360" t="e">
        <f t="shared" si="81"/>
        <v>#VALUE!</v>
      </c>
      <c r="AW73" s="360">
        <f t="shared" si="82"/>
        <v>0</v>
      </c>
      <c r="AX73" s="360">
        <f t="shared" si="83"/>
        <v>0</v>
      </c>
      <c r="AY73" s="360" t="e">
        <f t="shared" si="84"/>
        <v>#VALUE!</v>
      </c>
      <c r="AZ73" s="361" t="e">
        <f t="shared" si="85"/>
        <v>#VALUE!</v>
      </c>
      <c r="BA73" s="361" t="e">
        <f t="shared" si="86"/>
        <v>#VALUE!</v>
      </c>
      <c r="BB73" s="360" t="e">
        <f t="shared" si="87"/>
        <v>#VALUE!</v>
      </c>
      <c r="BC73" s="347"/>
      <c r="BD73" s="347"/>
      <c r="BE73" s="347"/>
    </row>
    <row r="74" spans="1:57" ht="15.75">
      <c r="A74" s="347">
        <f t="shared" si="53"/>
        <v>0</v>
      </c>
      <c r="B74" s="347">
        <f t="shared" si="47"/>
        <v>0</v>
      </c>
      <c r="C74" s="1410"/>
      <c r="D74" s="362"/>
      <c r="E74" s="540"/>
      <c r="F74" s="363"/>
      <c r="G74" s="364"/>
      <c r="H74" s="364"/>
      <c r="I74" s="364"/>
      <c r="J74" s="364"/>
      <c r="K74" s="364"/>
      <c r="L74" s="364"/>
      <c r="M74" s="339">
        <f t="shared" si="54"/>
        <v>-50000</v>
      </c>
      <c r="N74" s="339">
        <f t="shared" si="55"/>
        <v>-75000</v>
      </c>
      <c r="O74" s="365">
        <f t="shared" si="56"/>
        <v>0</v>
      </c>
      <c r="P74" s="365">
        <f t="shared" si="57"/>
        <v>0</v>
      </c>
      <c r="Q74" s="365">
        <f t="shared" si="58"/>
        <v>0</v>
      </c>
      <c r="R74" s="339" t="str">
        <f t="shared" si="48"/>
        <v/>
      </c>
      <c r="S74" s="365" t="str">
        <f t="shared" si="59"/>
        <v/>
      </c>
      <c r="T74" s="366" t="str">
        <f t="shared" si="60"/>
        <v/>
      </c>
      <c r="U74" s="366" t="str">
        <f t="shared" si="61"/>
        <v/>
      </c>
      <c r="V74" s="365">
        <f t="shared" si="62"/>
        <v>0</v>
      </c>
      <c r="W74" s="365">
        <f t="shared" si="63"/>
        <v>0</v>
      </c>
      <c r="X74" s="367">
        <f t="shared" si="64"/>
        <v>0</v>
      </c>
      <c r="Y74" s="367">
        <f t="shared" si="65"/>
        <v>0</v>
      </c>
      <c r="Z74" s="367">
        <f t="shared" si="66"/>
        <v>0</v>
      </c>
      <c r="AA74" s="368" t="str">
        <f t="shared" si="67"/>
        <v/>
      </c>
      <c r="AB74" s="365" t="str">
        <f t="shared" si="49"/>
        <v/>
      </c>
      <c r="AC74" s="366" t="str">
        <f t="shared" si="50"/>
        <v/>
      </c>
      <c r="AD74" s="353" t="str">
        <f t="shared" si="51"/>
        <v/>
      </c>
      <c r="AE74" s="377" t="str">
        <f t="shared" si="52"/>
        <v/>
      </c>
      <c r="AF74" s="369"/>
      <c r="AG74" s="369"/>
      <c r="AH74" s="367">
        <f t="shared" si="68"/>
        <v>0</v>
      </c>
      <c r="AI74" s="367">
        <f t="shared" si="69"/>
        <v>0</v>
      </c>
      <c r="AJ74" s="367">
        <f t="shared" si="70"/>
        <v>0</v>
      </c>
      <c r="AK74" s="367" t="e">
        <f t="shared" si="71"/>
        <v>#VALUE!</v>
      </c>
      <c r="AL74" s="368" t="e">
        <f t="shared" si="72"/>
        <v>#VALUE!</v>
      </c>
      <c r="AM74" s="370">
        <f t="shared" si="73"/>
        <v>0</v>
      </c>
      <c r="AN74" s="358">
        <f t="shared" si="74"/>
        <v>0</v>
      </c>
      <c r="AO74" s="371">
        <f t="shared" si="75"/>
        <v>0</v>
      </c>
      <c r="AP74" s="1429"/>
      <c r="AQ74" s="360">
        <f t="shared" si="76"/>
        <v>0</v>
      </c>
      <c r="AR74" s="360">
        <f t="shared" si="77"/>
        <v>0</v>
      </c>
      <c r="AS74" s="360" t="e">
        <f t="shared" si="78"/>
        <v>#VALUE!</v>
      </c>
      <c r="AT74" s="361" t="e">
        <f t="shared" si="79"/>
        <v>#VALUE!</v>
      </c>
      <c r="AU74" s="361" t="e">
        <f t="shared" si="80"/>
        <v>#VALUE!</v>
      </c>
      <c r="AV74" s="360" t="e">
        <f t="shared" si="81"/>
        <v>#VALUE!</v>
      </c>
      <c r="AW74" s="360">
        <f t="shared" si="82"/>
        <v>0</v>
      </c>
      <c r="AX74" s="360">
        <f t="shared" si="83"/>
        <v>0</v>
      </c>
      <c r="AY74" s="360" t="e">
        <f t="shared" si="84"/>
        <v>#VALUE!</v>
      </c>
      <c r="AZ74" s="361" t="e">
        <f t="shared" si="85"/>
        <v>#VALUE!</v>
      </c>
      <c r="BA74" s="361" t="e">
        <f t="shared" si="86"/>
        <v>#VALUE!</v>
      </c>
      <c r="BB74" s="360" t="e">
        <f t="shared" si="87"/>
        <v>#VALUE!</v>
      </c>
      <c r="BC74" s="347"/>
      <c r="BD74" s="347"/>
      <c r="BE74" s="347"/>
    </row>
    <row r="75" spans="1:57" ht="15.75">
      <c r="A75" s="347">
        <f t="shared" si="53"/>
        <v>0</v>
      </c>
      <c r="B75" s="347">
        <f t="shared" si="47"/>
        <v>0</v>
      </c>
      <c r="C75" s="1410"/>
      <c r="D75" s="362"/>
      <c r="E75" s="540"/>
      <c r="F75" s="363"/>
      <c r="G75" s="364"/>
      <c r="H75" s="364"/>
      <c r="I75" s="364"/>
      <c r="J75" s="364"/>
      <c r="K75" s="364"/>
      <c r="L75" s="364"/>
      <c r="M75" s="339">
        <f t="shared" si="54"/>
        <v>-50000</v>
      </c>
      <c r="N75" s="339">
        <f t="shared" si="55"/>
        <v>-75000</v>
      </c>
      <c r="O75" s="365">
        <f t="shared" si="56"/>
        <v>0</v>
      </c>
      <c r="P75" s="365">
        <f t="shared" si="57"/>
        <v>0</v>
      </c>
      <c r="Q75" s="365">
        <f t="shared" si="58"/>
        <v>0</v>
      </c>
      <c r="R75" s="339" t="str">
        <f t="shared" si="48"/>
        <v/>
      </c>
      <c r="S75" s="365" t="str">
        <f t="shared" si="59"/>
        <v/>
      </c>
      <c r="T75" s="366" t="str">
        <f t="shared" si="60"/>
        <v/>
      </c>
      <c r="U75" s="366" t="str">
        <f t="shared" si="61"/>
        <v/>
      </c>
      <c r="V75" s="365">
        <f t="shared" si="62"/>
        <v>0</v>
      </c>
      <c r="W75" s="365">
        <f t="shared" si="63"/>
        <v>0</v>
      </c>
      <c r="X75" s="367">
        <f t="shared" si="64"/>
        <v>0</v>
      </c>
      <c r="Y75" s="367">
        <f t="shared" si="65"/>
        <v>0</v>
      </c>
      <c r="Z75" s="367">
        <f t="shared" si="66"/>
        <v>0</v>
      </c>
      <c r="AA75" s="368" t="str">
        <f t="shared" si="67"/>
        <v/>
      </c>
      <c r="AB75" s="365" t="str">
        <f t="shared" si="49"/>
        <v/>
      </c>
      <c r="AC75" s="366" t="str">
        <f t="shared" si="50"/>
        <v/>
      </c>
      <c r="AD75" s="353" t="str">
        <f t="shared" si="51"/>
        <v/>
      </c>
      <c r="AE75" s="377" t="str">
        <f t="shared" si="52"/>
        <v/>
      </c>
      <c r="AF75" s="369"/>
      <c r="AG75" s="369"/>
      <c r="AH75" s="367">
        <f t="shared" si="68"/>
        <v>0</v>
      </c>
      <c r="AI75" s="367">
        <f t="shared" si="69"/>
        <v>0</v>
      </c>
      <c r="AJ75" s="367">
        <f t="shared" si="70"/>
        <v>0</v>
      </c>
      <c r="AK75" s="367" t="e">
        <f t="shared" si="71"/>
        <v>#VALUE!</v>
      </c>
      <c r="AL75" s="368" t="e">
        <f t="shared" si="72"/>
        <v>#VALUE!</v>
      </c>
      <c r="AM75" s="370">
        <f t="shared" si="73"/>
        <v>0</v>
      </c>
      <c r="AN75" s="358">
        <f t="shared" si="74"/>
        <v>0</v>
      </c>
      <c r="AO75" s="371">
        <f t="shared" si="75"/>
        <v>0</v>
      </c>
      <c r="AP75" s="1429"/>
      <c r="AQ75" s="360">
        <f t="shared" si="76"/>
        <v>0</v>
      </c>
      <c r="AR75" s="360">
        <f t="shared" si="77"/>
        <v>0</v>
      </c>
      <c r="AS75" s="360" t="e">
        <f t="shared" si="78"/>
        <v>#VALUE!</v>
      </c>
      <c r="AT75" s="361" t="e">
        <f t="shared" si="79"/>
        <v>#VALUE!</v>
      </c>
      <c r="AU75" s="361" t="e">
        <f t="shared" si="80"/>
        <v>#VALUE!</v>
      </c>
      <c r="AV75" s="360" t="e">
        <f t="shared" si="81"/>
        <v>#VALUE!</v>
      </c>
      <c r="AW75" s="360">
        <f t="shared" si="82"/>
        <v>0</v>
      </c>
      <c r="AX75" s="360">
        <f t="shared" si="83"/>
        <v>0</v>
      </c>
      <c r="AY75" s="360" t="e">
        <f t="shared" si="84"/>
        <v>#VALUE!</v>
      </c>
      <c r="AZ75" s="361" t="e">
        <f t="shared" si="85"/>
        <v>#VALUE!</v>
      </c>
      <c r="BA75" s="361" t="e">
        <f t="shared" si="86"/>
        <v>#VALUE!</v>
      </c>
      <c r="BB75" s="360" t="e">
        <f t="shared" si="87"/>
        <v>#VALUE!</v>
      </c>
      <c r="BC75" s="347"/>
      <c r="BD75" s="347"/>
      <c r="BE75" s="347"/>
    </row>
    <row r="76" spans="1:57" ht="15.75">
      <c r="A76" s="347">
        <f t="shared" si="53"/>
        <v>0</v>
      </c>
      <c r="B76" s="347">
        <f t="shared" si="47"/>
        <v>0</v>
      </c>
      <c r="C76" s="1410"/>
      <c r="D76" s="362"/>
      <c r="E76" s="540"/>
      <c r="F76" s="363"/>
      <c r="G76" s="364"/>
      <c r="H76" s="364"/>
      <c r="I76" s="364"/>
      <c r="J76" s="364"/>
      <c r="K76" s="364"/>
      <c r="L76" s="364"/>
      <c r="M76" s="339">
        <f t="shared" si="54"/>
        <v>-50000</v>
      </c>
      <c r="N76" s="339">
        <f t="shared" si="55"/>
        <v>-75000</v>
      </c>
      <c r="O76" s="365">
        <f t="shared" si="56"/>
        <v>0</v>
      </c>
      <c r="P76" s="365">
        <f t="shared" si="57"/>
        <v>0</v>
      </c>
      <c r="Q76" s="365">
        <f t="shared" si="58"/>
        <v>0</v>
      </c>
      <c r="R76" s="339" t="str">
        <f t="shared" si="48"/>
        <v/>
      </c>
      <c r="S76" s="365" t="str">
        <f t="shared" si="59"/>
        <v/>
      </c>
      <c r="T76" s="366" t="str">
        <f t="shared" si="60"/>
        <v/>
      </c>
      <c r="U76" s="366" t="str">
        <f t="shared" si="61"/>
        <v/>
      </c>
      <c r="V76" s="365">
        <f t="shared" si="62"/>
        <v>0</v>
      </c>
      <c r="W76" s="365">
        <f t="shared" si="63"/>
        <v>0</v>
      </c>
      <c r="X76" s="367">
        <f t="shared" si="64"/>
        <v>0</v>
      </c>
      <c r="Y76" s="367">
        <f t="shared" si="65"/>
        <v>0</v>
      </c>
      <c r="Z76" s="367">
        <f t="shared" si="66"/>
        <v>0</v>
      </c>
      <c r="AA76" s="368" t="str">
        <f t="shared" si="67"/>
        <v/>
      </c>
      <c r="AB76" s="365" t="str">
        <f t="shared" si="49"/>
        <v/>
      </c>
      <c r="AC76" s="366" t="str">
        <f t="shared" si="50"/>
        <v/>
      </c>
      <c r="AD76" s="353" t="str">
        <f t="shared" si="51"/>
        <v/>
      </c>
      <c r="AE76" s="377" t="str">
        <f t="shared" si="52"/>
        <v/>
      </c>
      <c r="AF76" s="369"/>
      <c r="AG76" s="369"/>
      <c r="AH76" s="367">
        <f t="shared" si="68"/>
        <v>0</v>
      </c>
      <c r="AI76" s="367">
        <f t="shared" si="69"/>
        <v>0</v>
      </c>
      <c r="AJ76" s="367">
        <f t="shared" si="70"/>
        <v>0</v>
      </c>
      <c r="AK76" s="367" t="e">
        <f t="shared" si="71"/>
        <v>#VALUE!</v>
      </c>
      <c r="AL76" s="368" t="e">
        <f t="shared" si="72"/>
        <v>#VALUE!</v>
      </c>
      <c r="AM76" s="370">
        <f t="shared" si="73"/>
        <v>0</v>
      </c>
      <c r="AN76" s="358">
        <f t="shared" si="74"/>
        <v>0</v>
      </c>
      <c r="AO76" s="371">
        <f t="shared" si="75"/>
        <v>0</v>
      </c>
      <c r="AP76" s="1429"/>
      <c r="AQ76" s="360">
        <f t="shared" si="76"/>
        <v>0</v>
      </c>
      <c r="AR76" s="360">
        <f t="shared" si="77"/>
        <v>0</v>
      </c>
      <c r="AS76" s="360" t="e">
        <f t="shared" si="78"/>
        <v>#VALUE!</v>
      </c>
      <c r="AT76" s="361" t="e">
        <f t="shared" si="79"/>
        <v>#VALUE!</v>
      </c>
      <c r="AU76" s="361" t="e">
        <f t="shared" si="80"/>
        <v>#VALUE!</v>
      </c>
      <c r="AV76" s="360" t="e">
        <f t="shared" si="81"/>
        <v>#VALUE!</v>
      </c>
      <c r="AW76" s="360">
        <f t="shared" si="82"/>
        <v>0</v>
      </c>
      <c r="AX76" s="360">
        <f t="shared" si="83"/>
        <v>0</v>
      </c>
      <c r="AY76" s="360" t="e">
        <f t="shared" si="84"/>
        <v>#VALUE!</v>
      </c>
      <c r="AZ76" s="361" t="e">
        <f t="shared" si="85"/>
        <v>#VALUE!</v>
      </c>
      <c r="BA76" s="361" t="e">
        <f t="shared" si="86"/>
        <v>#VALUE!</v>
      </c>
      <c r="BB76" s="360" t="e">
        <f t="shared" si="87"/>
        <v>#VALUE!</v>
      </c>
      <c r="BC76" s="347"/>
      <c r="BD76" s="347"/>
      <c r="BE76" s="347"/>
    </row>
    <row r="77" spans="1:57" ht="15.75">
      <c r="A77" s="347">
        <f t="shared" si="53"/>
        <v>0</v>
      </c>
      <c r="B77" s="347">
        <f t="shared" si="47"/>
        <v>0</v>
      </c>
      <c r="C77" s="1410"/>
      <c r="D77" s="362"/>
      <c r="E77" s="540"/>
      <c r="F77" s="363"/>
      <c r="G77" s="364"/>
      <c r="H77" s="364"/>
      <c r="I77" s="364"/>
      <c r="J77" s="364"/>
      <c r="K77" s="364"/>
      <c r="L77" s="364"/>
      <c r="M77" s="339">
        <f t="shared" si="54"/>
        <v>-50000</v>
      </c>
      <c r="N77" s="339">
        <f t="shared" si="55"/>
        <v>-75000</v>
      </c>
      <c r="O77" s="365">
        <f t="shared" si="56"/>
        <v>0</v>
      </c>
      <c r="P77" s="365">
        <f t="shared" si="57"/>
        <v>0</v>
      </c>
      <c r="Q77" s="365">
        <f t="shared" si="58"/>
        <v>0</v>
      </c>
      <c r="R77" s="339" t="str">
        <f t="shared" si="48"/>
        <v/>
      </c>
      <c r="S77" s="365" t="str">
        <f t="shared" si="59"/>
        <v/>
      </c>
      <c r="T77" s="366" t="str">
        <f t="shared" si="60"/>
        <v/>
      </c>
      <c r="U77" s="366" t="str">
        <f t="shared" si="61"/>
        <v/>
      </c>
      <c r="V77" s="365">
        <f t="shared" si="62"/>
        <v>0</v>
      </c>
      <c r="W77" s="365">
        <f t="shared" si="63"/>
        <v>0</v>
      </c>
      <c r="X77" s="367">
        <f t="shared" si="64"/>
        <v>0</v>
      </c>
      <c r="Y77" s="367">
        <f t="shared" si="65"/>
        <v>0</v>
      </c>
      <c r="Z77" s="367">
        <f t="shared" si="66"/>
        <v>0</v>
      </c>
      <c r="AA77" s="368" t="str">
        <f t="shared" si="67"/>
        <v/>
      </c>
      <c r="AB77" s="365" t="str">
        <f t="shared" si="49"/>
        <v/>
      </c>
      <c r="AC77" s="366" t="str">
        <f t="shared" si="50"/>
        <v/>
      </c>
      <c r="AD77" s="353" t="str">
        <f t="shared" si="51"/>
        <v/>
      </c>
      <c r="AE77" s="377" t="str">
        <f t="shared" si="52"/>
        <v/>
      </c>
      <c r="AF77" s="369"/>
      <c r="AG77" s="369"/>
      <c r="AH77" s="367">
        <f t="shared" si="68"/>
        <v>0</v>
      </c>
      <c r="AI77" s="367">
        <f t="shared" si="69"/>
        <v>0</v>
      </c>
      <c r="AJ77" s="367">
        <f t="shared" si="70"/>
        <v>0</v>
      </c>
      <c r="AK77" s="367" t="e">
        <f t="shared" si="71"/>
        <v>#VALUE!</v>
      </c>
      <c r="AL77" s="368" t="e">
        <f t="shared" si="72"/>
        <v>#VALUE!</v>
      </c>
      <c r="AM77" s="370">
        <f t="shared" si="73"/>
        <v>0</v>
      </c>
      <c r="AN77" s="358">
        <f t="shared" si="74"/>
        <v>0</v>
      </c>
      <c r="AO77" s="371">
        <f t="shared" si="75"/>
        <v>0</v>
      </c>
      <c r="AP77" s="1429"/>
      <c r="AQ77" s="360">
        <f t="shared" si="76"/>
        <v>0</v>
      </c>
      <c r="AR77" s="360">
        <f t="shared" si="77"/>
        <v>0</v>
      </c>
      <c r="AS77" s="360" t="e">
        <f t="shared" si="78"/>
        <v>#VALUE!</v>
      </c>
      <c r="AT77" s="361" t="e">
        <f t="shared" si="79"/>
        <v>#VALUE!</v>
      </c>
      <c r="AU77" s="361" t="e">
        <f t="shared" si="80"/>
        <v>#VALUE!</v>
      </c>
      <c r="AV77" s="360" t="e">
        <f t="shared" si="81"/>
        <v>#VALUE!</v>
      </c>
      <c r="AW77" s="360">
        <f t="shared" si="82"/>
        <v>0</v>
      </c>
      <c r="AX77" s="360">
        <f t="shared" si="83"/>
        <v>0</v>
      </c>
      <c r="AY77" s="360" t="e">
        <f t="shared" si="84"/>
        <v>#VALUE!</v>
      </c>
      <c r="AZ77" s="361" t="e">
        <f t="shared" si="85"/>
        <v>#VALUE!</v>
      </c>
      <c r="BA77" s="361" t="e">
        <f t="shared" si="86"/>
        <v>#VALUE!</v>
      </c>
      <c r="BB77" s="360" t="e">
        <f t="shared" si="87"/>
        <v>#VALUE!</v>
      </c>
      <c r="BC77" s="347"/>
      <c r="BD77" s="347"/>
      <c r="BE77" s="347"/>
    </row>
    <row r="78" spans="1:57" ht="15.75">
      <c r="A78" s="347">
        <f t="shared" si="53"/>
        <v>0</v>
      </c>
      <c r="B78" s="347">
        <f t="shared" si="47"/>
        <v>0</v>
      </c>
      <c r="C78" s="1410"/>
      <c r="D78" s="362"/>
      <c r="E78" s="540"/>
      <c r="F78" s="363"/>
      <c r="G78" s="364"/>
      <c r="H78" s="364"/>
      <c r="I78" s="364"/>
      <c r="J78" s="364"/>
      <c r="K78" s="364"/>
      <c r="L78" s="364"/>
      <c r="M78" s="339">
        <f t="shared" si="54"/>
        <v>-50000</v>
      </c>
      <c r="N78" s="339">
        <f t="shared" si="55"/>
        <v>-75000</v>
      </c>
      <c r="O78" s="365">
        <f t="shared" si="56"/>
        <v>0</v>
      </c>
      <c r="P78" s="365">
        <f t="shared" si="57"/>
        <v>0</v>
      </c>
      <c r="Q78" s="365">
        <f t="shared" si="58"/>
        <v>0</v>
      </c>
      <c r="R78" s="339" t="str">
        <f t="shared" si="48"/>
        <v/>
      </c>
      <c r="S78" s="365" t="str">
        <f t="shared" si="59"/>
        <v/>
      </c>
      <c r="T78" s="366" t="str">
        <f t="shared" si="60"/>
        <v/>
      </c>
      <c r="U78" s="366" t="str">
        <f t="shared" si="61"/>
        <v/>
      </c>
      <c r="V78" s="365">
        <f t="shared" si="62"/>
        <v>0</v>
      </c>
      <c r="W78" s="365">
        <f t="shared" si="63"/>
        <v>0</v>
      </c>
      <c r="X78" s="367">
        <f t="shared" si="64"/>
        <v>0</v>
      </c>
      <c r="Y78" s="367">
        <f t="shared" si="65"/>
        <v>0</v>
      </c>
      <c r="Z78" s="367">
        <f t="shared" si="66"/>
        <v>0</v>
      </c>
      <c r="AA78" s="368" t="str">
        <f t="shared" si="67"/>
        <v/>
      </c>
      <c r="AB78" s="365" t="str">
        <f t="shared" si="49"/>
        <v/>
      </c>
      <c r="AC78" s="366" t="str">
        <f t="shared" si="50"/>
        <v/>
      </c>
      <c r="AD78" s="353" t="str">
        <f t="shared" si="51"/>
        <v/>
      </c>
      <c r="AE78" s="377" t="str">
        <f t="shared" si="52"/>
        <v/>
      </c>
      <c r="AF78" s="369"/>
      <c r="AG78" s="369"/>
      <c r="AH78" s="367">
        <f t="shared" si="68"/>
        <v>0</v>
      </c>
      <c r="AI78" s="367">
        <f t="shared" si="69"/>
        <v>0</v>
      </c>
      <c r="AJ78" s="367">
        <f t="shared" si="70"/>
        <v>0</v>
      </c>
      <c r="AK78" s="367" t="e">
        <f t="shared" si="71"/>
        <v>#VALUE!</v>
      </c>
      <c r="AL78" s="368" t="e">
        <f t="shared" si="72"/>
        <v>#VALUE!</v>
      </c>
      <c r="AM78" s="370">
        <f t="shared" si="73"/>
        <v>0</v>
      </c>
      <c r="AN78" s="358">
        <f t="shared" si="74"/>
        <v>0</v>
      </c>
      <c r="AO78" s="371">
        <f t="shared" si="75"/>
        <v>0</v>
      </c>
      <c r="AP78" s="1429"/>
      <c r="AQ78" s="360">
        <f t="shared" si="76"/>
        <v>0</v>
      </c>
      <c r="AR78" s="360">
        <f t="shared" si="77"/>
        <v>0</v>
      </c>
      <c r="AS78" s="360" t="e">
        <f t="shared" si="78"/>
        <v>#VALUE!</v>
      </c>
      <c r="AT78" s="361" t="e">
        <f t="shared" si="79"/>
        <v>#VALUE!</v>
      </c>
      <c r="AU78" s="361" t="e">
        <f t="shared" si="80"/>
        <v>#VALUE!</v>
      </c>
      <c r="AV78" s="360" t="e">
        <f t="shared" si="81"/>
        <v>#VALUE!</v>
      </c>
      <c r="AW78" s="360">
        <f t="shared" si="82"/>
        <v>0</v>
      </c>
      <c r="AX78" s="360">
        <f t="shared" si="83"/>
        <v>0</v>
      </c>
      <c r="AY78" s="360" t="e">
        <f t="shared" si="84"/>
        <v>#VALUE!</v>
      </c>
      <c r="AZ78" s="361" t="e">
        <f t="shared" si="85"/>
        <v>#VALUE!</v>
      </c>
      <c r="BA78" s="361" t="e">
        <f t="shared" si="86"/>
        <v>#VALUE!</v>
      </c>
      <c r="BB78" s="360" t="e">
        <f t="shared" si="87"/>
        <v>#VALUE!</v>
      </c>
      <c r="BC78" s="347"/>
      <c r="BD78" s="347"/>
      <c r="BE78" s="347"/>
    </row>
    <row r="79" spans="1:57" ht="15.75">
      <c r="A79" s="347">
        <f t="shared" si="53"/>
        <v>0</v>
      </c>
      <c r="B79" s="347">
        <f t="shared" si="47"/>
        <v>0</v>
      </c>
      <c r="C79" s="1410"/>
      <c r="D79" s="362"/>
      <c r="E79" s="540"/>
      <c r="F79" s="363"/>
      <c r="G79" s="364"/>
      <c r="H79" s="364"/>
      <c r="I79" s="364"/>
      <c r="J79" s="364"/>
      <c r="K79" s="364"/>
      <c r="L79" s="364"/>
      <c r="M79" s="339">
        <f t="shared" si="54"/>
        <v>-50000</v>
      </c>
      <c r="N79" s="339">
        <f t="shared" si="55"/>
        <v>-75000</v>
      </c>
      <c r="O79" s="365">
        <f t="shared" si="56"/>
        <v>0</v>
      </c>
      <c r="P79" s="365">
        <f t="shared" si="57"/>
        <v>0</v>
      </c>
      <c r="Q79" s="365">
        <f t="shared" si="58"/>
        <v>0</v>
      </c>
      <c r="R79" s="339" t="str">
        <f t="shared" si="48"/>
        <v/>
      </c>
      <c r="S79" s="365" t="str">
        <f t="shared" si="59"/>
        <v/>
      </c>
      <c r="T79" s="366" t="str">
        <f t="shared" si="60"/>
        <v/>
      </c>
      <c r="U79" s="366" t="str">
        <f t="shared" si="61"/>
        <v/>
      </c>
      <c r="V79" s="365">
        <f t="shared" si="62"/>
        <v>0</v>
      </c>
      <c r="W79" s="365">
        <f t="shared" si="63"/>
        <v>0</v>
      </c>
      <c r="X79" s="367">
        <f t="shared" si="64"/>
        <v>0</v>
      </c>
      <c r="Y79" s="367">
        <f t="shared" si="65"/>
        <v>0</v>
      </c>
      <c r="Z79" s="367">
        <f t="shared" si="66"/>
        <v>0</v>
      </c>
      <c r="AA79" s="368" t="str">
        <f t="shared" si="67"/>
        <v/>
      </c>
      <c r="AB79" s="365" t="str">
        <f t="shared" si="49"/>
        <v/>
      </c>
      <c r="AC79" s="366" t="str">
        <f t="shared" si="50"/>
        <v/>
      </c>
      <c r="AD79" s="353" t="str">
        <f t="shared" si="51"/>
        <v/>
      </c>
      <c r="AE79" s="377" t="str">
        <f t="shared" si="52"/>
        <v/>
      </c>
      <c r="AF79" s="369"/>
      <c r="AG79" s="369"/>
      <c r="AH79" s="367">
        <f t="shared" si="68"/>
        <v>0</v>
      </c>
      <c r="AI79" s="367">
        <f t="shared" si="69"/>
        <v>0</v>
      </c>
      <c r="AJ79" s="367">
        <f t="shared" si="70"/>
        <v>0</v>
      </c>
      <c r="AK79" s="367" t="e">
        <f t="shared" si="71"/>
        <v>#VALUE!</v>
      </c>
      <c r="AL79" s="368" t="e">
        <f t="shared" si="72"/>
        <v>#VALUE!</v>
      </c>
      <c r="AM79" s="370">
        <f t="shared" si="73"/>
        <v>0</v>
      </c>
      <c r="AN79" s="358">
        <f t="shared" si="74"/>
        <v>0</v>
      </c>
      <c r="AO79" s="371">
        <f t="shared" si="75"/>
        <v>0</v>
      </c>
      <c r="AP79" s="1429"/>
      <c r="AQ79" s="360">
        <f t="shared" si="76"/>
        <v>0</v>
      </c>
      <c r="AR79" s="360">
        <f t="shared" si="77"/>
        <v>0</v>
      </c>
      <c r="AS79" s="360" t="e">
        <f t="shared" si="78"/>
        <v>#VALUE!</v>
      </c>
      <c r="AT79" s="361" t="e">
        <f t="shared" si="79"/>
        <v>#VALUE!</v>
      </c>
      <c r="AU79" s="361" t="e">
        <f t="shared" si="80"/>
        <v>#VALUE!</v>
      </c>
      <c r="AV79" s="360" t="e">
        <f t="shared" si="81"/>
        <v>#VALUE!</v>
      </c>
      <c r="AW79" s="360">
        <f t="shared" si="82"/>
        <v>0</v>
      </c>
      <c r="AX79" s="360">
        <f t="shared" si="83"/>
        <v>0</v>
      </c>
      <c r="AY79" s="360" t="e">
        <f t="shared" si="84"/>
        <v>#VALUE!</v>
      </c>
      <c r="AZ79" s="361" t="e">
        <f t="shared" si="85"/>
        <v>#VALUE!</v>
      </c>
      <c r="BA79" s="361" t="e">
        <f t="shared" si="86"/>
        <v>#VALUE!</v>
      </c>
      <c r="BB79" s="360" t="e">
        <f t="shared" si="87"/>
        <v>#VALUE!</v>
      </c>
      <c r="BC79" s="347"/>
      <c r="BD79" s="347"/>
      <c r="BE79" s="347"/>
    </row>
    <row r="80" spans="1:57" ht="15.75">
      <c r="A80" s="347">
        <f t="shared" si="53"/>
        <v>0</v>
      </c>
      <c r="B80" s="347">
        <f t="shared" si="47"/>
        <v>0</v>
      </c>
      <c r="C80" s="1410"/>
      <c r="D80" s="362"/>
      <c r="E80" s="540"/>
      <c r="F80" s="363"/>
      <c r="G80" s="364"/>
      <c r="H80" s="364"/>
      <c r="I80" s="364"/>
      <c r="J80" s="364"/>
      <c r="K80" s="364"/>
      <c r="L80" s="364"/>
      <c r="M80" s="339">
        <f t="shared" si="54"/>
        <v>-50000</v>
      </c>
      <c r="N80" s="339">
        <f t="shared" si="55"/>
        <v>-75000</v>
      </c>
      <c r="O80" s="365">
        <f t="shared" si="56"/>
        <v>0</v>
      </c>
      <c r="P80" s="365">
        <f t="shared" si="57"/>
        <v>0</v>
      </c>
      <c r="Q80" s="365">
        <f t="shared" si="58"/>
        <v>0</v>
      </c>
      <c r="R80" s="339" t="str">
        <f t="shared" si="48"/>
        <v/>
      </c>
      <c r="S80" s="365" t="str">
        <f t="shared" si="59"/>
        <v/>
      </c>
      <c r="T80" s="366" t="str">
        <f t="shared" si="60"/>
        <v/>
      </c>
      <c r="U80" s="366" t="str">
        <f t="shared" si="61"/>
        <v/>
      </c>
      <c r="V80" s="365">
        <f t="shared" si="62"/>
        <v>0</v>
      </c>
      <c r="W80" s="365">
        <f t="shared" si="63"/>
        <v>0</v>
      </c>
      <c r="X80" s="367">
        <f t="shared" si="64"/>
        <v>0</v>
      </c>
      <c r="Y80" s="367">
        <f t="shared" si="65"/>
        <v>0</v>
      </c>
      <c r="Z80" s="367">
        <f t="shared" si="66"/>
        <v>0</v>
      </c>
      <c r="AA80" s="368" t="str">
        <f t="shared" si="67"/>
        <v/>
      </c>
      <c r="AB80" s="365" t="str">
        <f t="shared" si="49"/>
        <v/>
      </c>
      <c r="AC80" s="366" t="str">
        <f t="shared" si="50"/>
        <v/>
      </c>
      <c r="AD80" s="353" t="str">
        <f t="shared" si="51"/>
        <v/>
      </c>
      <c r="AE80" s="377" t="str">
        <f t="shared" si="52"/>
        <v/>
      </c>
      <c r="AF80" s="369"/>
      <c r="AG80" s="369"/>
      <c r="AH80" s="367">
        <f t="shared" si="68"/>
        <v>0</v>
      </c>
      <c r="AI80" s="367">
        <f t="shared" si="69"/>
        <v>0</v>
      </c>
      <c r="AJ80" s="367">
        <f t="shared" si="70"/>
        <v>0</v>
      </c>
      <c r="AK80" s="367" t="e">
        <f t="shared" si="71"/>
        <v>#VALUE!</v>
      </c>
      <c r="AL80" s="368" t="e">
        <f t="shared" si="72"/>
        <v>#VALUE!</v>
      </c>
      <c r="AM80" s="370">
        <f t="shared" si="73"/>
        <v>0</v>
      </c>
      <c r="AN80" s="358">
        <f t="shared" si="74"/>
        <v>0</v>
      </c>
      <c r="AO80" s="371">
        <f t="shared" si="75"/>
        <v>0</v>
      </c>
      <c r="AP80" s="1429"/>
      <c r="AQ80" s="360">
        <f t="shared" si="76"/>
        <v>0</v>
      </c>
      <c r="AR80" s="360">
        <f t="shared" si="77"/>
        <v>0</v>
      </c>
      <c r="AS80" s="360" t="e">
        <f t="shared" si="78"/>
        <v>#VALUE!</v>
      </c>
      <c r="AT80" s="361" t="e">
        <f t="shared" si="79"/>
        <v>#VALUE!</v>
      </c>
      <c r="AU80" s="361" t="e">
        <f t="shared" si="80"/>
        <v>#VALUE!</v>
      </c>
      <c r="AV80" s="360" t="e">
        <f t="shared" si="81"/>
        <v>#VALUE!</v>
      </c>
      <c r="AW80" s="360">
        <f t="shared" si="82"/>
        <v>0</v>
      </c>
      <c r="AX80" s="360">
        <f t="shared" si="83"/>
        <v>0</v>
      </c>
      <c r="AY80" s="360" t="e">
        <f t="shared" si="84"/>
        <v>#VALUE!</v>
      </c>
      <c r="AZ80" s="361" t="e">
        <f t="shared" si="85"/>
        <v>#VALUE!</v>
      </c>
      <c r="BA80" s="361" t="e">
        <f t="shared" si="86"/>
        <v>#VALUE!</v>
      </c>
      <c r="BB80" s="360" t="e">
        <f t="shared" si="87"/>
        <v>#VALUE!</v>
      </c>
      <c r="BC80" s="347"/>
      <c r="BD80" s="347"/>
      <c r="BE80" s="347"/>
    </row>
    <row r="81" spans="1:57" ht="15.75">
      <c r="A81" s="347">
        <f t="shared" si="53"/>
        <v>0</v>
      </c>
      <c r="B81" s="347">
        <f t="shared" si="47"/>
        <v>0</v>
      </c>
      <c r="C81" s="1410"/>
      <c r="D81" s="362"/>
      <c r="E81" s="540"/>
      <c r="F81" s="363"/>
      <c r="G81" s="364"/>
      <c r="H81" s="364"/>
      <c r="I81" s="364"/>
      <c r="J81" s="364"/>
      <c r="K81" s="364"/>
      <c r="L81" s="364"/>
      <c r="M81" s="339">
        <f t="shared" si="54"/>
        <v>-50000</v>
      </c>
      <c r="N81" s="339">
        <f t="shared" si="55"/>
        <v>-75000</v>
      </c>
      <c r="O81" s="365">
        <f t="shared" si="56"/>
        <v>0</v>
      </c>
      <c r="P81" s="365">
        <f t="shared" si="57"/>
        <v>0</v>
      </c>
      <c r="Q81" s="365">
        <f t="shared" si="58"/>
        <v>0</v>
      </c>
      <c r="R81" s="339" t="str">
        <f t="shared" si="48"/>
        <v/>
      </c>
      <c r="S81" s="365" t="str">
        <f t="shared" si="59"/>
        <v/>
      </c>
      <c r="T81" s="366" t="str">
        <f t="shared" si="60"/>
        <v/>
      </c>
      <c r="U81" s="366" t="str">
        <f t="shared" si="61"/>
        <v/>
      </c>
      <c r="V81" s="365">
        <f t="shared" si="62"/>
        <v>0</v>
      </c>
      <c r="W81" s="365">
        <f t="shared" si="63"/>
        <v>0</v>
      </c>
      <c r="X81" s="367">
        <f t="shared" si="64"/>
        <v>0</v>
      </c>
      <c r="Y81" s="367">
        <f t="shared" si="65"/>
        <v>0</v>
      </c>
      <c r="Z81" s="367">
        <f t="shared" si="66"/>
        <v>0</v>
      </c>
      <c r="AA81" s="368" t="str">
        <f t="shared" si="67"/>
        <v/>
      </c>
      <c r="AB81" s="365" t="str">
        <f t="shared" si="49"/>
        <v/>
      </c>
      <c r="AC81" s="366" t="str">
        <f t="shared" si="50"/>
        <v/>
      </c>
      <c r="AD81" s="353" t="str">
        <f t="shared" si="51"/>
        <v/>
      </c>
      <c r="AE81" s="377" t="str">
        <f t="shared" si="52"/>
        <v/>
      </c>
      <c r="AF81" s="369"/>
      <c r="AG81" s="369"/>
      <c r="AH81" s="367">
        <f t="shared" si="68"/>
        <v>0</v>
      </c>
      <c r="AI81" s="367">
        <f t="shared" si="69"/>
        <v>0</v>
      </c>
      <c r="AJ81" s="367">
        <f t="shared" si="70"/>
        <v>0</v>
      </c>
      <c r="AK81" s="367" t="e">
        <f t="shared" si="71"/>
        <v>#VALUE!</v>
      </c>
      <c r="AL81" s="368" t="e">
        <f t="shared" si="72"/>
        <v>#VALUE!</v>
      </c>
      <c r="AM81" s="370">
        <f t="shared" si="73"/>
        <v>0</v>
      </c>
      <c r="AN81" s="358">
        <f t="shared" si="74"/>
        <v>0</v>
      </c>
      <c r="AO81" s="371">
        <f t="shared" si="75"/>
        <v>0</v>
      </c>
      <c r="AP81" s="1429"/>
      <c r="AQ81" s="360">
        <f t="shared" si="76"/>
        <v>0</v>
      </c>
      <c r="AR81" s="360">
        <f t="shared" si="77"/>
        <v>0</v>
      </c>
      <c r="AS81" s="360" t="e">
        <f t="shared" si="78"/>
        <v>#VALUE!</v>
      </c>
      <c r="AT81" s="361" t="e">
        <f t="shared" si="79"/>
        <v>#VALUE!</v>
      </c>
      <c r="AU81" s="361" t="e">
        <f t="shared" si="80"/>
        <v>#VALUE!</v>
      </c>
      <c r="AV81" s="360" t="e">
        <f t="shared" si="81"/>
        <v>#VALUE!</v>
      </c>
      <c r="AW81" s="360">
        <f t="shared" si="82"/>
        <v>0</v>
      </c>
      <c r="AX81" s="360">
        <f t="shared" si="83"/>
        <v>0</v>
      </c>
      <c r="AY81" s="360" t="e">
        <f t="shared" si="84"/>
        <v>#VALUE!</v>
      </c>
      <c r="AZ81" s="361" t="e">
        <f t="shared" si="85"/>
        <v>#VALUE!</v>
      </c>
      <c r="BA81" s="361" t="e">
        <f t="shared" si="86"/>
        <v>#VALUE!</v>
      </c>
      <c r="BB81" s="360" t="e">
        <f t="shared" si="87"/>
        <v>#VALUE!</v>
      </c>
      <c r="BC81" s="347"/>
      <c r="BD81" s="347"/>
      <c r="BE81" s="347"/>
    </row>
    <row r="82" spans="1:57" ht="15.75">
      <c r="A82" s="347">
        <f t="shared" si="53"/>
        <v>0</v>
      </c>
      <c r="B82" s="347">
        <f t="shared" si="47"/>
        <v>0</v>
      </c>
      <c r="C82" s="1410"/>
      <c r="D82" s="362"/>
      <c r="E82" s="540"/>
      <c r="F82" s="363"/>
      <c r="G82" s="364"/>
      <c r="H82" s="364"/>
      <c r="I82" s="364"/>
      <c r="J82" s="364"/>
      <c r="K82" s="364"/>
      <c r="L82" s="364"/>
      <c r="M82" s="339">
        <f t="shared" si="54"/>
        <v>-50000</v>
      </c>
      <c r="N82" s="339">
        <f t="shared" si="55"/>
        <v>-75000</v>
      </c>
      <c r="O82" s="365">
        <f t="shared" si="56"/>
        <v>0</v>
      </c>
      <c r="P82" s="365">
        <f t="shared" si="57"/>
        <v>0</v>
      </c>
      <c r="Q82" s="365">
        <f t="shared" si="58"/>
        <v>0</v>
      </c>
      <c r="R82" s="339" t="str">
        <f t="shared" si="48"/>
        <v/>
      </c>
      <c r="S82" s="365" t="str">
        <f t="shared" si="59"/>
        <v/>
      </c>
      <c r="T82" s="366" t="str">
        <f t="shared" si="60"/>
        <v/>
      </c>
      <c r="U82" s="366" t="str">
        <f t="shared" si="61"/>
        <v/>
      </c>
      <c r="V82" s="365">
        <f t="shared" si="62"/>
        <v>0</v>
      </c>
      <c r="W82" s="365">
        <f t="shared" si="63"/>
        <v>0</v>
      </c>
      <c r="X82" s="367">
        <f t="shared" si="64"/>
        <v>0</v>
      </c>
      <c r="Y82" s="367">
        <f t="shared" si="65"/>
        <v>0</v>
      </c>
      <c r="Z82" s="367">
        <f t="shared" si="66"/>
        <v>0</v>
      </c>
      <c r="AA82" s="368" t="str">
        <f t="shared" si="67"/>
        <v/>
      </c>
      <c r="AB82" s="365" t="str">
        <f t="shared" si="49"/>
        <v/>
      </c>
      <c r="AC82" s="366" t="str">
        <f t="shared" si="50"/>
        <v/>
      </c>
      <c r="AD82" s="353" t="str">
        <f t="shared" si="51"/>
        <v/>
      </c>
      <c r="AE82" s="377" t="str">
        <f t="shared" si="52"/>
        <v/>
      </c>
      <c r="AF82" s="369"/>
      <c r="AG82" s="369"/>
      <c r="AH82" s="367">
        <f t="shared" si="68"/>
        <v>0</v>
      </c>
      <c r="AI82" s="367">
        <f t="shared" si="69"/>
        <v>0</v>
      </c>
      <c r="AJ82" s="367">
        <f t="shared" si="70"/>
        <v>0</v>
      </c>
      <c r="AK82" s="367" t="e">
        <f t="shared" si="71"/>
        <v>#VALUE!</v>
      </c>
      <c r="AL82" s="368" t="e">
        <f t="shared" si="72"/>
        <v>#VALUE!</v>
      </c>
      <c r="AM82" s="370">
        <f t="shared" si="73"/>
        <v>0</v>
      </c>
      <c r="AN82" s="358">
        <f t="shared" si="74"/>
        <v>0</v>
      </c>
      <c r="AO82" s="371">
        <f t="shared" si="75"/>
        <v>0</v>
      </c>
      <c r="AP82" s="1429"/>
      <c r="AQ82" s="360">
        <f t="shared" si="76"/>
        <v>0</v>
      </c>
      <c r="AR82" s="360">
        <f t="shared" si="77"/>
        <v>0</v>
      </c>
      <c r="AS82" s="360" t="e">
        <f t="shared" si="78"/>
        <v>#VALUE!</v>
      </c>
      <c r="AT82" s="361" t="e">
        <f t="shared" si="79"/>
        <v>#VALUE!</v>
      </c>
      <c r="AU82" s="361" t="e">
        <f t="shared" si="80"/>
        <v>#VALUE!</v>
      </c>
      <c r="AV82" s="360" t="e">
        <f t="shared" si="81"/>
        <v>#VALUE!</v>
      </c>
      <c r="AW82" s="360">
        <f t="shared" si="82"/>
        <v>0</v>
      </c>
      <c r="AX82" s="360">
        <f t="shared" si="83"/>
        <v>0</v>
      </c>
      <c r="AY82" s="360" t="e">
        <f t="shared" si="84"/>
        <v>#VALUE!</v>
      </c>
      <c r="AZ82" s="361" t="e">
        <f t="shared" si="85"/>
        <v>#VALUE!</v>
      </c>
      <c r="BA82" s="361" t="e">
        <f t="shared" si="86"/>
        <v>#VALUE!</v>
      </c>
      <c r="BB82" s="360" t="e">
        <f t="shared" si="87"/>
        <v>#VALUE!</v>
      </c>
      <c r="BC82" s="347"/>
      <c r="BD82" s="347"/>
      <c r="BE82" s="347"/>
    </row>
    <row r="83" spans="1:57" ht="15.75">
      <c r="A83" s="347">
        <f t="shared" si="53"/>
        <v>0</v>
      </c>
      <c r="B83" s="347">
        <f t="shared" si="47"/>
        <v>0</v>
      </c>
      <c r="C83" s="1410"/>
      <c r="D83" s="362"/>
      <c r="E83" s="540"/>
      <c r="F83" s="363"/>
      <c r="G83" s="364"/>
      <c r="H83" s="364"/>
      <c r="I83" s="364"/>
      <c r="J83" s="364"/>
      <c r="K83" s="364"/>
      <c r="L83" s="364"/>
      <c r="M83" s="339">
        <f t="shared" si="54"/>
        <v>-50000</v>
      </c>
      <c r="N83" s="339">
        <f t="shared" si="55"/>
        <v>-75000</v>
      </c>
      <c r="O83" s="365">
        <f t="shared" si="56"/>
        <v>0</v>
      </c>
      <c r="P83" s="365">
        <f t="shared" si="57"/>
        <v>0</v>
      </c>
      <c r="Q83" s="365">
        <f t="shared" si="58"/>
        <v>0</v>
      </c>
      <c r="R83" s="339" t="str">
        <f t="shared" si="48"/>
        <v/>
      </c>
      <c r="S83" s="365" t="str">
        <f t="shared" si="59"/>
        <v/>
      </c>
      <c r="T83" s="366" t="str">
        <f t="shared" si="60"/>
        <v/>
      </c>
      <c r="U83" s="366" t="str">
        <f t="shared" si="61"/>
        <v/>
      </c>
      <c r="V83" s="365">
        <f t="shared" si="62"/>
        <v>0</v>
      </c>
      <c r="W83" s="365">
        <f t="shared" si="63"/>
        <v>0</v>
      </c>
      <c r="X83" s="367">
        <f t="shared" si="64"/>
        <v>0</v>
      </c>
      <c r="Y83" s="367">
        <f t="shared" si="65"/>
        <v>0</v>
      </c>
      <c r="Z83" s="367">
        <f t="shared" si="66"/>
        <v>0</v>
      </c>
      <c r="AA83" s="368" t="str">
        <f t="shared" si="67"/>
        <v/>
      </c>
      <c r="AB83" s="365" t="str">
        <f t="shared" si="49"/>
        <v/>
      </c>
      <c r="AC83" s="366" t="str">
        <f t="shared" si="50"/>
        <v/>
      </c>
      <c r="AD83" s="353" t="str">
        <f t="shared" si="51"/>
        <v/>
      </c>
      <c r="AE83" s="377" t="str">
        <f t="shared" si="52"/>
        <v/>
      </c>
      <c r="AF83" s="369"/>
      <c r="AG83" s="369"/>
      <c r="AH83" s="367">
        <f t="shared" si="68"/>
        <v>0</v>
      </c>
      <c r="AI83" s="367">
        <f t="shared" si="69"/>
        <v>0</v>
      </c>
      <c r="AJ83" s="367">
        <f t="shared" si="70"/>
        <v>0</v>
      </c>
      <c r="AK83" s="367" t="e">
        <f t="shared" si="71"/>
        <v>#VALUE!</v>
      </c>
      <c r="AL83" s="368" t="e">
        <f t="shared" si="72"/>
        <v>#VALUE!</v>
      </c>
      <c r="AM83" s="370">
        <f t="shared" si="73"/>
        <v>0</v>
      </c>
      <c r="AN83" s="358">
        <f t="shared" si="74"/>
        <v>0</v>
      </c>
      <c r="AO83" s="371">
        <f t="shared" si="75"/>
        <v>0</v>
      </c>
      <c r="AP83" s="1429"/>
      <c r="AQ83" s="360">
        <f t="shared" si="76"/>
        <v>0</v>
      </c>
      <c r="AR83" s="360">
        <f t="shared" si="77"/>
        <v>0</v>
      </c>
      <c r="AS83" s="360" t="e">
        <f t="shared" si="78"/>
        <v>#VALUE!</v>
      </c>
      <c r="AT83" s="361" t="e">
        <f t="shared" si="79"/>
        <v>#VALUE!</v>
      </c>
      <c r="AU83" s="361" t="e">
        <f t="shared" si="80"/>
        <v>#VALUE!</v>
      </c>
      <c r="AV83" s="360" t="e">
        <f t="shared" si="81"/>
        <v>#VALUE!</v>
      </c>
      <c r="AW83" s="360">
        <f t="shared" si="82"/>
        <v>0</v>
      </c>
      <c r="AX83" s="360">
        <f t="shared" si="83"/>
        <v>0</v>
      </c>
      <c r="AY83" s="360" t="e">
        <f t="shared" si="84"/>
        <v>#VALUE!</v>
      </c>
      <c r="AZ83" s="361" t="e">
        <f t="shared" si="85"/>
        <v>#VALUE!</v>
      </c>
      <c r="BA83" s="361" t="e">
        <f t="shared" si="86"/>
        <v>#VALUE!</v>
      </c>
      <c r="BB83" s="360" t="e">
        <f t="shared" si="87"/>
        <v>#VALUE!</v>
      </c>
      <c r="BC83" s="347"/>
      <c r="BD83" s="347"/>
      <c r="BE83" s="347"/>
    </row>
    <row r="84" spans="1:57" ht="15.75">
      <c r="A84" s="347">
        <f t="shared" si="53"/>
        <v>0</v>
      </c>
      <c r="B84" s="347">
        <f t="shared" si="47"/>
        <v>0</v>
      </c>
      <c r="C84" s="1410"/>
      <c r="D84" s="362"/>
      <c r="E84" s="540"/>
      <c r="F84" s="363"/>
      <c r="G84" s="364"/>
      <c r="H84" s="364"/>
      <c r="I84" s="364"/>
      <c r="J84" s="364"/>
      <c r="K84" s="364"/>
      <c r="L84" s="364"/>
      <c r="M84" s="339">
        <f t="shared" si="54"/>
        <v>-50000</v>
      </c>
      <c r="N84" s="339">
        <f t="shared" si="55"/>
        <v>-75000</v>
      </c>
      <c r="O84" s="365">
        <f t="shared" si="56"/>
        <v>0</v>
      </c>
      <c r="P84" s="365">
        <f t="shared" si="57"/>
        <v>0</v>
      </c>
      <c r="Q84" s="365">
        <f t="shared" si="58"/>
        <v>0</v>
      </c>
      <c r="R84" s="339" t="str">
        <f t="shared" si="48"/>
        <v/>
      </c>
      <c r="S84" s="365" t="str">
        <f t="shared" si="59"/>
        <v/>
      </c>
      <c r="T84" s="366" t="str">
        <f t="shared" si="60"/>
        <v/>
      </c>
      <c r="U84" s="366" t="str">
        <f t="shared" si="61"/>
        <v/>
      </c>
      <c r="V84" s="365">
        <f t="shared" si="62"/>
        <v>0</v>
      </c>
      <c r="W84" s="365">
        <f t="shared" si="63"/>
        <v>0</v>
      </c>
      <c r="X84" s="367">
        <f t="shared" si="64"/>
        <v>0</v>
      </c>
      <c r="Y84" s="367">
        <f t="shared" si="65"/>
        <v>0</v>
      </c>
      <c r="Z84" s="367">
        <f t="shared" si="66"/>
        <v>0</v>
      </c>
      <c r="AA84" s="368" t="str">
        <f t="shared" si="67"/>
        <v/>
      </c>
      <c r="AB84" s="365" t="str">
        <f t="shared" si="49"/>
        <v/>
      </c>
      <c r="AC84" s="366" t="str">
        <f t="shared" si="50"/>
        <v/>
      </c>
      <c r="AD84" s="353" t="str">
        <f t="shared" si="51"/>
        <v/>
      </c>
      <c r="AE84" s="377" t="str">
        <f t="shared" si="52"/>
        <v/>
      </c>
      <c r="AF84" s="369"/>
      <c r="AG84" s="369"/>
      <c r="AH84" s="367">
        <f t="shared" si="68"/>
        <v>0</v>
      </c>
      <c r="AI84" s="367">
        <f t="shared" si="69"/>
        <v>0</v>
      </c>
      <c r="AJ84" s="367">
        <f t="shared" si="70"/>
        <v>0</v>
      </c>
      <c r="AK84" s="367" t="e">
        <f t="shared" si="71"/>
        <v>#VALUE!</v>
      </c>
      <c r="AL84" s="368" t="e">
        <f t="shared" si="72"/>
        <v>#VALUE!</v>
      </c>
      <c r="AM84" s="370">
        <f t="shared" si="73"/>
        <v>0</v>
      </c>
      <c r="AN84" s="358">
        <f t="shared" si="74"/>
        <v>0</v>
      </c>
      <c r="AO84" s="371">
        <f t="shared" si="75"/>
        <v>0</v>
      </c>
      <c r="AP84" s="1429"/>
      <c r="AQ84" s="360">
        <f t="shared" si="76"/>
        <v>0</v>
      </c>
      <c r="AR84" s="360">
        <f t="shared" si="77"/>
        <v>0</v>
      </c>
      <c r="AS84" s="360" t="e">
        <f t="shared" si="78"/>
        <v>#VALUE!</v>
      </c>
      <c r="AT84" s="361" t="e">
        <f t="shared" si="79"/>
        <v>#VALUE!</v>
      </c>
      <c r="AU84" s="361" t="e">
        <f t="shared" si="80"/>
        <v>#VALUE!</v>
      </c>
      <c r="AV84" s="360" t="e">
        <f t="shared" si="81"/>
        <v>#VALUE!</v>
      </c>
      <c r="AW84" s="360">
        <f t="shared" si="82"/>
        <v>0</v>
      </c>
      <c r="AX84" s="360">
        <f t="shared" si="83"/>
        <v>0</v>
      </c>
      <c r="AY84" s="360" t="e">
        <f t="shared" si="84"/>
        <v>#VALUE!</v>
      </c>
      <c r="AZ84" s="361" t="e">
        <f t="shared" si="85"/>
        <v>#VALUE!</v>
      </c>
      <c r="BA84" s="361" t="e">
        <f t="shared" si="86"/>
        <v>#VALUE!</v>
      </c>
      <c r="BB84" s="360" t="e">
        <f t="shared" si="87"/>
        <v>#VALUE!</v>
      </c>
      <c r="BC84" s="347"/>
      <c r="BD84" s="347"/>
      <c r="BE84" s="347"/>
    </row>
    <row r="85" spans="1:57" ht="15.75">
      <c r="A85" s="347">
        <f t="shared" si="53"/>
        <v>0</v>
      </c>
      <c r="B85" s="347">
        <f t="shared" si="47"/>
        <v>0</v>
      </c>
      <c r="C85" s="1410"/>
      <c r="D85" s="362"/>
      <c r="E85" s="540"/>
      <c r="F85" s="363"/>
      <c r="G85" s="364"/>
      <c r="H85" s="364"/>
      <c r="I85" s="364"/>
      <c r="J85" s="364"/>
      <c r="K85" s="364"/>
      <c r="L85" s="364"/>
      <c r="M85" s="339">
        <f t="shared" si="54"/>
        <v>-50000</v>
      </c>
      <c r="N85" s="339">
        <f t="shared" si="55"/>
        <v>-75000</v>
      </c>
      <c r="O85" s="365">
        <f t="shared" si="56"/>
        <v>0</v>
      </c>
      <c r="P85" s="365">
        <f t="shared" si="57"/>
        <v>0</v>
      </c>
      <c r="Q85" s="365">
        <f t="shared" si="58"/>
        <v>0</v>
      </c>
      <c r="R85" s="339" t="str">
        <f t="shared" si="48"/>
        <v/>
      </c>
      <c r="S85" s="365" t="str">
        <f t="shared" si="59"/>
        <v/>
      </c>
      <c r="T85" s="366" t="str">
        <f t="shared" si="60"/>
        <v/>
      </c>
      <c r="U85" s="366" t="str">
        <f t="shared" si="61"/>
        <v/>
      </c>
      <c r="V85" s="365">
        <f t="shared" si="62"/>
        <v>0</v>
      </c>
      <c r="W85" s="365">
        <f t="shared" si="63"/>
        <v>0</v>
      </c>
      <c r="X85" s="367">
        <f t="shared" si="64"/>
        <v>0</v>
      </c>
      <c r="Y85" s="367">
        <f t="shared" si="65"/>
        <v>0</v>
      </c>
      <c r="Z85" s="367">
        <f t="shared" si="66"/>
        <v>0</v>
      </c>
      <c r="AA85" s="368" t="str">
        <f t="shared" si="67"/>
        <v/>
      </c>
      <c r="AB85" s="365" t="str">
        <f t="shared" si="49"/>
        <v/>
      </c>
      <c r="AC85" s="366" t="str">
        <f t="shared" si="50"/>
        <v/>
      </c>
      <c r="AD85" s="353" t="str">
        <f t="shared" si="51"/>
        <v/>
      </c>
      <c r="AE85" s="377" t="str">
        <f t="shared" si="52"/>
        <v/>
      </c>
      <c r="AF85" s="369"/>
      <c r="AG85" s="369"/>
      <c r="AH85" s="367">
        <f t="shared" si="68"/>
        <v>0</v>
      </c>
      <c r="AI85" s="367">
        <f t="shared" si="69"/>
        <v>0</v>
      </c>
      <c r="AJ85" s="367">
        <f t="shared" si="70"/>
        <v>0</v>
      </c>
      <c r="AK85" s="367" t="e">
        <f t="shared" si="71"/>
        <v>#VALUE!</v>
      </c>
      <c r="AL85" s="368" t="e">
        <f t="shared" si="72"/>
        <v>#VALUE!</v>
      </c>
      <c r="AM85" s="370">
        <f t="shared" si="73"/>
        <v>0</v>
      </c>
      <c r="AN85" s="358">
        <f t="shared" si="74"/>
        <v>0</v>
      </c>
      <c r="AO85" s="371">
        <f t="shared" si="75"/>
        <v>0</v>
      </c>
      <c r="AP85" s="1429"/>
      <c r="AQ85" s="360">
        <f t="shared" si="76"/>
        <v>0</v>
      </c>
      <c r="AR85" s="360">
        <f t="shared" si="77"/>
        <v>0</v>
      </c>
      <c r="AS85" s="360" t="e">
        <f t="shared" si="78"/>
        <v>#VALUE!</v>
      </c>
      <c r="AT85" s="361" t="e">
        <f t="shared" si="79"/>
        <v>#VALUE!</v>
      </c>
      <c r="AU85" s="361" t="e">
        <f t="shared" si="80"/>
        <v>#VALUE!</v>
      </c>
      <c r="AV85" s="360" t="e">
        <f t="shared" si="81"/>
        <v>#VALUE!</v>
      </c>
      <c r="AW85" s="360">
        <f t="shared" si="82"/>
        <v>0</v>
      </c>
      <c r="AX85" s="360">
        <f t="shared" si="83"/>
        <v>0</v>
      </c>
      <c r="AY85" s="360" t="e">
        <f t="shared" si="84"/>
        <v>#VALUE!</v>
      </c>
      <c r="AZ85" s="361" t="e">
        <f t="shared" si="85"/>
        <v>#VALUE!</v>
      </c>
      <c r="BA85" s="361" t="e">
        <f t="shared" si="86"/>
        <v>#VALUE!</v>
      </c>
      <c r="BB85" s="360" t="e">
        <f t="shared" si="87"/>
        <v>#VALUE!</v>
      </c>
      <c r="BC85" s="347"/>
      <c r="BD85" s="347"/>
      <c r="BE85" s="347"/>
    </row>
    <row r="86" spans="1:57" ht="15.75">
      <c r="A86" s="347">
        <f t="shared" si="53"/>
        <v>0</v>
      </c>
      <c r="B86" s="347">
        <f t="shared" si="47"/>
        <v>0</v>
      </c>
      <c r="C86" s="1410"/>
      <c r="D86" s="362"/>
      <c r="E86" s="540"/>
      <c r="F86" s="363"/>
      <c r="G86" s="364"/>
      <c r="H86" s="364"/>
      <c r="I86" s="364"/>
      <c r="J86" s="364"/>
      <c r="K86" s="364"/>
      <c r="L86" s="364"/>
      <c r="M86" s="339">
        <f t="shared" si="54"/>
        <v>-50000</v>
      </c>
      <c r="N86" s="339">
        <f t="shared" si="55"/>
        <v>-75000</v>
      </c>
      <c r="O86" s="365">
        <f t="shared" si="56"/>
        <v>0</v>
      </c>
      <c r="P86" s="365">
        <f t="shared" si="57"/>
        <v>0</v>
      </c>
      <c r="Q86" s="365">
        <f t="shared" si="58"/>
        <v>0</v>
      </c>
      <c r="R86" s="339" t="str">
        <f t="shared" si="48"/>
        <v/>
      </c>
      <c r="S86" s="365" t="str">
        <f t="shared" si="59"/>
        <v/>
      </c>
      <c r="T86" s="366" t="str">
        <f t="shared" si="60"/>
        <v/>
      </c>
      <c r="U86" s="366" t="str">
        <f t="shared" si="61"/>
        <v/>
      </c>
      <c r="V86" s="365">
        <f t="shared" si="62"/>
        <v>0</v>
      </c>
      <c r="W86" s="365">
        <f t="shared" si="63"/>
        <v>0</v>
      </c>
      <c r="X86" s="367">
        <f t="shared" si="64"/>
        <v>0</v>
      </c>
      <c r="Y86" s="367">
        <f t="shared" si="65"/>
        <v>0</v>
      </c>
      <c r="Z86" s="367">
        <f t="shared" si="66"/>
        <v>0</v>
      </c>
      <c r="AA86" s="368" t="str">
        <f t="shared" si="67"/>
        <v/>
      </c>
      <c r="AB86" s="365" t="str">
        <f t="shared" si="49"/>
        <v/>
      </c>
      <c r="AC86" s="366" t="str">
        <f t="shared" si="50"/>
        <v/>
      </c>
      <c r="AD86" s="353" t="str">
        <f t="shared" si="51"/>
        <v/>
      </c>
      <c r="AE86" s="377" t="str">
        <f t="shared" si="52"/>
        <v/>
      </c>
      <c r="AF86" s="369"/>
      <c r="AG86" s="369"/>
      <c r="AH86" s="367">
        <f t="shared" si="68"/>
        <v>0</v>
      </c>
      <c r="AI86" s="367">
        <f t="shared" si="69"/>
        <v>0</v>
      </c>
      <c r="AJ86" s="367">
        <f t="shared" si="70"/>
        <v>0</v>
      </c>
      <c r="AK86" s="367" t="e">
        <f t="shared" si="71"/>
        <v>#VALUE!</v>
      </c>
      <c r="AL86" s="368" t="e">
        <f t="shared" si="72"/>
        <v>#VALUE!</v>
      </c>
      <c r="AM86" s="370">
        <f t="shared" si="73"/>
        <v>0</v>
      </c>
      <c r="AN86" s="358">
        <f t="shared" si="74"/>
        <v>0</v>
      </c>
      <c r="AO86" s="371">
        <f t="shared" si="75"/>
        <v>0</v>
      </c>
      <c r="AP86" s="1429"/>
      <c r="AQ86" s="360">
        <f t="shared" si="76"/>
        <v>0</v>
      </c>
      <c r="AR86" s="360">
        <f t="shared" si="77"/>
        <v>0</v>
      </c>
      <c r="AS86" s="360" t="e">
        <f t="shared" si="78"/>
        <v>#VALUE!</v>
      </c>
      <c r="AT86" s="361" t="e">
        <f t="shared" si="79"/>
        <v>#VALUE!</v>
      </c>
      <c r="AU86" s="361" t="e">
        <f t="shared" si="80"/>
        <v>#VALUE!</v>
      </c>
      <c r="AV86" s="360" t="e">
        <f t="shared" si="81"/>
        <v>#VALUE!</v>
      </c>
      <c r="AW86" s="360">
        <f t="shared" si="82"/>
        <v>0</v>
      </c>
      <c r="AX86" s="360">
        <f t="shared" si="83"/>
        <v>0</v>
      </c>
      <c r="AY86" s="360" t="e">
        <f t="shared" si="84"/>
        <v>#VALUE!</v>
      </c>
      <c r="AZ86" s="361" t="e">
        <f t="shared" si="85"/>
        <v>#VALUE!</v>
      </c>
      <c r="BA86" s="361" t="e">
        <f t="shared" si="86"/>
        <v>#VALUE!</v>
      </c>
      <c r="BB86" s="360" t="e">
        <f t="shared" si="87"/>
        <v>#VALUE!</v>
      </c>
      <c r="BC86" s="347"/>
      <c r="BD86" s="347"/>
      <c r="BE86" s="347"/>
    </row>
    <row r="87" spans="1:57" ht="15.75">
      <c r="A87" s="347">
        <f t="shared" si="53"/>
        <v>0</v>
      </c>
      <c r="B87" s="347">
        <f t="shared" si="47"/>
        <v>0</v>
      </c>
      <c r="C87" s="1410"/>
      <c r="D87" s="362"/>
      <c r="E87" s="540"/>
      <c r="F87" s="363"/>
      <c r="G87" s="364"/>
      <c r="H87" s="364"/>
      <c r="I87" s="364"/>
      <c r="J87" s="364"/>
      <c r="K87" s="364"/>
      <c r="L87" s="364"/>
      <c r="M87" s="339">
        <f t="shared" si="54"/>
        <v>-50000</v>
      </c>
      <c r="N87" s="339">
        <f t="shared" si="55"/>
        <v>-75000</v>
      </c>
      <c r="O87" s="365">
        <f t="shared" si="56"/>
        <v>0</v>
      </c>
      <c r="P87" s="365">
        <f t="shared" si="57"/>
        <v>0</v>
      </c>
      <c r="Q87" s="365">
        <f t="shared" si="58"/>
        <v>0</v>
      </c>
      <c r="R87" s="339" t="str">
        <f t="shared" si="48"/>
        <v/>
      </c>
      <c r="S87" s="365" t="str">
        <f t="shared" si="59"/>
        <v/>
      </c>
      <c r="T87" s="366" t="str">
        <f t="shared" si="60"/>
        <v/>
      </c>
      <c r="U87" s="366" t="str">
        <f t="shared" si="61"/>
        <v/>
      </c>
      <c r="V87" s="365">
        <f t="shared" si="62"/>
        <v>0</v>
      </c>
      <c r="W87" s="365">
        <f t="shared" si="63"/>
        <v>0</v>
      </c>
      <c r="X87" s="367">
        <f t="shared" si="64"/>
        <v>0</v>
      </c>
      <c r="Y87" s="367">
        <f t="shared" si="65"/>
        <v>0</v>
      </c>
      <c r="Z87" s="367">
        <f t="shared" si="66"/>
        <v>0</v>
      </c>
      <c r="AA87" s="368" t="str">
        <f t="shared" si="67"/>
        <v/>
      </c>
      <c r="AB87" s="365" t="str">
        <f t="shared" si="49"/>
        <v/>
      </c>
      <c r="AC87" s="366" t="str">
        <f t="shared" si="50"/>
        <v/>
      </c>
      <c r="AD87" s="353" t="str">
        <f t="shared" si="51"/>
        <v/>
      </c>
      <c r="AE87" s="377" t="str">
        <f t="shared" si="52"/>
        <v/>
      </c>
      <c r="AF87" s="369"/>
      <c r="AG87" s="369"/>
      <c r="AH87" s="367">
        <f t="shared" si="68"/>
        <v>0</v>
      </c>
      <c r="AI87" s="367">
        <f t="shared" si="69"/>
        <v>0</v>
      </c>
      <c r="AJ87" s="367">
        <f t="shared" si="70"/>
        <v>0</v>
      </c>
      <c r="AK87" s="367" t="e">
        <f t="shared" si="71"/>
        <v>#VALUE!</v>
      </c>
      <c r="AL87" s="368" t="e">
        <f t="shared" si="72"/>
        <v>#VALUE!</v>
      </c>
      <c r="AM87" s="370">
        <f t="shared" si="73"/>
        <v>0</v>
      </c>
      <c r="AN87" s="358">
        <f t="shared" si="74"/>
        <v>0</v>
      </c>
      <c r="AO87" s="371">
        <f t="shared" si="75"/>
        <v>0</v>
      </c>
      <c r="AP87" s="1429"/>
      <c r="AQ87" s="360">
        <f t="shared" si="76"/>
        <v>0</v>
      </c>
      <c r="AR87" s="360">
        <f t="shared" si="77"/>
        <v>0</v>
      </c>
      <c r="AS87" s="360" t="e">
        <f t="shared" si="78"/>
        <v>#VALUE!</v>
      </c>
      <c r="AT87" s="361" t="e">
        <f t="shared" si="79"/>
        <v>#VALUE!</v>
      </c>
      <c r="AU87" s="361" t="e">
        <f t="shared" si="80"/>
        <v>#VALUE!</v>
      </c>
      <c r="AV87" s="360" t="e">
        <f t="shared" si="81"/>
        <v>#VALUE!</v>
      </c>
      <c r="AW87" s="360">
        <f t="shared" si="82"/>
        <v>0</v>
      </c>
      <c r="AX87" s="360">
        <f t="shared" si="83"/>
        <v>0</v>
      </c>
      <c r="AY87" s="360" t="e">
        <f t="shared" si="84"/>
        <v>#VALUE!</v>
      </c>
      <c r="AZ87" s="361" t="e">
        <f t="shared" si="85"/>
        <v>#VALUE!</v>
      </c>
      <c r="BA87" s="361" t="e">
        <f t="shared" si="86"/>
        <v>#VALUE!</v>
      </c>
      <c r="BB87" s="360" t="e">
        <f t="shared" si="87"/>
        <v>#VALUE!</v>
      </c>
      <c r="BC87" s="347"/>
      <c r="BD87" s="347"/>
      <c r="BE87" s="347"/>
    </row>
    <row r="88" spans="1:57" ht="15.75">
      <c r="A88" s="347">
        <f t="shared" si="53"/>
        <v>0</v>
      </c>
      <c r="B88" s="347">
        <f t="shared" si="47"/>
        <v>0</v>
      </c>
      <c r="C88" s="1410"/>
      <c r="D88" s="362"/>
      <c r="E88" s="540"/>
      <c r="F88" s="363"/>
      <c r="G88" s="364"/>
      <c r="H88" s="364"/>
      <c r="I88" s="364"/>
      <c r="J88" s="364"/>
      <c r="K88" s="364"/>
      <c r="L88" s="364"/>
      <c r="M88" s="339">
        <f t="shared" si="54"/>
        <v>-50000</v>
      </c>
      <c r="N88" s="339">
        <f t="shared" si="55"/>
        <v>-75000</v>
      </c>
      <c r="O88" s="365">
        <f t="shared" si="56"/>
        <v>0</v>
      </c>
      <c r="P88" s="365">
        <f t="shared" si="57"/>
        <v>0</v>
      </c>
      <c r="Q88" s="365">
        <f t="shared" si="58"/>
        <v>0</v>
      </c>
      <c r="R88" s="339" t="str">
        <f t="shared" si="48"/>
        <v/>
      </c>
      <c r="S88" s="365" t="str">
        <f t="shared" si="59"/>
        <v/>
      </c>
      <c r="T88" s="366" t="str">
        <f t="shared" si="60"/>
        <v/>
      </c>
      <c r="U88" s="366" t="str">
        <f t="shared" si="61"/>
        <v/>
      </c>
      <c r="V88" s="365">
        <f t="shared" si="62"/>
        <v>0</v>
      </c>
      <c r="W88" s="365">
        <f t="shared" si="63"/>
        <v>0</v>
      </c>
      <c r="X88" s="367">
        <f t="shared" si="64"/>
        <v>0</v>
      </c>
      <c r="Y88" s="367">
        <f t="shared" si="65"/>
        <v>0</v>
      </c>
      <c r="Z88" s="367">
        <f t="shared" si="66"/>
        <v>0</v>
      </c>
      <c r="AA88" s="368" t="str">
        <f t="shared" si="67"/>
        <v/>
      </c>
      <c r="AB88" s="365" t="str">
        <f t="shared" si="49"/>
        <v/>
      </c>
      <c r="AC88" s="366" t="str">
        <f t="shared" si="50"/>
        <v/>
      </c>
      <c r="AD88" s="353" t="str">
        <f t="shared" si="51"/>
        <v/>
      </c>
      <c r="AE88" s="377" t="str">
        <f t="shared" si="52"/>
        <v/>
      </c>
      <c r="AF88" s="369"/>
      <c r="AG88" s="369"/>
      <c r="AH88" s="367">
        <f t="shared" si="68"/>
        <v>0</v>
      </c>
      <c r="AI88" s="367">
        <f t="shared" si="69"/>
        <v>0</v>
      </c>
      <c r="AJ88" s="367">
        <f t="shared" si="70"/>
        <v>0</v>
      </c>
      <c r="AK88" s="367" t="e">
        <f t="shared" si="71"/>
        <v>#VALUE!</v>
      </c>
      <c r="AL88" s="368" t="e">
        <f t="shared" si="72"/>
        <v>#VALUE!</v>
      </c>
      <c r="AM88" s="370">
        <f t="shared" si="73"/>
        <v>0</v>
      </c>
      <c r="AN88" s="358">
        <f t="shared" si="74"/>
        <v>0</v>
      </c>
      <c r="AO88" s="371">
        <f t="shared" si="75"/>
        <v>0</v>
      </c>
      <c r="AP88" s="1429"/>
      <c r="AQ88" s="360">
        <f t="shared" si="76"/>
        <v>0</v>
      </c>
      <c r="AR88" s="360">
        <f t="shared" si="77"/>
        <v>0</v>
      </c>
      <c r="AS88" s="360" t="e">
        <f t="shared" si="78"/>
        <v>#VALUE!</v>
      </c>
      <c r="AT88" s="361" t="e">
        <f t="shared" si="79"/>
        <v>#VALUE!</v>
      </c>
      <c r="AU88" s="361" t="e">
        <f t="shared" si="80"/>
        <v>#VALUE!</v>
      </c>
      <c r="AV88" s="360" t="e">
        <f t="shared" si="81"/>
        <v>#VALUE!</v>
      </c>
      <c r="AW88" s="360">
        <f t="shared" si="82"/>
        <v>0</v>
      </c>
      <c r="AX88" s="360">
        <f t="shared" si="83"/>
        <v>0</v>
      </c>
      <c r="AY88" s="360" t="e">
        <f t="shared" si="84"/>
        <v>#VALUE!</v>
      </c>
      <c r="AZ88" s="361" t="e">
        <f t="shared" si="85"/>
        <v>#VALUE!</v>
      </c>
      <c r="BA88" s="361" t="e">
        <f t="shared" si="86"/>
        <v>#VALUE!</v>
      </c>
      <c r="BB88" s="360" t="e">
        <f t="shared" si="87"/>
        <v>#VALUE!</v>
      </c>
      <c r="BC88" s="347"/>
      <c r="BD88" s="347"/>
      <c r="BE88" s="347"/>
    </row>
    <row r="89" spans="1:57" ht="15.75">
      <c r="A89" s="347">
        <f t="shared" si="53"/>
        <v>0</v>
      </c>
      <c r="B89" s="347">
        <f t="shared" si="47"/>
        <v>0</v>
      </c>
      <c r="C89" s="1410"/>
      <c r="D89" s="362"/>
      <c r="E89" s="540"/>
      <c r="F89" s="363"/>
      <c r="G89" s="364"/>
      <c r="H89" s="364"/>
      <c r="I89" s="364"/>
      <c r="J89" s="364"/>
      <c r="K89" s="364"/>
      <c r="L89" s="364"/>
      <c r="M89" s="339">
        <f t="shared" si="54"/>
        <v>-50000</v>
      </c>
      <c r="N89" s="339">
        <f t="shared" si="55"/>
        <v>-75000</v>
      </c>
      <c r="O89" s="365">
        <f t="shared" si="56"/>
        <v>0</v>
      </c>
      <c r="P89" s="365">
        <f t="shared" si="57"/>
        <v>0</v>
      </c>
      <c r="Q89" s="365">
        <f t="shared" si="58"/>
        <v>0</v>
      </c>
      <c r="R89" s="339" t="str">
        <f t="shared" si="48"/>
        <v/>
      </c>
      <c r="S89" s="365" t="str">
        <f t="shared" si="59"/>
        <v/>
      </c>
      <c r="T89" s="366" t="str">
        <f t="shared" si="60"/>
        <v/>
      </c>
      <c r="U89" s="366" t="str">
        <f t="shared" si="61"/>
        <v/>
      </c>
      <c r="V89" s="365">
        <f t="shared" si="62"/>
        <v>0</v>
      </c>
      <c r="W89" s="365">
        <f t="shared" si="63"/>
        <v>0</v>
      </c>
      <c r="X89" s="367">
        <f t="shared" si="64"/>
        <v>0</v>
      </c>
      <c r="Y89" s="367">
        <f t="shared" si="65"/>
        <v>0</v>
      </c>
      <c r="Z89" s="367">
        <f t="shared" si="66"/>
        <v>0</v>
      </c>
      <c r="AA89" s="368" t="str">
        <f t="shared" si="67"/>
        <v/>
      </c>
      <c r="AB89" s="365" t="str">
        <f t="shared" si="49"/>
        <v/>
      </c>
      <c r="AC89" s="366" t="str">
        <f t="shared" si="50"/>
        <v/>
      </c>
      <c r="AD89" s="353" t="str">
        <f t="shared" si="51"/>
        <v/>
      </c>
      <c r="AE89" s="377" t="str">
        <f t="shared" si="52"/>
        <v/>
      </c>
      <c r="AF89" s="369"/>
      <c r="AG89" s="369"/>
      <c r="AH89" s="367">
        <f t="shared" si="68"/>
        <v>0</v>
      </c>
      <c r="AI89" s="367">
        <f t="shared" si="69"/>
        <v>0</v>
      </c>
      <c r="AJ89" s="367">
        <f t="shared" si="70"/>
        <v>0</v>
      </c>
      <c r="AK89" s="367" t="e">
        <f t="shared" si="71"/>
        <v>#VALUE!</v>
      </c>
      <c r="AL89" s="368" t="e">
        <f t="shared" si="72"/>
        <v>#VALUE!</v>
      </c>
      <c r="AM89" s="370">
        <f t="shared" si="73"/>
        <v>0</v>
      </c>
      <c r="AN89" s="358">
        <f t="shared" si="74"/>
        <v>0</v>
      </c>
      <c r="AO89" s="371">
        <f t="shared" si="75"/>
        <v>0</v>
      </c>
      <c r="AP89" s="1429"/>
      <c r="AQ89" s="360">
        <f t="shared" si="76"/>
        <v>0</v>
      </c>
      <c r="AR89" s="360">
        <f t="shared" si="77"/>
        <v>0</v>
      </c>
      <c r="AS89" s="360" t="e">
        <f t="shared" si="78"/>
        <v>#VALUE!</v>
      </c>
      <c r="AT89" s="361" t="e">
        <f t="shared" si="79"/>
        <v>#VALUE!</v>
      </c>
      <c r="AU89" s="361" t="e">
        <f t="shared" si="80"/>
        <v>#VALUE!</v>
      </c>
      <c r="AV89" s="360" t="e">
        <f t="shared" si="81"/>
        <v>#VALUE!</v>
      </c>
      <c r="AW89" s="360">
        <f t="shared" si="82"/>
        <v>0</v>
      </c>
      <c r="AX89" s="360">
        <f t="shared" si="83"/>
        <v>0</v>
      </c>
      <c r="AY89" s="360" t="e">
        <f t="shared" si="84"/>
        <v>#VALUE!</v>
      </c>
      <c r="AZ89" s="361" t="e">
        <f t="shared" si="85"/>
        <v>#VALUE!</v>
      </c>
      <c r="BA89" s="361" t="e">
        <f t="shared" si="86"/>
        <v>#VALUE!</v>
      </c>
      <c r="BB89" s="360" t="e">
        <f t="shared" si="87"/>
        <v>#VALUE!</v>
      </c>
      <c r="BC89" s="347"/>
      <c r="BD89" s="347"/>
      <c r="BE89" s="347"/>
    </row>
    <row r="90" spans="1:57" ht="15.75">
      <c r="A90" s="347">
        <f t="shared" si="53"/>
        <v>0</v>
      </c>
      <c r="B90" s="347">
        <f t="shared" si="47"/>
        <v>0</v>
      </c>
      <c r="C90" s="1410"/>
      <c r="D90" s="362"/>
      <c r="E90" s="540"/>
      <c r="F90" s="363"/>
      <c r="G90" s="364"/>
      <c r="H90" s="364"/>
      <c r="I90" s="364"/>
      <c r="J90" s="364"/>
      <c r="K90" s="364"/>
      <c r="L90" s="364"/>
      <c r="M90" s="339">
        <f t="shared" si="54"/>
        <v>-50000</v>
      </c>
      <c r="N90" s="339">
        <f t="shared" si="55"/>
        <v>-75000</v>
      </c>
      <c r="O90" s="365">
        <f t="shared" si="56"/>
        <v>0</v>
      </c>
      <c r="P90" s="365">
        <f t="shared" si="57"/>
        <v>0</v>
      </c>
      <c r="Q90" s="365">
        <f t="shared" si="58"/>
        <v>0</v>
      </c>
      <c r="R90" s="339" t="str">
        <f t="shared" si="48"/>
        <v/>
      </c>
      <c r="S90" s="365" t="str">
        <f t="shared" si="59"/>
        <v/>
      </c>
      <c r="T90" s="366" t="str">
        <f t="shared" si="60"/>
        <v/>
      </c>
      <c r="U90" s="366" t="str">
        <f t="shared" si="61"/>
        <v/>
      </c>
      <c r="V90" s="365">
        <f t="shared" si="62"/>
        <v>0</v>
      </c>
      <c r="W90" s="365">
        <f t="shared" si="63"/>
        <v>0</v>
      </c>
      <c r="X90" s="367">
        <f t="shared" si="64"/>
        <v>0</v>
      </c>
      <c r="Y90" s="367">
        <f t="shared" si="65"/>
        <v>0</v>
      </c>
      <c r="Z90" s="367">
        <f t="shared" si="66"/>
        <v>0</v>
      </c>
      <c r="AA90" s="368" t="str">
        <f t="shared" si="67"/>
        <v/>
      </c>
      <c r="AB90" s="365" t="str">
        <f t="shared" si="49"/>
        <v/>
      </c>
      <c r="AC90" s="366" t="str">
        <f t="shared" si="50"/>
        <v/>
      </c>
      <c r="AD90" s="353" t="str">
        <f t="shared" si="51"/>
        <v/>
      </c>
      <c r="AE90" s="377" t="str">
        <f t="shared" si="52"/>
        <v/>
      </c>
      <c r="AF90" s="369"/>
      <c r="AG90" s="369"/>
      <c r="AH90" s="367">
        <f t="shared" si="68"/>
        <v>0</v>
      </c>
      <c r="AI90" s="367">
        <f t="shared" si="69"/>
        <v>0</v>
      </c>
      <c r="AJ90" s="367">
        <f t="shared" si="70"/>
        <v>0</v>
      </c>
      <c r="AK90" s="367" t="e">
        <f t="shared" si="71"/>
        <v>#VALUE!</v>
      </c>
      <c r="AL90" s="368" t="e">
        <f t="shared" si="72"/>
        <v>#VALUE!</v>
      </c>
      <c r="AM90" s="370">
        <f t="shared" si="73"/>
        <v>0</v>
      </c>
      <c r="AN90" s="358">
        <f t="shared" si="74"/>
        <v>0</v>
      </c>
      <c r="AO90" s="371">
        <f t="shared" si="75"/>
        <v>0</v>
      </c>
      <c r="AP90" s="1429"/>
      <c r="AQ90" s="360">
        <f t="shared" si="76"/>
        <v>0</v>
      </c>
      <c r="AR90" s="360">
        <f t="shared" si="77"/>
        <v>0</v>
      </c>
      <c r="AS90" s="360" t="e">
        <f t="shared" si="78"/>
        <v>#VALUE!</v>
      </c>
      <c r="AT90" s="361" t="e">
        <f t="shared" si="79"/>
        <v>#VALUE!</v>
      </c>
      <c r="AU90" s="361" t="e">
        <f t="shared" si="80"/>
        <v>#VALUE!</v>
      </c>
      <c r="AV90" s="360" t="e">
        <f t="shared" si="81"/>
        <v>#VALUE!</v>
      </c>
      <c r="AW90" s="360">
        <f t="shared" si="82"/>
        <v>0</v>
      </c>
      <c r="AX90" s="360">
        <f t="shared" si="83"/>
        <v>0</v>
      </c>
      <c r="AY90" s="360" t="e">
        <f t="shared" si="84"/>
        <v>#VALUE!</v>
      </c>
      <c r="AZ90" s="361" t="e">
        <f t="shared" si="85"/>
        <v>#VALUE!</v>
      </c>
      <c r="BA90" s="361" t="e">
        <f t="shared" si="86"/>
        <v>#VALUE!</v>
      </c>
      <c r="BB90" s="360" t="e">
        <f t="shared" si="87"/>
        <v>#VALUE!</v>
      </c>
      <c r="BC90" s="347"/>
      <c r="BD90" s="347"/>
      <c r="BE90" s="347"/>
    </row>
    <row r="91" spans="1:57" ht="15.75">
      <c r="A91" s="347">
        <f t="shared" si="53"/>
        <v>0</v>
      </c>
      <c r="B91" s="347">
        <f t="shared" si="47"/>
        <v>0</v>
      </c>
      <c r="C91" s="1410"/>
      <c r="D91" s="362"/>
      <c r="E91" s="540"/>
      <c r="F91" s="363"/>
      <c r="G91" s="364"/>
      <c r="H91" s="364"/>
      <c r="I91" s="364"/>
      <c r="J91" s="364"/>
      <c r="K91" s="364"/>
      <c r="L91" s="364"/>
      <c r="M91" s="339">
        <f t="shared" si="54"/>
        <v>-50000</v>
      </c>
      <c r="N91" s="339">
        <f t="shared" si="55"/>
        <v>-75000</v>
      </c>
      <c r="O91" s="365">
        <f t="shared" si="56"/>
        <v>0</v>
      </c>
      <c r="P91" s="365">
        <f t="shared" si="57"/>
        <v>0</v>
      </c>
      <c r="Q91" s="365">
        <f t="shared" si="58"/>
        <v>0</v>
      </c>
      <c r="R91" s="339" t="str">
        <f t="shared" si="48"/>
        <v/>
      </c>
      <c r="S91" s="365" t="str">
        <f t="shared" si="59"/>
        <v/>
      </c>
      <c r="T91" s="366" t="str">
        <f t="shared" si="60"/>
        <v/>
      </c>
      <c r="U91" s="366" t="str">
        <f t="shared" si="61"/>
        <v/>
      </c>
      <c r="V91" s="365">
        <f t="shared" si="62"/>
        <v>0</v>
      </c>
      <c r="W91" s="365">
        <f t="shared" si="63"/>
        <v>0</v>
      </c>
      <c r="X91" s="367">
        <f t="shared" si="64"/>
        <v>0</v>
      </c>
      <c r="Y91" s="367">
        <f t="shared" si="65"/>
        <v>0</v>
      </c>
      <c r="Z91" s="367">
        <f t="shared" si="66"/>
        <v>0</v>
      </c>
      <c r="AA91" s="368" t="str">
        <f t="shared" si="67"/>
        <v/>
      </c>
      <c r="AB91" s="365" t="str">
        <f t="shared" si="49"/>
        <v/>
      </c>
      <c r="AC91" s="366" t="str">
        <f t="shared" si="50"/>
        <v/>
      </c>
      <c r="AD91" s="353" t="str">
        <f t="shared" si="51"/>
        <v/>
      </c>
      <c r="AE91" s="377" t="str">
        <f t="shared" si="52"/>
        <v/>
      </c>
      <c r="AF91" s="369"/>
      <c r="AG91" s="369"/>
      <c r="AH91" s="367">
        <f t="shared" si="68"/>
        <v>0</v>
      </c>
      <c r="AI91" s="367">
        <f t="shared" si="69"/>
        <v>0</v>
      </c>
      <c r="AJ91" s="367">
        <f t="shared" si="70"/>
        <v>0</v>
      </c>
      <c r="AK91" s="367" t="e">
        <f t="shared" si="71"/>
        <v>#VALUE!</v>
      </c>
      <c r="AL91" s="368" t="e">
        <f t="shared" si="72"/>
        <v>#VALUE!</v>
      </c>
      <c r="AM91" s="370">
        <f t="shared" si="73"/>
        <v>0</v>
      </c>
      <c r="AN91" s="358">
        <f t="shared" si="74"/>
        <v>0</v>
      </c>
      <c r="AO91" s="371">
        <f t="shared" si="75"/>
        <v>0</v>
      </c>
      <c r="AP91" s="1429"/>
      <c r="AQ91" s="360">
        <f t="shared" si="76"/>
        <v>0</v>
      </c>
      <c r="AR91" s="360">
        <f t="shared" si="77"/>
        <v>0</v>
      </c>
      <c r="AS91" s="360" t="e">
        <f t="shared" si="78"/>
        <v>#VALUE!</v>
      </c>
      <c r="AT91" s="361" t="e">
        <f t="shared" si="79"/>
        <v>#VALUE!</v>
      </c>
      <c r="AU91" s="361" t="e">
        <f t="shared" si="80"/>
        <v>#VALUE!</v>
      </c>
      <c r="AV91" s="360" t="e">
        <f t="shared" si="81"/>
        <v>#VALUE!</v>
      </c>
      <c r="AW91" s="360">
        <f t="shared" si="82"/>
        <v>0</v>
      </c>
      <c r="AX91" s="360">
        <f t="shared" si="83"/>
        <v>0</v>
      </c>
      <c r="AY91" s="360" t="e">
        <f t="shared" si="84"/>
        <v>#VALUE!</v>
      </c>
      <c r="AZ91" s="361" t="e">
        <f t="shared" si="85"/>
        <v>#VALUE!</v>
      </c>
      <c r="BA91" s="361" t="e">
        <f t="shared" si="86"/>
        <v>#VALUE!</v>
      </c>
      <c r="BB91" s="360" t="e">
        <f t="shared" si="87"/>
        <v>#VALUE!</v>
      </c>
      <c r="BC91" s="347"/>
      <c r="BD91" s="347"/>
      <c r="BE91" s="347"/>
    </row>
    <row r="92" spans="1:57" ht="15.75">
      <c r="A92" s="347">
        <f t="shared" si="53"/>
        <v>0</v>
      </c>
      <c r="B92" s="347">
        <f t="shared" si="47"/>
        <v>0</v>
      </c>
      <c r="C92" s="1410"/>
      <c r="D92" s="362"/>
      <c r="E92" s="540"/>
      <c r="F92" s="363"/>
      <c r="G92" s="364"/>
      <c r="H92" s="364"/>
      <c r="I92" s="364"/>
      <c r="J92" s="364"/>
      <c r="K92" s="364"/>
      <c r="L92" s="364"/>
      <c r="M92" s="339">
        <f t="shared" si="54"/>
        <v>-50000</v>
      </c>
      <c r="N92" s="339">
        <f t="shared" si="55"/>
        <v>-75000</v>
      </c>
      <c r="O92" s="365">
        <f t="shared" si="56"/>
        <v>0</v>
      </c>
      <c r="P92" s="365">
        <f t="shared" si="57"/>
        <v>0</v>
      </c>
      <c r="Q92" s="365">
        <f t="shared" si="58"/>
        <v>0</v>
      </c>
      <c r="R92" s="339" t="str">
        <f t="shared" si="48"/>
        <v/>
      </c>
      <c r="S92" s="365" t="str">
        <f t="shared" si="59"/>
        <v/>
      </c>
      <c r="T92" s="366" t="str">
        <f t="shared" si="60"/>
        <v/>
      </c>
      <c r="U92" s="366" t="str">
        <f t="shared" si="61"/>
        <v/>
      </c>
      <c r="V92" s="365">
        <f t="shared" si="62"/>
        <v>0</v>
      </c>
      <c r="W92" s="365">
        <f t="shared" si="63"/>
        <v>0</v>
      </c>
      <c r="X92" s="367">
        <f t="shared" si="64"/>
        <v>0</v>
      </c>
      <c r="Y92" s="367">
        <f t="shared" si="65"/>
        <v>0</v>
      </c>
      <c r="Z92" s="367">
        <f t="shared" si="66"/>
        <v>0</v>
      </c>
      <c r="AA92" s="368" t="str">
        <f t="shared" si="67"/>
        <v/>
      </c>
      <c r="AB92" s="365" t="str">
        <f t="shared" si="49"/>
        <v/>
      </c>
      <c r="AC92" s="366" t="str">
        <f t="shared" si="50"/>
        <v/>
      </c>
      <c r="AD92" s="353" t="str">
        <f t="shared" si="51"/>
        <v/>
      </c>
      <c r="AE92" s="377" t="str">
        <f t="shared" si="52"/>
        <v/>
      </c>
      <c r="AF92" s="369"/>
      <c r="AG92" s="369"/>
      <c r="AH92" s="367">
        <f t="shared" si="68"/>
        <v>0</v>
      </c>
      <c r="AI92" s="367">
        <f t="shared" si="69"/>
        <v>0</v>
      </c>
      <c r="AJ92" s="367">
        <f t="shared" si="70"/>
        <v>0</v>
      </c>
      <c r="AK92" s="367" t="e">
        <f t="shared" si="71"/>
        <v>#VALUE!</v>
      </c>
      <c r="AL92" s="368" t="e">
        <f t="shared" si="72"/>
        <v>#VALUE!</v>
      </c>
      <c r="AM92" s="370">
        <f t="shared" si="73"/>
        <v>0</v>
      </c>
      <c r="AN92" s="358">
        <f t="shared" si="74"/>
        <v>0</v>
      </c>
      <c r="AO92" s="371">
        <f t="shared" si="75"/>
        <v>0</v>
      </c>
      <c r="AP92" s="1429"/>
      <c r="AQ92" s="360">
        <f t="shared" si="76"/>
        <v>0</v>
      </c>
      <c r="AR92" s="360">
        <f t="shared" si="77"/>
        <v>0</v>
      </c>
      <c r="AS92" s="360" t="e">
        <f t="shared" si="78"/>
        <v>#VALUE!</v>
      </c>
      <c r="AT92" s="361" t="e">
        <f t="shared" si="79"/>
        <v>#VALUE!</v>
      </c>
      <c r="AU92" s="361" t="e">
        <f t="shared" si="80"/>
        <v>#VALUE!</v>
      </c>
      <c r="AV92" s="360" t="e">
        <f t="shared" si="81"/>
        <v>#VALUE!</v>
      </c>
      <c r="AW92" s="360">
        <f t="shared" si="82"/>
        <v>0</v>
      </c>
      <c r="AX92" s="360">
        <f t="shared" si="83"/>
        <v>0</v>
      </c>
      <c r="AY92" s="360" t="e">
        <f t="shared" si="84"/>
        <v>#VALUE!</v>
      </c>
      <c r="AZ92" s="361" t="e">
        <f t="shared" si="85"/>
        <v>#VALUE!</v>
      </c>
      <c r="BA92" s="361" t="e">
        <f t="shared" si="86"/>
        <v>#VALUE!</v>
      </c>
      <c r="BB92" s="360" t="e">
        <f t="shared" si="87"/>
        <v>#VALUE!</v>
      </c>
      <c r="BC92" s="347"/>
      <c r="BD92" s="347"/>
      <c r="BE92" s="347"/>
    </row>
    <row r="93" spans="1:57" ht="15.75">
      <c r="A93" s="347">
        <f t="shared" si="53"/>
        <v>0</v>
      </c>
      <c r="B93" s="347">
        <f t="shared" si="47"/>
        <v>0</v>
      </c>
      <c r="C93" s="1410"/>
      <c r="D93" s="362"/>
      <c r="E93" s="540"/>
      <c r="F93" s="363"/>
      <c r="G93" s="364"/>
      <c r="H93" s="364"/>
      <c r="I93" s="364"/>
      <c r="J93" s="364"/>
      <c r="K93" s="364"/>
      <c r="L93" s="364"/>
      <c r="M93" s="339">
        <f t="shared" si="54"/>
        <v>-50000</v>
      </c>
      <c r="N93" s="339">
        <f t="shared" si="55"/>
        <v>-75000</v>
      </c>
      <c r="O93" s="365">
        <f t="shared" si="56"/>
        <v>0</v>
      </c>
      <c r="P93" s="365">
        <f t="shared" si="57"/>
        <v>0</v>
      </c>
      <c r="Q93" s="365">
        <f t="shared" si="58"/>
        <v>0</v>
      </c>
      <c r="R93" s="339" t="str">
        <f t="shared" si="48"/>
        <v/>
      </c>
      <c r="S93" s="365" t="str">
        <f t="shared" si="59"/>
        <v/>
      </c>
      <c r="T93" s="366" t="str">
        <f t="shared" si="60"/>
        <v/>
      </c>
      <c r="U93" s="366" t="str">
        <f t="shared" si="61"/>
        <v/>
      </c>
      <c r="V93" s="365">
        <f t="shared" si="62"/>
        <v>0</v>
      </c>
      <c r="W93" s="365">
        <f t="shared" si="63"/>
        <v>0</v>
      </c>
      <c r="X93" s="367">
        <f t="shared" si="64"/>
        <v>0</v>
      </c>
      <c r="Y93" s="367">
        <f t="shared" si="65"/>
        <v>0</v>
      </c>
      <c r="Z93" s="367">
        <f t="shared" si="66"/>
        <v>0</v>
      </c>
      <c r="AA93" s="368" t="str">
        <f t="shared" si="67"/>
        <v/>
      </c>
      <c r="AB93" s="365" t="str">
        <f t="shared" si="49"/>
        <v/>
      </c>
      <c r="AC93" s="366" t="str">
        <f t="shared" si="50"/>
        <v/>
      </c>
      <c r="AD93" s="353" t="str">
        <f t="shared" si="51"/>
        <v/>
      </c>
      <c r="AE93" s="377" t="str">
        <f t="shared" si="52"/>
        <v/>
      </c>
      <c r="AF93" s="369"/>
      <c r="AG93" s="369"/>
      <c r="AH93" s="367">
        <f t="shared" si="68"/>
        <v>0</v>
      </c>
      <c r="AI93" s="367">
        <f t="shared" si="69"/>
        <v>0</v>
      </c>
      <c r="AJ93" s="367">
        <f t="shared" si="70"/>
        <v>0</v>
      </c>
      <c r="AK93" s="367" t="e">
        <f t="shared" si="71"/>
        <v>#VALUE!</v>
      </c>
      <c r="AL93" s="368" t="e">
        <f t="shared" si="72"/>
        <v>#VALUE!</v>
      </c>
      <c r="AM93" s="370">
        <f t="shared" si="73"/>
        <v>0</v>
      </c>
      <c r="AN93" s="358">
        <f t="shared" si="74"/>
        <v>0</v>
      </c>
      <c r="AO93" s="371">
        <f t="shared" si="75"/>
        <v>0</v>
      </c>
      <c r="AP93" s="1429"/>
      <c r="AQ93" s="360">
        <f t="shared" si="76"/>
        <v>0</v>
      </c>
      <c r="AR93" s="360">
        <f t="shared" si="77"/>
        <v>0</v>
      </c>
      <c r="AS93" s="360" t="e">
        <f t="shared" si="78"/>
        <v>#VALUE!</v>
      </c>
      <c r="AT93" s="361" t="e">
        <f t="shared" si="79"/>
        <v>#VALUE!</v>
      </c>
      <c r="AU93" s="361" t="e">
        <f t="shared" si="80"/>
        <v>#VALUE!</v>
      </c>
      <c r="AV93" s="360" t="e">
        <f t="shared" si="81"/>
        <v>#VALUE!</v>
      </c>
      <c r="AW93" s="360">
        <f t="shared" si="82"/>
        <v>0</v>
      </c>
      <c r="AX93" s="360">
        <f t="shared" si="83"/>
        <v>0</v>
      </c>
      <c r="AY93" s="360" t="e">
        <f t="shared" si="84"/>
        <v>#VALUE!</v>
      </c>
      <c r="AZ93" s="361" t="e">
        <f t="shared" si="85"/>
        <v>#VALUE!</v>
      </c>
      <c r="BA93" s="361" t="e">
        <f t="shared" si="86"/>
        <v>#VALUE!</v>
      </c>
      <c r="BB93" s="360" t="e">
        <f t="shared" si="87"/>
        <v>#VALUE!</v>
      </c>
      <c r="BC93" s="347"/>
      <c r="BD93" s="347"/>
      <c r="BE93" s="347"/>
    </row>
    <row r="94" spans="1:57" ht="15.75">
      <c r="A94" s="347">
        <f t="shared" si="53"/>
        <v>0</v>
      </c>
      <c r="B94" s="347">
        <f t="shared" si="47"/>
        <v>0</v>
      </c>
      <c r="C94" s="1410"/>
      <c r="D94" s="362"/>
      <c r="E94" s="540"/>
      <c r="F94" s="363"/>
      <c r="G94" s="364"/>
      <c r="H94" s="364"/>
      <c r="I94" s="364"/>
      <c r="J94" s="364"/>
      <c r="K94" s="364"/>
      <c r="L94" s="364"/>
      <c r="M94" s="339">
        <f t="shared" si="54"/>
        <v>-50000</v>
      </c>
      <c r="N94" s="339">
        <f t="shared" si="55"/>
        <v>-75000</v>
      </c>
      <c r="O94" s="365">
        <f t="shared" si="56"/>
        <v>0</v>
      </c>
      <c r="P94" s="365">
        <f t="shared" si="57"/>
        <v>0</v>
      </c>
      <c r="Q94" s="365">
        <f t="shared" si="58"/>
        <v>0</v>
      </c>
      <c r="R94" s="339" t="str">
        <f t="shared" si="48"/>
        <v/>
      </c>
      <c r="S94" s="365" t="str">
        <f t="shared" si="59"/>
        <v/>
      </c>
      <c r="T94" s="366" t="str">
        <f t="shared" si="60"/>
        <v/>
      </c>
      <c r="U94" s="366" t="str">
        <f t="shared" si="61"/>
        <v/>
      </c>
      <c r="V94" s="365">
        <f t="shared" si="62"/>
        <v>0</v>
      </c>
      <c r="W94" s="365">
        <f t="shared" si="63"/>
        <v>0</v>
      </c>
      <c r="X94" s="367">
        <f t="shared" si="64"/>
        <v>0</v>
      </c>
      <c r="Y94" s="367">
        <f t="shared" si="65"/>
        <v>0</v>
      </c>
      <c r="Z94" s="367">
        <f t="shared" si="66"/>
        <v>0</v>
      </c>
      <c r="AA94" s="368" t="str">
        <f t="shared" si="67"/>
        <v/>
      </c>
      <c r="AB94" s="365" t="str">
        <f t="shared" si="49"/>
        <v/>
      </c>
      <c r="AC94" s="366" t="str">
        <f t="shared" si="50"/>
        <v/>
      </c>
      <c r="AD94" s="353" t="str">
        <f t="shared" si="51"/>
        <v/>
      </c>
      <c r="AE94" s="377" t="str">
        <f t="shared" si="52"/>
        <v/>
      </c>
      <c r="AF94" s="369"/>
      <c r="AG94" s="369"/>
      <c r="AH94" s="367">
        <f t="shared" si="68"/>
        <v>0</v>
      </c>
      <c r="AI94" s="367">
        <f t="shared" si="69"/>
        <v>0</v>
      </c>
      <c r="AJ94" s="367">
        <f t="shared" si="70"/>
        <v>0</v>
      </c>
      <c r="AK94" s="367" t="e">
        <f t="shared" si="71"/>
        <v>#VALUE!</v>
      </c>
      <c r="AL94" s="368" t="e">
        <f t="shared" si="72"/>
        <v>#VALUE!</v>
      </c>
      <c r="AM94" s="370">
        <f t="shared" si="73"/>
        <v>0</v>
      </c>
      <c r="AN94" s="358">
        <f t="shared" si="74"/>
        <v>0</v>
      </c>
      <c r="AO94" s="371">
        <f t="shared" si="75"/>
        <v>0</v>
      </c>
      <c r="AP94" s="1429"/>
      <c r="AQ94" s="360">
        <f t="shared" si="76"/>
        <v>0</v>
      </c>
      <c r="AR94" s="360">
        <f t="shared" si="77"/>
        <v>0</v>
      </c>
      <c r="AS94" s="360" t="e">
        <f t="shared" si="78"/>
        <v>#VALUE!</v>
      </c>
      <c r="AT94" s="361" t="e">
        <f t="shared" si="79"/>
        <v>#VALUE!</v>
      </c>
      <c r="AU94" s="361" t="e">
        <f t="shared" si="80"/>
        <v>#VALUE!</v>
      </c>
      <c r="AV94" s="360" t="e">
        <f t="shared" si="81"/>
        <v>#VALUE!</v>
      </c>
      <c r="AW94" s="360">
        <f t="shared" si="82"/>
        <v>0</v>
      </c>
      <c r="AX94" s="360">
        <f t="shared" si="83"/>
        <v>0</v>
      </c>
      <c r="AY94" s="360" t="e">
        <f t="shared" si="84"/>
        <v>#VALUE!</v>
      </c>
      <c r="AZ94" s="361" t="e">
        <f t="shared" si="85"/>
        <v>#VALUE!</v>
      </c>
      <c r="BA94" s="361" t="e">
        <f t="shared" si="86"/>
        <v>#VALUE!</v>
      </c>
      <c r="BB94" s="360" t="e">
        <f t="shared" si="87"/>
        <v>#VALUE!</v>
      </c>
      <c r="BC94" s="347"/>
      <c r="BD94" s="347"/>
      <c r="BE94" s="347"/>
    </row>
    <row r="95" spans="1:57" ht="15.75">
      <c r="A95" s="347">
        <f t="shared" si="53"/>
        <v>0</v>
      </c>
      <c r="B95" s="347">
        <f t="shared" si="47"/>
        <v>0</v>
      </c>
      <c r="C95" s="1410"/>
      <c r="D95" s="362"/>
      <c r="E95" s="540"/>
      <c r="F95" s="363"/>
      <c r="G95" s="364"/>
      <c r="H95" s="364"/>
      <c r="I95" s="364"/>
      <c r="J95" s="364"/>
      <c r="K95" s="364"/>
      <c r="L95" s="364"/>
      <c r="M95" s="339">
        <f t="shared" si="54"/>
        <v>-50000</v>
      </c>
      <c r="N95" s="339">
        <f t="shared" si="55"/>
        <v>-75000</v>
      </c>
      <c r="O95" s="365">
        <f t="shared" si="56"/>
        <v>0</v>
      </c>
      <c r="P95" s="365">
        <f t="shared" si="57"/>
        <v>0</v>
      </c>
      <c r="Q95" s="365">
        <f t="shared" si="58"/>
        <v>0</v>
      </c>
      <c r="R95" s="339" t="str">
        <f t="shared" si="48"/>
        <v/>
      </c>
      <c r="S95" s="365" t="str">
        <f t="shared" si="59"/>
        <v/>
      </c>
      <c r="T95" s="366" t="str">
        <f t="shared" si="60"/>
        <v/>
      </c>
      <c r="U95" s="366" t="str">
        <f t="shared" si="61"/>
        <v/>
      </c>
      <c r="V95" s="365">
        <f t="shared" si="62"/>
        <v>0</v>
      </c>
      <c r="W95" s="365">
        <f t="shared" si="63"/>
        <v>0</v>
      </c>
      <c r="X95" s="367">
        <f t="shared" si="64"/>
        <v>0</v>
      </c>
      <c r="Y95" s="367">
        <f t="shared" si="65"/>
        <v>0</v>
      </c>
      <c r="Z95" s="367">
        <f t="shared" si="66"/>
        <v>0</v>
      </c>
      <c r="AA95" s="368" t="str">
        <f t="shared" si="67"/>
        <v/>
      </c>
      <c r="AB95" s="365" t="str">
        <f t="shared" si="49"/>
        <v/>
      </c>
      <c r="AC95" s="366" t="str">
        <f t="shared" si="50"/>
        <v/>
      </c>
      <c r="AD95" s="353" t="str">
        <f t="shared" si="51"/>
        <v/>
      </c>
      <c r="AE95" s="377" t="str">
        <f t="shared" si="52"/>
        <v/>
      </c>
      <c r="AF95" s="369"/>
      <c r="AG95" s="369"/>
      <c r="AH95" s="367">
        <f t="shared" si="68"/>
        <v>0</v>
      </c>
      <c r="AI95" s="367">
        <f t="shared" si="69"/>
        <v>0</v>
      </c>
      <c r="AJ95" s="367">
        <f t="shared" si="70"/>
        <v>0</v>
      </c>
      <c r="AK95" s="367" t="e">
        <f t="shared" si="71"/>
        <v>#VALUE!</v>
      </c>
      <c r="AL95" s="368" t="e">
        <f t="shared" si="72"/>
        <v>#VALUE!</v>
      </c>
      <c r="AM95" s="370">
        <f t="shared" si="73"/>
        <v>0</v>
      </c>
      <c r="AN95" s="358">
        <f t="shared" si="74"/>
        <v>0</v>
      </c>
      <c r="AO95" s="371">
        <f t="shared" si="75"/>
        <v>0</v>
      </c>
      <c r="AP95" s="1429"/>
      <c r="AQ95" s="360">
        <f t="shared" si="76"/>
        <v>0</v>
      </c>
      <c r="AR95" s="360">
        <f t="shared" si="77"/>
        <v>0</v>
      </c>
      <c r="AS95" s="360" t="e">
        <f t="shared" si="78"/>
        <v>#VALUE!</v>
      </c>
      <c r="AT95" s="361" t="e">
        <f t="shared" si="79"/>
        <v>#VALUE!</v>
      </c>
      <c r="AU95" s="361" t="e">
        <f t="shared" si="80"/>
        <v>#VALUE!</v>
      </c>
      <c r="AV95" s="360" t="e">
        <f t="shared" si="81"/>
        <v>#VALUE!</v>
      </c>
      <c r="AW95" s="360">
        <f t="shared" si="82"/>
        <v>0</v>
      </c>
      <c r="AX95" s="360">
        <f t="shared" si="83"/>
        <v>0</v>
      </c>
      <c r="AY95" s="360" t="e">
        <f t="shared" si="84"/>
        <v>#VALUE!</v>
      </c>
      <c r="AZ95" s="361" t="e">
        <f t="shared" si="85"/>
        <v>#VALUE!</v>
      </c>
      <c r="BA95" s="361" t="e">
        <f t="shared" si="86"/>
        <v>#VALUE!</v>
      </c>
      <c r="BB95" s="360" t="e">
        <f t="shared" si="87"/>
        <v>#VALUE!</v>
      </c>
      <c r="BC95" s="347"/>
      <c r="BD95" s="347"/>
      <c r="BE95" s="347"/>
    </row>
    <row r="96" spans="1:57" ht="15.75">
      <c r="A96" s="347">
        <f t="shared" si="53"/>
        <v>0</v>
      </c>
      <c r="B96" s="347">
        <f t="shared" si="47"/>
        <v>0</v>
      </c>
      <c r="C96" s="1410"/>
      <c r="D96" s="362"/>
      <c r="E96" s="540"/>
      <c r="F96" s="363"/>
      <c r="G96" s="364"/>
      <c r="H96" s="364"/>
      <c r="I96" s="364"/>
      <c r="J96" s="364"/>
      <c r="K96" s="364"/>
      <c r="L96" s="364"/>
      <c r="M96" s="339">
        <f t="shared" si="54"/>
        <v>-50000</v>
      </c>
      <c r="N96" s="339">
        <f t="shared" si="55"/>
        <v>-75000</v>
      </c>
      <c r="O96" s="365">
        <f t="shared" si="56"/>
        <v>0</v>
      </c>
      <c r="P96" s="365">
        <f t="shared" si="57"/>
        <v>0</v>
      </c>
      <c r="Q96" s="365">
        <f t="shared" si="58"/>
        <v>0</v>
      </c>
      <c r="R96" s="339" t="str">
        <f t="shared" si="48"/>
        <v/>
      </c>
      <c r="S96" s="365" t="str">
        <f t="shared" si="59"/>
        <v/>
      </c>
      <c r="T96" s="366" t="str">
        <f t="shared" si="60"/>
        <v/>
      </c>
      <c r="U96" s="366" t="str">
        <f t="shared" si="61"/>
        <v/>
      </c>
      <c r="V96" s="365">
        <f t="shared" si="62"/>
        <v>0</v>
      </c>
      <c r="W96" s="365">
        <f t="shared" si="63"/>
        <v>0</v>
      </c>
      <c r="X96" s="367">
        <f t="shared" si="64"/>
        <v>0</v>
      </c>
      <c r="Y96" s="367">
        <f t="shared" si="65"/>
        <v>0</v>
      </c>
      <c r="Z96" s="367">
        <f t="shared" si="66"/>
        <v>0</v>
      </c>
      <c r="AA96" s="368" t="str">
        <f t="shared" si="67"/>
        <v/>
      </c>
      <c r="AB96" s="365" t="str">
        <f t="shared" si="49"/>
        <v/>
      </c>
      <c r="AC96" s="366" t="str">
        <f t="shared" si="50"/>
        <v/>
      </c>
      <c r="AD96" s="353" t="str">
        <f t="shared" si="51"/>
        <v/>
      </c>
      <c r="AE96" s="377" t="str">
        <f t="shared" si="52"/>
        <v/>
      </c>
      <c r="AF96" s="369"/>
      <c r="AG96" s="369"/>
      <c r="AH96" s="367">
        <f t="shared" si="68"/>
        <v>0</v>
      </c>
      <c r="AI96" s="367">
        <f t="shared" si="69"/>
        <v>0</v>
      </c>
      <c r="AJ96" s="367">
        <f t="shared" si="70"/>
        <v>0</v>
      </c>
      <c r="AK96" s="367" t="e">
        <f t="shared" si="71"/>
        <v>#VALUE!</v>
      </c>
      <c r="AL96" s="368" t="e">
        <f t="shared" si="72"/>
        <v>#VALUE!</v>
      </c>
      <c r="AM96" s="370">
        <f t="shared" si="73"/>
        <v>0</v>
      </c>
      <c r="AN96" s="358">
        <f t="shared" si="74"/>
        <v>0</v>
      </c>
      <c r="AO96" s="371">
        <f t="shared" si="75"/>
        <v>0</v>
      </c>
      <c r="AP96" s="1429"/>
      <c r="AQ96" s="360">
        <f t="shared" si="76"/>
        <v>0</v>
      </c>
      <c r="AR96" s="360">
        <f t="shared" si="77"/>
        <v>0</v>
      </c>
      <c r="AS96" s="360" t="e">
        <f t="shared" si="78"/>
        <v>#VALUE!</v>
      </c>
      <c r="AT96" s="361" t="e">
        <f t="shared" si="79"/>
        <v>#VALUE!</v>
      </c>
      <c r="AU96" s="361" t="e">
        <f t="shared" si="80"/>
        <v>#VALUE!</v>
      </c>
      <c r="AV96" s="360" t="e">
        <f t="shared" si="81"/>
        <v>#VALUE!</v>
      </c>
      <c r="AW96" s="360">
        <f t="shared" si="82"/>
        <v>0</v>
      </c>
      <c r="AX96" s="360">
        <f t="shared" si="83"/>
        <v>0</v>
      </c>
      <c r="AY96" s="360" t="e">
        <f t="shared" si="84"/>
        <v>#VALUE!</v>
      </c>
      <c r="AZ96" s="361" t="e">
        <f t="shared" si="85"/>
        <v>#VALUE!</v>
      </c>
      <c r="BA96" s="361" t="e">
        <f t="shared" si="86"/>
        <v>#VALUE!</v>
      </c>
      <c r="BB96" s="360" t="e">
        <f t="shared" si="87"/>
        <v>#VALUE!</v>
      </c>
      <c r="BC96" s="347"/>
      <c r="BD96" s="347"/>
      <c r="BE96" s="347"/>
    </row>
    <row r="97" spans="1:57" ht="15.75">
      <c r="A97" s="347">
        <f t="shared" si="53"/>
        <v>0</v>
      </c>
      <c r="B97" s="347">
        <f t="shared" si="47"/>
        <v>0</v>
      </c>
      <c r="C97" s="1410"/>
      <c r="D97" s="362"/>
      <c r="E97" s="540"/>
      <c r="F97" s="363"/>
      <c r="G97" s="364"/>
      <c r="H97" s="364"/>
      <c r="I97" s="364"/>
      <c r="J97" s="364"/>
      <c r="K97" s="364"/>
      <c r="L97" s="364"/>
      <c r="M97" s="339">
        <f t="shared" si="54"/>
        <v>-50000</v>
      </c>
      <c r="N97" s="339">
        <f t="shared" si="55"/>
        <v>-75000</v>
      </c>
      <c r="O97" s="365">
        <f t="shared" si="56"/>
        <v>0</v>
      </c>
      <c r="P97" s="365">
        <f t="shared" si="57"/>
        <v>0</v>
      </c>
      <c r="Q97" s="365">
        <f t="shared" si="58"/>
        <v>0</v>
      </c>
      <c r="R97" s="339" t="str">
        <f t="shared" si="48"/>
        <v/>
      </c>
      <c r="S97" s="365" t="str">
        <f t="shared" si="59"/>
        <v/>
      </c>
      <c r="T97" s="366" t="str">
        <f t="shared" si="60"/>
        <v/>
      </c>
      <c r="U97" s="366" t="str">
        <f t="shared" si="61"/>
        <v/>
      </c>
      <c r="V97" s="365">
        <f t="shared" si="62"/>
        <v>0</v>
      </c>
      <c r="W97" s="365">
        <f t="shared" si="63"/>
        <v>0</v>
      </c>
      <c r="X97" s="367">
        <f t="shared" si="64"/>
        <v>0</v>
      </c>
      <c r="Y97" s="367">
        <f t="shared" si="65"/>
        <v>0</v>
      </c>
      <c r="Z97" s="367">
        <f t="shared" si="66"/>
        <v>0</v>
      </c>
      <c r="AA97" s="368" t="str">
        <f t="shared" si="67"/>
        <v/>
      </c>
      <c r="AB97" s="365" t="str">
        <f t="shared" si="49"/>
        <v/>
      </c>
      <c r="AC97" s="366" t="str">
        <f t="shared" si="50"/>
        <v/>
      </c>
      <c r="AD97" s="353" t="str">
        <f t="shared" si="51"/>
        <v/>
      </c>
      <c r="AE97" s="377" t="str">
        <f t="shared" si="52"/>
        <v/>
      </c>
      <c r="AF97" s="369"/>
      <c r="AG97" s="369"/>
      <c r="AH97" s="367">
        <f t="shared" si="68"/>
        <v>0</v>
      </c>
      <c r="AI97" s="367">
        <f t="shared" si="69"/>
        <v>0</v>
      </c>
      <c r="AJ97" s="367">
        <f t="shared" si="70"/>
        <v>0</v>
      </c>
      <c r="AK97" s="367" t="e">
        <f t="shared" si="71"/>
        <v>#VALUE!</v>
      </c>
      <c r="AL97" s="368" t="e">
        <f t="shared" si="72"/>
        <v>#VALUE!</v>
      </c>
      <c r="AM97" s="370">
        <f t="shared" si="73"/>
        <v>0</v>
      </c>
      <c r="AN97" s="358">
        <f t="shared" si="74"/>
        <v>0</v>
      </c>
      <c r="AO97" s="371">
        <f t="shared" si="75"/>
        <v>0</v>
      </c>
      <c r="AP97" s="1429"/>
      <c r="AQ97" s="360">
        <f t="shared" si="76"/>
        <v>0</v>
      </c>
      <c r="AR97" s="360">
        <f t="shared" si="77"/>
        <v>0</v>
      </c>
      <c r="AS97" s="360" t="e">
        <f t="shared" si="78"/>
        <v>#VALUE!</v>
      </c>
      <c r="AT97" s="361" t="e">
        <f t="shared" si="79"/>
        <v>#VALUE!</v>
      </c>
      <c r="AU97" s="361" t="e">
        <f t="shared" si="80"/>
        <v>#VALUE!</v>
      </c>
      <c r="AV97" s="360" t="e">
        <f t="shared" si="81"/>
        <v>#VALUE!</v>
      </c>
      <c r="AW97" s="360">
        <f t="shared" si="82"/>
        <v>0</v>
      </c>
      <c r="AX97" s="360">
        <f t="shared" si="83"/>
        <v>0</v>
      </c>
      <c r="AY97" s="360" t="e">
        <f t="shared" si="84"/>
        <v>#VALUE!</v>
      </c>
      <c r="AZ97" s="361" t="e">
        <f t="shared" si="85"/>
        <v>#VALUE!</v>
      </c>
      <c r="BA97" s="361" t="e">
        <f t="shared" si="86"/>
        <v>#VALUE!</v>
      </c>
      <c r="BB97" s="360" t="e">
        <f t="shared" si="87"/>
        <v>#VALUE!</v>
      </c>
      <c r="BC97" s="347"/>
      <c r="BD97" s="347"/>
      <c r="BE97" s="347"/>
    </row>
    <row r="98" spans="1:57" ht="15.75">
      <c r="A98" s="347">
        <f t="shared" si="53"/>
        <v>0</v>
      </c>
      <c r="B98" s="347">
        <f t="shared" si="47"/>
        <v>0</v>
      </c>
      <c r="C98" s="1410"/>
      <c r="D98" s="362"/>
      <c r="E98" s="540"/>
      <c r="F98" s="363"/>
      <c r="G98" s="364"/>
      <c r="H98" s="364"/>
      <c r="I98" s="364"/>
      <c r="J98" s="364"/>
      <c r="K98" s="364"/>
      <c r="L98" s="364"/>
      <c r="M98" s="339">
        <f t="shared" si="54"/>
        <v>-50000</v>
      </c>
      <c r="N98" s="339">
        <f t="shared" si="55"/>
        <v>-75000</v>
      </c>
      <c r="O98" s="365">
        <f t="shared" si="56"/>
        <v>0</v>
      </c>
      <c r="P98" s="365">
        <f t="shared" si="57"/>
        <v>0</v>
      </c>
      <c r="Q98" s="365">
        <f t="shared" si="58"/>
        <v>0</v>
      </c>
      <c r="R98" s="339" t="str">
        <f t="shared" si="48"/>
        <v/>
      </c>
      <c r="S98" s="365" t="str">
        <f t="shared" si="59"/>
        <v/>
      </c>
      <c r="T98" s="366" t="str">
        <f t="shared" si="60"/>
        <v/>
      </c>
      <c r="U98" s="366" t="str">
        <f t="shared" si="61"/>
        <v/>
      </c>
      <c r="V98" s="365">
        <f t="shared" si="62"/>
        <v>0</v>
      </c>
      <c r="W98" s="365">
        <f t="shared" si="63"/>
        <v>0</v>
      </c>
      <c r="X98" s="367">
        <f t="shared" si="64"/>
        <v>0</v>
      </c>
      <c r="Y98" s="367">
        <f t="shared" si="65"/>
        <v>0</v>
      </c>
      <c r="Z98" s="367">
        <f t="shared" si="66"/>
        <v>0</v>
      </c>
      <c r="AA98" s="368" t="str">
        <f t="shared" si="67"/>
        <v/>
      </c>
      <c r="AB98" s="365" t="str">
        <f t="shared" si="49"/>
        <v/>
      </c>
      <c r="AC98" s="366" t="str">
        <f t="shared" si="50"/>
        <v/>
      </c>
      <c r="AD98" s="353" t="str">
        <f t="shared" si="51"/>
        <v/>
      </c>
      <c r="AE98" s="377" t="str">
        <f t="shared" si="52"/>
        <v/>
      </c>
      <c r="AF98" s="369"/>
      <c r="AG98" s="369"/>
      <c r="AH98" s="367">
        <f t="shared" si="68"/>
        <v>0</v>
      </c>
      <c r="AI98" s="367">
        <f t="shared" si="69"/>
        <v>0</v>
      </c>
      <c r="AJ98" s="367">
        <f t="shared" si="70"/>
        <v>0</v>
      </c>
      <c r="AK98" s="367" t="e">
        <f t="shared" si="71"/>
        <v>#VALUE!</v>
      </c>
      <c r="AL98" s="368" t="e">
        <f t="shared" si="72"/>
        <v>#VALUE!</v>
      </c>
      <c r="AM98" s="370">
        <f t="shared" si="73"/>
        <v>0</v>
      </c>
      <c r="AN98" s="358">
        <f t="shared" si="74"/>
        <v>0</v>
      </c>
      <c r="AO98" s="371">
        <f t="shared" si="75"/>
        <v>0</v>
      </c>
      <c r="AP98" s="1429"/>
      <c r="AQ98" s="360">
        <f t="shared" si="76"/>
        <v>0</v>
      </c>
      <c r="AR98" s="360">
        <f t="shared" si="77"/>
        <v>0</v>
      </c>
      <c r="AS98" s="360" t="e">
        <f t="shared" si="78"/>
        <v>#VALUE!</v>
      </c>
      <c r="AT98" s="361" t="e">
        <f t="shared" si="79"/>
        <v>#VALUE!</v>
      </c>
      <c r="AU98" s="361" t="e">
        <f t="shared" si="80"/>
        <v>#VALUE!</v>
      </c>
      <c r="AV98" s="360" t="e">
        <f t="shared" si="81"/>
        <v>#VALUE!</v>
      </c>
      <c r="AW98" s="360">
        <f t="shared" si="82"/>
        <v>0</v>
      </c>
      <c r="AX98" s="360">
        <f t="shared" si="83"/>
        <v>0</v>
      </c>
      <c r="AY98" s="360" t="e">
        <f t="shared" si="84"/>
        <v>#VALUE!</v>
      </c>
      <c r="AZ98" s="361" t="e">
        <f t="shared" si="85"/>
        <v>#VALUE!</v>
      </c>
      <c r="BA98" s="361" t="e">
        <f t="shared" si="86"/>
        <v>#VALUE!</v>
      </c>
      <c r="BB98" s="360" t="e">
        <f t="shared" si="87"/>
        <v>#VALUE!</v>
      </c>
      <c r="BC98" s="347"/>
      <c r="BD98" s="347"/>
      <c r="BE98" s="347"/>
    </row>
    <row r="99" spans="1:57" ht="15.75">
      <c r="A99" s="347">
        <f t="shared" si="53"/>
        <v>0</v>
      </c>
      <c r="B99" s="347">
        <f t="shared" si="47"/>
        <v>0</v>
      </c>
      <c r="C99" s="1410"/>
      <c r="D99" s="362"/>
      <c r="E99" s="540"/>
      <c r="F99" s="363"/>
      <c r="G99" s="364"/>
      <c r="H99" s="364"/>
      <c r="I99" s="364"/>
      <c r="J99" s="364"/>
      <c r="K99" s="364"/>
      <c r="L99" s="364"/>
      <c r="M99" s="339">
        <f t="shared" si="54"/>
        <v>-50000</v>
      </c>
      <c r="N99" s="339">
        <f t="shared" si="55"/>
        <v>-75000</v>
      </c>
      <c r="O99" s="365">
        <f t="shared" si="56"/>
        <v>0</v>
      </c>
      <c r="P99" s="365">
        <f t="shared" si="57"/>
        <v>0</v>
      </c>
      <c r="Q99" s="365">
        <f t="shared" si="58"/>
        <v>0</v>
      </c>
      <c r="R99" s="339" t="str">
        <f t="shared" si="48"/>
        <v/>
      </c>
      <c r="S99" s="365" t="str">
        <f t="shared" si="59"/>
        <v/>
      </c>
      <c r="T99" s="366" t="str">
        <f t="shared" si="60"/>
        <v/>
      </c>
      <c r="U99" s="366" t="str">
        <f t="shared" si="61"/>
        <v/>
      </c>
      <c r="V99" s="365">
        <f t="shared" si="62"/>
        <v>0</v>
      </c>
      <c r="W99" s="365">
        <f t="shared" si="63"/>
        <v>0</v>
      </c>
      <c r="X99" s="367">
        <f t="shared" si="64"/>
        <v>0</v>
      </c>
      <c r="Y99" s="367">
        <f t="shared" si="65"/>
        <v>0</v>
      </c>
      <c r="Z99" s="367">
        <f t="shared" si="66"/>
        <v>0</v>
      </c>
      <c r="AA99" s="368" t="str">
        <f t="shared" si="67"/>
        <v/>
      </c>
      <c r="AB99" s="365" t="str">
        <f t="shared" si="49"/>
        <v/>
      </c>
      <c r="AC99" s="366" t="str">
        <f t="shared" si="50"/>
        <v/>
      </c>
      <c r="AD99" s="353" t="str">
        <f t="shared" si="51"/>
        <v/>
      </c>
      <c r="AE99" s="377" t="str">
        <f t="shared" si="52"/>
        <v/>
      </c>
      <c r="AF99" s="369"/>
      <c r="AG99" s="369"/>
      <c r="AH99" s="367">
        <f t="shared" si="68"/>
        <v>0</v>
      </c>
      <c r="AI99" s="367">
        <f t="shared" si="69"/>
        <v>0</v>
      </c>
      <c r="AJ99" s="367">
        <f t="shared" si="70"/>
        <v>0</v>
      </c>
      <c r="AK99" s="367" t="e">
        <f t="shared" si="71"/>
        <v>#VALUE!</v>
      </c>
      <c r="AL99" s="368" t="e">
        <f t="shared" si="72"/>
        <v>#VALUE!</v>
      </c>
      <c r="AM99" s="370">
        <f t="shared" si="73"/>
        <v>0</v>
      </c>
      <c r="AN99" s="358">
        <f t="shared" si="74"/>
        <v>0</v>
      </c>
      <c r="AO99" s="371">
        <f t="shared" si="75"/>
        <v>0</v>
      </c>
      <c r="AP99" s="1429"/>
      <c r="AQ99" s="360">
        <f t="shared" si="76"/>
        <v>0</v>
      </c>
      <c r="AR99" s="360">
        <f t="shared" si="77"/>
        <v>0</v>
      </c>
      <c r="AS99" s="360" t="e">
        <f t="shared" si="78"/>
        <v>#VALUE!</v>
      </c>
      <c r="AT99" s="361" t="e">
        <f t="shared" si="79"/>
        <v>#VALUE!</v>
      </c>
      <c r="AU99" s="361" t="e">
        <f t="shared" si="80"/>
        <v>#VALUE!</v>
      </c>
      <c r="AV99" s="360" t="e">
        <f t="shared" si="81"/>
        <v>#VALUE!</v>
      </c>
      <c r="AW99" s="360">
        <f t="shared" si="82"/>
        <v>0</v>
      </c>
      <c r="AX99" s="360">
        <f t="shared" si="83"/>
        <v>0</v>
      </c>
      <c r="AY99" s="360" t="e">
        <f t="shared" si="84"/>
        <v>#VALUE!</v>
      </c>
      <c r="AZ99" s="361" t="e">
        <f t="shared" si="85"/>
        <v>#VALUE!</v>
      </c>
      <c r="BA99" s="361" t="e">
        <f t="shared" si="86"/>
        <v>#VALUE!</v>
      </c>
      <c r="BB99" s="360" t="e">
        <f t="shared" si="87"/>
        <v>#VALUE!</v>
      </c>
      <c r="BC99" s="347"/>
      <c r="BD99" s="347"/>
      <c r="BE99" s="347"/>
    </row>
    <row r="100" spans="1:57" ht="15.75">
      <c r="A100" s="347">
        <f t="shared" si="53"/>
        <v>0</v>
      </c>
      <c r="B100" s="347">
        <f t="shared" si="47"/>
        <v>0</v>
      </c>
      <c r="C100" s="1410"/>
      <c r="D100" s="362"/>
      <c r="E100" s="540"/>
      <c r="F100" s="363"/>
      <c r="G100" s="364"/>
      <c r="H100" s="364"/>
      <c r="I100" s="364"/>
      <c r="J100" s="364"/>
      <c r="K100" s="364"/>
      <c r="L100" s="364"/>
      <c r="M100" s="339">
        <f t="shared" si="54"/>
        <v>-50000</v>
      </c>
      <c r="N100" s="339">
        <f t="shared" si="55"/>
        <v>-75000</v>
      </c>
      <c r="O100" s="365">
        <f t="shared" si="56"/>
        <v>0</v>
      </c>
      <c r="P100" s="365">
        <f t="shared" si="57"/>
        <v>0</v>
      </c>
      <c r="Q100" s="365">
        <f t="shared" si="58"/>
        <v>0</v>
      </c>
      <c r="R100" s="339" t="str">
        <f t="shared" si="48"/>
        <v/>
      </c>
      <c r="S100" s="365" t="str">
        <f t="shared" si="59"/>
        <v/>
      </c>
      <c r="T100" s="366" t="str">
        <f t="shared" si="60"/>
        <v/>
      </c>
      <c r="U100" s="366" t="str">
        <f t="shared" si="61"/>
        <v/>
      </c>
      <c r="V100" s="365">
        <f t="shared" si="62"/>
        <v>0</v>
      </c>
      <c r="W100" s="365">
        <f t="shared" si="63"/>
        <v>0</v>
      </c>
      <c r="X100" s="367">
        <f t="shared" si="64"/>
        <v>0</v>
      </c>
      <c r="Y100" s="367">
        <f t="shared" si="65"/>
        <v>0</v>
      </c>
      <c r="Z100" s="367">
        <f t="shared" si="66"/>
        <v>0</v>
      </c>
      <c r="AA100" s="368" t="str">
        <f t="shared" si="67"/>
        <v/>
      </c>
      <c r="AB100" s="365" t="str">
        <f t="shared" si="49"/>
        <v/>
      </c>
      <c r="AC100" s="366" t="str">
        <f t="shared" si="50"/>
        <v/>
      </c>
      <c r="AD100" s="353" t="str">
        <f t="shared" si="51"/>
        <v/>
      </c>
      <c r="AE100" s="377" t="str">
        <f t="shared" si="52"/>
        <v/>
      </c>
      <c r="AF100" s="369"/>
      <c r="AG100" s="369"/>
      <c r="AH100" s="367">
        <f t="shared" si="68"/>
        <v>0</v>
      </c>
      <c r="AI100" s="367">
        <f t="shared" si="69"/>
        <v>0</v>
      </c>
      <c r="AJ100" s="367">
        <f t="shared" si="70"/>
        <v>0</v>
      </c>
      <c r="AK100" s="367" t="e">
        <f t="shared" si="71"/>
        <v>#VALUE!</v>
      </c>
      <c r="AL100" s="368" t="e">
        <f t="shared" si="72"/>
        <v>#VALUE!</v>
      </c>
      <c r="AM100" s="370">
        <f t="shared" si="73"/>
        <v>0</v>
      </c>
      <c r="AN100" s="358">
        <f t="shared" si="74"/>
        <v>0</v>
      </c>
      <c r="AO100" s="371">
        <f t="shared" si="75"/>
        <v>0</v>
      </c>
      <c r="AP100" s="1429"/>
      <c r="AQ100" s="360">
        <f t="shared" si="76"/>
        <v>0</v>
      </c>
      <c r="AR100" s="360">
        <f t="shared" si="77"/>
        <v>0</v>
      </c>
      <c r="AS100" s="360" t="e">
        <f t="shared" si="78"/>
        <v>#VALUE!</v>
      </c>
      <c r="AT100" s="361" t="e">
        <f t="shared" si="79"/>
        <v>#VALUE!</v>
      </c>
      <c r="AU100" s="361" t="e">
        <f t="shared" si="80"/>
        <v>#VALUE!</v>
      </c>
      <c r="AV100" s="360" t="e">
        <f t="shared" si="81"/>
        <v>#VALUE!</v>
      </c>
      <c r="AW100" s="360">
        <f t="shared" si="82"/>
        <v>0</v>
      </c>
      <c r="AX100" s="360">
        <f t="shared" si="83"/>
        <v>0</v>
      </c>
      <c r="AY100" s="360" t="e">
        <f t="shared" si="84"/>
        <v>#VALUE!</v>
      </c>
      <c r="AZ100" s="361" t="e">
        <f t="shared" si="85"/>
        <v>#VALUE!</v>
      </c>
      <c r="BA100" s="361" t="e">
        <f t="shared" si="86"/>
        <v>#VALUE!</v>
      </c>
      <c r="BB100" s="360" t="e">
        <f t="shared" si="87"/>
        <v>#VALUE!</v>
      </c>
      <c r="BC100" s="347"/>
      <c r="BD100" s="347"/>
      <c r="BE100" s="347"/>
    </row>
    <row r="101" spans="1:57" ht="15.75">
      <c r="A101" s="347">
        <f t="shared" si="53"/>
        <v>0</v>
      </c>
      <c r="B101" s="347">
        <f t="shared" si="47"/>
        <v>0</v>
      </c>
      <c r="C101" s="1410"/>
      <c r="D101" s="362"/>
      <c r="E101" s="540"/>
      <c r="F101" s="363"/>
      <c r="G101" s="364"/>
      <c r="H101" s="364"/>
      <c r="I101" s="364"/>
      <c r="J101" s="364"/>
      <c r="K101" s="364"/>
      <c r="L101" s="364"/>
      <c r="M101" s="339">
        <f t="shared" si="54"/>
        <v>-50000</v>
      </c>
      <c r="N101" s="339">
        <f t="shared" si="55"/>
        <v>-75000</v>
      </c>
      <c r="O101" s="365">
        <f t="shared" si="56"/>
        <v>0</v>
      </c>
      <c r="P101" s="365">
        <f t="shared" si="57"/>
        <v>0</v>
      </c>
      <c r="Q101" s="365">
        <f t="shared" si="58"/>
        <v>0</v>
      </c>
      <c r="R101" s="339" t="str">
        <f t="shared" si="48"/>
        <v/>
      </c>
      <c r="S101" s="365" t="str">
        <f t="shared" si="59"/>
        <v/>
      </c>
      <c r="T101" s="366" t="str">
        <f t="shared" si="60"/>
        <v/>
      </c>
      <c r="U101" s="366" t="str">
        <f t="shared" si="61"/>
        <v/>
      </c>
      <c r="V101" s="365">
        <f t="shared" si="62"/>
        <v>0</v>
      </c>
      <c r="W101" s="365">
        <f t="shared" si="63"/>
        <v>0</v>
      </c>
      <c r="X101" s="367">
        <f t="shared" si="64"/>
        <v>0</v>
      </c>
      <c r="Y101" s="367">
        <f t="shared" si="65"/>
        <v>0</v>
      </c>
      <c r="Z101" s="367">
        <f t="shared" si="66"/>
        <v>0</v>
      </c>
      <c r="AA101" s="368" t="str">
        <f t="shared" si="67"/>
        <v/>
      </c>
      <c r="AB101" s="365" t="str">
        <f t="shared" si="49"/>
        <v/>
      </c>
      <c r="AC101" s="366" t="str">
        <f t="shared" si="50"/>
        <v/>
      </c>
      <c r="AD101" s="353" t="str">
        <f t="shared" si="51"/>
        <v/>
      </c>
      <c r="AE101" s="377" t="str">
        <f t="shared" si="52"/>
        <v/>
      </c>
      <c r="AF101" s="369"/>
      <c r="AG101" s="369"/>
      <c r="AH101" s="367">
        <f t="shared" si="68"/>
        <v>0</v>
      </c>
      <c r="AI101" s="367">
        <f t="shared" si="69"/>
        <v>0</v>
      </c>
      <c r="AJ101" s="367">
        <f t="shared" si="70"/>
        <v>0</v>
      </c>
      <c r="AK101" s="367" t="e">
        <f t="shared" si="71"/>
        <v>#VALUE!</v>
      </c>
      <c r="AL101" s="368" t="e">
        <f t="shared" si="72"/>
        <v>#VALUE!</v>
      </c>
      <c r="AM101" s="370">
        <f t="shared" si="73"/>
        <v>0</v>
      </c>
      <c r="AN101" s="358">
        <f t="shared" si="74"/>
        <v>0</v>
      </c>
      <c r="AO101" s="371">
        <f t="shared" si="75"/>
        <v>0</v>
      </c>
      <c r="AP101" s="1429"/>
      <c r="AQ101" s="360">
        <f t="shared" si="76"/>
        <v>0</v>
      </c>
      <c r="AR101" s="360">
        <f t="shared" si="77"/>
        <v>0</v>
      </c>
      <c r="AS101" s="360" t="e">
        <f t="shared" si="78"/>
        <v>#VALUE!</v>
      </c>
      <c r="AT101" s="361" t="e">
        <f t="shared" si="79"/>
        <v>#VALUE!</v>
      </c>
      <c r="AU101" s="361" t="e">
        <f t="shared" si="80"/>
        <v>#VALUE!</v>
      </c>
      <c r="AV101" s="360" t="e">
        <f t="shared" si="81"/>
        <v>#VALUE!</v>
      </c>
      <c r="AW101" s="360">
        <f t="shared" si="82"/>
        <v>0</v>
      </c>
      <c r="AX101" s="360">
        <f t="shared" si="83"/>
        <v>0</v>
      </c>
      <c r="AY101" s="360" t="e">
        <f t="shared" si="84"/>
        <v>#VALUE!</v>
      </c>
      <c r="AZ101" s="361" t="e">
        <f t="shared" si="85"/>
        <v>#VALUE!</v>
      </c>
      <c r="BA101" s="361" t="e">
        <f t="shared" si="86"/>
        <v>#VALUE!</v>
      </c>
      <c r="BB101" s="360" t="e">
        <f t="shared" si="87"/>
        <v>#VALUE!</v>
      </c>
      <c r="BC101" s="347"/>
      <c r="BD101" s="347"/>
      <c r="BE101" s="347"/>
    </row>
    <row r="102" spans="1:57" ht="15.75">
      <c r="A102" s="347">
        <f t="shared" si="53"/>
        <v>0</v>
      </c>
      <c r="B102" s="347">
        <f t="shared" si="47"/>
        <v>0</v>
      </c>
      <c r="C102" s="1410"/>
      <c r="D102" s="362"/>
      <c r="E102" s="540"/>
      <c r="F102" s="363"/>
      <c r="G102" s="364"/>
      <c r="H102" s="364"/>
      <c r="I102" s="364"/>
      <c r="J102" s="364"/>
      <c r="K102" s="364"/>
      <c r="L102" s="364"/>
      <c r="M102" s="339">
        <f t="shared" si="54"/>
        <v>-50000</v>
      </c>
      <c r="N102" s="339">
        <f t="shared" si="55"/>
        <v>-75000</v>
      </c>
      <c r="O102" s="365">
        <f t="shared" si="56"/>
        <v>0</v>
      </c>
      <c r="P102" s="365">
        <f t="shared" si="57"/>
        <v>0</v>
      </c>
      <c r="Q102" s="365">
        <f t="shared" si="58"/>
        <v>0</v>
      </c>
      <c r="R102" s="339" t="str">
        <f t="shared" si="48"/>
        <v/>
      </c>
      <c r="S102" s="365" t="str">
        <f t="shared" si="59"/>
        <v/>
      </c>
      <c r="T102" s="366" t="str">
        <f t="shared" si="60"/>
        <v/>
      </c>
      <c r="U102" s="366" t="str">
        <f t="shared" si="61"/>
        <v/>
      </c>
      <c r="V102" s="365">
        <f t="shared" si="62"/>
        <v>0</v>
      </c>
      <c r="W102" s="365">
        <f t="shared" si="63"/>
        <v>0</v>
      </c>
      <c r="X102" s="367">
        <f t="shared" si="64"/>
        <v>0</v>
      </c>
      <c r="Y102" s="367">
        <f t="shared" si="65"/>
        <v>0</v>
      </c>
      <c r="Z102" s="367">
        <f t="shared" si="66"/>
        <v>0</v>
      </c>
      <c r="AA102" s="368" t="str">
        <f t="shared" si="67"/>
        <v/>
      </c>
      <c r="AB102" s="365" t="str">
        <f t="shared" si="49"/>
        <v/>
      </c>
      <c r="AC102" s="366" t="str">
        <f t="shared" si="50"/>
        <v/>
      </c>
      <c r="AD102" s="353" t="str">
        <f t="shared" si="51"/>
        <v/>
      </c>
      <c r="AE102" s="377" t="str">
        <f t="shared" si="52"/>
        <v/>
      </c>
      <c r="AF102" s="369"/>
      <c r="AG102" s="369"/>
      <c r="AH102" s="367">
        <f t="shared" si="68"/>
        <v>0</v>
      </c>
      <c r="AI102" s="367">
        <f t="shared" si="69"/>
        <v>0</v>
      </c>
      <c r="AJ102" s="367">
        <f t="shared" si="70"/>
        <v>0</v>
      </c>
      <c r="AK102" s="367" t="e">
        <f t="shared" si="71"/>
        <v>#VALUE!</v>
      </c>
      <c r="AL102" s="368" t="e">
        <f t="shared" si="72"/>
        <v>#VALUE!</v>
      </c>
      <c r="AM102" s="370">
        <f t="shared" si="73"/>
        <v>0</v>
      </c>
      <c r="AN102" s="358">
        <f t="shared" si="74"/>
        <v>0</v>
      </c>
      <c r="AO102" s="371">
        <f t="shared" si="75"/>
        <v>0</v>
      </c>
      <c r="AP102" s="1429"/>
      <c r="AQ102" s="360">
        <f t="shared" si="76"/>
        <v>0</v>
      </c>
      <c r="AR102" s="360">
        <f t="shared" si="77"/>
        <v>0</v>
      </c>
      <c r="AS102" s="360" t="e">
        <f t="shared" si="78"/>
        <v>#VALUE!</v>
      </c>
      <c r="AT102" s="361" t="e">
        <f t="shared" si="79"/>
        <v>#VALUE!</v>
      </c>
      <c r="AU102" s="361" t="e">
        <f t="shared" si="80"/>
        <v>#VALUE!</v>
      </c>
      <c r="AV102" s="360" t="e">
        <f t="shared" si="81"/>
        <v>#VALUE!</v>
      </c>
      <c r="AW102" s="360">
        <f t="shared" si="82"/>
        <v>0</v>
      </c>
      <c r="AX102" s="360">
        <f t="shared" si="83"/>
        <v>0</v>
      </c>
      <c r="AY102" s="360" t="e">
        <f t="shared" si="84"/>
        <v>#VALUE!</v>
      </c>
      <c r="AZ102" s="361" t="e">
        <f t="shared" si="85"/>
        <v>#VALUE!</v>
      </c>
      <c r="BA102" s="361" t="e">
        <f t="shared" si="86"/>
        <v>#VALUE!</v>
      </c>
      <c r="BB102" s="360" t="e">
        <f t="shared" si="87"/>
        <v>#VALUE!</v>
      </c>
      <c r="BC102" s="347"/>
      <c r="BD102" s="347"/>
      <c r="BE102" s="347"/>
    </row>
    <row r="103" spans="1:57" ht="15.75">
      <c r="A103" s="347">
        <f t="shared" si="53"/>
        <v>0</v>
      </c>
      <c r="B103" s="347">
        <f t="shared" si="47"/>
        <v>0</v>
      </c>
      <c r="C103" s="1410"/>
      <c r="D103" s="362"/>
      <c r="E103" s="540"/>
      <c r="F103" s="363"/>
      <c r="G103" s="364"/>
      <c r="H103" s="364"/>
      <c r="I103" s="364"/>
      <c r="J103" s="364"/>
      <c r="K103" s="364"/>
      <c r="L103" s="364"/>
      <c r="M103" s="339">
        <f t="shared" si="54"/>
        <v>-50000</v>
      </c>
      <c r="N103" s="339">
        <f t="shared" si="55"/>
        <v>-75000</v>
      </c>
      <c r="O103" s="365">
        <f t="shared" si="56"/>
        <v>0</v>
      </c>
      <c r="P103" s="365">
        <f t="shared" si="57"/>
        <v>0</v>
      </c>
      <c r="Q103" s="365">
        <f t="shared" si="58"/>
        <v>0</v>
      </c>
      <c r="R103" s="339" t="str">
        <f t="shared" ref="R103:R106" si="88">IF(F103="","",IF(SUM(O103:Q103)&lt;=12500,0,SUM(O103:Q103)))</f>
        <v/>
      </c>
      <c r="S103" s="365" t="str">
        <f t="shared" si="59"/>
        <v/>
      </c>
      <c r="T103" s="366" t="str">
        <f t="shared" si="60"/>
        <v/>
      </c>
      <c r="U103" s="366" t="str">
        <f t="shared" si="61"/>
        <v/>
      </c>
      <c r="V103" s="365">
        <f t="shared" si="62"/>
        <v>0</v>
      </c>
      <c r="W103" s="365">
        <f t="shared" si="63"/>
        <v>0</v>
      </c>
      <c r="X103" s="367">
        <f t="shared" si="64"/>
        <v>0</v>
      </c>
      <c r="Y103" s="367">
        <f t="shared" si="65"/>
        <v>0</v>
      </c>
      <c r="Z103" s="367">
        <f t="shared" si="66"/>
        <v>0</v>
      </c>
      <c r="AA103" s="368" t="str">
        <f t="shared" si="67"/>
        <v/>
      </c>
      <c r="AB103" s="365" t="str">
        <f t="shared" ref="AB103:AB106" si="89">IF(F103="","",ROUND(AA103*0.04,0))</f>
        <v/>
      </c>
      <c r="AC103" s="366" t="str">
        <f t="shared" ref="AC103:AC106" si="90">IF(F103="","",(AA103+AB103))</f>
        <v/>
      </c>
      <c r="AD103" s="353" t="str">
        <f t="shared" ref="AD103:AD106" si="91">IF(F103="","",ROUNDUP(AC103,-2))</f>
        <v/>
      </c>
      <c r="AE103" s="377" t="str">
        <f t="shared" ref="AE103:AE106" si="92">IF(F103="","",IF(F103="","",IF(U103=0,0,IF(U103&gt;AD103,"New Regime","Old Regime"))))</f>
        <v/>
      </c>
      <c r="AF103" s="369"/>
      <c r="AG103" s="369"/>
      <c r="AH103" s="367">
        <f t="shared" si="68"/>
        <v>0</v>
      </c>
      <c r="AI103" s="367">
        <f t="shared" si="69"/>
        <v>0</v>
      </c>
      <c r="AJ103" s="367">
        <f t="shared" si="70"/>
        <v>0</v>
      </c>
      <c r="AK103" s="367" t="e">
        <f t="shared" si="71"/>
        <v>#VALUE!</v>
      </c>
      <c r="AL103" s="368" t="e">
        <f t="shared" si="72"/>
        <v>#VALUE!</v>
      </c>
      <c r="AM103" s="370">
        <f t="shared" si="73"/>
        <v>0</v>
      </c>
      <c r="AN103" s="358">
        <f t="shared" si="74"/>
        <v>0</v>
      </c>
      <c r="AO103" s="371">
        <f t="shared" si="75"/>
        <v>0</v>
      </c>
      <c r="AP103" s="1429"/>
      <c r="AQ103" s="360">
        <f t="shared" si="76"/>
        <v>0</v>
      </c>
      <c r="AR103" s="360">
        <f t="shared" si="77"/>
        <v>0</v>
      </c>
      <c r="AS103" s="360" t="e">
        <f t="shared" si="78"/>
        <v>#VALUE!</v>
      </c>
      <c r="AT103" s="361" t="e">
        <f t="shared" si="79"/>
        <v>#VALUE!</v>
      </c>
      <c r="AU103" s="361" t="e">
        <f t="shared" si="80"/>
        <v>#VALUE!</v>
      </c>
      <c r="AV103" s="360" t="e">
        <f t="shared" si="81"/>
        <v>#VALUE!</v>
      </c>
      <c r="AW103" s="360">
        <f t="shared" si="82"/>
        <v>0</v>
      </c>
      <c r="AX103" s="360">
        <f t="shared" si="83"/>
        <v>0</v>
      </c>
      <c r="AY103" s="360" t="e">
        <f t="shared" si="84"/>
        <v>#VALUE!</v>
      </c>
      <c r="AZ103" s="361" t="e">
        <f t="shared" si="85"/>
        <v>#VALUE!</v>
      </c>
      <c r="BA103" s="361" t="e">
        <f t="shared" si="86"/>
        <v>#VALUE!</v>
      </c>
      <c r="BB103" s="360" t="e">
        <f t="shared" si="87"/>
        <v>#VALUE!</v>
      </c>
      <c r="BC103" s="347"/>
      <c r="BD103" s="347"/>
      <c r="BE103" s="347"/>
    </row>
    <row r="104" spans="1:57" ht="15.75">
      <c r="A104" s="347">
        <f t="shared" si="53"/>
        <v>0</v>
      </c>
      <c r="B104" s="347">
        <f t="shared" si="47"/>
        <v>0</v>
      </c>
      <c r="C104" s="1410"/>
      <c r="D104" s="362"/>
      <c r="E104" s="540"/>
      <c r="F104" s="363"/>
      <c r="G104" s="364"/>
      <c r="H104" s="364"/>
      <c r="I104" s="364"/>
      <c r="J104" s="364"/>
      <c r="K104" s="364"/>
      <c r="L104" s="364"/>
      <c r="M104" s="339">
        <f t="shared" si="54"/>
        <v>-50000</v>
      </c>
      <c r="N104" s="339">
        <f t="shared" si="55"/>
        <v>-75000</v>
      </c>
      <c r="O104" s="365">
        <f t="shared" si="56"/>
        <v>0</v>
      </c>
      <c r="P104" s="365">
        <f t="shared" si="57"/>
        <v>0</v>
      </c>
      <c r="Q104" s="365">
        <f t="shared" si="58"/>
        <v>0</v>
      </c>
      <c r="R104" s="339" t="str">
        <f t="shared" si="88"/>
        <v/>
      </c>
      <c r="S104" s="365" t="str">
        <f t="shared" si="59"/>
        <v/>
      </c>
      <c r="T104" s="366" t="str">
        <f t="shared" si="60"/>
        <v/>
      </c>
      <c r="U104" s="366" t="str">
        <f t="shared" si="61"/>
        <v/>
      </c>
      <c r="V104" s="365">
        <f t="shared" si="62"/>
        <v>0</v>
      </c>
      <c r="W104" s="365">
        <f t="shared" si="63"/>
        <v>0</v>
      </c>
      <c r="X104" s="367">
        <f t="shared" si="64"/>
        <v>0</v>
      </c>
      <c r="Y104" s="367">
        <f t="shared" si="65"/>
        <v>0</v>
      </c>
      <c r="Z104" s="367">
        <f t="shared" si="66"/>
        <v>0</v>
      </c>
      <c r="AA104" s="368" t="str">
        <f t="shared" si="67"/>
        <v/>
      </c>
      <c r="AB104" s="365" t="str">
        <f t="shared" si="89"/>
        <v/>
      </c>
      <c r="AC104" s="366" t="str">
        <f t="shared" si="90"/>
        <v/>
      </c>
      <c r="AD104" s="353" t="str">
        <f t="shared" si="91"/>
        <v/>
      </c>
      <c r="AE104" s="377" t="str">
        <f t="shared" si="92"/>
        <v/>
      </c>
      <c r="AF104" s="369"/>
      <c r="AG104" s="369"/>
      <c r="AH104" s="367">
        <f t="shared" si="68"/>
        <v>0</v>
      </c>
      <c r="AI104" s="367">
        <f t="shared" si="69"/>
        <v>0</v>
      </c>
      <c r="AJ104" s="367">
        <f t="shared" si="70"/>
        <v>0</v>
      </c>
      <c r="AK104" s="367" t="e">
        <f t="shared" si="71"/>
        <v>#VALUE!</v>
      </c>
      <c r="AL104" s="368" t="e">
        <f t="shared" si="72"/>
        <v>#VALUE!</v>
      </c>
      <c r="AM104" s="370">
        <f t="shared" si="73"/>
        <v>0</v>
      </c>
      <c r="AN104" s="358">
        <f t="shared" si="74"/>
        <v>0</v>
      </c>
      <c r="AO104" s="371">
        <f t="shared" si="75"/>
        <v>0</v>
      </c>
      <c r="AP104" s="1429"/>
      <c r="AQ104" s="360">
        <f t="shared" si="76"/>
        <v>0</v>
      </c>
      <c r="AR104" s="360">
        <f t="shared" si="77"/>
        <v>0</v>
      </c>
      <c r="AS104" s="360" t="e">
        <f t="shared" si="78"/>
        <v>#VALUE!</v>
      </c>
      <c r="AT104" s="361" t="e">
        <f t="shared" si="79"/>
        <v>#VALUE!</v>
      </c>
      <c r="AU104" s="361" t="e">
        <f t="shared" si="80"/>
        <v>#VALUE!</v>
      </c>
      <c r="AV104" s="360" t="e">
        <f t="shared" si="81"/>
        <v>#VALUE!</v>
      </c>
      <c r="AW104" s="360">
        <f t="shared" si="82"/>
        <v>0</v>
      </c>
      <c r="AX104" s="360">
        <f t="shared" si="83"/>
        <v>0</v>
      </c>
      <c r="AY104" s="360" t="e">
        <f t="shared" si="84"/>
        <v>#VALUE!</v>
      </c>
      <c r="AZ104" s="361" t="e">
        <f t="shared" si="85"/>
        <v>#VALUE!</v>
      </c>
      <c r="BA104" s="361" t="e">
        <f t="shared" si="86"/>
        <v>#VALUE!</v>
      </c>
      <c r="BB104" s="360" t="e">
        <f t="shared" si="87"/>
        <v>#VALUE!</v>
      </c>
      <c r="BC104" s="347"/>
      <c r="BD104" s="347"/>
      <c r="BE104" s="347"/>
    </row>
    <row r="105" spans="1:57" ht="15.75">
      <c r="A105" s="347">
        <f t="shared" si="53"/>
        <v>0</v>
      </c>
      <c r="B105" s="347">
        <f t="shared" si="47"/>
        <v>0</v>
      </c>
      <c r="C105" s="1410"/>
      <c r="D105" s="362"/>
      <c r="E105" s="540"/>
      <c r="F105" s="363"/>
      <c r="G105" s="364"/>
      <c r="H105" s="364"/>
      <c r="I105" s="364"/>
      <c r="J105" s="364"/>
      <c r="K105" s="364"/>
      <c r="L105" s="364"/>
      <c r="M105" s="339">
        <f t="shared" si="54"/>
        <v>-50000</v>
      </c>
      <c r="N105" s="339">
        <f t="shared" si="55"/>
        <v>-75000</v>
      </c>
      <c r="O105" s="365">
        <f t="shared" si="56"/>
        <v>0</v>
      </c>
      <c r="P105" s="365">
        <f t="shared" si="57"/>
        <v>0</v>
      </c>
      <c r="Q105" s="365">
        <f t="shared" si="58"/>
        <v>0</v>
      </c>
      <c r="R105" s="339" t="str">
        <f t="shared" si="88"/>
        <v/>
      </c>
      <c r="S105" s="365" t="str">
        <f t="shared" si="59"/>
        <v/>
      </c>
      <c r="T105" s="366" t="str">
        <f t="shared" si="60"/>
        <v/>
      </c>
      <c r="U105" s="366" t="str">
        <f t="shared" si="61"/>
        <v/>
      </c>
      <c r="V105" s="365">
        <f t="shared" si="62"/>
        <v>0</v>
      </c>
      <c r="W105" s="365">
        <f t="shared" si="63"/>
        <v>0</v>
      </c>
      <c r="X105" s="367">
        <f t="shared" si="64"/>
        <v>0</v>
      </c>
      <c r="Y105" s="367">
        <f t="shared" si="65"/>
        <v>0</v>
      </c>
      <c r="Z105" s="367">
        <f t="shared" si="66"/>
        <v>0</v>
      </c>
      <c r="AA105" s="368" t="str">
        <f t="shared" si="67"/>
        <v/>
      </c>
      <c r="AB105" s="365" t="str">
        <f t="shared" si="89"/>
        <v/>
      </c>
      <c r="AC105" s="366" t="str">
        <f t="shared" si="90"/>
        <v/>
      </c>
      <c r="AD105" s="353" t="str">
        <f t="shared" si="91"/>
        <v/>
      </c>
      <c r="AE105" s="377" t="str">
        <f t="shared" si="92"/>
        <v/>
      </c>
      <c r="AF105" s="369"/>
      <c r="AG105" s="369"/>
      <c r="AH105" s="367">
        <f t="shared" si="68"/>
        <v>0</v>
      </c>
      <c r="AI105" s="367">
        <f t="shared" si="69"/>
        <v>0</v>
      </c>
      <c r="AJ105" s="367">
        <f t="shared" si="70"/>
        <v>0</v>
      </c>
      <c r="AK105" s="367" t="e">
        <f t="shared" si="71"/>
        <v>#VALUE!</v>
      </c>
      <c r="AL105" s="368" t="e">
        <f t="shared" si="72"/>
        <v>#VALUE!</v>
      </c>
      <c r="AM105" s="370">
        <f t="shared" si="73"/>
        <v>0</v>
      </c>
      <c r="AN105" s="358">
        <f t="shared" si="74"/>
        <v>0</v>
      </c>
      <c r="AO105" s="371">
        <f t="shared" si="75"/>
        <v>0</v>
      </c>
      <c r="AP105" s="1429"/>
      <c r="AQ105" s="360">
        <f t="shared" si="76"/>
        <v>0</v>
      </c>
      <c r="AR105" s="360">
        <f t="shared" si="77"/>
        <v>0</v>
      </c>
      <c r="AS105" s="360" t="e">
        <f t="shared" si="78"/>
        <v>#VALUE!</v>
      </c>
      <c r="AT105" s="361" t="e">
        <f t="shared" si="79"/>
        <v>#VALUE!</v>
      </c>
      <c r="AU105" s="361" t="e">
        <f t="shared" si="80"/>
        <v>#VALUE!</v>
      </c>
      <c r="AV105" s="360" t="e">
        <f t="shared" si="81"/>
        <v>#VALUE!</v>
      </c>
      <c r="AW105" s="360">
        <f t="shared" si="82"/>
        <v>0</v>
      </c>
      <c r="AX105" s="360">
        <f t="shared" si="83"/>
        <v>0</v>
      </c>
      <c r="AY105" s="360" t="e">
        <f t="shared" si="84"/>
        <v>#VALUE!</v>
      </c>
      <c r="AZ105" s="361" t="e">
        <f t="shared" si="85"/>
        <v>#VALUE!</v>
      </c>
      <c r="BA105" s="361" t="e">
        <f t="shared" si="86"/>
        <v>#VALUE!</v>
      </c>
      <c r="BB105" s="360" t="e">
        <f t="shared" si="87"/>
        <v>#VALUE!</v>
      </c>
      <c r="BC105" s="347"/>
      <c r="BD105" s="347"/>
      <c r="BE105" s="347"/>
    </row>
    <row r="106" spans="1:57" ht="15.75">
      <c r="A106" s="347">
        <f t="shared" si="53"/>
        <v>0</v>
      </c>
      <c r="B106" s="347">
        <f t="shared" si="47"/>
        <v>0</v>
      </c>
      <c r="C106" s="1410"/>
      <c r="D106" s="362"/>
      <c r="E106" s="540"/>
      <c r="F106" s="363"/>
      <c r="G106" s="364"/>
      <c r="H106" s="364"/>
      <c r="I106" s="364"/>
      <c r="J106" s="364"/>
      <c r="K106" s="364"/>
      <c r="L106" s="364"/>
      <c r="M106" s="339">
        <f t="shared" si="54"/>
        <v>-50000</v>
      </c>
      <c r="N106" s="339">
        <f t="shared" si="55"/>
        <v>-75000</v>
      </c>
      <c r="O106" s="365">
        <f t="shared" si="56"/>
        <v>0</v>
      </c>
      <c r="P106" s="365">
        <f t="shared" si="57"/>
        <v>0</v>
      </c>
      <c r="Q106" s="365">
        <f t="shared" si="58"/>
        <v>0</v>
      </c>
      <c r="R106" s="339" t="str">
        <f t="shared" si="88"/>
        <v/>
      </c>
      <c r="S106" s="365" t="str">
        <f t="shared" si="59"/>
        <v/>
      </c>
      <c r="T106" s="366" t="str">
        <f t="shared" si="60"/>
        <v/>
      </c>
      <c r="U106" s="366" t="str">
        <f t="shared" si="61"/>
        <v/>
      </c>
      <c r="V106" s="365">
        <f t="shared" si="62"/>
        <v>0</v>
      </c>
      <c r="W106" s="365">
        <f t="shared" si="63"/>
        <v>0</v>
      </c>
      <c r="X106" s="367">
        <f t="shared" si="64"/>
        <v>0</v>
      </c>
      <c r="Y106" s="367">
        <f t="shared" si="65"/>
        <v>0</v>
      </c>
      <c r="Z106" s="367">
        <f t="shared" si="66"/>
        <v>0</v>
      </c>
      <c r="AA106" s="368" t="str">
        <f t="shared" si="67"/>
        <v/>
      </c>
      <c r="AB106" s="365" t="str">
        <f t="shared" si="89"/>
        <v/>
      </c>
      <c r="AC106" s="366" t="str">
        <f t="shared" si="90"/>
        <v/>
      </c>
      <c r="AD106" s="353" t="str">
        <f t="shared" si="91"/>
        <v/>
      </c>
      <c r="AE106" s="377" t="str">
        <f t="shared" si="92"/>
        <v/>
      </c>
      <c r="AF106" s="369"/>
      <c r="AG106" s="369"/>
      <c r="AH106" s="367">
        <f t="shared" si="68"/>
        <v>0</v>
      </c>
      <c r="AI106" s="367">
        <f t="shared" si="69"/>
        <v>0</v>
      </c>
      <c r="AJ106" s="367">
        <f t="shared" si="70"/>
        <v>0</v>
      </c>
      <c r="AK106" s="367" t="e">
        <f t="shared" si="71"/>
        <v>#VALUE!</v>
      </c>
      <c r="AL106" s="368" t="e">
        <f t="shared" si="72"/>
        <v>#VALUE!</v>
      </c>
      <c r="AM106" s="370">
        <f t="shared" si="73"/>
        <v>0</v>
      </c>
      <c r="AN106" s="358">
        <f t="shared" si="74"/>
        <v>0</v>
      </c>
      <c r="AO106" s="371">
        <f t="shared" si="75"/>
        <v>0</v>
      </c>
      <c r="AP106" s="1429"/>
      <c r="AQ106" s="360">
        <f t="shared" si="76"/>
        <v>0</v>
      </c>
      <c r="AR106" s="360">
        <f t="shared" si="77"/>
        <v>0</v>
      </c>
      <c r="AS106" s="360" t="e">
        <f t="shared" si="78"/>
        <v>#VALUE!</v>
      </c>
      <c r="AT106" s="361" t="e">
        <f t="shared" si="79"/>
        <v>#VALUE!</v>
      </c>
      <c r="AU106" s="361" t="e">
        <f t="shared" si="80"/>
        <v>#VALUE!</v>
      </c>
      <c r="AV106" s="360" t="e">
        <f t="shared" si="81"/>
        <v>#VALUE!</v>
      </c>
      <c r="AW106" s="360">
        <f t="shared" si="82"/>
        <v>0</v>
      </c>
      <c r="AX106" s="360">
        <f t="shared" si="83"/>
        <v>0</v>
      </c>
      <c r="AY106" s="360" t="e">
        <f t="shared" si="84"/>
        <v>#VALUE!</v>
      </c>
      <c r="AZ106" s="361" t="e">
        <f t="shared" si="85"/>
        <v>#VALUE!</v>
      </c>
      <c r="BA106" s="361" t="e">
        <f t="shared" si="86"/>
        <v>#VALUE!</v>
      </c>
      <c r="BB106" s="360" t="e">
        <f t="shared" si="87"/>
        <v>#VALUE!</v>
      </c>
      <c r="BC106" s="347"/>
      <c r="BD106" s="347"/>
      <c r="BE106" s="347"/>
    </row>
    <row r="107" spans="1:57">
      <c r="A107" s="310"/>
      <c r="B107" s="310"/>
      <c r="C107" s="372"/>
      <c r="D107" s="1432"/>
      <c r="E107" s="1432"/>
      <c r="F107" s="1432"/>
      <c r="G107" s="1432"/>
      <c r="H107" s="1432"/>
      <c r="I107" s="1432"/>
      <c r="J107" s="1432"/>
      <c r="K107" s="1432"/>
      <c r="L107" s="1432"/>
      <c r="M107" s="1432"/>
      <c r="N107" s="1432"/>
      <c r="O107" s="1432"/>
      <c r="P107" s="1432"/>
      <c r="Q107" s="1432"/>
      <c r="R107" s="1432"/>
      <c r="S107" s="1432"/>
      <c r="T107" s="1432"/>
      <c r="U107" s="1432"/>
      <c r="V107" s="1432"/>
      <c r="W107" s="1432"/>
      <c r="X107" s="1432"/>
      <c r="Y107" s="1432"/>
      <c r="Z107" s="1432"/>
      <c r="AA107" s="1432"/>
      <c r="AB107" s="1432"/>
      <c r="AC107" s="1432"/>
      <c r="AD107" s="1432"/>
      <c r="AE107" s="1432"/>
      <c r="AF107" s="1432"/>
      <c r="AG107" s="1432"/>
      <c r="AH107" s="1432"/>
      <c r="AI107" s="1432"/>
      <c r="AJ107" s="1432"/>
      <c r="AK107" s="1432"/>
      <c r="AL107" s="373"/>
      <c r="AM107" s="373"/>
      <c r="AN107" s="373"/>
      <c r="AO107" s="374"/>
      <c r="AP107" s="1429"/>
      <c r="AQ107" s="310"/>
      <c r="AR107" s="310"/>
      <c r="AS107" s="310"/>
      <c r="AT107" s="310"/>
      <c r="AU107" s="310"/>
      <c r="AV107" s="310"/>
      <c r="AW107" s="310"/>
      <c r="AX107" s="310"/>
      <c r="AY107" s="310"/>
      <c r="AZ107" s="310"/>
      <c r="BA107" s="310"/>
      <c r="BB107" s="310"/>
      <c r="BC107" s="310"/>
      <c r="BD107" s="310"/>
      <c r="BE107" s="310"/>
    </row>
    <row r="108" spans="1:57" hidden="1">
      <c r="A108" s="310"/>
      <c r="B108" s="310"/>
      <c r="C108" s="310"/>
      <c r="X108" s="310"/>
      <c r="Y108" s="310"/>
      <c r="Z108" s="310"/>
      <c r="AA108" s="310"/>
      <c r="AB108" s="310"/>
      <c r="AC108" s="310"/>
      <c r="AD108" s="310"/>
      <c r="AE108" s="310"/>
      <c r="AF108" s="310"/>
      <c r="AG108" s="310"/>
      <c r="AH108" s="310"/>
      <c r="AI108" s="310"/>
      <c r="AJ108" s="310"/>
      <c r="AK108" s="310"/>
      <c r="AL108" s="310"/>
      <c r="AM108" s="310"/>
      <c r="AN108" s="310"/>
      <c r="AO108" s="375"/>
      <c r="AP108" s="310"/>
      <c r="AQ108" s="310"/>
      <c r="AR108" s="310"/>
      <c r="AS108" s="310"/>
      <c r="AT108" s="310"/>
      <c r="AU108" s="310"/>
      <c r="AV108" s="310"/>
      <c r="AW108" s="310"/>
      <c r="AX108" s="310"/>
      <c r="AY108" s="310"/>
      <c r="AZ108" s="310"/>
      <c r="BA108" s="310"/>
      <c r="BB108" s="310"/>
      <c r="BC108" s="310"/>
      <c r="BD108" s="310"/>
      <c r="BE108" s="310"/>
    </row>
    <row r="109" spans="1:57" hidden="1">
      <c r="A109" s="310"/>
      <c r="B109" s="310"/>
      <c r="C109" s="310"/>
      <c r="X109" s="310"/>
      <c r="Y109" s="310"/>
      <c r="Z109" s="310"/>
      <c r="AA109" s="310"/>
      <c r="AB109" s="310"/>
      <c r="AC109" s="310"/>
      <c r="AD109" s="310"/>
      <c r="AE109" s="310"/>
      <c r="AF109" s="310"/>
      <c r="AG109" s="310"/>
      <c r="AH109" s="310"/>
      <c r="AI109" s="310"/>
      <c r="AJ109" s="310"/>
      <c r="AK109" s="310"/>
      <c r="AL109" s="310"/>
      <c r="AM109" s="310"/>
      <c r="AN109" s="310"/>
      <c r="AO109" s="375"/>
      <c r="AP109" s="310"/>
      <c r="AQ109" s="310"/>
      <c r="AR109" s="310"/>
      <c r="AS109" s="310"/>
      <c r="AT109" s="310"/>
      <c r="AU109" s="310"/>
      <c r="AV109" s="310"/>
      <c r="AW109" s="310"/>
      <c r="AX109" s="310"/>
      <c r="AY109" s="310"/>
      <c r="AZ109" s="310"/>
      <c r="BA109" s="310"/>
      <c r="BB109" s="310"/>
      <c r="BC109" s="310"/>
      <c r="BD109" s="310"/>
      <c r="BE109" s="310"/>
    </row>
    <row r="110" spans="1:57" hidden="1">
      <c r="A110" s="310"/>
      <c r="B110" s="310"/>
      <c r="C110" s="310"/>
      <c r="X110" s="310"/>
      <c r="Y110" s="310"/>
      <c r="Z110" s="310"/>
      <c r="AA110" s="310"/>
      <c r="AB110" s="310"/>
      <c r="AC110" s="310"/>
      <c r="AD110" s="310"/>
      <c r="AE110" s="310"/>
      <c r="AF110" s="310"/>
      <c r="AG110" s="310"/>
      <c r="AH110" s="310"/>
      <c r="AI110" s="310"/>
      <c r="AJ110" s="310"/>
      <c r="AK110" s="310"/>
      <c r="AL110" s="310"/>
      <c r="AM110" s="310"/>
      <c r="AN110" s="310"/>
      <c r="AO110" s="375"/>
      <c r="AP110" s="310"/>
      <c r="AQ110" s="310"/>
      <c r="AR110" s="310"/>
      <c r="AS110" s="310"/>
      <c r="AT110" s="310"/>
      <c r="AU110" s="310"/>
      <c r="AV110" s="310"/>
      <c r="AW110" s="310"/>
      <c r="AX110" s="310"/>
      <c r="AY110" s="310"/>
      <c r="AZ110" s="310"/>
      <c r="BA110" s="310"/>
      <c r="BB110" s="310"/>
      <c r="BC110" s="310"/>
      <c r="BD110" s="310"/>
      <c r="BE110" s="310"/>
    </row>
    <row r="111" spans="1:57" hidden="1">
      <c r="A111" s="310"/>
      <c r="B111" s="310"/>
      <c r="C111" s="310"/>
      <c r="X111" s="310"/>
      <c r="Y111" s="310"/>
      <c r="Z111" s="310"/>
      <c r="AA111" s="310"/>
      <c r="AB111" s="310"/>
      <c r="AC111" s="310"/>
      <c r="AD111" s="310"/>
      <c r="AE111" s="310"/>
      <c r="AF111" s="310"/>
      <c r="AG111" s="310"/>
      <c r="AH111" s="310"/>
      <c r="AI111" s="310"/>
      <c r="AJ111" s="310"/>
      <c r="AK111" s="310"/>
      <c r="AL111" s="310"/>
      <c r="AM111" s="310"/>
      <c r="AN111" s="310"/>
      <c r="AO111" s="375"/>
      <c r="AP111" s="310"/>
      <c r="AQ111" s="310"/>
      <c r="AR111" s="310"/>
      <c r="AS111" s="310"/>
      <c r="AT111" s="310"/>
      <c r="AU111" s="310"/>
      <c r="AV111" s="310"/>
      <c r="AW111" s="310"/>
      <c r="AX111" s="310"/>
      <c r="AY111" s="310"/>
      <c r="AZ111" s="310"/>
      <c r="BA111" s="310"/>
      <c r="BB111" s="310"/>
      <c r="BC111" s="310"/>
      <c r="BD111" s="310"/>
      <c r="BE111" s="310"/>
    </row>
    <row r="112" spans="1:57" hidden="1">
      <c r="A112" s="310"/>
      <c r="B112" s="310"/>
      <c r="C112" s="310"/>
      <c r="X112" s="310"/>
      <c r="Y112" s="310"/>
      <c r="Z112" s="310"/>
      <c r="AA112" s="310"/>
      <c r="AB112" s="310"/>
      <c r="AC112" s="310"/>
      <c r="AD112" s="310"/>
      <c r="AE112" s="310"/>
      <c r="AF112" s="310"/>
      <c r="AG112" s="310"/>
      <c r="AH112" s="310"/>
      <c r="AI112" s="310"/>
      <c r="AJ112" s="310"/>
      <c r="AK112" s="310"/>
      <c r="AL112" s="310"/>
      <c r="AM112" s="310"/>
      <c r="AN112" s="310"/>
      <c r="AO112" s="375"/>
      <c r="AP112" s="310"/>
      <c r="AQ112" s="310"/>
      <c r="AR112" s="310"/>
      <c r="AS112" s="310"/>
      <c r="AT112" s="310"/>
      <c r="AU112" s="310"/>
      <c r="AV112" s="310"/>
      <c r="AW112" s="310"/>
      <c r="AX112" s="310"/>
      <c r="AY112" s="310"/>
      <c r="AZ112" s="310"/>
      <c r="BA112" s="310"/>
      <c r="BB112" s="310"/>
      <c r="BC112" s="310"/>
      <c r="BD112" s="310"/>
      <c r="BE112" s="310"/>
    </row>
    <row r="113" spans="1:57" hidden="1">
      <c r="A113" s="310"/>
      <c r="B113" s="310"/>
      <c r="C113" s="310"/>
      <c r="X113" s="310"/>
      <c r="Y113" s="310"/>
      <c r="Z113" s="310"/>
      <c r="AA113" s="310"/>
      <c r="AB113" s="310"/>
      <c r="AC113" s="310"/>
      <c r="AD113" s="310"/>
      <c r="AE113" s="310"/>
      <c r="AF113" s="310"/>
      <c r="AG113" s="310"/>
      <c r="AH113" s="310"/>
      <c r="AI113" s="310"/>
      <c r="AJ113" s="310"/>
      <c r="AK113" s="310"/>
      <c r="AL113" s="310"/>
      <c r="AM113" s="310"/>
      <c r="AN113" s="310"/>
      <c r="AO113" s="375"/>
      <c r="AP113" s="310"/>
      <c r="AQ113" s="310"/>
      <c r="AR113" s="310"/>
      <c r="AS113" s="310"/>
      <c r="AT113" s="310"/>
      <c r="AU113" s="310"/>
      <c r="AV113" s="310"/>
      <c r="AW113" s="310"/>
      <c r="AX113" s="310"/>
      <c r="AY113" s="310"/>
      <c r="AZ113" s="310"/>
      <c r="BA113" s="310"/>
      <c r="BB113" s="310"/>
      <c r="BC113" s="310"/>
      <c r="BD113" s="310"/>
      <c r="BE113" s="310"/>
    </row>
    <row r="114" spans="1:57" hidden="1">
      <c r="A114" s="310"/>
      <c r="B114" s="310"/>
      <c r="C114" s="310"/>
      <c r="X114" s="310"/>
      <c r="Y114" s="310"/>
      <c r="Z114" s="310"/>
      <c r="AA114" s="310"/>
      <c r="AB114" s="310"/>
      <c r="AC114" s="310"/>
      <c r="AD114" s="310"/>
      <c r="AE114" s="310"/>
      <c r="AF114" s="310"/>
      <c r="AG114" s="310"/>
      <c r="AH114" s="310"/>
      <c r="AI114" s="310"/>
      <c r="AJ114" s="310"/>
      <c r="AK114" s="310"/>
      <c r="AL114" s="310"/>
      <c r="AM114" s="310"/>
      <c r="AN114" s="310"/>
      <c r="AO114" s="375"/>
      <c r="AP114" s="310"/>
      <c r="AQ114" s="310"/>
      <c r="AR114" s="310"/>
      <c r="AS114" s="310"/>
      <c r="AT114" s="310"/>
      <c r="AU114" s="310"/>
      <c r="AV114" s="310"/>
      <c r="AW114" s="310"/>
      <c r="AX114" s="310"/>
      <c r="AY114" s="310"/>
      <c r="AZ114" s="310"/>
      <c r="BA114" s="310"/>
      <c r="BB114" s="310"/>
      <c r="BC114" s="310"/>
      <c r="BD114" s="310"/>
      <c r="BE114" s="310"/>
    </row>
    <row r="115" spans="1:57" hidden="1">
      <c r="A115" s="310"/>
      <c r="B115" s="310"/>
      <c r="C115" s="310"/>
      <c r="X115" s="310"/>
      <c r="Y115" s="310"/>
      <c r="Z115" s="310"/>
      <c r="AA115" s="310"/>
      <c r="AB115" s="310"/>
      <c r="AC115" s="310"/>
      <c r="AD115" s="310"/>
      <c r="AE115" s="310"/>
      <c r="AF115" s="310"/>
      <c r="AG115" s="310"/>
      <c r="AH115" s="310"/>
      <c r="AI115" s="310"/>
      <c r="AJ115" s="310"/>
      <c r="AK115" s="310"/>
      <c r="AL115" s="310"/>
      <c r="AM115" s="310"/>
      <c r="AN115" s="310"/>
      <c r="AO115" s="375"/>
      <c r="AP115" s="310"/>
      <c r="AQ115" s="310"/>
      <c r="AR115" s="310"/>
      <c r="AS115" s="310"/>
      <c r="AT115" s="310"/>
      <c r="AU115" s="310"/>
      <c r="AV115" s="310"/>
      <c r="AW115" s="310"/>
      <c r="AX115" s="310"/>
      <c r="AY115" s="310"/>
      <c r="AZ115" s="310"/>
      <c r="BA115" s="310"/>
      <c r="BB115" s="310"/>
      <c r="BC115" s="310"/>
      <c r="BD115" s="310"/>
      <c r="BE115" s="310"/>
    </row>
    <row r="116" spans="1:57" hidden="1">
      <c r="A116" s="310"/>
      <c r="B116" s="310"/>
      <c r="C116" s="310"/>
      <c r="X116" s="310"/>
      <c r="Y116" s="310"/>
      <c r="Z116" s="310"/>
      <c r="AA116" s="310"/>
      <c r="AB116" s="310"/>
      <c r="AC116" s="310"/>
      <c r="AD116" s="310"/>
      <c r="AE116" s="310"/>
      <c r="AF116" s="310"/>
      <c r="AG116" s="310"/>
      <c r="AH116" s="310"/>
      <c r="AI116" s="310"/>
      <c r="AJ116" s="310"/>
      <c r="AK116" s="310"/>
      <c r="AL116" s="310"/>
      <c r="AM116" s="310"/>
      <c r="AN116" s="310"/>
      <c r="AO116" s="375"/>
      <c r="AP116" s="310"/>
      <c r="AQ116" s="310"/>
      <c r="AR116" s="310"/>
      <c r="AS116" s="310"/>
      <c r="AT116" s="310"/>
      <c r="AU116" s="310"/>
      <c r="AV116" s="310"/>
      <c r="AW116" s="310"/>
      <c r="AX116" s="310"/>
      <c r="AY116" s="310"/>
      <c r="AZ116" s="310"/>
      <c r="BA116" s="310"/>
      <c r="BB116" s="310"/>
      <c r="BC116" s="310"/>
      <c r="BD116" s="310"/>
      <c r="BE116" s="310"/>
    </row>
    <row r="117" spans="1:57" hidden="1">
      <c r="A117" s="310"/>
      <c r="B117" s="310"/>
      <c r="C117" s="310"/>
      <c r="X117" s="310"/>
      <c r="Y117" s="310"/>
      <c r="Z117" s="310"/>
      <c r="AA117" s="310"/>
      <c r="AB117" s="310"/>
      <c r="AC117" s="310"/>
      <c r="AD117" s="310"/>
      <c r="AE117" s="310"/>
      <c r="AF117" s="310"/>
      <c r="AG117" s="310"/>
      <c r="AH117" s="310"/>
      <c r="AI117" s="310"/>
      <c r="AJ117" s="310"/>
      <c r="AK117" s="310"/>
      <c r="AL117" s="310"/>
      <c r="AM117" s="310"/>
      <c r="AN117" s="310"/>
      <c r="AO117" s="375"/>
      <c r="AP117" s="310"/>
      <c r="AQ117" s="310"/>
      <c r="AR117" s="310"/>
      <c r="AS117" s="310"/>
      <c r="AT117" s="310"/>
      <c r="AU117" s="310"/>
      <c r="AV117" s="310"/>
      <c r="AW117" s="310"/>
      <c r="AX117" s="310"/>
      <c r="AY117" s="310"/>
      <c r="AZ117" s="310"/>
      <c r="BA117" s="310"/>
      <c r="BB117" s="310"/>
      <c r="BC117" s="310"/>
      <c r="BD117" s="310"/>
      <c r="BE117" s="310"/>
    </row>
    <row r="118" spans="1:57" hidden="1">
      <c r="A118" s="310"/>
      <c r="B118" s="310"/>
      <c r="C118" s="310"/>
      <c r="X118" s="310"/>
      <c r="Y118" s="310"/>
      <c r="Z118" s="310"/>
      <c r="AA118" s="310"/>
      <c r="AB118" s="310"/>
      <c r="AC118" s="310"/>
      <c r="AD118" s="310"/>
      <c r="AE118" s="310"/>
      <c r="AF118" s="310"/>
      <c r="AG118" s="310"/>
      <c r="AH118" s="310"/>
      <c r="AI118" s="310"/>
      <c r="AJ118" s="310"/>
      <c r="AK118" s="310"/>
      <c r="AL118" s="310"/>
      <c r="AM118" s="310"/>
      <c r="AN118" s="310"/>
      <c r="AO118" s="375"/>
      <c r="AP118" s="310"/>
      <c r="AQ118" s="310"/>
      <c r="AR118" s="310"/>
      <c r="AS118" s="310"/>
      <c r="AT118" s="310"/>
      <c r="AU118" s="310"/>
      <c r="AV118" s="310"/>
      <c r="AW118" s="310"/>
      <c r="AX118" s="310"/>
      <c r="AY118" s="310"/>
      <c r="AZ118" s="310"/>
      <c r="BA118" s="310"/>
      <c r="BB118" s="310"/>
      <c r="BC118" s="310"/>
      <c r="BD118" s="310"/>
      <c r="BE118" s="310"/>
    </row>
    <row r="119" spans="1:57" hidden="1">
      <c r="A119" s="310"/>
      <c r="B119" s="310"/>
      <c r="C119" s="310"/>
      <c r="X119" s="310"/>
      <c r="Y119" s="310"/>
      <c r="Z119" s="310"/>
      <c r="AA119" s="310"/>
      <c r="AB119" s="310"/>
      <c r="AC119" s="310"/>
      <c r="AD119" s="310"/>
      <c r="AE119" s="310"/>
      <c r="AF119" s="310"/>
      <c r="AG119" s="310"/>
      <c r="AH119" s="310"/>
      <c r="AI119" s="310"/>
      <c r="AJ119" s="310"/>
      <c r="AK119" s="310"/>
      <c r="AL119" s="310"/>
      <c r="AM119" s="310"/>
      <c r="AN119" s="310"/>
      <c r="AO119" s="375"/>
      <c r="AP119" s="310"/>
      <c r="AQ119" s="310"/>
      <c r="AR119" s="310"/>
      <c r="AS119" s="310"/>
      <c r="AT119" s="310"/>
      <c r="AU119" s="310"/>
      <c r="AV119" s="310"/>
      <c r="AW119" s="310"/>
      <c r="AX119" s="310"/>
      <c r="AY119" s="310"/>
      <c r="AZ119" s="310"/>
      <c r="BA119" s="310"/>
      <c r="BB119" s="310"/>
      <c r="BC119" s="310"/>
      <c r="BD119" s="310"/>
      <c r="BE119" s="310"/>
    </row>
    <row r="120" spans="1:57" hidden="1">
      <c r="A120" s="310"/>
      <c r="B120" s="310"/>
      <c r="C120" s="310"/>
      <c r="X120" s="310"/>
      <c r="Y120" s="310"/>
      <c r="Z120" s="310"/>
      <c r="AA120" s="310"/>
      <c r="AB120" s="310"/>
      <c r="AC120" s="310"/>
      <c r="AD120" s="310"/>
      <c r="AE120" s="310"/>
      <c r="AF120" s="310"/>
      <c r="AG120" s="310"/>
      <c r="AH120" s="310"/>
      <c r="AI120" s="310"/>
      <c r="AJ120" s="310"/>
      <c r="AK120" s="310"/>
      <c r="AL120" s="310"/>
      <c r="AM120" s="310"/>
      <c r="AN120" s="310"/>
      <c r="AO120" s="375"/>
      <c r="AP120" s="310"/>
      <c r="AQ120" s="310"/>
      <c r="AR120" s="310"/>
      <c r="AS120" s="310"/>
      <c r="AT120" s="310"/>
      <c r="AU120" s="310"/>
      <c r="AV120" s="310"/>
      <c r="AW120" s="310"/>
      <c r="AX120" s="310"/>
      <c r="AY120" s="310"/>
      <c r="AZ120" s="310"/>
      <c r="BA120" s="310"/>
      <c r="BB120" s="310"/>
      <c r="BC120" s="310"/>
      <c r="BD120" s="310"/>
      <c r="BE120" s="310"/>
    </row>
    <row r="121" spans="1:57" hidden="1">
      <c r="A121" s="310"/>
      <c r="B121" s="310"/>
      <c r="C121" s="310"/>
      <c r="X121" s="310"/>
      <c r="Y121" s="310"/>
      <c r="Z121" s="310"/>
      <c r="AA121" s="310"/>
      <c r="AB121" s="310"/>
      <c r="AC121" s="310"/>
      <c r="AD121" s="310"/>
      <c r="AE121" s="310"/>
      <c r="AF121" s="310"/>
      <c r="AG121" s="310"/>
      <c r="AH121" s="310"/>
      <c r="AI121" s="310"/>
      <c r="AJ121" s="310"/>
      <c r="AK121" s="310"/>
      <c r="AL121" s="310"/>
      <c r="AM121" s="310"/>
      <c r="AN121" s="310"/>
      <c r="AO121" s="375"/>
      <c r="AP121" s="310"/>
      <c r="AQ121" s="310"/>
      <c r="AR121" s="310"/>
      <c r="AS121" s="310"/>
      <c r="AT121" s="310"/>
      <c r="AU121" s="310"/>
      <c r="AV121" s="310"/>
      <c r="AW121" s="310"/>
      <c r="AX121" s="310"/>
      <c r="AY121" s="310"/>
      <c r="AZ121" s="310"/>
      <c r="BA121" s="310"/>
      <c r="BB121" s="310"/>
      <c r="BC121" s="310"/>
      <c r="BD121" s="310"/>
      <c r="BE121" s="310"/>
    </row>
    <row r="122" spans="1:57" hidden="1">
      <c r="A122" s="310"/>
      <c r="B122" s="310"/>
      <c r="C122" s="310"/>
      <c r="X122" s="310"/>
      <c r="Y122" s="310"/>
      <c r="Z122" s="310"/>
      <c r="AA122" s="310"/>
      <c r="AB122" s="310"/>
      <c r="AC122" s="310"/>
      <c r="AD122" s="310"/>
      <c r="AE122" s="310"/>
      <c r="AF122" s="310"/>
      <c r="AG122" s="310"/>
      <c r="AH122" s="310"/>
      <c r="AI122" s="310"/>
      <c r="AJ122" s="310"/>
      <c r="AK122" s="310"/>
      <c r="AL122" s="310"/>
      <c r="AM122" s="310"/>
      <c r="AN122" s="310"/>
      <c r="AO122" s="375"/>
      <c r="AP122" s="310"/>
      <c r="AQ122" s="310"/>
      <c r="AR122" s="310"/>
      <c r="AS122" s="310"/>
      <c r="AT122" s="310"/>
      <c r="AU122" s="310"/>
      <c r="AV122" s="310"/>
      <c r="AW122" s="310"/>
      <c r="AX122" s="310"/>
      <c r="AY122" s="310"/>
      <c r="AZ122" s="310"/>
      <c r="BA122" s="310"/>
      <c r="BB122" s="310"/>
      <c r="BC122" s="310"/>
      <c r="BD122" s="310"/>
      <c r="BE122" s="310"/>
    </row>
    <row r="123" spans="1:57" hidden="1">
      <c r="A123" s="310"/>
      <c r="B123" s="310"/>
      <c r="C123" s="310"/>
      <c r="X123" s="310"/>
      <c r="Y123" s="310"/>
      <c r="Z123" s="310"/>
      <c r="AA123" s="310"/>
      <c r="AB123" s="310"/>
      <c r="AC123" s="310"/>
      <c r="AD123" s="310"/>
      <c r="AE123" s="310"/>
      <c r="AF123" s="310"/>
      <c r="AG123" s="310"/>
      <c r="AH123" s="310"/>
      <c r="AI123" s="310"/>
      <c r="AJ123" s="310"/>
      <c r="AK123" s="310"/>
      <c r="AL123" s="310"/>
      <c r="AM123" s="310"/>
      <c r="AN123" s="310"/>
      <c r="AO123" s="375"/>
      <c r="AP123" s="310"/>
      <c r="AQ123" s="310"/>
      <c r="AR123" s="310"/>
      <c r="AS123" s="310"/>
      <c r="AT123" s="310"/>
      <c r="AU123" s="310"/>
      <c r="AV123" s="310"/>
      <c r="AW123" s="310"/>
      <c r="AX123" s="310"/>
      <c r="AY123" s="310"/>
      <c r="AZ123" s="310"/>
      <c r="BA123" s="310"/>
      <c r="BB123" s="310"/>
      <c r="BC123" s="310"/>
      <c r="BD123" s="310"/>
      <c r="BE123" s="310"/>
    </row>
    <row r="124" spans="1:57" hidden="1">
      <c r="A124" s="310"/>
      <c r="B124" s="310"/>
      <c r="C124" s="310"/>
      <c r="X124" s="310"/>
      <c r="Y124" s="310"/>
      <c r="Z124" s="310"/>
      <c r="AA124" s="310"/>
      <c r="AB124" s="310"/>
      <c r="AC124" s="310"/>
      <c r="AD124" s="310"/>
      <c r="AE124" s="310"/>
      <c r="AF124" s="310"/>
      <c r="AG124" s="310"/>
      <c r="AH124" s="310"/>
      <c r="AI124" s="310"/>
      <c r="AJ124" s="310"/>
      <c r="AK124" s="310"/>
      <c r="AL124" s="310"/>
      <c r="AM124" s="310"/>
      <c r="AN124" s="310"/>
      <c r="AO124" s="375"/>
      <c r="AP124" s="310"/>
      <c r="AQ124" s="310"/>
      <c r="AR124" s="310"/>
      <c r="AS124" s="310"/>
      <c r="AT124" s="310"/>
      <c r="AU124" s="310"/>
      <c r="AV124" s="310"/>
      <c r="AW124" s="310"/>
      <c r="AX124" s="310"/>
      <c r="AY124" s="310"/>
      <c r="AZ124" s="310"/>
      <c r="BA124" s="310"/>
      <c r="BB124" s="310"/>
      <c r="BC124" s="310"/>
      <c r="BD124" s="310"/>
      <c r="BE124" s="310"/>
    </row>
    <row r="125" spans="1:57" hidden="1">
      <c r="A125" s="310"/>
      <c r="B125" s="310"/>
      <c r="C125" s="310"/>
      <c r="X125" s="310"/>
      <c r="Y125" s="310"/>
      <c r="Z125" s="310"/>
      <c r="AA125" s="310"/>
      <c r="AB125" s="310"/>
      <c r="AC125" s="310"/>
      <c r="AD125" s="310"/>
      <c r="AE125" s="310"/>
      <c r="AF125" s="310"/>
      <c r="AG125" s="310"/>
      <c r="AH125" s="310"/>
      <c r="AI125" s="310"/>
      <c r="AJ125" s="310"/>
      <c r="AK125" s="310"/>
      <c r="AL125" s="310"/>
      <c r="AM125" s="310"/>
      <c r="AN125" s="310"/>
      <c r="AO125" s="375"/>
      <c r="AP125" s="310"/>
      <c r="AQ125" s="310"/>
      <c r="AR125" s="310"/>
      <c r="AS125" s="310"/>
      <c r="AT125" s="310"/>
      <c r="AU125" s="310"/>
      <c r="AV125" s="310"/>
      <c r="AW125" s="310"/>
      <c r="AX125" s="310"/>
      <c r="AY125" s="310"/>
      <c r="AZ125" s="310"/>
      <c r="BA125" s="310"/>
      <c r="BB125" s="310"/>
      <c r="BC125" s="310"/>
      <c r="BD125" s="310"/>
      <c r="BE125" s="310"/>
    </row>
    <row r="126" spans="1:57" hidden="1">
      <c r="A126" s="310"/>
      <c r="B126" s="310"/>
      <c r="C126" s="310"/>
      <c r="X126" s="310"/>
      <c r="Y126" s="310"/>
      <c r="Z126" s="310"/>
      <c r="AA126" s="310"/>
      <c r="AB126" s="310"/>
      <c r="AC126" s="310"/>
      <c r="AD126" s="310"/>
      <c r="AE126" s="310"/>
      <c r="AF126" s="310"/>
      <c r="AG126" s="310"/>
      <c r="AH126" s="310"/>
      <c r="AI126" s="310"/>
      <c r="AJ126" s="310"/>
      <c r="AK126" s="310"/>
      <c r="AL126" s="310"/>
      <c r="AM126" s="310"/>
      <c r="AN126" s="310"/>
      <c r="AO126" s="375"/>
      <c r="AP126" s="310"/>
      <c r="AQ126" s="310"/>
      <c r="AR126" s="310"/>
      <c r="AS126" s="310"/>
      <c r="AT126" s="310"/>
      <c r="AU126" s="310"/>
      <c r="AV126" s="310"/>
      <c r="AW126" s="310"/>
      <c r="AX126" s="310"/>
      <c r="AY126" s="310"/>
      <c r="AZ126" s="310"/>
      <c r="BA126" s="310"/>
      <c r="BB126" s="310"/>
      <c r="BC126" s="310"/>
      <c r="BD126" s="310"/>
      <c r="BE126" s="310"/>
    </row>
    <row r="127" spans="1:57" hidden="1">
      <c r="A127" s="310"/>
      <c r="B127" s="310"/>
      <c r="C127" s="310"/>
      <c r="X127" s="310"/>
      <c r="Y127" s="310"/>
      <c r="Z127" s="310"/>
      <c r="AA127" s="310"/>
      <c r="AB127" s="310"/>
      <c r="AC127" s="310"/>
      <c r="AD127" s="310"/>
      <c r="AE127" s="310"/>
      <c r="AF127" s="310"/>
      <c r="AG127" s="310"/>
      <c r="AH127" s="310"/>
      <c r="AI127" s="310"/>
      <c r="AJ127" s="310"/>
      <c r="AK127" s="310"/>
      <c r="AL127" s="310"/>
      <c r="AM127" s="310"/>
      <c r="AN127" s="310"/>
      <c r="AO127" s="375"/>
      <c r="AP127" s="310"/>
      <c r="AQ127" s="310"/>
      <c r="AR127" s="310"/>
      <c r="AS127" s="310"/>
      <c r="AT127" s="310"/>
      <c r="AU127" s="310"/>
      <c r="AV127" s="310"/>
      <c r="AW127" s="310"/>
      <c r="AX127" s="310"/>
      <c r="AY127" s="310"/>
      <c r="AZ127" s="310"/>
      <c r="BA127" s="310"/>
      <c r="BB127" s="310"/>
      <c r="BC127" s="310"/>
      <c r="BD127" s="310"/>
      <c r="BE127" s="310"/>
    </row>
    <row r="128" spans="1:57" hidden="1">
      <c r="A128" s="310"/>
      <c r="B128" s="310"/>
      <c r="C128" s="310"/>
      <c r="X128" s="310"/>
      <c r="Y128" s="310"/>
      <c r="Z128" s="310"/>
      <c r="AA128" s="310"/>
      <c r="AB128" s="310"/>
      <c r="AC128" s="310"/>
      <c r="AD128" s="310"/>
      <c r="AE128" s="310"/>
      <c r="AF128" s="310"/>
      <c r="AG128" s="310"/>
      <c r="AH128" s="310"/>
      <c r="AI128" s="310"/>
      <c r="AJ128" s="310"/>
      <c r="AK128" s="310"/>
      <c r="AL128" s="310"/>
      <c r="AM128" s="310"/>
      <c r="AN128" s="310"/>
      <c r="AO128" s="375"/>
      <c r="AP128" s="310"/>
      <c r="AQ128" s="310"/>
      <c r="AR128" s="310"/>
      <c r="AS128" s="310"/>
      <c r="AT128" s="310"/>
      <c r="AU128" s="310"/>
      <c r="AV128" s="310"/>
      <c r="AW128" s="310"/>
      <c r="AX128" s="310"/>
      <c r="AY128" s="310"/>
      <c r="AZ128" s="310"/>
      <c r="BA128" s="310"/>
      <c r="BB128" s="310"/>
      <c r="BC128" s="310"/>
      <c r="BD128" s="310"/>
      <c r="BE128" s="310"/>
    </row>
    <row r="129" spans="1:57" hidden="1">
      <c r="A129" s="310"/>
      <c r="B129" s="310"/>
      <c r="C129" s="310"/>
      <c r="X129" s="310"/>
      <c r="Y129" s="310"/>
      <c r="Z129" s="310"/>
      <c r="AA129" s="310"/>
      <c r="AB129" s="310"/>
      <c r="AC129" s="310"/>
      <c r="AD129" s="310"/>
      <c r="AE129" s="310"/>
      <c r="AF129" s="310"/>
      <c r="AG129" s="310"/>
      <c r="AH129" s="310"/>
      <c r="AI129" s="310"/>
      <c r="AJ129" s="310"/>
      <c r="AK129" s="310"/>
      <c r="AL129" s="310"/>
      <c r="AM129" s="310"/>
      <c r="AN129" s="310"/>
      <c r="AO129" s="375"/>
      <c r="AP129" s="310"/>
      <c r="AQ129" s="310"/>
      <c r="AR129" s="310"/>
      <c r="AS129" s="310"/>
      <c r="AT129" s="310"/>
      <c r="AU129" s="310"/>
      <c r="AV129" s="310"/>
      <c r="AW129" s="310"/>
      <c r="AX129" s="310"/>
      <c r="AY129" s="310"/>
      <c r="AZ129" s="310"/>
      <c r="BA129" s="310"/>
      <c r="BB129" s="310"/>
      <c r="BC129" s="310"/>
      <c r="BD129" s="310"/>
      <c r="BE129" s="310"/>
    </row>
    <row r="130" spans="1:57" hidden="1">
      <c r="A130" s="310"/>
      <c r="B130" s="310"/>
      <c r="C130" s="310"/>
      <c r="X130" s="310"/>
      <c r="Y130" s="310"/>
      <c r="Z130" s="310"/>
      <c r="AA130" s="310"/>
      <c r="AB130" s="310"/>
      <c r="AC130" s="310"/>
      <c r="AD130" s="310"/>
      <c r="AE130" s="310"/>
      <c r="AF130" s="310"/>
      <c r="AG130" s="310"/>
      <c r="AH130" s="310"/>
      <c r="AI130" s="310"/>
      <c r="AJ130" s="310"/>
      <c r="AK130" s="310"/>
      <c r="AL130" s="310"/>
      <c r="AM130" s="310"/>
      <c r="AN130" s="310"/>
      <c r="AO130" s="375"/>
      <c r="AP130" s="310"/>
      <c r="AQ130" s="310"/>
      <c r="AR130" s="310"/>
      <c r="AS130" s="310"/>
      <c r="AT130" s="310"/>
      <c r="AU130" s="310"/>
      <c r="AV130" s="310"/>
      <c r="AW130" s="310"/>
      <c r="AX130" s="310"/>
      <c r="AY130" s="310"/>
      <c r="AZ130" s="310"/>
      <c r="BA130" s="310"/>
      <c r="BB130" s="310"/>
      <c r="BC130" s="310"/>
      <c r="BD130" s="310"/>
      <c r="BE130" s="310"/>
    </row>
    <row r="131" spans="1:57" hidden="1">
      <c r="A131" s="310"/>
      <c r="B131" s="310"/>
      <c r="C131" s="310"/>
      <c r="X131" s="310"/>
      <c r="Y131" s="310"/>
      <c r="Z131" s="310"/>
      <c r="AA131" s="310"/>
      <c r="AB131" s="310"/>
      <c r="AC131" s="310"/>
      <c r="AD131" s="310"/>
      <c r="AE131" s="310"/>
      <c r="AF131" s="310"/>
      <c r="AG131" s="310"/>
      <c r="AH131" s="310"/>
      <c r="AI131" s="310"/>
      <c r="AJ131" s="310"/>
      <c r="AK131" s="310"/>
      <c r="AL131" s="310"/>
      <c r="AM131" s="310"/>
      <c r="AN131" s="310"/>
      <c r="AO131" s="375"/>
      <c r="AP131" s="310"/>
      <c r="AQ131" s="310"/>
      <c r="AR131" s="310"/>
      <c r="AS131" s="310"/>
      <c r="AT131" s="310"/>
      <c r="AU131" s="310"/>
      <c r="AV131" s="310"/>
      <c r="AW131" s="310"/>
      <c r="AX131" s="310"/>
      <c r="AY131" s="310"/>
      <c r="AZ131" s="310"/>
      <c r="BA131" s="310"/>
      <c r="BB131" s="310"/>
      <c r="BC131" s="310"/>
      <c r="BD131" s="310"/>
      <c r="BE131" s="310"/>
    </row>
    <row r="132" spans="1:57" hidden="1">
      <c r="A132" s="310"/>
      <c r="B132" s="310"/>
      <c r="C132" s="310"/>
      <c r="X132" s="310"/>
      <c r="Y132" s="310"/>
      <c r="Z132" s="310"/>
      <c r="AA132" s="310"/>
      <c r="AB132" s="310"/>
      <c r="AC132" s="310"/>
      <c r="AD132" s="310"/>
      <c r="AE132" s="310"/>
      <c r="AF132" s="310"/>
      <c r="AG132" s="310"/>
      <c r="AH132" s="310"/>
      <c r="AI132" s="310"/>
      <c r="AJ132" s="310"/>
      <c r="AK132" s="310"/>
      <c r="AL132" s="310"/>
      <c r="AM132" s="310"/>
      <c r="AN132" s="310"/>
      <c r="AO132" s="375"/>
      <c r="AP132" s="310"/>
      <c r="AQ132" s="310"/>
      <c r="AR132" s="310"/>
      <c r="AS132" s="310"/>
      <c r="AT132" s="310"/>
      <c r="AU132" s="310"/>
      <c r="AV132" s="310"/>
      <c r="AW132" s="310"/>
      <c r="AX132" s="310"/>
      <c r="AY132" s="310"/>
      <c r="AZ132" s="310"/>
      <c r="BA132" s="310"/>
      <c r="BB132" s="310"/>
      <c r="BC132" s="310"/>
      <c r="BD132" s="310"/>
      <c r="BE132" s="310"/>
    </row>
    <row r="133" spans="1:57" hidden="1">
      <c r="A133" s="310"/>
      <c r="B133" s="310"/>
      <c r="C133" s="310"/>
      <c r="X133" s="310"/>
      <c r="Y133" s="310"/>
      <c r="Z133" s="310"/>
      <c r="AA133" s="310"/>
      <c r="AB133" s="310"/>
      <c r="AC133" s="310"/>
      <c r="AD133" s="310"/>
      <c r="AE133" s="310"/>
      <c r="AF133" s="310"/>
      <c r="AG133" s="310"/>
      <c r="AH133" s="310"/>
      <c r="AI133" s="310"/>
      <c r="AJ133" s="310"/>
      <c r="AK133" s="310"/>
      <c r="AL133" s="310"/>
      <c r="AM133" s="310"/>
      <c r="AN133" s="310"/>
      <c r="AO133" s="375"/>
      <c r="AP133" s="310"/>
      <c r="AQ133" s="310"/>
      <c r="AR133" s="310"/>
      <c r="AS133" s="310"/>
      <c r="AT133" s="310"/>
      <c r="AU133" s="310"/>
      <c r="AV133" s="310"/>
      <c r="AW133" s="310"/>
      <c r="AX133" s="310"/>
      <c r="AY133" s="310"/>
      <c r="AZ133" s="310"/>
      <c r="BA133" s="310"/>
      <c r="BB133" s="310"/>
      <c r="BC133" s="310"/>
      <c r="BD133" s="310"/>
      <c r="BE133" s="310"/>
    </row>
    <row r="134" spans="1:57" hidden="1">
      <c r="A134" s="310"/>
      <c r="B134" s="310"/>
      <c r="C134" s="310"/>
      <c r="X134" s="310"/>
      <c r="Y134" s="310"/>
      <c r="Z134" s="310"/>
      <c r="AA134" s="310"/>
      <c r="AB134" s="310"/>
      <c r="AC134" s="310"/>
      <c r="AD134" s="310"/>
      <c r="AE134" s="310"/>
      <c r="AF134" s="310"/>
      <c r="AG134" s="310"/>
      <c r="AH134" s="310"/>
      <c r="AI134" s="310"/>
      <c r="AJ134" s="310"/>
      <c r="AK134" s="310"/>
      <c r="AL134" s="310"/>
      <c r="AM134" s="310"/>
      <c r="AN134" s="310"/>
      <c r="AO134" s="375"/>
      <c r="AP134" s="310"/>
      <c r="AQ134" s="310"/>
      <c r="AR134" s="310"/>
      <c r="AS134" s="310"/>
      <c r="AT134" s="310"/>
      <c r="AU134" s="310"/>
      <c r="AV134" s="310"/>
      <c r="AW134" s="310"/>
      <c r="AX134" s="310"/>
      <c r="AY134" s="310"/>
      <c r="AZ134" s="310"/>
      <c r="BA134" s="310"/>
      <c r="BB134" s="310"/>
      <c r="BC134" s="310"/>
      <c r="BD134" s="310"/>
      <c r="BE134" s="310"/>
    </row>
    <row r="135" spans="1:57" hidden="1">
      <c r="A135" s="310"/>
      <c r="B135" s="310"/>
      <c r="C135" s="310"/>
      <c r="X135" s="310"/>
      <c r="Y135" s="310"/>
      <c r="Z135" s="310"/>
      <c r="AA135" s="310"/>
      <c r="AB135" s="310"/>
      <c r="AC135" s="310"/>
      <c r="AD135" s="310"/>
      <c r="AE135" s="310"/>
      <c r="AF135" s="310"/>
      <c r="AG135" s="310"/>
      <c r="AH135" s="310"/>
      <c r="AI135" s="310"/>
      <c r="AJ135" s="310"/>
      <c r="AK135" s="310"/>
      <c r="AL135" s="310"/>
      <c r="AM135" s="310"/>
      <c r="AN135" s="310"/>
      <c r="AO135" s="375"/>
      <c r="AP135" s="310"/>
      <c r="AQ135" s="310"/>
      <c r="AR135" s="310"/>
      <c r="AS135" s="310"/>
      <c r="AT135" s="310"/>
      <c r="AU135" s="310"/>
      <c r="AV135" s="310"/>
      <c r="AW135" s="310"/>
      <c r="AX135" s="310"/>
      <c r="AY135" s="310"/>
      <c r="AZ135" s="310"/>
      <c r="BA135" s="310"/>
      <c r="BB135" s="310"/>
      <c r="BC135" s="310"/>
      <c r="BD135" s="310"/>
      <c r="BE135" s="310"/>
    </row>
    <row r="136" spans="1:57" hidden="1">
      <c r="A136" s="310"/>
      <c r="B136" s="310"/>
      <c r="C136" s="310"/>
      <c r="X136" s="310"/>
      <c r="Y136" s="310"/>
      <c r="Z136" s="310"/>
      <c r="AA136" s="310"/>
      <c r="AB136" s="310"/>
      <c r="AC136" s="310"/>
      <c r="AD136" s="310"/>
      <c r="AE136" s="310"/>
      <c r="AF136" s="310"/>
      <c r="AG136" s="310"/>
      <c r="AH136" s="310"/>
      <c r="AI136" s="310"/>
      <c r="AJ136" s="310"/>
      <c r="AK136" s="310"/>
      <c r="AL136" s="310"/>
      <c r="AM136" s="310"/>
      <c r="AN136" s="310"/>
      <c r="AO136" s="375"/>
      <c r="AP136" s="310"/>
      <c r="AQ136" s="310"/>
      <c r="AR136" s="310"/>
      <c r="AS136" s="310"/>
      <c r="AT136" s="310"/>
      <c r="AU136" s="310"/>
      <c r="AV136" s="310"/>
      <c r="AW136" s="310"/>
      <c r="AX136" s="310"/>
      <c r="AY136" s="310"/>
      <c r="AZ136" s="310"/>
      <c r="BA136" s="310"/>
      <c r="BB136" s="310"/>
      <c r="BC136" s="310"/>
      <c r="BD136" s="310"/>
      <c r="BE136" s="310"/>
    </row>
    <row r="137" spans="1:57" hidden="1">
      <c r="A137" s="310"/>
      <c r="B137" s="310"/>
      <c r="C137" s="310"/>
      <c r="X137" s="310"/>
      <c r="Y137" s="310"/>
      <c r="Z137" s="310"/>
      <c r="AA137" s="310"/>
      <c r="AB137" s="310"/>
      <c r="AC137" s="310"/>
      <c r="AD137" s="310"/>
      <c r="AE137" s="310"/>
      <c r="AF137" s="310"/>
      <c r="AG137" s="310"/>
      <c r="AH137" s="310"/>
      <c r="AI137" s="310"/>
      <c r="AJ137" s="310"/>
      <c r="AK137" s="310"/>
      <c r="AL137" s="310"/>
      <c r="AM137" s="310"/>
      <c r="AN137" s="310"/>
      <c r="AO137" s="375"/>
      <c r="AP137" s="310"/>
      <c r="AQ137" s="310"/>
      <c r="AR137" s="310"/>
      <c r="AS137" s="310"/>
      <c r="AT137" s="310"/>
      <c r="AU137" s="310"/>
      <c r="AV137" s="310"/>
      <c r="AW137" s="310"/>
      <c r="AX137" s="310"/>
      <c r="AY137" s="310"/>
      <c r="AZ137" s="310"/>
      <c r="BA137" s="310"/>
      <c r="BB137" s="310"/>
      <c r="BC137" s="310"/>
      <c r="BD137" s="310"/>
      <c r="BE137" s="310"/>
    </row>
    <row r="138" spans="1:57" hidden="1">
      <c r="A138" s="310"/>
      <c r="B138" s="310"/>
      <c r="C138" s="310"/>
      <c r="X138" s="310"/>
      <c r="Y138" s="310"/>
      <c r="Z138" s="310"/>
      <c r="AA138" s="310"/>
      <c r="AB138" s="310"/>
      <c r="AC138" s="310"/>
      <c r="AD138" s="310"/>
      <c r="AE138" s="310"/>
      <c r="AF138" s="310"/>
      <c r="AG138" s="310"/>
      <c r="AH138" s="310"/>
      <c r="AI138" s="310"/>
      <c r="AJ138" s="310"/>
      <c r="AK138" s="310"/>
      <c r="AL138" s="310"/>
      <c r="AM138" s="310"/>
      <c r="AN138" s="310"/>
      <c r="AO138" s="375"/>
      <c r="AP138" s="310"/>
      <c r="AQ138" s="310"/>
      <c r="AR138" s="310"/>
      <c r="AS138" s="310"/>
      <c r="AT138" s="310"/>
      <c r="AU138" s="310"/>
      <c r="AV138" s="310"/>
      <c r="AW138" s="310"/>
      <c r="AX138" s="310"/>
      <c r="AY138" s="310"/>
      <c r="AZ138" s="310"/>
      <c r="BA138" s="310"/>
      <c r="BB138" s="310"/>
      <c r="BC138" s="310"/>
      <c r="BD138" s="310"/>
      <c r="BE138" s="310"/>
    </row>
    <row r="139" spans="1:57" hidden="1">
      <c r="A139" s="310"/>
      <c r="B139" s="310"/>
      <c r="C139" s="310"/>
      <c r="X139" s="310"/>
      <c r="Y139" s="310"/>
      <c r="Z139" s="310"/>
      <c r="AA139" s="310"/>
      <c r="AB139" s="310"/>
      <c r="AC139" s="310"/>
      <c r="AD139" s="310"/>
      <c r="AE139" s="310"/>
      <c r="AF139" s="310"/>
      <c r="AG139" s="310"/>
      <c r="AH139" s="310"/>
      <c r="AI139" s="310"/>
      <c r="AJ139" s="310"/>
      <c r="AK139" s="310"/>
      <c r="AL139" s="310"/>
      <c r="AM139" s="310"/>
      <c r="AN139" s="310"/>
      <c r="AO139" s="375"/>
      <c r="AP139" s="310"/>
      <c r="AQ139" s="310"/>
      <c r="AR139" s="310"/>
      <c r="AS139" s="310"/>
      <c r="AT139" s="310"/>
      <c r="AU139" s="310"/>
      <c r="AV139" s="310"/>
      <c r="AW139" s="310"/>
      <c r="AX139" s="310"/>
      <c r="AY139" s="310"/>
      <c r="AZ139" s="310"/>
      <c r="BA139" s="310"/>
      <c r="BB139" s="310"/>
      <c r="BC139" s="310"/>
      <c r="BD139" s="310"/>
      <c r="BE139" s="310"/>
    </row>
    <row r="140" spans="1:57" hidden="1">
      <c r="A140" s="310"/>
      <c r="B140" s="310"/>
      <c r="C140" s="310"/>
      <c r="X140" s="310"/>
      <c r="Y140" s="310"/>
      <c r="Z140" s="310"/>
      <c r="AA140" s="310"/>
      <c r="AB140" s="310"/>
      <c r="AC140" s="310"/>
      <c r="AD140" s="310"/>
      <c r="AE140" s="310"/>
      <c r="AF140" s="310"/>
      <c r="AG140" s="310"/>
      <c r="AH140" s="310"/>
      <c r="AI140" s="310"/>
      <c r="AJ140" s="310"/>
      <c r="AK140" s="310"/>
      <c r="AL140" s="310"/>
      <c r="AM140" s="310"/>
      <c r="AN140" s="310"/>
      <c r="AO140" s="375"/>
      <c r="AP140" s="310"/>
      <c r="AQ140" s="310"/>
      <c r="AR140" s="310"/>
      <c r="AS140" s="310"/>
      <c r="AT140" s="310"/>
      <c r="AU140" s="310"/>
      <c r="AV140" s="310"/>
      <c r="AW140" s="310"/>
      <c r="AX140" s="310"/>
      <c r="AY140" s="310"/>
      <c r="AZ140" s="310"/>
      <c r="BA140" s="310"/>
      <c r="BB140" s="310"/>
      <c r="BC140" s="310"/>
      <c r="BD140" s="310"/>
      <c r="BE140" s="310"/>
    </row>
    <row r="141" spans="1:57" hidden="1">
      <c r="A141" s="310"/>
      <c r="B141" s="310"/>
      <c r="C141" s="310"/>
      <c r="X141" s="310"/>
      <c r="Y141" s="310"/>
      <c r="Z141" s="310"/>
      <c r="AA141" s="310"/>
      <c r="AB141" s="310"/>
      <c r="AC141" s="310"/>
      <c r="AD141" s="310"/>
      <c r="AE141" s="310"/>
      <c r="AF141" s="310"/>
      <c r="AG141" s="310"/>
      <c r="AH141" s="310"/>
      <c r="AI141" s="310"/>
      <c r="AJ141" s="310"/>
      <c r="AK141" s="310"/>
      <c r="AL141" s="310"/>
      <c r="AM141" s="310"/>
      <c r="AN141" s="310"/>
      <c r="AO141" s="375"/>
      <c r="AP141" s="310"/>
      <c r="AQ141" s="310"/>
      <c r="AR141" s="310"/>
      <c r="AS141" s="310"/>
      <c r="AT141" s="310"/>
      <c r="AU141" s="310"/>
      <c r="AV141" s="310"/>
      <c r="AW141" s="310"/>
      <c r="AX141" s="310"/>
      <c r="AY141" s="310"/>
      <c r="AZ141" s="310"/>
      <c r="BA141" s="310"/>
      <c r="BB141" s="310"/>
      <c r="BC141" s="310"/>
      <c r="BD141" s="310"/>
      <c r="BE141" s="310"/>
    </row>
    <row r="142" spans="1:57" hidden="1">
      <c r="A142" s="310"/>
      <c r="B142" s="310"/>
      <c r="C142" s="310"/>
      <c r="X142" s="310"/>
      <c r="Y142" s="310"/>
      <c r="Z142" s="310"/>
      <c r="AA142" s="310"/>
      <c r="AB142" s="310"/>
      <c r="AC142" s="310"/>
      <c r="AD142" s="310"/>
      <c r="AE142" s="310"/>
      <c r="AF142" s="310"/>
      <c r="AG142" s="310"/>
      <c r="AH142" s="310"/>
      <c r="AI142" s="310"/>
      <c r="AJ142" s="310"/>
      <c r="AK142" s="310"/>
      <c r="AL142" s="310"/>
      <c r="AM142" s="310"/>
      <c r="AN142" s="310"/>
      <c r="AO142" s="375"/>
      <c r="AP142" s="310"/>
      <c r="AQ142" s="310"/>
      <c r="AR142" s="310"/>
      <c r="AS142" s="310"/>
      <c r="AT142" s="310"/>
      <c r="AU142" s="310"/>
      <c r="AV142" s="310"/>
      <c r="AW142" s="310"/>
      <c r="AX142" s="310"/>
      <c r="AY142" s="310"/>
      <c r="AZ142" s="310"/>
      <c r="BA142" s="310"/>
      <c r="BB142" s="310"/>
      <c r="BC142" s="310"/>
      <c r="BD142" s="310"/>
      <c r="BE142" s="310"/>
    </row>
    <row r="143" spans="1:57" hidden="1">
      <c r="A143" s="310"/>
      <c r="B143" s="310"/>
      <c r="C143" s="310"/>
      <c r="X143" s="310"/>
      <c r="Y143" s="310"/>
      <c r="Z143" s="310"/>
      <c r="AA143" s="310"/>
      <c r="AB143" s="310"/>
      <c r="AC143" s="310"/>
      <c r="AD143" s="310"/>
      <c r="AE143" s="310"/>
      <c r="AF143" s="310"/>
      <c r="AG143" s="310"/>
      <c r="AH143" s="310"/>
      <c r="AI143" s="310"/>
      <c r="AJ143" s="310"/>
      <c r="AK143" s="310"/>
      <c r="AL143" s="310"/>
      <c r="AM143" s="310"/>
      <c r="AN143" s="310"/>
      <c r="AO143" s="375"/>
      <c r="AP143" s="310"/>
      <c r="AQ143" s="310"/>
      <c r="AR143" s="310"/>
      <c r="AS143" s="310"/>
      <c r="AT143" s="310"/>
      <c r="AU143" s="310"/>
      <c r="AV143" s="310"/>
      <c r="AW143" s="310"/>
      <c r="AX143" s="310"/>
      <c r="AY143" s="310"/>
      <c r="AZ143" s="310"/>
      <c r="BA143" s="310"/>
      <c r="BB143" s="310"/>
      <c r="BC143" s="310"/>
      <c r="BD143" s="310"/>
      <c r="BE143" s="310"/>
    </row>
    <row r="144" spans="1:57" hidden="1">
      <c r="A144" s="310"/>
      <c r="B144" s="310"/>
      <c r="C144" s="310"/>
      <c r="X144" s="310"/>
      <c r="Y144" s="310"/>
      <c r="Z144" s="310"/>
      <c r="AA144" s="310"/>
      <c r="AB144" s="310"/>
      <c r="AC144" s="310"/>
      <c r="AD144" s="310"/>
      <c r="AE144" s="310"/>
      <c r="AF144" s="310"/>
      <c r="AG144" s="310"/>
      <c r="AH144" s="310"/>
      <c r="AI144" s="310"/>
      <c r="AJ144" s="310"/>
      <c r="AK144" s="310"/>
      <c r="AL144" s="310"/>
      <c r="AM144" s="310"/>
      <c r="AN144" s="310"/>
      <c r="AO144" s="375"/>
      <c r="AP144" s="310"/>
      <c r="AQ144" s="310"/>
      <c r="AR144" s="310"/>
      <c r="AS144" s="310"/>
      <c r="AT144" s="310"/>
      <c r="AU144" s="310"/>
      <c r="AV144" s="310"/>
      <c r="AW144" s="310"/>
      <c r="AX144" s="310"/>
      <c r="AY144" s="310"/>
      <c r="AZ144" s="310"/>
      <c r="BA144" s="310"/>
      <c r="BB144" s="310"/>
      <c r="BC144" s="310"/>
      <c r="BD144" s="310"/>
      <c r="BE144" s="310"/>
    </row>
    <row r="145" spans="1:57" hidden="1">
      <c r="A145" s="310"/>
      <c r="B145" s="310"/>
      <c r="C145" s="310"/>
      <c r="X145" s="310"/>
      <c r="Y145" s="310"/>
      <c r="Z145" s="310"/>
      <c r="AA145" s="310"/>
      <c r="AB145" s="310"/>
      <c r="AC145" s="310"/>
      <c r="AD145" s="310"/>
      <c r="AE145" s="310"/>
      <c r="AF145" s="310"/>
      <c r="AG145" s="310"/>
      <c r="AH145" s="310"/>
      <c r="AI145" s="310"/>
      <c r="AJ145" s="310"/>
      <c r="AK145" s="310"/>
      <c r="AL145" s="310"/>
      <c r="AM145" s="310"/>
      <c r="AN145" s="310"/>
      <c r="AO145" s="375"/>
      <c r="AP145" s="310"/>
      <c r="AQ145" s="310"/>
      <c r="AR145" s="310"/>
      <c r="AS145" s="310"/>
      <c r="AT145" s="310"/>
      <c r="AU145" s="310"/>
      <c r="AV145" s="310"/>
      <c r="AW145" s="310"/>
      <c r="AX145" s="310"/>
      <c r="AY145" s="310"/>
      <c r="AZ145" s="310"/>
      <c r="BA145" s="310"/>
      <c r="BB145" s="310"/>
      <c r="BC145" s="310"/>
      <c r="BD145" s="310"/>
      <c r="BE145" s="310"/>
    </row>
    <row r="146" spans="1:57" hidden="1">
      <c r="A146" s="310"/>
      <c r="B146" s="310"/>
      <c r="C146" s="310"/>
      <c r="X146" s="310"/>
      <c r="Y146" s="310"/>
      <c r="Z146" s="310"/>
      <c r="AA146" s="310"/>
      <c r="AB146" s="310"/>
      <c r="AC146" s="310"/>
      <c r="AD146" s="310"/>
      <c r="AE146" s="310"/>
      <c r="AF146" s="310"/>
      <c r="AG146" s="310"/>
      <c r="AH146" s="310"/>
      <c r="AI146" s="310"/>
      <c r="AJ146" s="310"/>
      <c r="AK146" s="310"/>
      <c r="AL146" s="310"/>
      <c r="AM146" s="310"/>
      <c r="AN146" s="310"/>
      <c r="AO146" s="375"/>
      <c r="AP146" s="310"/>
      <c r="AQ146" s="310"/>
      <c r="AR146" s="310"/>
      <c r="AS146" s="310"/>
      <c r="AT146" s="310"/>
      <c r="AU146" s="310"/>
      <c r="AV146" s="310"/>
      <c r="AW146" s="310"/>
      <c r="AX146" s="310"/>
      <c r="AY146" s="310"/>
      <c r="AZ146" s="310"/>
      <c r="BA146" s="310"/>
      <c r="BB146" s="310"/>
      <c r="BC146" s="310"/>
      <c r="BD146" s="310"/>
      <c r="BE146" s="310"/>
    </row>
    <row r="147" spans="1:57" hidden="1">
      <c r="A147" s="310"/>
      <c r="B147" s="310"/>
      <c r="C147" s="310"/>
      <c r="X147" s="310"/>
      <c r="Y147" s="310"/>
      <c r="Z147" s="310"/>
      <c r="AA147" s="310"/>
      <c r="AB147" s="310"/>
      <c r="AC147" s="310"/>
      <c r="AD147" s="310"/>
      <c r="AE147" s="310"/>
      <c r="AF147" s="310"/>
      <c r="AG147" s="310"/>
      <c r="AH147" s="310"/>
      <c r="AI147" s="310"/>
      <c r="AJ147" s="310"/>
      <c r="AK147" s="310"/>
      <c r="AL147" s="310"/>
      <c r="AM147" s="310"/>
      <c r="AN147" s="310"/>
      <c r="AO147" s="375"/>
      <c r="AP147" s="310"/>
      <c r="AQ147" s="310"/>
      <c r="AR147" s="310"/>
      <c r="AS147" s="310"/>
      <c r="AT147" s="310"/>
      <c r="AU147" s="310"/>
      <c r="AV147" s="310"/>
      <c r="AW147" s="310"/>
      <c r="AX147" s="310"/>
      <c r="AY147" s="310"/>
      <c r="AZ147" s="310"/>
      <c r="BA147" s="310"/>
      <c r="BB147" s="310"/>
      <c r="BC147" s="310"/>
      <c r="BD147" s="310"/>
      <c r="BE147" s="310"/>
    </row>
    <row r="148" spans="1:57" hidden="1">
      <c r="A148" s="310"/>
      <c r="B148" s="310"/>
      <c r="C148" s="310"/>
      <c r="X148" s="310"/>
      <c r="Y148" s="310"/>
      <c r="Z148" s="310"/>
      <c r="AA148" s="310"/>
      <c r="AB148" s="310"/>
      <c r="AC148" s="310"/>
      <c r="AD148" s="310"/>
      <c r="AE148" s="310"/>
      <c r="AF148" s="310"/>
      <c r="AG148" s="310"/>
      <c r="AH148" s="310"/>
      <c r="AI148" s="310"/>
      <c r="AJ148" s="310"/>
      <c r="AK148" s="310"/>
      <c r="AL148" s="310"/>
      <c r="AM148" s="310"/>
      <c r="AN148" s="310"/>
      <c r="AO148" s="375"/>
      <c r="AP148" s="310"/>
      <c r="AQ148" s="310"/>
      <c r="AR148" s="310"/>
      <c r="AS148" s="310"/>
      <c r="AT148" s="310"/>
      <c r="AU148" s="310"/>
      <c r="AV148" s="310"/>
      <c r="AW148" s="310"/>
      <c r="AX148" s="310"/>
      <c r="AY148" s="310"/>
      <c r="AZ148" s="310"/>
      <c r="BA148" s="310"/>
      <c r="BB148" s="310"/>
      <c r="BC148" s="310"/>
      <c r="BD148" s="310"/>
      <c r="BE148" s="310"/>
    </row>
    <row r="149" spans="1:57" hidden="1">
      <c r="A149" s="310"/>
      <c r="B149" s="310"/>
      <c r="C149" s="310"/>
      <c r="X149" s="310"/>
      <c r="Y149" s="310"/>
      <c r="Z149" s="310"/>
      <c r="AA149" s="310"/>
      <c r="AB149" s="310"/>
      <c r="AC149" s="310"/>
      <c r="AD149" s="310"/>
      <c r="AE149" s="310"/>
      <c r="AF149" s="310"/>
      <c r="AG149" s="310"/>
      <c r="AH149" s="310"/>
      <c r="AI149" s="310"/>
      <c r="AJ149" s="310"/>
      <c r="AK149" s="310"/>
      <c r="AL149" s="310"/>
      <c r="AM149" s="310"/>
      <c r="AN149" s="310"/>
      <c r="AO149" s="375"/>
      <c r="AP149" s="310"/>
      <c r="AQ149" s="310"/>
      <c r="AR149" s="310"/>
      <c r="AS149" s="310"/>
      <c r="AT149" s="310"/>
      <c r="AU149" s="310"/>
      <c r="AV149" s="310"/>
      <c r="AW149" s="310"/>
      <c r="AX149" s="310"/>
      <c r="AY149" s="310"/>
      <c r="AZ149" s="310"/>
      <c r="BA149" s="310"/>
      <c r="BB149" s="310"/>
      <c r="BC149" s="310"/>
      <c r="BD149" s="310"/>
      <c r="BE149" s="310"/>
    </row>
    <row r="150" spans="1:57" hidden="1">
      <c r="A150" s="310"/>
      <c r="B150" s="310"/>
      <c r="C150" s="310"/>
      <c r="X150" s="310"/>
      <c r="Y150" s="310"/>
      <c r="Z150" s="310"/>
      <c r="AA150" s="310"/>
      <c r="AB150" s="310"/>
      <c r="AC150" s="310"/>
      <c r="AD150" s="310"/>
      <c r="AE150" s="310"/>
      <c r="AF150" s="310"/>
      <c r="AG150" s="310"/>
      <c r="AH150" s="310"/>
      <c r="AI150" s="310"/>
      <c r="AJ150" s="310"/>
      <c r="AK150" s="310"/>
      <c r="AL150" s="310"/>
      <c r="AM150" s="310"/>
      <c r="AN150" s="310"/>
      <c r="AO150" s="375"/>
      <c r="AP150" s="310"/>
      <c r="AQ150" s="310"/>
      <c r="AR150" s="310"/>
      <c r="AS150" s="310"/>
      <c r="AT150" s="310"/>
      <c r="AU150" s="310"/>
      <c r="AV150" s="310"/>
      <c r="AW150" s="310"/>
      <c r="AX150" s="310"/>
      <c r="AY150" s="310"/>
      <c r="AZ150" s="310"/>
      <c r="BA150" s="310"/>
      <c r="BB150" s="310"/>
      <c r="BC150" s="310"/>
      <c r="BD150" s="310"/>
      <c r="BE150" s="310"/>
    </row>
    <row r="151" spans="1:57" hidden="1">
      <c r="A151" s="310"/>
      <c r="B151" s="310"/>
      <c r="C151" s="310"/>
      <c r="X151" s="310"/>
      <c r="Y151" s="310"/>
      <c r="Z151" s="310"/>
      <c r="AA151" s="310"/>
      <c r="AB151" s="310"/>
      <c r="AC151" s="310"/>
      <c r="AD151" s="310"/>
      <c r="AE151" s="310"/>
      <c r="AF151" s="310"/>
      <c r="AG151" s="310"/>
      <c r="AH151" s="310"/>
      <c r="AI151" s="310"/>
      <c r="AJ151" s="310"/>
      <c r="AK151" s="310"/>
      <c r="AL151" s="310"/>
      <c r="AM151" s="310"/>
      <c r="AN151" s="310"/>
      <c r="AO151" s="375"/>
      <c r="AP151" s="310"/>
      <c r="AQ151" s="310"/>
      <c r="AR151" s="310"/>
      <c r="AS151" s="310"/>
      <c r="AT151" s="310"/>
      <c r="AU151" s="310"/>
      <c r="AV151" s="310"/>
      <c r="AW151" s="310"/>
      <c r="AX151" s="310"/>
      <c r="AY151" s="310"/>
      <c r="AZ151" s="310"/>
      <c r="BA151" s="310"/>
      <c r="BB151" s="310"/>
      <c r="BC151" s="310"/>
      <c r="BD151" s="310"/>
      <c r="BE151" s="310"/>
    </row>
    <row r="152" spans="1:57" hidden="1">
      <c r="A152" s="310"/>
      <c r="B152" s="310"/>
      <c r="C152" s="310"/>
      <c r="X152" s="310"/>
      <c r="Y152" s="310"/>
      <c r="Z152" s="310"/>
      <c r="AA152" s="310"/>
      <c r="AB152" s="310"/>
      <c r="AC152" s="310"/>
      <c r="AD152" s="310"/>
      <c r="AE152" s="310"/>
      <c r="AF152" s="310"/>
      <c r="AG152" s="310"/>
      <c r="AH152" s="310"/>
      <c r="AI152" s="310"/>
      <c r="AJ152" s="310"/>
      <c r="AK152" s="310"/>
      <c r="AL152" s="310"/>
      <c r="AM152" s="310"/>
      <c r="AN152" s="310"/>
      <c r="AO152" s="375"/>
      <c r="AP152" s="310"/>
      <c r="AQ152" s="310"/>
      <c r="AR152" s="310"/>
      <c r="AS152" s="310"/>
      <c r="AT152" s="310"/>
      <c r="AU152" s="310"/>
      <c r="AV152" s="310"/>
      <c r="AW152" s="310"/>
      <c r="AX152" s="310"/>
      <c r="AY152" s="310"/>
      <c r="AZ152" s="310"/>
      <c r="BA152" s="310"/>
      <c r="BB152" s="310"/>
      <c r="BC152" s="310"/>
      <c r="BD152" s="310"/>
      <c r="BE152" s="310"/>
    </row>
    <row r="153" spans="1:57" hidden="1">
      <c r="A153" s="310"/>
      <c r="B153" s="310"/>
      <c r="C153" s="310"/>
      <c r="X153" s="310"/>
      <c r="Y153" s="310"/>
      <c r="Z153" s="310"/>
      <c r="AA153" s="310"/>
      <c r="AB153" s="310"/>
      <c r="AC153" s="310"/>
      <c r="AD153" s="310"/>
      <c r="AE153" s="310"/>
      <c r="AF153" s="310"/>
      <c r="AG153" s="310"/>
      <c r="AH153" s="310"/>
      <c r="AI153" s="310"/>
      <c r="AJ153" s="310"/>
      <c r="AK153" s="310"/>
      <c r="AL153" s="310"/>
      <c r="AM153" s="310"/>
      <c r="AN153" s="310"/>
      <c r="AO153" s="375"/>
      <c r="AP153" s="310"/>
      <c r="AQ153" s="310"/>
      <c r="AR153" s="310"/>
      <c r="AS153" s="310"/>
      <c r="AT153" s="310"/>
      <c r="AU153" s="310"/>
      <c r="AV153" s="310"/>
      <c r="AW153" s="310"/>
      <c r="AX153" s="310"/>
      <c r="AY153" s="310"/>
      <c r="AZ153" s="310"/>
      <c r="BA153" s="310"/>
      <c r="BB153" s="310"/>
      <c r="BC153" s="310"/>
      <c r="BD153" s="310"/>
      <c r="BE153" s="310"/>
    </row>
    <row r="154" spans="1:57" hidden="1">
      <c r="A154" s="310"/>
      <c r="B154" s="310"/>
      <c r="C154" s="310"/>
      <c r="X154" s="310"/>
      <c r="Y154" s="310"/>
      <c r="Z154" s="310"/>
      <c r="AA154" s="310"/>
      <c r="AB154" s="310"/>
      <c r="AC154" s="310"/>
      <c r="AD154" s="310"/>
      <c r="AE154" s="310"/>
      <c r="AF154" s="310"/>
      <c r="AG154" s="310"/>
      <c r="AH154" s="310"/>
      <c r="AI154" s="310"/>
      <c r="AJ154" s="310"/>
      <c r="AK154" s="310"/>
      <c r="AL154" s="310"/>
      <c r="AM154" s="310"/>
      <c r="AN154" s="310"/>
      <c r="AO154" s="375"/>
      <c r="AP154" s="310"/>
      <c r="AQ154" s="310"/>
      <c r="AR154" s="310"/>
      <c r="AS154" s="310"/>
      <c r="AT154" s="310"/>
      <c r="AU154" s="310"/>
      <c r="AV154" s="310"/>
      <c r="AW154" s="310"/>
      <c r="AX154" s="310"/>
      <c r="AY154" s="310"/>
      <c r="AZ154" s="310"/>
      <c r="BA154" s="310"/>
      <c r="BB154" s="310"/>
      <c r="BC154" s="310"/>
      <c r="BD154" s="310"/>
      <c r="BE154" s="310"/>
    </row>
    <row r="155" spans="1:57" hidden="1">
      <c r="A155" s="310"/>
      <c r="B155" s="310"/>
      <c r="C155" s="310"/>
      <c r="X155" s="310"/>
      <c r="Y155" s="310"/>
      <c r="Z155" s="310"/>
      <c r="AA155" s="310"/>
      <c r="AB155" s="310"/>
      <c r="AC155" s="310"/>
      <c r="AD155" s="310"/>
      <c r="AE155" s="310"/>
      <c r="AF155" s="310"/>
      <c r="AG155" s="310"/>
      <c r="AH155" s="310"/>
      <c r="AI155" s="310"/>
      <c r="AJ155" s="310"/>
      <c r="AK155" s="310"/>
      <c r="AL155" s="310"/>
      <c r="AM155" s="310"/>
      <c r="AN155" s="310"/>
      <c r="AO155" s="375"/>
      <c r="AP155" s="310"/>
      <c r="AQ155" s="310"/>
      <c r="AR155" s="310"/>
      <c r="AS155" s="310"/>
      <c r="AT155" s="310"/>
      <c r="AU155" s="310"/>
      <c r="AV155" s="310"/>
      <c r="AW155" s="310"/>
      <c r="AX155" s="310"/>
      <c r="AY155" s="310"/>
      <c r="AZ155" s="310"/>
      <c r="BA155" s="310"/>
      <c r="BB155" s="310"/>
      <c r="BC155" s="310"/>
      <c r="BD155" s="310"/>
      <c r="BE155" s="310"/>
    </row>
    <row r="156" spans="1:57" hidden="1">
      <c r="A156" s="310"/>
      <c r="B156" s="310"/>
      <c r="C156" s="310"/>
      <c r="X156" s="310"/>
      <c r="Y156" s="310"/>
      <c r="Z156" s="310"/>
      <c r="AA156" s="310"/>
      <c r="AB156" s="310"/>
      <c r="AC156" s="310"/>
      <c r="AD156" s="310"/>
      <c r="AE156" s="310"/>
      <c r="AF156" s="310"/>
      <c r="AG156" s="310"/>
      <c r="AH156" s="310"/>
      <c r="AI156" s="310"/>
      <c r="AJ156" s="310"/>
      <c r="AK156" s="310"/>
      <c r="AL156" s="310"/>
      <c r="AM156" s="310"/>
      <c r="AN156" s="310"/>
      <c r="AO156" s="375"/>
      <c r="AP156" s="310"/>
      <c r="AQ156" s="310"/>
      <c r="AR156" s="310"/>
      <c r="AS156" s="310"/>
      <c r="AT156" s="310"/>
      <c r="AU156" s="310"/>
      <c r="AV156" s="310"/>
      <c r="AW156" s="310"/>
      <c r="AX156" s="310"/>
      <c r="AY156" s="310"/>
      <c r="AZ156" s="310"/>
      <c r="BA156" s="310"/>
      <c r="BB156" s="310"/>
      <c r="BC156" s="310"/>
      <c r="BD156" s="310"/>
      <c r="BE156" s="310"/>
    </row>
    <row r="157" spans="1:57" hidden="1">
      <c r="A157" s="310"/>
      <c r="B157" s="310"/>
      <c r="C157" s="310"/>
      <c r="X157" s="310"/>
      <c r="Y157" s="310"/>
      <c r="Z157" s="310"/>
      <c r="AA157" s="310"/>
      <c r="AB157" s="310"/>
      <c r="AC157" s="310"/>
      <c r="AD157" s="310"/>
      <c r="AE157" s="310"/>
      <c r="AF157" s="310"/>
      <c r="AG157" s="310"/>
      <c r="AH157" s="310"/>
      <c r="AI157" s="310"/>
      <c r="AJ157" s="310"/>
      <c r="AK157" s="310"/>
      <c r="AL157" s="310"/>
      <c r="AM157" s="310"/>
      <c r="AN157" s="310"/>
      <c r="AO157" s="375"/>
      <c r="AP157" s="310"/>
      <c r="AQ157" s="310"/>
      <c r="AR157" s="310"/>
      <c r="AS157" s="310"/>
      <c r="AT157" s="310"/>
      <c r="AU157" s="310"/>
      <c r="AV157" s="310"/>
      <c r="AW157" s="310"/>
      <c r="AX157" s="310"/>
      <c r="AY157" s="310"/>
      <c r="AZ157" s="310"/>
      <c r="BA157" s="310"/>
      <c r="BB157" s="310"/>
      <c r="BC157" s="310"/>
      <c r="BD157" s="310"/>
      <c r="BE157" s="310"/>
    </row>
    <row r="158" spans="1:57" hidden="1">
      <c r="A158" s="310"/>
      <c r="B158" s="310"/>
      <c r="C158" s="310"/>
      <c r="X158" s="310"/>
      <c r="Y158" s="310"/>
      <c r="Z158" s="310"/>
      <c r="AA158" s="310"/>
      <c r="AB158" s="310"/>
      <c r="AC158" s="310"/>
      <c r="AD158" s="310"/>
      <c r="AE158" s="310"/>
      <c r="AF158" s="310"/>
      <c r="AG158" s="310"/>
      <c r="AH158" s="310"/>
      <c r="AI158" s="310"/>
      <c r="AJ158" s="310"/>
      <c r="AK158" s="310"/>
      <c r="AL158" s="310"/>
      <c r="AM158" s="310"/>
      <c r="AN158" s="310"/>
      <c r="AO158" s="375"/>
      <c r="AP158" s="310"/>
      <c r="AQ158" s="310"/>
      <c r="AR158" s="310"/>
      <c r="AS158" s="310"/>
      <c r="AT158" s="310"/>
      <c r="AU158" s="310"/>
      <c r="AV158" s="310"/>
      <c r="AW158" s="310"/>
      <c r="AX158" s="310"/>
      <c r="AY158" s="310"/>
      <c r="AZ158" s="310"/>
      <c r="BA158" s="310"/>
      <c r="BB158" s="310"/>
      <c r="BC158" s="310"/>
      <c r="BD158" s="310"/>
      <c r="BE158" s="310"/>
    </row>
    <row r="159" spans="1:57" hidden="1">
      <c r="A159" s="310"/>
      <c r="B159" s="310"/>
      <c r="C159" s="310"/>
      <c r="X159" s="310"/>
      <c r="Y159" s="310"/>
      <c r="Z159" s="310"/>
      <c r="AA159" s="310"/>
      <c r="AB159" s="310"/>
      <c r="AC159" s="310"/>
      <c r="AD159" s="310"/>
      <c r="AE159" s="310"/>
      <c r="AF159" s="310"/>
      <c r="AG159" s="310"/>
      <c r="AH159" s="310"/>
      <c r="AI159" s="310"/>
      <c r="AJ159" s="310"/>
      <c r="AK159" s="310"/>
      <c r="AL159" s="310"/>
      <c r="AM159" s="310"/>
      <c r="AN159" s="310"/>
      <c r="AO159" s="375"/>
      <c r="AP159" s="310"/>
      <c r="AQ159" s="310"/>
      <c r="AR159" s="310"/>
      <c r="AS159" s="310"/>
      <c r="AT159" s="310"/>
      <c r="AU159" s="310"/>
      <c r="AV159" s="310"/>
      <c r="AW159" s="310"/>
      <c r="AX159" s="310"/>
      <c r="AY159" s="310"/>
      <c r="AZ159" s="310"/>
      <c r="BA159" s="310"/>
      <c r="BB159" s="310"/>
      <c r="BC159" s="310"/>
      <c r="BD159" s="310"/>
      <c r="BE159" s="310"/>
    </row>
    <row r="160" spans="1:57" hidden="1">
      <c r="A160" s="310"/>
      <c r="B160" s="310"/>
      <c r="C160" s="310"/>
      <c r="X160" s="310"/>
      <c r="Y160" s="310"/>
      <c r="Z160" s="310"/>
      <c r="AA160" s="310"/>
      <c r="AB160" s="310"/>
      <c r="AC160" s="310"/>
      <c r="AD160" s="310"/>
      <c r="AE160" s="310"/>
      <c r="AF160" s="310"/>
      <c r="AG160" s="310"/>
      <c r="AH160" s="310"/>
      <c r="AI160" s="310"/>
      <c r="AJ160" s="310"/>
      <c r="AK160" s="310"/>
      <c r="AL160" s="310"/>
      <c r="AM160" s="310"/>
      <c r="AN160" s="310"/>
      <c r="AO160" s="375"/>
      <c r="AP160" s="310"/>
      <c r="AQ160" s="310"/>
      <c r="AR160" s="310"/>
      <c r="AS160" s="310"/>
      <c r="AT160" s="310"/>
      <c r="AU160" s="310"/>
      <c r="AV160" s="310"/>
      <c r="AW160" s="310"/>
      <c r="AX160" s="310"/>
      <c r="AY160" s="310"/>
      <c r="AZ160" s="310"/>
      <c r="BA160" s="310"/>
      <c r="BB160" s="310"/>
      <c r="BC160" s="310"/>
      <c r="BD160" s="310"/>
      <c r="BE160" s="310"/>
    </row>
    <row r="161" spans="1:57" hidden="1">
      <c r="A161" s="310"/>
      <c r="B161" s="310"/>
      <c r="C161" s="310"/>
      <c r="X161" s="310"/>
      <c r="Y161" s="310"/>
      <c r="Z161" s="310"/>
      <c r="AA161" s="310"/>
      <c r="AB161" s="310"/>
      <c r="AC161" s="310"/>
      <c r="AD161" s="310"/>
      <c r="AE161" s="310"/>
      <c r="AF161" s="310"/>
      <c r="AG161" s="310"/>
      <c r="AH161" s="310"/>
      <c r="AI161" s="310"/>
      <c r="AJ161" s="310"/>
      <c r="AK161" s="310"/>
      <c r="AL161" s="310"/>
      <c r="AM161" s="310"/>
      <c r="AN161" s="310"/>
      <c r="AO161" s="375"/>
      <c r="AP161" s="310"/>
      <c r="AQ161" s="310"/>
      <c r="AR161" s="310"/>
      <c r="AS161" s="310"/>
      <c r="AT161" s="310"/>
      <c r="AU161" s="310"/>
      <c r="AV161" s="310"/>
      <c r="AW161" s="310"/>
      <c r="AX161" s="310"/>
      <c r="AY161" s="310"/>
      <c r="AZ161" s="310"/>
      <c r="BA161" s="310"/>
      <c r="BB161" s="310"/>
      <c r="BC161" s="310"/>
      <c r="BD161" s="310"/>
      <c r="BE161" s="310"/>
    </row>
    <row r="162" spans="1:57" hidden="1">
      <c r="A162" s="310"/>
      <c r="B162" s="310"/>
      <c r="C162" s="310"/>
      <c r="X162" s="310"/>
      <c r="Y162" s="310"/>
      <c r="Z162" s="310"/>
      <c r="AA162" s="310"/>
      <c r="AB162" s="310"/>
      <c r="AC162" s="310"/>
      <c r="AD162" s="310"/>
      <c r="AE162" s="310"/>
      <c r="AF162" s="310"/>
      <c r="AG162" s="310"/>
      <c r="AH162" s="310"/>
      <c r="AI162" s="310"/>
      <c r="AJ162" s="310"/>
      <c r="AK162" s="310"/>
      <c r="AL162" s="310"/>
      <c r="AM162" s="310"/>
      <c r="AN162" s="310"/>
      <c r="AO162" s="375"/>
      <c r="AP162" s="310"/>
      <c r="AQ162" s="310"/>
      <c r="AR162" s="310"/>
      <c r="AS162" s="310"/>
      <c r="AT162" s="310"/>
      <c r="AU162" s="310"/>
      <c r="AV162" s="310"/>
      <c r="AW162" s="310"/>
      <c r="AX162" s="310"/>
      <c r="AY162" s="310"/>
      <c r="AZ162" s="310"/>
      <c r="BA162" s="310"/>
      <c r="BB162" s="310"/>
      <c r="BC162" s="310"/>
      <c r="BD162" s="310"/>
      <c r="BE162" s="310"/>
    </row>
    <row r="163" spans="1:57" hidden="1">
      <c r="A163" s="310"/>
      <c r="B163" s="310"/>
      <c r="C163" s="310"/>
      <c r="X163" s="310"/>
      <c r="Y163" s="310"/>
      <c r="Z163" s="310"/>
      <c r="AA163" s="310"/>
      <c r="AB163" s="310"/>
      <c r="AC163" s="310"/>
      <c r="AD163" s="310"/>
      <c r="AE163" s="310"/>
      <c r="AF163" s="310"/>
      <c r="AG163" s="310"/>
      <c r="AH163" s="310"/>
      <c r="AI163" s="310"/>
      <c r="AJ163" s="310"/>
      <c r="AK163" s="310"/>
      <c r="AL163" s="310"/>
      <c r="AM163" s="310"/>
      <c r="AN163" s="310"/>
      <c r="AO163" s="375"/>
      <c r="AP163" s="310"/>
      <c r="AQ163" s="310"/>
      <c r="AR163" s="310"/>
      <c r="AS163" s="310"/>
      <c r="AT163" s="310"/>
      <c r="AU163" s="310"/>
      <c r="AV163" s="310"/>
      <c r="AW163" s="310"/>
      <c r="AX163" s="310"/>
      <c r="AY163" s="310"/>
      <c r="AZ163" s="310"/>
      <c r="BA163" s="310"/>
      <c r="BB163" s="310"/>
      <c r="BC163" s="310"/>
      <c r="BD163" s="310"/>
      <c r="BE163" s="310"/>
    </row>
    <row r="164" spans="1:57" hidden="1">
      <c r="A164" s="310"/>
      <c r="B164" s="310"/>
      <c r="C164" s="310"/>
      <c r="X164" s="310"/>
      <c r="Y164" s="310"/>
      <c r="Z164" s="310"/>
      <c r="AA164" s="310"/>
      <c r="AB164" s="310"/>
      <c r="AC164" s="310"/>
      <c r="AD164" s="310"/>
      <c r="AE164" s="310"/>
      <c r="AF164" s="310"/>
      <c r="AG164" s="310"/>
      <c r="AH164" s="310"/>
      <c r="AI164" s="310"/>
      <c r="AJ164" s="310"/>
      <c r="AK164" s="310"/>
      <c r="AL164" s="310"/>
      <c r="AM164" s="310"/>
      <c r="AN164" s="310"/>
      <c r="AO164" s="375"/>
      <c r="AP164" s="310"/>
      <c r="AQ164" s="310"/>
      <c r="AR164" s="310"/>
      <c r="AS164" s="310"/>
      <c r="AT164" s="310"/>
      <c r="AU164" s="310"/>
      <c r="AV164" s="310"/>
      <c r="AW164" s="310"/>
      <c r="AX164" s="310"/>
      <c r="AY164" s="310"/>
      <c r="AZ164" s="310"/>
      <c r="BA164" s="310"/>
      <c r="BB164" s="310"/>
      <c r="BC164" s="310"/>
      <c r="BD164" s="310"/>
      <c r="BE164" s="310"/>
    </row>
    <row r="165" spans="1:57" hidden="1">
      <c r="A165" s="310"/>
      <c r="B165" s="310"/>
      <c r="C165" s="310"/>
      <c r="X165" s="310"/>
      <c r="Y165" s="310"/>
      <c r="Z165" s="310"/>
      <c r="AA165" s="310"/>
      <c r="AB165" s="310"/>
      <c r="AC165" s="310"/>
      <c r="AD165" s="310"/>
      <c r="AE165" s="310"/>
      <c r="AF165" s="310"/>
      <c r="AG165" s="310"/>
      <c r="AH165" s="310"/>
      <c r="AI165" s="310"/>
      <c r="AJ165" s="310"/>
      <c r="AK165" s="310"/>
      <c r="AL165" s="310"/>
      <c r="AM165" s="310"/>
      <c r="AN165" s="310"/>
      <c r="AO165" s="375"/>
      <c r="AP165" s="310"/>
      <c r="AQ165" s="310"/>
      <c r="AR165" s="310"/>
      <c r="AS165" s="310"/>
      <c r="AT165" s="310"/>
      <c r="AU165" s="310"/>
      <c r="AV165" s="310"/>
      <c r="AW165" s="310"/>
      <c r="AX165" s="310"/>
      <c r="AY165" s="310"/>
      <c r="AZ165" s="310"/>
      <c r="BA165" s="310"/>
      <c r="BB165" s="310"/>
      <c r="BC165" s="310"/>
      <c r="BD165" s="310"/>
      <c r="BE165" s="310"/>
    </row>
    <row r="166" spans="1:57" hidden="1">
      <c r="A166" s="310"/>
      <c r="B166" s="310"/>
      <c r="C166" s="310"/>
      <c r="X166" s="310"/>
      <c r="Y166" s="310"/>
      <c r="Z166" s="310"/>
      <c r="AA166" s="310"/>
      <c r="AB166" s="310"/>
      <c r="AC166" s="310"/>
      <c r="AD166" s="310"/>
      <c r="AE166" s="310"/>
      <c r="AF166" s="310"/>
      <c r="AG166" s="310"/>
      <c r="AH166" s="310"/>
      <c r="AI166" s="310"/>
      <c r="AJ166" s="310"/>
      <c r="AK166" s="310"/>
      <c r="AL166" s="310"/>
      <c r="AM166" s="310"/>
      <c r="AN166" s="310"/>
      <c r="AO166" s="375"/>
      <c r="AP166" s="310"/>
      <c r="AQ166" s="310"/>
      <c r="AR166" s="310"/>
      <c r="AS166" s="310"/>
      <c r="AT166" s="310"/>
      <c r="AU166" s="310"/>
      <c r="AV166" s="310"/>
      <c r="AW166" s="310"/>
      <c r="AX166" s="310"/>
      <c r="AY166" s="310"/>
      <c r="AZ166" s="310"/>
      <c r="BA166" s="310"/>
      <c r="BB166" s="310"/>
      <c r="BC166" s="310"/>
      <c r="BD166" s="310"/>
      <c r="BE166" s="310"/>
    </row>
    <row r="167" spans="1:57" hidden="1">
      <c r="A167" s="310"/>
      <c r="B167" s="310"/>
      <c r="C167" s="310"/>
      <c r="X167" s="310"/>
      <c r="Y167" s="310"/>
      <c r="Z167" s="310"/>
      <c r="AA167" s="310"/>
      <c r="AB167" s="310"/>
      <c r="AC167" s="310"/>
      <c r="AD167" s="310"/>
      <c r="AE167" s="310"/>
      <c r="AF167" s="310"/>
      <c r="AG167" s="310"/>
      <c r="AH167" s="310"/>
      <c r="AI167" s="310"/>
      <c r="AJ167" s="310"/>
      <c r="AK167" s="310"/>
      <c r="AL167" s="310"/>
      <c r="AM167" s="310"/>
      <c r="AN167" s="310"/>
      <c r="AO167" s="375"/>
      <c r="AP167" s="310"/>
      <c r="AQ167" s="310"/>
      <c r="AR167" s="310"/>
      <c r="AS167" s="310"/>
      <c r="AT167" s="310"/>
      <c r="AU167" s="310"/>
      <c r="AV167" s="310"/>
      <c r="AW167" s="310"/>
      <c r="AX167" s="310"/>
      <c r="AY167" s="310"/>
      <c r="AZ167" s="310"/>
      <c r="BA167" s="310"/>
      <c r="BB167" s="310"/>
      <c r="BC167" s="310"/>
      <c r="BD167" s="310"/>
      <c r="BE167" s="310"/>
    </row>
    <row r="168" spans="1:57" hidden="1">
      <c r="A168" s="310"/>
      <c r="B168" s="310"/>
      <c r="C168" s="310"/>
      <c r="X168" s="310"/>
      <c r="Y168" s="310"/>
      <c r="Z168" s="310"/>
      <c r="AA168" s="310"/>
      <c r="AB168" s="310"/>
      <c r="AC168" s="310"/>
      <c r="AD168" s="310"/>
      <c r="AE168" s="310"/>
      <c r="AF168" s="310"/>
      <c r="AG168" s="310"/>
      <c r="AH168" s="310"/>
      <c r="AI168" s="310"/>
      <c r="AJ168" s="310"/>
      <c r="AK168" s="310"/>
      <c r="AL168" s="310"/>
      <c r="AM168" s="310"/>
      <c r="AN168" s="310"/>
      <c r="AO168" s="375"/>
      <c r="AP168" s="310"/>
      <c r="AQ168" s="310"/>
      <c r="AR168" s="310"/>
      <c r="AS168" s="310"/>
      <c r="AT168" s="310"/>
      <c r="AU168" s="310"/>
      <c r="AV168" s="310"/>
      <c r="AW168" s="310"/>
      <c r="AX168" s="310"/>
      <c r="AY168" s="310"/>
      <c r="AZ168" s="310"/>
      <c r="BA168" s="310"/>
      <c r="BB168" s="310"/>
      <c r="BC168" s="310"/>
      <c r="BD168" s="310"/>
      <c r="BE168" s="310"/>
    </row>
    <row r="169" spans="1:57" hidden="1">
      <c r="A169" s="310"/>
      <c r="B169" s="310"/>
      <c r="C169" s="310"/>
      <c r="X169" s="310"/>
      <c r="Y169" s="310"/>
      <c r="Z169" s="310"/>
      <c r="AA169" s="310"/>
      <c r="AB169" s="310"/>
      <c r="AC169" s="310"/>
      <c r="AD169" s="310"/>
      <c r="AE169" s="310"/>
      <c r="AF169" s="310"/>
      <c r="AG169" s="310"/>
      <c r="AH169" s="310"/>
      <c r="AI169" s="310"/>
      <c r="AJ169" s="310"/>
      <c r="AK169" s="310"/>
      <c r="AL169" s="310"/>
      <c r="AM169" s="310"/>
      <c r="AN169" s="310"/>
      <c r="AO169" s="375"/>
      <c r="AP169" s="310"/>
      <c r="AQ169" s="310"/>
      <c r="AR169" s="310"/>
      <c r="AS169" s="310"/>
      <c r="AT169" s="310"/>
      <c r="AU169" s="310"/>
      <c r="AV169" s="310"/>
      <c r="AW169" s="310"/>
      <c r="AX169" s="310"/>
      <c r="AY169" s="310"/>
      <c r="AZ169" s="310"/>
      <c r="BA169" s="310"/>
      <c r="BB169" s="310"/>
      <c r="BC169" s="310"/>
      <c r="BD169" s="310"/>
      <c r="BE169" s="310"/>
    </row>
    <row r="170" spans="1:57" hidden="1">
      <c r="A170" s="310"/>
      <c r="B170" s="310"/>
      <c r="C170" s="310"/>
      <c r="X170" s="310"/>
      <c r="Y170" s="310"/>
      <c r="Z170" s="310"/>
      <c r="AA170" s="310"/>
      <c r="AB170" s="310"/>
      <c r="AC170" s="310"/>
      <c r="AD170" s="310"/>
      <c r="AE170" s="310"/>
      <c r="AF170" s="310"/>
      <c r="AG170" s="310"/>
      <c r="AH170" s="310"/>
      <c r="AI170" s="310"/>
      <c r="AJ170" s="310"/>
      <c r="AK170" s="310"/>
      <c r="AL170" s="310"/>
      <c r="AM170" s="310"/>
      <c r="AN170" s="310"/>
      <c r="AO170" s="375"/>
      <c r="AP170" s="310"/>
      <c r="AQ170" s="310"/>
      <c r="AR170" s="310"/>
      <c r="AS170" s="310"/>
      <c r="AT170" s="310"/>
      <c r="AU170" s="310"/>
      <c r="AV170" s="310"/>
      <c r="AW170" s="310"/>
      <c r="AX170" s="310"/>
      <c r="AY170" s="310"/>
      <c r="AZ170" s="310"/>
      <c r="BA170" s="310"/>
      <c r="BB170" s="310"/>
      <c r="BC170" s="310"/>
      <c r="BD170" s="310"/>
      <c r="BE170" s="310"/>
    </row>
    <row r="171" spans="1:57" hidden="1">
      <c r="A171" s="310"/>
      <c r="B171" s="310"/>
      <c r="C171" s="310"/>
      <c r="X171" s="310"/>
      <c r="Y171" s="310"/>
      <c r="Z171" s="310"/>
      <c r="AA171" s="310"/>
      <c r="AB171" s="310"/>
      <c r="AC171" s="310"/>
      <c r="AD171" s="310"/>
      <c r="AE171" s="310"/>
      <c r="AF171" s="310"/>
      <c r="AG171" s="310"/>
      <c r="AH171" s="310"/>
      <c r="AI171" s="310"/>
      <c r="AJ171" s="310"/>
      <c r="AK171" s="310"/>
      <c r="AL171" s="310"/>
      <c r="AM171" s="310"/>
      <c r="AN171" s="310"/>
      <c r="AO171" s="375"/>
      <c r="AP171" s="310"/>
      <c r="AQ171" s="310"/>
      <c r="AR171" s="310"/>
      <c r="AS171" s="310"/>
      <c r="AT171" s="310"/>
      <c r="AU171" s="310"/>
      <c r="AV171" s="310"/>
      <c r="AW171" s="310"/>
      <c r="AX171" s="310"/>
      <c r="AY171" s="310"/>
      <c r="AZ171" s="310"/>
      <c r="BA171" s="310"/>
      <c r="BB171" s="310"/>
      <c r="BC171" s="310"/>
      <c r="BD171" s="310"/>
      <c r="BE171" s="310"/>
    </row>
    <row r="172" spans="1:57" hidden="1">
      <c r="A172" s="310"/>
      <c r="B172" s="310"/>
      <c r="C172" s="310"/>
      <c r="X172" s="310"/>
      <c r="Y172" s="310"/>
      <c r="Z172" s="310"/>
      <c r="AA172" s="310"/>
      <c r="AB172" s="310"/>
      <c r="AC172" s="310"/>
      <c r="AD172" s="310"/>
      <c r="AE172" s="310"/>
      <c r="AF172" s="310"/>
      <c r="AG172" s="310"/>
      <c r="AH172" s="310"/>
      <c r="AI172" s="310"/>
      <c r="AJ172" s="310"/>
      <c r="AK172" s="310"/>
      <c r="AL172" s="310"/>
      <c r="AM172" s="310"/>
      <c r="AN172" s="310"/>
      <c r="AO172" s="375"/>
      <c r="AP172" s="310"/>
      <c r="AQ172" s="310"/>
      <c r="AR172" s="310"/>
      <c r="AS172" s="310"/>
      <c r="AT172" s="310"/>
      <c r="AU172" s="310"/>
      <c r="AV172" s="310"/>
      <c r="AW172" s="310"/>
      <c r="AX172" s="310"/>
      <c r="AY172" s="310"/>
      <c r="AZ172" s="310"/>
      <c r="BA172" s="310"/>
      <c r="BB172" s="310"/>
      <c r="BC172" s="310"/>
      <c r="BD172" s="310"/>
      <c r="BE172" s="310"/>
    </row>
    <row r="173" spans="1:57" hidden="1">
      <c r="A173" s="310"/>
      <c r="B173" s="310"/>
      <c r="C173" s="310"/>
      <c r="X173" s="310"/>
      <c r="Y173" s="310"/>
      <c r="Z173" s="310"/>
      <c r="AA173" s="310"/>
      <c r="AB173" s="310"/>
      <c r="AC173" s="310"/>
      <c r="AD173" s="310"/>
      <c r="AE173" s="310"/>
      <c r="AF173" s="310"/>
      <c r="AG173" s="310"/>
      <c r="AH173" s="310"/>
      <c r="AI173" s="310"/>
      <c r="AJ173" s="310"/>
      <c r="AK173" s="310"/>
      <c r="AL173" s="310"/>
      <c r="AM173" s="310"/>
      <c r="AN173" s="310"/>
      <c r="AO173" s="375"/>
      <c r="AP173" s="310"/>
      <c r="AQ173" s="310"/>
      <c r="AR173" s="310"/>
      <c r="AS173" s="310"/>
      <c r="AT173" s="310"/>
      <c r="AU173" s="310"/>
      <c r="AV173" s="310"/>
      <c r="AW173" s="310"/>
      <c r="AX173" s="310"/>
      <c r="AY173" s="310"/>
      <c r="AZ173" s="310"/>
      <c r="BA173" s="310"/>
      <c r="BB173" s="310"/>
      <c r="BC173" s="310"/>
      <c r="BD173" s="310"/>
      <c r="BE173" s="310"/>
    </row>
    <row r="174" spans="1:57" hidden="1">
      <c r="A174" s="310"/>
      <c r="B174" s="310"/>
      <c r="C174" s="310"/>
      <c r="X174" s="310"/>
      <c r="Y174" s="310"/>
      <c r="Z174" s="310"/>
      <c r="AA174" s="310"/>
      <c r="AB174" s="310"/>
      <c r="AC174" s="310"/>
      <c r="AD174" s="310"/>
      <c r="AE174" s="310"/>
      <c r="AF174" s="310"/>
      <c r="AG174" s="310"/>
      <c r="AH174" s="310"/>
      <c r="AI174" s="310"/>
      <c r="AJ174" s="310"/>
      <c r="AK174" s="310"/>
      <c r="AL174" s="310"/>
      <c r="AM174" s="310"/>
      <c r="AN174" s="310"/>
      <c r="AO174" s="375"/>
      <c r="AP174" s="310"/>
      <c r="AQ174" s="310"/>
      <c r="AR174" s="310"/>
      <c r="AS174" s="310"/>
      <c r="AT174" s="310"/>
      <c r="AU174" s="310"/>
      <c r="AV174" s="310"/>
      <c r="AW174" s="310"/>
      <c r="AX174" s="310"/>
      <c r="AY174" s="310"/>
      <c r="AZ174" s="310"/>
      <c r="BA174" s="310"/>
      <c r="BB174" s="310"/>
      <c r="BC174" s="310"/>
      <c r="BD174" s="310"/>
      <c r="BE174" s="310"/>
    </row>
    <row r="175" spans="1:57" hidden="1">
      <c r="A175" s="310"/>
      <c r="B175" s="310"/>
      <c r="C175" s="310"/>
      <c r="X175" s="310"/>
      <c r="Y175" s="310"/>
      <c r="Z175" s="310"/>
      <c r="AA175" s="310"/>
      <c r="AB175" s="310"/>
      <c r="AC175" s="310"/>
      <c r="AD175" s="310"/>
      <c r="AE175" s="310"/>
      <c r="AF175" s="310"/>
      <c r="AG175" s="310"/>
      <c r="AH175" s="310"/>
      <c r="AI175" s="310"/>
      <c r="AJ175" s="310"/>
      <c r="AK175" s="310"/>
      <c r="AL175" s="310"/>
      <c r="AM175" s="310"/>
      <c r="AN175" s="310"/>
      <c r="AO175" s="375"/>
      <c r="AP175" s="310"/>
      <c r="AQ175" s="310"/>
      <c r="AR175" s="310"/>
      <c r="AS175" s="310"/>
      <c r="AT175" s="310"/>
      <c r="AU175" s="310"/>
      <c r="AV175" s="310"/>
      <c r="AW175" s="310"/>
      <c r="AX175" s="310"/>
      <c r="AY175" s="310"/>
      <c r="AZ175" s="310"/>
      <c r="BA175" s="310"/>
      <c r="BB175" s="310"/>
      <c r="BC175" s="310"/>
      <c r="BD175" s="310"/>
      <c r="BE175" s="310"/>
    </row>
    <row r="176" spans="1:57" hidden="1">
      <c r="A176" s="310"/>
      <c r="B176" s="310"/>
      <c r="C176" s="310"/>
      <c r="X176" s="310"/>
      <c r="Y176" s="310"/>
      <c r="Z176" s="310"/>
      <c r="AA176" s="310"/>
      <c r="AB176" s="310"/>
      <c r="AC176" s="310"/>
      <c r="AD176" s="310"/>
      <c r="AE176" s="310"/>
      <c r="AF176" s="310"/>
      <c r="AG176" s="310"/>
      <c r="AH176" s="310"/>
      <c r="AI176" s="310"/>
      <c r="AJ176" s="310"/>
      <c r="AK176" s="310"/>
      <c r="AL176" s="310"/>
      <c r="AM176" s="310"/>
      <c r="AN176" s="310"/>
      <c r="AO176" s="375"/>
      <c r="AP176" s="310"/>
      <c r="AQ176" s="310"/>
      <c r="AR176" s="310"/>
      <c r="AS176" s="310"/>
      <c r="AT176" s="310"/>
      <c r="AU176" s="310"/>
      <c r="AV176" s="310"/>
      <c r="AW176" s="310"/>
      <c r="AX176" s="310"/>
      <c r="AY176" s="310"/>
      <c r="AZ176" s="310"/>
      <c r="BA176" s="310"/>
      <c r="BB176" s="310"/>
      <c r="BC176" s="310"/>
      <c r="BD176" s="310"/>
      <c r="BE176" s="310"/>
    </row>
    <row r="177" spans="1:57" hidden="1">
      <c r="A177" s="310"/>
      <c r="B177" s="310"/>
      <c r="C177" s="310"/>
      <c r="X177" s="310"/>
      <c r="Y177" s="310"/>
      <c r="Z177" s="310"/>
      <c r="AA177" s="310"/>
      <c r="AB177" s="310"/>
      <c r="AC177" s="310"/>
      <c r="AD177" s="310"/>
      <c r="AE177" s="310"/>
      <c r="AF177" s="310"/>
      <c r="AG177" s="310"/>
      <c r="AH177" s="310"/>
      <c r="AI177" s="310"/>
      <c r="AJ177" s="310"/>
      <c r="AK177" s="310"/>
      <c r="AL177" s="310"/>
      <c r="AM177" s="310"/>
      <c r="AN177" s="310"/>
      <c r="AO177" s="375"/>
      <c r="AP177" s="310"/>
      <c r="AQ177" s="310"/>
      <c r="AR177" s="310"/>
      <c r="AS177" s="310"/>
      <c r="AT177" s="310"/>
      <c r="AU177" s="310"/>
      <c r="AV177" s="310"/>
      <c r="AW177" s="310"/>
      <c r="AX177" s="310"/>
      <c r="AY177" s="310"/>
      <c r="AZ177" s="310"/>
      <c r="BA177" s="310"/>
      <c r="BB177" s="310"/>
      <c r="BC177" s="310"/>
      <c r="BD177" s="310"/>
      <c r="BE177" s="310"/>
    </row>
    <row r="178" spans="1:57" hidden="1">
      <c r="A178" s="310"/>
      <c r="B178" s="310"/>
      <c r="C178" s="310"/>
      <c r="X178" s="310"/>
      <c r="Y178" s="310"/>
      <c r="Z178" s="310"/>
      <c r="AA178" s="310"/>
      <c r="AB178" s="310"/>
      <c r="AC178" s="310"/>
      <c r="AD178" s="310"/>
      <c r="AE178" s="310"/>
      <c r="AF178" s="310"/>
      <c r="AG178" s="310"/>
      <c r="AH178" s="310"/>
      <c r="AI178" s="310"/>
      <c r="AJ178" s="310"/>
      <c r="AK178" s="310"/>
      <c r="AL178" s="310"/>
      <c r="AM178" s="310"/>
      <c r="AN178" s="310"/>
      <c r="AO178" s="375"/>
      <c r="AP178" s="310"/>
      <c r="AQ178" s="310"/>
      <c r="AR178" s="310"/>
      <c r="AS178" s="310"/>
      <c r="AT178" s="310"/>
      <c r="AU178" s="310"/>
      <c r="AV178" s="310"/>
      <c r="AW178" s="310"/>
      <c r="AX178" s="310"/>
      <c r="AY178" s="310"/>
      <c r="AZ178" s="310"/>
      <c r="BA178" s="310"/>
      <c r="BB178" s="310"/>
      <c r="BC178" s="310"/>
      <c r="BD178" s="310"/>
      <c r="BE178" s="310"/>
    </row>
    <row r="179" spans="1:57" hidden="1">
      <c r="A179" s="310"/>
      <c r="B179" s="310"/>
      <c r="C179" s="310"/>
      <c r="X179" s="310"/>
      <c r="Y179" s="310"/>
      <c r="Z179" s="310"/>
      <c r="AA179" s="310"/>
      <c r="AB179" s="310"/>
      <c r="AC179" s="310"/>
      <c r="AD179" s="310"/>
      <c r="AE179" s="310"/>
      <c r="AF179" s="310"/>
      <c r="AG179" s="310"/>
      <c r="AH179" s="310"/>
      <c r="AI179" s="310"/>
      <c r="AJ179" s="310"/>
      <c r="AK179" s="310"/>
      <c r="AL179" s="310"/>
      <c r="AM179" s="310"/>
      <c r="AN179" s="310"/>
      <c r="AO179" s="375"/>
      <c r="AP179" s="310"/>
      <c r="AQ179" s="310"/>
      <c r="AR179" s="310"/>
      <c r="AS179" s="310"/>
      <c r="AT179" s="310"/>
      <c r="AU179" s="310"/>
      <c r="AV179" s="310"/>
      <c r="AW179" s="310"/>
      <c r="AX179" s="310"/>
      <c r="AY179" s="310"/>
      <c r="AZ179" s="310"/>
      <c r="BA179" s="310"/>
      <c r="BB179" s="310"/>
      <c r="BC179" s="310"/>
      <c r="BD179" s="310"/>
      <c r="BE179" s="310"/>
    </row>
    <row r="180" spans="1:57" hidden="1">
      <c r="A180" s="310"/>
      <c r="B180" s="310"/>
      <c r="C180" s="310"/>
      <c r="X180" s="310"/>
      <c r="Y180" s="310"/>
      <c r="Z180" s="310"/>
      <c r="AA180" s="310"/>
      <c r="AB180" s="310"/>
      <c r="AC180" s="310"/>
      <c r="AD180" s="310"/>
      <c r="AE180" s="310"/>
      <c r="AF180" s="310"/>
      <c r="AG180" s="310"/>
      <c r="AH180" s="310"/>
      <c r="AI180" s="310"/>
      <c r="AJ180" s="310"/>
      <c r="AK180" s="310"/>
      <c r="AL180" s="310"/>
      <c r="AM180" s="310"/>
      <c r="AN180" s="310"/>
      <c r="AO180" s="375"/>
      <c r="AP180" s="310"/>
      <c r="AQ180" s="310"/>
      <c r="AR180" s="310"/>
      <c r="AS180" s="310"/>
      <c r="AT180" s="310"/>
      <c r="AU180" s="310"/>
      <c r="AV180" s="310"/>
      <c r="AW180" s="310"/>
      <c r="AX180" s="310"/>
      <c r="AY180" s="310"/>
      <c r="AZ180" s="310"/>
      <c r="BA180" s="310"/>
      <c r="BB180" s="310"/>
      <c r="BC180" s="310"/>
      <c r="BD180" s="310"/>
      <c r="BE180" s="310"/>
    </row>
    <row r="181" spans="1:57" hidden="1">
      <c r="A181" s="310"/>
      <c r="B181" s="310"/>
      <c r="C181" s="310"/>
      <c r="X181" s="310"/>
      <c r="Y181" s="310"/>
      <c r="Z181" s="310"/>
      <c r="AA181" s="310"/>
      <c r="AB181" s="310"/>
      <c r="AC181" s="310"/>
      <c r="AD181" s="310"/>
      <c r="AE181" s="310"/>
      <c r="AF181" s="310"/>
      <c r="AG181" s="310"/>
      <c r="AH181" s="310"/>
      <c r="AI181" s="310"/>
      <c r="AJ181" s="310"/>
      <c r="AK181" s="310"/>
      <c r="AL181" s="310"/>
      <c r="AM181" s="310"/>
      <c r="AN181" s="310"/>
      <c r="AO181" s="375"/>
      <c r="AP181" s="310"/>
      <c r="AQ181" s="310"/>
      <c r="AR181" s="310"/>
      <c r="AS181" s="310"/>
      <c r="AT181" s="310"/>
      <c r="AU181" s="310"/>
      <c r="AV181" s="310"/>
      <c r="AW181" s="310"/>
      <c r="AX181" s="310"/>
      <c r="AY181" s="310"/>
      <c r="AZ181" s="310"/>
      <c r="BA181" s="310"/>
      <c r="BB181" s="310"/>
      <c r="BC181" s="310"/>
      <c r="BD181" s="310"/>
      <c r="BE181" s="310"/>
    </row>
    <row r="182" spans="1:57" hidden="1">
      <c r="A182" s="310"/>
      <c r="B182" s="310"/>
      <c r="C182" s="310"/>
      <c r="X182" s="310"/>
      <c r="Y182" s="310"/>
      <c r="Z182" s="310"/>
      <c r="AA182" s="310"/>
      <c r="AB182" s="310"/>
      <c r="AC182" s="310"/>
      <c r="AD182" s="310"/>
      <c r="AE182" s="310"/>
      <c r="AF182" s="310"/>
      <c r="AG182" s="310"/>
      <c r="AH182" s="310"/>
      <c r="AI182" s="310"/>
      <c r="AJ182" s="310"/>
      <c r="AK182" s="310"/>
      <c r="AL182" s="310"/>
      <c r="AM182" s="310"/>
      <c r="AN182" s="310"/>
      <c r="AO182" s="375"/>
      <c r="AP182" s="310"/>
      <c r="AQ182" s="310"/>
      <c r="AR182" s="310"/>
      <c r="AS182" s="310"/>
      <c r="AT182" s="310"/>
      <c r="AU182" s="310"/>
      <c r="AV182" s="310"/>
      <c r="AW182" s="310"/>
      <c r="AX182" s="310"/>
      <c r="AY182" s="310"/>
      <c r="AZ182" s="310"/>
      <c r="BA182" s="310"/>
      <c r="BB182" s="310"/>
      <c r="BC182" s="310"/>
      <c r="BD182" s="310"/>
      <c r="BE182" s="310"/>
    </row>
    <row r="183" spans="1:57" hidden="1">
      <c r="A183" s="310"/>
      <c r="B183" s="310"/>
      <c r="C183" s="310"/>
      <c r="X183" s="310"/>
      <c r="Y183" s="310"/>
      <c r="Z183" s="310"/>
      <c r="AA183" s="310"/>
      <c r="AB183" s="310"/>
      <c r="AC183" s="310"/>
      <c r="AD183" s="310"/>
      <c r="AE183" s="310"/>
      <c r="AF183" s="310"/>
      <c r="AG183" s="310"/>
      <c r="AH183" s="310"/>
      <c r="AI183" s="310"/>
      <c r="AJ183" s="310"/>
      <c r="AK183" s="310"/>
      <c r="AL183" s="310"/>
      <c r="AM183" s="310"/>
      <c r="AN183" s="310"/>
      <c r="AO183" s="375"/>
      <c r="AP183" s="310"/>
      <c r="AQ183" s="310"/>
      <c r="AR183" s="310"/>
      <c r="AS183" s="310"/>
      <c r="AT183" s="310"/>
      <c r="AU183" s="310"/>
      <c r="AV183" s="310"/>
      <c r="AW183" s="310"/>
      <c r="AX183" s="310"/>
      <c r="AY183" s="310"/>
      <c r="AZ183" s="310"/>
      <c r="BA183" s="310"/>
      <c r="BB183" s="310"/>
      <c r="BC183" s="310"/>
      <c r="BD183" s="310"/>
      <c r="BE183" s="310"/>
    </row>
    <row r="184" spans="1:57" hidden="1">
      <c r="A184" s="310"/>
      <c r="B184" s="310"/>
      <c r="C184" s="310"/>
      <c r="X184" s="310"/>
      <c r="Y184" s="310"/>
      <c r="Z184" s="310"/>
      <c r="AA184" s="310"/>
      <c r="AB184" s="310"/>
      <c r="AC184" s="310"/>
      <c r="AD184" s="310"/>
      <c r="AE184" s="310"/>
      <c r="AF184" s="310"/>
      <c r="AG184" s="310"/>
      <c r="AH184" s="310"/>
      <c r="AI184" s="310"/>
      <c r="AJ184" s="310"/>
      <c r="AK184" s="310"/>
      <c r="AL184" s="310"/>
      <c r="AM184" s="310"/>
      <c r="AN184" s="310"/>
      <c r="AO184" s="375"/>
      <c r="AP184" s="310"/>
      <c r="AQ184" s="310"/>
      <c r="AR184" s="310"/>
      <c r="AS184" s="310"/>
      <c r="AT184" s="310"/>
      <c r="AU184" s="310"/>
      <c r="AV184" s="310"/>
      <c r="AW184" s="310"/>
      <c r="AX184" s="310"/>
      <c r="AY184" s="310"/>
      <c r="AZ184" s="310"/>
      <c r="BA184" s="310"/>
      <c r="BB184" s="310"/>
      <c r="BC184" s="310"/>
      <c r="BD184" s="310"/>
      <c r="BE184" s="310"/>
    </row>
    <row r="185" spans="1:57" hidden="1">
      <c r="A185" s="310"/>
      <c r="B185" s="310"/>
      <c r="C185" s="310"/>
      <c r="X185" s="310"/>
      <c r="Y185" s="310"/>
      <c r="Z185" s="310"/>
      <c r="AA185" s="310"/>
      <c r="AB185" s="310"/>
      <c r="AC185" s="310"/>
      <c r="AD185" s="310"/>
      <c r="AE185" s="310"/>
      <c r="AF185" s="310"/>
      <c r="AG185" s="310"/>
      <c r="AH185" s="310"/>
      <c r="AI185" s="310"/>
      <c r="AJ185" s="310"/>
      <c r="AK185" s="310"/>
      <c r="AL185" s="310"/>
      <c r="AM185" s="310"/>
      <c r="AN185" s="310"/>
      <c r="AO185" s="375"/>
      <c r="AP185" s="310"/>
      <c r="AQ185" s="310"/>
      <c r="AR185" s="310"/>
      <c r="AS185" s="310"/>
      <c r="AT185" s="310"/>
      <c r="AU185" s="310"/>
      <c r="AV185" s="310"/>
      <c r="AW185" s="310"/>
      <c r="AX185" s="310"/>
      <c r="AY185" s="310"/>
      <c r="AZ185" s="310"/>
      <c r="BA185" s="310"/>
      <c r="BB185" s="310"/>
      <c r="BC185" s="310"/>
      <c r="BD185" s="310"/>
      <c r="BE185" s="310"/>
    </row>
    <row r="186" spans="1:57" hidden="1">
      <c r="A186" s="310"/>
      <c r="B186" s="310"/>
      <c r="C186" s="310"/>
      <c r="X186" s="310"/>
      <c r="Y186" s="310"/>
      <c r="Z186" s="310"/>
      <c r="AA186" s="310"/>
      <c r="AB186" s="310"/>
      <c r="AC186" s="310"/>
      <c r="AD186" s="310"/>
      <c r="AE186" s="310"/>
      <c r="AF186" s="310"/>
      <c r="AG186" s="310"/>
      <c r="AH186" s="310"/>
      <c r="AI186" s="310"/>
      <c r="AJ186" s="310"/>
      <c r="AK186" s="310"/>
      <c r="AL186" s="310"/>
      <c r="AM186" s="310"/>
      <c r="AN186" s="310"/>
      <c r="AO186" s="375"/>
      <c r="AP186" s="310"/>
      <c r="AQ186" s="310"/>
      <c r="AR186" s="310"/>
      <c r="AS186" s="310"/>
      <c r="AT186" s="310"/>
      <c r="AU186" s="310"/>
      <c r="AV186" s="310"/>
      <c r="AW186" s="310"/>
      <c r="AX186" s="310"/>
      <c r="AY186" s="310"/>
      <c r="AZ186" s="310"/>
      <c r="BA186" s="310"/>
      <c r="BB186" s="310"/>
      <c r="BC186" s="310"/>
      <c r="BD186" s="310"/>
      <c r="BE186" s="310"/>
    </row>
    <row r="187" spans="1:57" hidden="1">
      <c r="A187" s="310"/>
      <c r="B187" s="310"/>
      <c r="C187" s="310"/>
      <c r="X187" s="310"/>
      <c r="Y187" s="310"/>
      <c r="Z187" s="310"/>
      <c r="AA187" s="310"/>
      <c r="AB187" s="310"/>
      <c r="AC187" s="310"/>
      <c r="AD187" s="310"/>
      <c r="AE187" s="310"/>
      <c r="AF187" s="310"/>
      <c r="AG187" s="310"/>
      <c r="AH187" s="310"/>
      <c r="AI187" s="310"/>
      <c r="AJ187" s="310"/>
      <c r="AK187" s="310"/>
      <c r="AL187" s="310"/>
      <c r="AM187" s="310"/>
      <c r="AN187" s="310"/>
      <c r="AO187" s="375"/>
      <c r="AP187" s="310"/>
      <c r="AQ187" s="310"/>
      <c r="AR187" s="310"/>
      <c r="AS187" s="310"/>
      <c r="AT187" s="310"/>
      <c r="AU187" s="310"/>
      <c r="AV187" s="310"/>
      <c r="AW187" s="310"/>
      <c r="AX187" s="310"/>
      <c r="AY187" s="310"/>
      <c r="AZ187" s="310"/>
      <c r="BA187" s="310"/>
      <c r="BB187" s="310"/>
      <c r="BC187" s="310"/>
      <c r="BD187" s="310"/>
      <c r="BE187" s="310"/>
    </row>
    <row r="188" spans="1:57" hidden="1">
      <c r="A188" s="310"/>
      <c r="B188" s="310"/>
      <c r="C188" s="310"/>
      <c r="X188" s="310"/>
      <c r="Y188" s="310"/>
      <c r="Z188" s="310"/>
      <c r="AA188" s="310"/>
      <c r="AB188" s="310"/>
      <c r="AC188" s="310"/>
      <c r="AD188" s="310"/>
      <c r="AE188" s="310"/>
      <c r="AF188" s="310"/>
      <c r="AG188" s="310"/>
      <c r="AH188" s="310"/>
      <c r="AI188" s="310"/>
      <c r="AJ188" s="310"/>
      <c r="AK188" s="310"/>
      <c r="AL188" s="310"/>
      <c r="AM188" s="310"/>
      <c r="AN188" s="310"/>
      <c r="AO188" s="375"/>
      <c r="AP188" s="310"/>
      <c r="AQ188" s="310"/>
      <c r="AR188" s="310"/>
      <c r="AS188" s="310"/>
      <c r="AT188" s="310"/>
      <c r="AU188" s="310"/>
      <c r="AV188" s="310"/>
      <c r="AW188" s="310"/>
      <c r="AX188" s="310"/>
      <c r="AY188" s="310"/>
      <c r="AZ188" s="310"/>
      <c r="BA188" s="310"/>
      <c r="BB188" s="310"/>
      <c r="BC188" s="310"/>
      <c r="BD188" s="310"/>
      <c r="BE188" s="310"/>
    </row>
    <row r="189" spans="1:57" hidden="1">
      <c r="A189" s="310"/>
      <c r="B189" s="310"/>
      <c r="C189" s="310"/>
      <c r="X189" s="310"/>
      <c r="Y189" s="310"/>
      <c r="Z189" s="310"/>
      <c r="AA189" s="310"/>
      <c r="AB189" s="310"/>
      <c r="AC189" s="310"/>
      <c r="AD189" s="310"/>
      <c r="AE189" s="310"/>
      <c r="AF189" s="310"/>
      <c r="AG189" s="310"/>
      <c r="AH189" s="310"/>
      <c r="AI189" s="310"/>
      <c r="AJ189" s="310"/>
      <c r="AK189" s="310"/>
      <c r="AL189" s="310"/>
      <c r="AM189" s="310"/>
      <c r="AN189" s="310"/>
      <c r="AO189" s="375"/>
      <c r="AP189" s="310"/>
      <c r="AQ189" s="310"/>
      <c r="AR189" s="310"/>
      <c r="AS189" s="310"/>
      <c r="AT189" s="310"/>
      <c r="AU189" s="310"/>
      <c r="AV189" s="310"/>
      <c r="AW189" s="310"/>
      <c r="AX189" s="310"/>
      <c r="AY189" s="310"/>
      <c r="AZ189" s="310"/>
      <c r="BA189" s="310"/>
      <c r="BB189" s="310"/>
      <c r="BC189" s="310"/>
      <c r="BD189" s="310"/>
      <c r="BE189" s="310"/>
    </row>
    <row r="190" spans="1:57" hidden="1">
      <c r="A190" s="310"/>
      <c r="B190" s="310"/>
      <c r="C190" s="310"/>
      <c r="X190" s="310"/>
      <c r="Y190" s="310"/>
      <c r="Z190" s="310"/>
      <c r="AA190" s="310"/>
      <c r="AB190" s="310"/>
      <c r="AC190" s="310"/>
      <c r="AD190" s="310"/>
      <c r="AE190" s="310"/>
      <c r="AF190" s="310"/>
      <c r="AG190" s="310"/>
      <c r="AH190" s="310"/>
      <c r="AI190" s="310"/>
      <c r="AJ190" s="310"/>
      <c r="AK190" s="310"/>
      <c r="AL190" s="310"/>
      <c r="AM190" s="310"/>
      <c r="AN190" s="310"/>
      <c r="AO190" s="375"/>
      <c r="AP190" s="310"/>
      <c r="AQ190" s="310"/>
      <c r="AR190" s="310"/>
      <c r="AS190" s="310"/>
      <c r="AT190" s="310"/>
      <c r="AU190" s="310"/>
      <c r="AV190" s="310"/>
      <c r="AW190" s="310"/>
      <c r="AX190" s="310"/>
      <c r="AY190" s="310"/>
      <c r="AZ190" s="310"/>
      <c r="BA190" s="310"/>
      <c r="BB190" s="310"/>
      <c r="BC190" s="310"/>
      <c r="BD190" s="310"/>
      <c r="BE190" s="310"/>
    </row>
    <row r="191" spans="1:57" hidden="1">
      <c r="A191" s="310"/>
      <c r="B191" s="310"/>
      <c r="C191" s="310"/>
      <c r="X191" s="310"/>
      <c r="Y191" s="310"/>
      <c r="Z191" s="310"/>
      <c r="AA191" s="310"/>
      <c r="AB191" s="310"/>
      <c r="AC191" s="310"/>
      <c r="AD191" s="310"/>
      <c r="AE191" s="310"/>
      <c r="AF191" s="310"/>
      <c r="AG191" s="310"/>
      <c r="AH191" s="310"/>
      <c r="AI191" s="310"/>
      <c r="AJ191" s="310"/>
      <c r="AK191" s="310"/>
      <c r="AL191" s="310"/>
      <c r="AM191" s="310"/>
      <c r="AN191" s="310"/>
      <c r="AO191" s="375"/>
      <c r="AP191" s="310"/>
      <c r="AQ191" s="310"/>
      <c r="AR191" s="310"/>
      <c r="AS191" s="310"/>
      <c r="AT191" s="310"/>
      <c r="AU191" s="310"/>
      <c r="AV191" s="310"/>
      <c r="AW191" s="310"/>
      <c r="AX191" s="310"/>
      <c r="AY191" s="310"/>
      <c r="AZ191" s="310"/>
      <c r="BA191" s="310"/>
      <c r="BB191" s="310"/>
      <c r="BC191" s="310"/>
      <c r="BD191" s="310"/>
      <c r="BE191" s="310"/>
    </row>
    <row r="192" spans="1:57" hidden="1">
      <c r="A192" s="310"/>
      <c r="B192" s="310"/>
      <c r="C192" s="310"/>
      <c r="X192" s="310"/>
      <c r="Y192" s="310"/>
      <c r="Z192" s="310"/>
      <c r="AA192" s="310"/>
      <c r="AB192" s="310"/>
      <c r="AC192" s="310"/>
      <c r="AD192" s="310"/>
      <c r="AE192" s="310"/>
      <c r="AF192" s="310"/>
      <c r="AG192" s="310"/>
      <c r="AH192" s="310"/>
      <c r="AI192" s="310"/>
      <c r="AJ192" s="310"/>
      <c r="AK192" s="310"/>
      <c r="AL192" s="310"/>
      <c r="AM192" s="310"/>
      <c r="AN192" s="310"/>
      <c r="AO192" s="375"/>
      <c r="AP192" s="310"/>
      <c r="AQ192" s="310"/>
      <c r="AR192" s="310"/>
      <c r="AS192" s="310"/>
      <c r="AT192" s="310"/>
      <c r="AU192" s="310"/>
      <c r="AV192" s="310"/>
      <c r="AW192" s="310"/>
      <c r="AX192" s="310"/>
      <c r="AY192" s="310"/>
      <c r="AZ192" s="310"/>
      <c r="BA192" s="310"/>
      <c r="BB192" s="310"/>
      <c r="BC192" s="310"/>
      <c r="BD192" s="310"/>
      <c r="BE192" s="310"/>
    </row>
    <row r="193" spans="1:57" hidden="1">
      <c r="A193" s="310"/>
      <c r="B193" s="310"/>
      <c r="C193" s="310"/>
      <c r="X193" s="310"/>
      <c r="Y193" s="310"/>
      <c r="Z193" s="310"/>
      <c r="AA193" s="310"/>
      <c r="AB193" s="310"/>
      <c r="AC193" s="310"/>
      <c r="AD193" s="310"/>
      <c r="AE193" s="310"/>
      <c r="AF193" s="310"/>
      <c r="AG193" s="310"/>
      <c r="AH193" s="310"/>
      <c r="AI193" s="310"/>
      <c r="AJ193" s="310"/>
      <c r="AK193" s="310"/>
      <c r="AL193" s="310"/>
      <c r="AM193" s="310"/>
      <c r="AN193" s="310"/>
      <c r="AO193" s="375"/>
      <c r="AP193" s="310"/>
      <c r="AQ193" s="310"/>
      <c r="AR193" s="310"/>
      <c r="AS193" s="310"/>
      <c r="AT193" s="310"/>
      <c r="AU193" s="310"/>
      <c r="AV193" s="310"/>
      <c r="AW193" s="310"/>
      <c r="AX193" s="310"/>
      <c r="AY193" s="310"/>
      <c r="AZ193" s="310"/>
      <c r="BA193" s="310"/>
      <c r="BB193" s="310"/>
      <c r="BC193" s="310"/>
      <c r="BD193" s="310"/>
      <c r="BE193" s="310"/>
    </row>
    <row r="194" spans="1:57" hidden="1">
      <c r="A194" s="310"/>
      <c r="B194" s="310"/>
      <c r="C194" s="310"/>
      <c r="X194" s="310"/>
      <c r="Y194" s="310"/>
      <c r="Z194" s="310"/>
      <c r="AA194" s="310"/>
      <c r="AB194" s="310"/>
      <c r="AC194" s="310"/>
      <c r="AD194" s="310"/>
      <c r="AE194" s="310"/>
      <c r="AF194" s="310"/>
      <c r="AG194" s="310"/>
      <c r="AH194" s="310"/>
      <c r="AI194" s="310"/>
      <c r="AJ194" s="310"/>
      <c r="AK194" s="310"/>
      <c r="AL194" s="310"/>
      <c r="AM194" s="310"/>
      <c r="AN194" s="310"/>
      <c r="AO194" s="375"/>
      <c r="AP194" s="310"/>
      <c r="AQ194" s="310"/>
      <c r="AR194" s="310"/>
      <c r="AS194" s="310"/>
      <c r="AT194" s="310"/>
      <c r="AU194" s="310"/>
      <c r="AV194" s="310"/>
      <c r="AW194" s="310"/>
      <c r="AX194" s="310"/>
      <c r="AY194" s="310"/>
      <c r="AZ194" s="310"/>
      <c r="BA194" s="310"/>
      <c r="BB194" s="310"/>
      <c r="BC194" s="310"/>
      <c r="BD194" s="310"/>
      <c r="BE194" s="310"/>
    </row>
    <row r="195" spans="1:57" hidden="1">
      <c r="A195" s="310"/>
      <c r="B195" s="310"/>
      <c r="C195" s="310"/>
      <c r="X195" s="310"/>
      <c r="Y195" s="310"/>
      <c r="Z195" s="310"/>
      <c r="AA195" s="310"/>
      <c r="AB195" s="310"/>
      <c r="AC195" s="310"/>
      <c r="AD195" s="310"/>
      <c r="AE195" s="310"/>
      <c r="AF195" s="310"/>
      <c r="AG195" s="310"/>
      <c r="AH195" s="310"/>
      <c r="AI195" s="310"/>
      <c r="AJ195" s="310"/>
      <c r="AK195" s="310"/>
      <c r="AL195" s="310"/>
      <c r="AM195" s="310"/>
      <c r="AN195" s="310"/>
      <c r="AO195" s="375"/>
      <c r="AP195" s="310"/>
      <c r="AQ195" s="310"/>
      <c r="AR195" s="310"/>
      <c r="AS195" s="310"/>
      <c r="AT195" s="310"/>
      <c r="AU195" s="310"/>
      <c r="AV195" s="310"/>
      <c r="AW195" s="310"/>
      <c r="AX195" s="310"/>
      <c r="AY195" s="310"/>
      <c r="AZ195" s="310"/>
      <c r="BA195" s="310"/>
      <c r="BB195" s="310"/>
      <c r="BC195" s="310"/>
      <c r="BD195" s="310"/>
      <c r="BE195" s="310"/>
    </row>
    <row r="196" spans="1:57" hidden="1">
      <c r="A196" s="310"/>
      <c r="B196" s="310"/>
      <c r="C196" s="310"/>
      <c r="X196" s="310"/>
      <c r="Y196" s="310"/>
      <c r="Z196" s="310"/>
      <c r="AA196" s="310"/>
      <c r="AB196" s="310"/>
      <c r="AC196" s="310"/>
      <c r="AD196" s="310"/>
      <c r="AE196" s="310"/>
      <c r="AF196" s="310"/>
      <c r="AG196" s="310"/>
      <c r="AH196" s="310"/>
      <c r="AI196" s="310"/>
      <c r="AJ196" s="310"/>
      <c r="AK196" s="310"/>
      <c r="AL196" s="310"/>
      <c r="AM196" s="310"/>
      <c r="AN196" s="310"/>
      <c r="AO196" s="375"/>
      <c r="AP196" s="310"/>
      <c r="AQ196" s="310"/>
      <c r="AR196" s="310"/>
      <c r="AS196" s="310"/>
      <c r="AT196" s="310"/>
      <c r="AU196" s="310"/>
      <c r="AV196" s="310"/>
      <c r="AW196" s="310"/>
      <c r="AX196" s="310"/>
      <c r="AY196" s="310"/>
      <c r="AZ196" s="310"/>
      <c r="BA196" s="310"/>
      <c r="BB196" s="310"/>
      <c r="BC196" s="310"/>
      <c r="BD196" s="310"/>
      <c r="BE196" s="310"/>
    </row>
    <row r="197" spans="1:57" hidden="1">
      <c r="A197" s="310"/>
      <c r="B197" s="310"/>
      <c r="C197" s="310"/>
      <c r="X197" s="310"/>
      <c r="Y197" s="310"/>
      <c r="Z197" s="310"/>
      <c r="AA197" s="310"/>
      <c r="AB197" s="310"/>
      <c r="AC197" s="310"/>
      <c r="AD197" s="310"/>
      <c r="AE197" s="310"/>
      <c r="AF197" s="310"/>
      <c r="AG197" s="310"/>
      <c r="AH197" s="310"/>
      <c r="AI197" s="310"/>
      <c r="AJ197" s="310"/>
      <c r="AK197" s="310"/>
      <c r="AL197" s="310"/>
      <c r="AM197" s="310"/>
      <c r="AN197" s="310"/>
      <c r="AO197" s="375"/>
      <c r="AP197" s="310"/>
      <c r="AQ197" s="310"/>
      <c r="AR197" s="310"/>
      <c r="AS197" s="310"/>
      <c r="AT197" s="310"/>
      <c r="AU197" s="310"/>
      <c r="AV197" s="310"/>
      <c r="AW197" s="310"/>
      <c r="AX197" s="310"/>
      <c r="AY197" s="310"/>
      <c r="AZ197" s="310"/>
      <c r="BA197" s="310"/>
      <c r="BB197" s="310"/>
      <c r="BC197" s="310"/>
      <c r="BD197" s="310"/>
      <c r="BE197" s="310"/>
    </row>
    <row r="198" spans="1:57" hidden="1"/>
  </sheetData>
  <sheetProtection password="E8FA" sheet="1" objects="1" scenarios="1" formatCells="0" formatColumns="0" formatRows="0" selectLockedCells="1"/>
  <mergeCells count="27">
    <mergeCell ref="D107:AK107"/>
    <mergeCell ref="AL4:AL5"/>
    <mergeCell ref="AN4:AO5"/>
    <mergeCell ref="AF6:AH6"/>
    <mergeCell ref="AQ6:AV6"/>
    <mergeCell ref="AP1:AP107"/>
    <mergeCell ref="D2:AO2"/>
    <mergeCell ref="D3:AO3"/>
    <mergeCell ref="D4:D5"/>
    <mergeCell ref="E4:E5"/>
    <mergeCell ref="F4:F5"/>
    <mergeCell ref="G4:G5"/>
    <mergeCell ref="AN6:AO6"/>
    <mergeCell ref="AW6:BB6"/>
    <mergeCell ref="C7:C106"/>
    <mergeCell ref="O4:U4"/>
    <mergeCell ref="V4:AD4"/>
    <mergeCell ref="AE4:AE5"/>
    <mergeCell ref="AF4:AH4"/>
    <mergeCell ref="AI4:AK4"/>
    <mergeCell ref="H4:H5"/>
    <mergeCell ref="I4:I5"/>
    <mergeCell ref="J4:J5"/>
    <mergeCell ref="K4:K5"/>
    <mergeCell ref="L4:L5"/>
    <mergeCell ref="C1:C6"/>
    <mergeCell ref="D1:AO1"/>
  </mergeCells>
  <conditionalFormatting sqref="AI5:AJ5">
    <cfRule type="cellIs" dxfId="11" priority="14" operator="equal">
      <formula>0</formula>
    </cfRule>
  </conditionalFormatting>
  <conditionalFormatting sqref="AO7:AO106">
    <cfRule type="cellIs" dxfId="10" priority="11" operator="equal">
      <formula>"(P)"</formula>
    </cfRule>
    <cfRule type="cellIs" dxfId="9" priority="12" operator="equal">
      <formula>"(R)"</formula>
    </cfRule>
    <cfRule type="cellIs" dxfId="8" priority="13" operator="equal">
      <formula>0</formula>
    </cfRule>
  </conditionalFormatting>
  <conditionalFormatting sqref="B7:AO106">
    <cfRule type="expression" dxfId="7" priority="10">
      <formula>$B7="NT"</formula>
    </cfRule>
  </conditionalFormatting>
  <conditionalFormatting sqref="A7:BE106">
    <cfRule type="expression" dxfId="6" priority="9">
      <formula>$F7=0</formula>
    </cfRule>
  </conditionalFormatting>
  <conditionalFormatting sqref="U7:U106">
    <cfRule type="cellIs" dxfId="5" priority="7" operator="lessThan">
      <formula>$AD7</formula>
    </cfRule>
    <cfRule type="cellIs" dxfId="4" priority="8" operator="greaterThan">
      <formula>$AD7</formula>
    </cfRule>
  </conditionalFormatting>
  <conditionalFormatting sqref="AD7:AD106">
    <cfRule type="cellIs" dxfId="3" priority="5" operator="lessThan">
      <formula>$U7</formula>
    </cfRule>
    <cfRule type="cellIs" dxfId="2" priority="6" operator="greaterThan">
      <formula>$U7</formula>
    </cfRule>
  </conditionalFormatting>
  <conditionalFormatting sqref="AN7:AN106">
    <cfRule type="cellIs" dxfId="1" priority="1" operator="lessThan">
      <formula>0</formula>
    </cfRule>
    <cfRule type="cellIs" dxfId="0" priority="2" operator="greaterThan">
      <formula>0</formula>
    </cfRule>
  </conditionalFormatting>
  <dataValidations count="2">
    <dataValidation type="list" allowBlank="1" showInputMessage="1" showErrorMessage="1" sqref="AE7:AE106">
      <formula1>"Old Regime,New Regime"</formula1>
    </dataValidation>
    <dataValidation type="list" allowBlank="1" showInputMessage="1" showErrorMessage="1" sqref="AF4:AH4">
      <formula1>"नव.-2024 के वेतन तक की गई Itax कटौती,जन.-2025 के वेतन तक की गई Itax कटौती"</formula1>
    </dataValidation>
  </dataValidations>
  <pageMargins left="0.19685039370078741" right="0.19685039370078741" top="0.15748031496062992" bottom="0.11811023622047245" header="0.15748031496062992" footer="7.874015748031496E-2"/>
  <pageSetup paperSize="9" scale="58" orientation="landscape" r:id="rId1"/>
  <legacyDrawing r:id="rId2"/>
</worksheet>
</file>

<file path=xl/worksheets/sheet2.xml><?xml version="1.0" encoding="utf-8"?>
<worksheet xmlns="http://schemas.openxmlformats.org/spreadsheetml/2006/main" xmlns:r="http://schemas.openxmlformats.org/officeDocument/2006/relationships">
  <sheetPr>
    <tabColor rgb="FFFF0000"/>
  </sheetPr>
  <dimension ref="A1:R34"/>
  <sheetViews>
    <sheetView showGridLines="0" showRowColHeaders="0" topLeftCell="A4" zoomScaleSheetLayoutView="106" workbookViewId="0">
      <selection activeCell="M15" sqref="M15"/>
    </sheetView>
  </sheetViews>
  <sheetFormatPr defaultColWidth="0" defaultRowHeight="15" zeroHeight="1"/>
  <cols>
    <col min="1" max="1" width="2" style="1" customWidth="1"/>
    <col min="2" max="2" width="11.7109375" style="10" customWidth="1"/>
    <col min="3" max="3" width="10.28515625" style="10" customWidth="1"/>
    <col min="4" max="5" width="11.7109375" style="10" customWidth="1"/>
    <col min="6" max="6" width="14.28515625" style="1" customWidth="1"/>
    <col min="7" max="7" width="13.7109375" style="1" customWidth="1"/>
    <col min="8" max="8" width="15" style="1" customWidth="1"/>
    <col min="9" max="9" width="10.140625" style="1" customWidth="1"/>
    <col min="10" max="10" width="10.28515625" style="1" customWidth="1"/>
    <col min="11" max="11" width="9.42578125" style="1" customWidth="1"/>
    <col min="12" max="12" width="11.42578125" style="1" customWidth="1"/>
    <col min="13" max="13" width="11.140625" style="1" customWidth="1"/>
    <col min="14" max="14" width="14.28515625" style="1" customWidth="1"/>
    <col min="15" max="15" width="9.42578125" style="1" customWidth="1"/>
    <col min="16" max="16" width="11" style="1" customWidth="1"/>
    <col min="17" max="17" width="13" style="1" customWidth="1"/>
    <col min="18" max="18" width="2.42578125" style="1" customWidth="1"/>
    <col min="19" max="16384" width="6.85546875" style="1" hidden="1"/>
  </cols>
  <sheetData>
    <row r="1" spans="1:18" ht="21.75" hidden="1" customHeight="1" thickBot="1">
      <c r="A1" s="590"/>
      <c r="B1" s="582" t="s">
        <v>0</v>
      </c>
      <c r="C1" s="583"/>
      <c r="D1" s="583"/>
      <c r="E1" s="583"/>
      <c r="F1" s="583"/>
      <c r="G1" s="583"/>
      <c r="H1" s="583"/>
      <c r="I1" s="583"/>
      <c r="J1" s="583"/>
      <c r="K1" s="583"/>
      <c r="L1" s="583"/>
      <c r="M1" s="583"/>
      <c r="N1" s="583"/>
      <c r="O1" s="583"/>
      <c r="P1" s="583"/>
      <c r="Q1" s="583"/>
      <c r="R1" s="588"/>
    </row>
    <row r="2" spans="1:18" ht="19.5" hidden="1" customHeight="1" thickBot="1">
      <c r="A2" s="591"/>
      <c r="B2" s="584" t="s">
        <v>3</v>
      </c>
      <c r="C2" s="585"/>
      <c r="D2" s="585"/>
      <c r="E2" s="585"/>
      <c r="F2" s="585"/>
      <c r="G2" s="585"/>
      <c r="H2" s="585"/>
      <c r="I2" s="585"/>
      <c r="J2" s="585"/>
      <c r="K2" s="585"/>
      <c r="L2" s="585"/>
      <c r="M2" s="585"/>
      <c r="N2" s="585"/>
      <c r="O2" s="585"/>
      <c r="P2" s="585"/>
      <c r="Q2" s="585"/>
      <c r="R2" s="589"/>
    </row>
    <row r="3" spans="1:18" ht="23.25" hidden="1" customHeight="1" thickBot="1">
      <c r="A3" s="591"/>
      <c r="B3" s="586" t="s">
        <v>13</v>
      </c>
      <c r="C3" s="587"/>
      <c r="D3" s="587"/>
      <c r="E3" s="587"/>
      <c r="F3" s="587"/>
      <c r="G3" s="587"/>
      <c r="H3" s="587"/>
      <c r="I3" s="587"/>
      <c r="J3" s="587"/>
      <c r="K3" s="587"/>
      <c r="L3" s="587"/>
      <c r="M3" s="587"/>
      <c r="N3" s="587"/>
      <c r="O3" s="587"/>
      <c r="P3" s="587"/>
      <c r="Q3" s="587"/>
      <c r="R3" s="589"/>
    </row>
    <row r="4" spans="1:18" s="2" customFormat="1" ht="22.5" customHeight="1" thickBot="1">
      <c r="A4" s="591"/>
      <c r="B4" s="604" t="s">
        <v>480</v>
      </c>
      <c r="C4" s="604"/>
      <c r="D4" s="604"/>
      <c r="E4" s="604"/>
      <c r="F4" s="604"/>
      <c r="G4" s="604"/>
      <c r="H4" s="604"/>
      <c r="I4" s="604"/>
      <c r="J4" s="604"/>
      <c r="K4" s="604"/>
      <c r="L4" s="604"/>
      <c r="M4" s="604"/>
      <c r="N4" s="604"/>
      <c r="O4" s="604"/>
      <c r="P4" s="604"/>
      <c r="Q4" s="604"/>
      <c r="R4" s="589"/>
    </row>
    <row r="5" spans="1:18" s="131" customFormat="1" ht="21.75" customHeight="1" thickBot="1">
      <c r="A5" s="591"/>
      <c r="B5" s="598" t="s">
        <v>125</v>
      </c>
      <c r="C5" s="599"/>
      <c r="D5" s="599"/>
      <c r="E5" s="599"/>
      <c r="F5" s="600"/>
      <c r="G5" s="562" t="s">
        <v>1</v>
      </c>
      <c r="H5" s="563"/>
      <c r="I5" s="563"/>
      <c r="J5" s="563"/>
      <c r="K5" s="563"/>
      <c r="L5" s="564"/>
      <c r="M5" s="594" t="s">
        <v>28</v>
      </c>
      <c r="N5" s="595"/>
      <c r="O5" s="610">
        <v>12345</v>
      </c>
      <c r="P5" s="611"/>
      <c r="Q5" s="387" t="s">
        <v>462</v>
      </c>
      <c r="R5" s="589"/>
    </row>
    <row r="6" spans="1:18" s="131" customFormat="1" ht="20.25" customHeight="1" thickBot="1">
      <c r="A6" s="591"/>
      <c r="B6" s="601" t="s">
        <v>30</v>
      </c>
      <c r="C6" s="602"/>
      <c r="D6" s="602"/>
      <c r="E6" s="602"/>
      <c r="F6" s="603"/>
      <c r="G6" s="592" t="s">
        <v>2</v>
      </c>
      <c r="H6" s="593"/>
      <c r="I6" s="574" t="s">
        <v>27</v>
      </c>
      <c r="J6" s="575"/>
      <c r="K6" s="592" t="s">
        <v>461</v>
      </c>
      <c r="L6" s="593"/>
      <c r="M6" s="596" t="s">
        <v>29</v>
      </c>
      <c r="N6" s="597"/>
      <c r="O6" s="572"/>
      <c r="P6" s="573"/>
      <c r="Q6" s="301" t="s">
        <v>559</v>
      </c>
      <c r="R6" s="589"/>
    </row>
    <row r="7" spans="1:18" s="131" customFormat="1" ht="6.75" customHeight="1" thickBot="1">
      <c r="A7" s="591"/>
      <c r="B7" s="614"/>
      <c r="C7" s="615"/>
      <c r="D7" s="615"/>
      <c r="E7" s="615"/>
      <c r="F7" s="615"/>
      <c r="G7" s="615"/>
      <c r="H7" s="615"/>
      <c r="I7" s="615"/>
      <c r="J7" s="615"/>
      <c r="K7" s="615"/>
      <c r="L7" s="615"/>
      <c r="M7" s="615"/>
      <c r="N7" s="615"/>
      <c r="O7" s="615"/>
      <c r="P7" s="615"/>
      <c r="Q7" s="616"/>
      <c r="R7" s="589"/>
    </row>
    <row r="8" spans="1:18" s="131" customFormat="1" ht="21" customHeight="1" thickBot="1">
      <c r="A8" s="591"/>
      <c r="B8" s="605" t="s">
        <v>221</v>
      </c>
      <c r="C8" s="606"/>
      <c r="D8" s="606"/>
      <c r="E8" s="606"/>
      <c r="F8" s="606"/>
      <c r="G8" s="606"/>
      <c r="H8" s="606"/>
      <c r="I8" s="606"/>
      <c r="J8" s="606"/>
      <c r="K8" s="606"/>
      <c r="L8" s="606"/>
      <c r="M8" s="606"/>
      <c r="N8" s="606"/>
      <c r="O8" s="606"/>
      <c r="P8" s="606"/>
      <c r="Q8" s="607"/>
      <c r="R8" s="589"/>
    </row>
    <row r="9" spans="1:18" s="5" customFormat="1" ht="54" customHeight="1" thickBot="1">
      <c r="A9" s="591"/>
      <c r="B9" s="565" t="s">
        <v>9</v>
      </c>
      <c r="C9" s="566"/>
      <c r="D9" s="570" t="s">
        <v>466</v>
      </c>
      <c r="E9" s="566"/>
      <c r="F9" s="570" t="s">
        <v>10</v>
      </c>
      <c r="G9" s="570"/>
      <c r="H9" s="388" t="s">
        <v>11</v>
      </c>
      <c r="I9" s="571" t="s">
        <v>124</v>
      </c>
      <c r="J9" s="571"/>
      <c r="K9" s="571"/>
      <c r="L9" s="389" t="s">
        <v>12</v>
      </c>
      <c r="M9" s="390" t="s">
        <v>560</v>
      </c>
      <c r="N9" s="387" t="s">
        <v>55</v>
      </c>
      <c r="O9" s="567" t="s">
        <v>7</v>
      </c>
      <c r="P9" s="566"/>
      <c r="Q9" s="391" t="s">
        <v>463</v>
      </c>
      <c r="R9" s="589"/>
    </row>
    <row r="10" spans="1:18" s="131" customFormat="1" ht="44.25" customHeight="1" thickBot="1">
      <c r="A10" s="591"/>
      <c r="B10" s="576" t="s">
        <v>607</v>
      </c>
      <c r="C10" s="577"/>
      <c r="D10" s="641" t="s">
        <v>467</v>
      </c>
      <c r="E10" s="569"/>
      <c r="F10" s="578" t="s">
        <v>608</v>
      </c>
      <c r="G10" s="578"/>
      <c r="H10" s="47" t="s">
        <v>496</v>
      </c>
      <c r="I10" s="579" t="str">
        <f>G5</f>
        <v>Govt. Sr. School Raimalwada</v>
      </c>
      <c r="J10" s="580"/>
      <c r="K10" s="581"/>
      <c r="L10" s="48">
        <v>10</v>
      </c>
      <c r="M10" s="306">
        <v>69300</v>
      </c>
      <c r="N10" s="468" t="s">
        <v>498</v>
      </c>
      <c r="O10" s="568"/>
      <c r="P10" s="569"/>
      <c r="Q10" s="49" t="s">
        <v>224</v>
      </c>
      <c r="R10" s="589"/>
    </row>
    <row r="11" spans="1:18" s="131" customFormat="1" ht="7.5" customHeight="1" thickBot="1">
      <c r="A11" s="591"/>
      <c r="B11" s="642"/>
      <c r="C11" s="643"/>
      <c r="D11" s="643"/>
      <c r="E11" s="643"/>
      <c r="F11" s="643"/>
      <c r="G11" s="643"/>
      <c r="H11" s="643"/>
      <c r="I11" s="643"/>
      <c r="J11" s="643"/>
      <c r="K11" s="643"/>
      <c r="L11" s="643"/>
      <c r="M11" s="643"/>
      <c r="N11" s="643"/>
      <c r="O11" s="643"/>
      <c r="P11" s="644"/>
      <c r="Q11" s="101"/>
      <c r="R11" s="589"/>
    </row>
    <row r="12" spans="1:18" s="131" customFormat="1" ht="14.25" customHeight="1">
      <c r="A12" s="591"/>
      <c r="B12" s="621" t="s">
        <v>220</v>
      </c>
      <c r="C12" s="633" t="s">
        <v>17</v>
      </c>
      <c r="D12" s="631"/>
      <c r="E12" s="631"/>
      <c r="F12" s="631"/>
      <c r="G12" s="631"/>
      <c r="H12" s="631"/>
      <c r="I12" s="631"/>
      <c r="J12" s="631"/>
      <c r="K12" s="632"/>
      <c r="L12" s="630" t="s">
        <v>16</v>
      </c>
      <c r="M12" s="631"/>
      <c r="N12" s="631"/>
      <c r="O12" s="631"/>
      <c r="P12" s="631"/>
      <c r="Q12" s="632"/>
      <c r="R12" s="589"/>
    </row>
    <row r="13" spans="1:18" s="11" customFormat="1" ht="17.25" customHeight="1">
      <c r="A13" s="591"/>
      <c r="B13" s="622"/>
      <c r="C13" s="634" t="s">
        <v>24</v>
      </c>
      <c r="D13" s="392" t="s">
        <v>464</v>
      </c>
      <c r="E13" s="392" t="s">
        <v>464</v>
      </c>
      <c r="F13" s="392" t="s">
        <v>465</v>
      </c>
      <c r="G13" s="392" t="s">
        <v>465</v>
      </c>
      <c r="H13" s="626" t="s">
        <v>14</v>
      </c>
      <c r="I13" s="627"/>
      <c r="J13" s="624" t="s">
        <v>114</v>
      </c>
      <c r="K13" s="628" t="s">
        <v>115</v>
      </c>
      <c r="L13" s="619" t="s">
        <v>19</v>
      </c>
      <c r="M13" s="617" t="s">
        <v>20</v>
      </c>
      <c r="N13" s="617" t="s">
        <v>21</v>
      </c>
      <c r="O13" s="617" t="s">
        <v>22</v>
      </c>
      <c r="P13" s="617" t="s">
        <v>23</v>
      </c>
      <c r="Q13" s="608" t="s">
        <v>111</v>
      </c>
      <c r="R13" s="589"/>
    </row>
    <row r="14" spans="1:18" s="131" customFormat="1" ht="15.75" customHeight="1" thickBot="1">
      <c r="A14" s="591"/>
      <c r="B14" s="623"/>
      <c r="C14" s="635"/>
      <c r="D14" s="393" t="s">
        <v>555</v>
      </c>
      <c r="E14" s="393" t="s">
        <v>556</v>
      </c>
      <c r="F14" s="393" t="s">
        <v>557</v>
      </c>
      <c r="G14" s="393" t="s">
        <v>558</v>
      </c>
      <c r="H14" s="394" t="s">
        <v>15</v>
      </c>
      <c r="I14" s="395" t="s">
        <v>6</v>
      </c>
      <c r="J14" s="625"/>
      <c r="K14" s="629"/>
      <c r="L14" s="620"/>
      <c r="M14" s="618"/>
      <c r="N14" s="618"/>
      <c r="O14" s="618"/>
      <c r="P14" s="618"/>
      <c r="Q14" s="609"/>
      <c r="R14" s="589"/>
    </row>
    <row r="15" spans="1:18" s="131" customFormat="1" ht="26.25" customHeight="1" thickBot="1">
      <c r="A15" s="591"/>
      <c r="B15" s="276" t="s">
        <v>25</v>
      </c>
      <c r="C15" s="46">
        <f>IF(OR(B15="Probation",D10="state Service",L10&gt;=13),0,6774)</f>
        <v>6774</v>
      </c>
      <c r="D15" s="307">
        <v>0.5</v>
      </c>
      <c r="E15" s="307">
        <v>0.53</v>
      </c>
      <c r="F15" s="50" t="s">
        <v>26</v>
      </c>
      <c r="G15" s="50" t="s">
        <v>26</v>
      </c>
      <c r="H15" s="51" t="s">
        <v>232</v>
      </c>
      <c r="I15" s="469">
        <v>45536</v>
      </c>
      <c r="J15" s="52" t="s">
        <v>232</v>
      </c>
      <c r="K15" s="52" t="s">
        <v>232</v>
      </c>
      <c r="L15" s="53">
        <v>2850</v>
      </c>
      <c r="M15" s="46">
        <v>5000</v>
      </c>
      <c r="N15" s="46">
        <v>0</v>
      </c>
      <c r="O15" s="46">
        <v>0</v>
      </c>
      <c r="P15" s="54">
        <v>850</v>
      </c>
      <c r="Q15" s="55">
        <v>1400</v>
      </c>
      <c r="R15" s="589"/>
    </row>
    <row r="16" spans="1:18" s="3" customFormat="1" ht="7.5" customHeight="1" thickBot="1">
      <c r="A16" s="591"/>
      <c r="B16" s="612"/>
      <c r="C16" s="613"/>
      <c r="D16" s="613"/>
      <c r="E16" s="613"/>
      <c r="F16" s="613"/>
      <c r="G16" s="613"/>
      <c r="H16" s="613"/>
      <c r="I16" s="613"/>
      <c r="J16" s="613"/>
      <c r="K16" s="613"/>
      <c r="L16" s="613"/>
      <c r="M16" s="613"/>
      <c r="N16" s="613"/>
      <c r="O16" s="613"/>
      <c r="P16" s="613"/>
      <c r="Q16" s="613"/>
      <c r="R16" s="589"/>
    </row>
    <row r="17" spans="1:18" s="11" customFormat="1" ht="20.25" customHeight="1" thickBot="1">
      <c r="A17" s="591"/>
      <c r="B17" s="645" t="s">
        <v>479</v>
      </c>
      <c r="C17" s="646"/>
      <c r="D17" s="646"/>
      <c r="E17" s="646"/>
      <c r="F17" s="646"/>
      <c r="G17" s="646"/>
      <c r="H17" s="646"/>
      <c r="I17" s="646"/>
      <c r="J17" s="646"/>
      <c r="K17" s="646"/>
      <c r="L17" s="646"/>
      <c r="M17" s="646"/>
      <c r="N17" s="647"/>
      <c r="O17" s="647"/>
      <c r="P17" s="647"/>
      <c r="Q17" s="648"/>
      <c r="R17" s="589"/>
    </row>
    <row r="18" spans="1:18" s="131" customFormat="1" ht="25.5" customHeight="1" thickBot="1">
      <c r="A18" s="591"/>
      <c r="B18" s="470">
        <v>45352</v>
      </c>
      <c r="C18" s="471">
        <v>45383</v>
      </c>
      <c r="D18" s="472">
        <v>45413</v>
      </c>
      <c r="E18" s="472">
        <v>45444</v>
      </c>
      <c r="F18" s="472">
        <v>45474</v>
      </c>
      <c r="G18" s="472">
        <v>45505</v>
      </c>
      <c r="H18" s="472">
        <v>45536</v>
      </c>
      <c r="I18" s="472">
        <v>45566</v>
      </c>
      <c r="J18" s="472">
        <v>45597</v>
      </c>
      <c r="K18" s="472">
        <v>45627</v>
      </c>
      <c r="L18" s="472">
        <v>45658</v>
      </c>
      <c r="M18" s="473">
        <v>45689</v>
      </c>
      <c r="N18" s="649" t="s">
        <v>564</v>
      </c>
      <c r="O18" s="650"/>
      <c r="P18" s="650"/>
      <c r="Q18" s="651"/>
      <c r="R18" s="589"/>
    </row>
    <row r="19" spans="1:18" s="131" customFormat="1" ht="25.5" customHeight="1" thickBot="1">
      <c r="A19" s="591"/>
      <c r="B19" s="474">
        <v>2000</v>
      </c>
      <c r="C19" s="475">
        <f t="shared" ref="C19:M19" si="0">B19</f>
        <v>2000</v>
      </c>
      <c r="D19" s="475">
        <f t="shared" si="0"/>
        <v>2000</v>
      </c>
      <c r="E19" s="475">
        <f t="shared" si="0"/>
        <v>2000</v>
      </c>
      <c r="F19" s="475">
        <f t="shared" si="0"/>
        <v>2000</v>
      </c>
      <c r="G19" s="475">
        <f t="shared" si="0"/>
        <v>2000</v>
      </c>
      <c r="H19" s="475">
        <f t="shared" si="0"/>
        <v>2000</v>
      </c>
      <c r="I19" s="475">
        <f t="shared" si="0"/>
        <v>2000</v>
      </c>
      <c r="J19" s="475">
        <f t="shared" si="0"/>
        <v>2000</v>
      </c>
      <c r="K19" s="475">
        <f t="shared" si="0"/>
        <v>2000</v>
      </c>
      <c r="L19" s="475">
        <f t="shared" si="0"/>
        <v>2000</v>
      </c>
      <c r="M19" s="432">
        <f t="shared" si="0"/>
        <v>2000</v>
      </c>
      <c r="N19" s="636">
        <f>SUM('Exemp.(HRA+Other) &amp; Other incom'!Q7:Q10)</f>
        <v>0</v>
      </c>
      <c r="O19" s="637"/>
      <c r="P19" s="637"/>
      <c r="Q19" s="638"/>
      <c r="R19" s="589"/>
    </row>
    <row r="20" spans="1:18" ht="9" customHeight="1">
      <c r="A20" s="591"/>
      <c r="B20" s="639"/>
      <c r="C20" s="640"/>
      <c r="D20" s="640"/>
      <c r="E20" s="640"/>
      <c r="F20" s="640"/>
      <c r="G20" s="640"/>
      <c r="H20" s="640"/>
      <c r="I20" s="640"/>
      <c r="J20" s="640"/>
      <c r="K20" s="640"/>
      <c r="L20" s="640"/>
      <c r="M20" s="640"/>
      <c r="N20" s="640"/>
      <c r="O20" s="640"/>
      <c r="P20" s="640"/>
      <c r="Q20" s="640"/>
      <c r="R20" s="589"/>
    </row>
    <row r="21" spans="1:18" ht="17.25" hidden="1" customHeight="1"/>
    <row r="22" spans="1:18" ht="17.25" hidden="1" customHeight="1"/>
    <row r="23" spans="1:18" ht="17.25" hidden="1" customHeight="1"/>
    <row r="24" spans="1:18" ht="17.25" hidden="1" customHeight="1"/>
    <row r="25" spans="1:18" ht="17.25" hidden="1" customHeight="1"/>
    <row r="26" spans="1:18" ht="17.25" hidden="1" customHeight="1"/>
    <row r="27" spans="1:18" ht="17.25" hidden="1" customHeight="1"/>
    <row r="28" spans="1:18" ht="17.25" hidden="1" customHeight="1"/>
    <row r="29" spans="1:18" ht="17.25" hidden="1" customHeight="1"/>
    <row r="30" spans="1:18" ht="17.25" hidden="1" customHeight="1"/>
    <row r="31" spans="1:18" hidden="1"/>
    <row r="32" spans="1:18" hidden="1"/>
    <row r="33" hidden="1"/>
    <row r="34" hidden="1"/>
  </sheetData>
  <sheetProtection password="E8FA" sheet="1" objects="1" scenarios="1" formatCells="0" formatColumns="0" formatRows="0" selectLockedCells="1"/>
  <mergeCells count="47">
    <mergeCell ref="N19:Q19"/>
    <mergeCell ref="B20:Q20"/>
    <mergeCell ref="D9:E9"/>
    <mergeCell ref="D10:E10"/>
    <mergeCell ref="B11:P11"/>
    <mergeCell ref="B17:Q17"/>
    <mergeCell ref="N18:Q18"/>
    <mergeCell ref="B12:B14"/>
    <mergeCell ref="J13:J14"/>
    <mergeCell ref="H13:I13"/>
    <mergeCell ref="K13:K14"/>
    <mergeCell ref="L12:Q12"/>
    <mergeCell ref="C12:K12"/>
    <mergeCell ref="C13:C14"/>
    <mergeCell ref="O13:O14"/>
    <mergeCell ref="P13:P14"/>
    <mergeCell ref="L13:L14"/>
    <mergeCell ref="M13:M14"/>
    <mergeCell ref="N13:N14"/>
    <mergeCell ref="B1:Q1"/>
    <mergeCell ref="B2:Q2"/>
    <mergeCell ref="B3:Q3"/>
    <mergeCell ref="R1:R20"/>
    <mergeCell ref="A1:A20"/>
    <mergeCell ref="K6:L6"/>
    <mergeCell ref="G6:H6"/>
    <mergeCell ref="M5:N5"/>
    <mergeCell ref="M6:N6"/>
    <mergeCell ref="B5:F5"/>
    <mergeCell ref="B6:F6"/>
    <mergeCell ref="B4:Q4"/>
    <mergeCell ref="B8:Q8"/>
    <mergeCell ref="Q13:Q14"/>
    <mergeCell ref="O5:P5"/>
    <mergeCell ref="B16:Q16"/>
    <mergeCell ref="G5:L5"/>
    <mergeCell ref="B9:C9"/>
    <mergeCell ref="O9:P9"/>
    <mergeCell ref="O10:P10"/>
    <mergeCell ref="F9:G9"/>
    <mergeCell ref="I9:K9"/>
    <mergeCell ref="O6:P6"/>
    <mergeCell ref="I6:J6"/>
    <mergeCell ref="B10:C10"/>
    <mergeCell ref="F10:G10"/>
    <mergeCell ref="I10:K10"/>
    <mergeCell ref="B7:Q7"/>
  </mergeCells>
  <dataValidations count="7">
    <dataValidation type="list" allowBlank="1" showInputMessage="1" showErrorMessage="1" sqref="B15">
      <formula1>"Regular,Probation"</formula1>
    </dataValidation>
    <dataValidation type="list" allowBlank="1" showInputMessage="1" showErrorMessage="1" sqref="F15:H15 J15:K15">
      <formula1>"YES,NO"</formula1>
    </dataValidation>
    <dataValidation type="list" allowBlank="1" showInputMessage="1" showErrorMessage="1" sqref="I15">
      <formula1>"Mar-2024,Apr-2024,May-2024,Jun-2024,Jul-2024,Aug-2024,Sep-2024,Oct-2024,Nov-2024,Dec-2024,Jan-2025,Feb-2025"</formula1>
    </dataValidation>
    <dataValidation type="textLength" errorStyle="warning" allowBlank="1" showInputMessage="1" showErrorMessage="1" sqref="K6:L6">
      <formula1>10</formula1>
      <formula2>10</formula2>
    </dataValidation>
    <dataValidation type="textLength" allowBlank="1" showInputMessage="1" showErrorMessage="1" sqref="N10">
      <formula1>10</formula1>
      <formula2>10</formula2>
    </dataValidation>
    <dataValidation type="list" allowBlank="1" showInputMessage="1" showErrorMessage="1" sqref="Q10">
      <formula1>"A,B,C"</formula1>
    </dataValidation>
    <dataValidation type="list" allowBlank="1" showInputMessage="1" showErrorMessage="1" sqref="D10:E10">
      <formula1>"Subordinate,State Service,Ministrial,Other"</formula1>
    </dataValidation>
  </dataValidations>
  <pageMargins left="0.27559055118110237" right="0.19685039370078741" top="0.23622047244094491" bottom="0.23622047244094491" header="0.19685039370078741" footer="0.19685039370078741"/>
  <pageSetup paperSize="9" scale="76" orientation="landscape" r:id="rId1"/>
</worksheet>
</file>

<file path=xl/worksheets/sheet3.xml><?xml version="1.0" encoding="utf-8"?>
<worksheet xmlns="http://schemas.openxmlformats.org/spreadsheetml/2006/main" xmlns:r="http://schemas.openxmlformats.org/officeDocument/2006/relationships">
  <sheetPr>
    <tabColor rgb="FF002060"/>
  </sheetPr>
  <dimension ref="A1:XFD35"/>
  <sheetViews>
    <sheetView showGridLines="0" showRowColHeaders="0" workbookViewId="0">
      <selection activeCell="L7" sqref="L7:M7"/>
    </sheetView>
  </sheetViews>
  <sheetFormatPr defaultColWidth="0" defaultRowHeight="15" zeroHeight="1"/>
  <cols>
    <col min="1" max="1" width="7.85546875" style="1" customWidth="1"/>
    <col min="2" max="3" width="13.42578125" style="1" customWidth="1"/>
    <col min="4" max="4" width="11.7109375" style="1" customWidth="1"/>
    <col min="5" max="5" width="10.140625" style="1" hidden="1" customWidth="1"/>
    <col min="6" max="6" width="12.5703125" style="1" hidden="1" customWidth="1"/>
    <col min="7" max="7" width="9.85546875" style="1" hidden="1" customWidth="1"/>
    <col min="8" max="8" width="8.7109375" style="1" hidden="1" customWidth="1"/>
    <col min="9" max="9" width="9.140625" style="1" customWidth="1"/>
    <col min="10" max="10" width="9.5703125" style="1" hidden="1" customWidth="1"/>
    <col min="11" max="12" width="12.140625" style="1" customWidth="1"/>
    <col min="13" max="14" width="10.7109375" style="1" customWidth="1"/>
    <col min="15" max="15" width="24.28515625" style="1" customWidth="1"/>
    <col min="16" max="16" width="39.7109375" style="1" customWidth="1"/>
    <col min="17" max="17" width="20.28515625" style="1" customWidth="1"/>
    <col min="18" max="18" width="3.28515625" style="1" customWidth="1"/>
    <col min="19" max="24" width="9.140625" style="1" hidden="1"/>
    <col min="25" max="16383" width="10" style="1" hidden="1"/>
    <col min="16384" max="16384" width="9.140625" style="1" hidden="1"/>
  </cols>
  <sheetData>
    <row r="1" spans="1:28 16384:16384" ht="31.5" customHeight="1" thickBot="1">
      <c r="A1" s="677" t="str">
        <f>'GA-55'!B1</f>
        <v>Office: Govt. Sr. School Raimalwada (DDO Code :-12345)</v>
      </c>
      <c r="B1" s="678"/>
      <c r="C1" s="678"/>
      <c r="D1" s="678"/>
      <c r="E1" s="678"/>
      <c r="F1" s="678"/>
      <c r="G1" s="678"/>
      <c r="H1" s="678"/>
      <c r="I1" s="678"/>
      <c r="J1" s="678"/>
      <c r="K1" s="678"/>
      <c r="L1" s="678"/>
      <c r="M1" s="678"/>
      <c r="N1" s="678"/>
      <c r="O1" s="678"/>
      <c r="P1" s="678"/>
      <c r="Q1" s="679"/>
      <c r="R1" s="693"/>
    </row>
    <row r="2" spans="1:28 16384:16384" ht="23.25" customHeight="1" thickBot="1">
      <c r="A2" s="692" t="s">
        <v>81</v>
      </c>
      <c r="B2" s="692"/>
      <c r="C2" s="692"/>
      <c r="D2" s="692"/>
      <c r="E2" s="692"/>
      <c r="F2" s="692"/>
      <c r="G2" s="692"/>
      <c r="H2" s="692"/>
      <c r="I2" s="692"/>
      <c r="J2" s="692"/>
      <c r="K2" s="692"/>
      <c r="L2" s="692"/>
      <c r="M2" s="692"/>
      <c r="N2" s="692"/>
      <c r="O2" s="692"/>
      <c r="P2" s="692"/>
      <c r="Q2" s="692"/>
      <c r="R2" s="693"/>
    </row>
    <row r="3" spans="1:28 16384:16384" s="249" customFormat="1" ht="35.25" customHeight="1" thickBot="1">
      <c r="A3" s="688" t="s">
        <v>9</v>
      </c>
      <c r="B3" s="689"/>
      <c r="C3" s="405" t="s">
        <v>5</v>
      </c>
      <c r="D3" s="405" t="s">
        <v>56</v>
      </c>
      <c r="E3" s="405" t="s">
        <v>33</v>
      </c>
      <c r="F3" s="405" t="s">
        <v>34</v>
      </c>
      <c r="G3" s="405" t="s">
        <v>8</v>
      </c>
      <c r="H3" s="406">
        <v>0.1</v>
      </c>
      <c r="I3" s="405" t="s">
        <v>222</v>
      </c>
      <c r="J3" s="405"/>
      <c r="K3" s="407" t="s">
        <v>79</v>
      </c>
      <c r="L3" s="408" t="s">
        <v>80</v>
      </c>
      <c r="M3" s="409" t="s">
        <v>57</v>
      </c>
      <c r="N3" s="410" t="s">
        <v>58</v>
      </c>
      <c r="O3" s="411" t="s">
        <v>59</v>
      </c>
      <c r="P3" s="405" t="s">
        <v>60</v>
      </c>
      <c r="Q3" s="412" t="s">
        <v>61</v>
      </c>
      <c r="R3" s="693"/>
      <c r="AB3" s="1"/>
    </row>
    <row r="4" spans="1:28 16384:16384" ht="40.5" customHeight="1" thickBot="1">
      <c r="A4" s="690" t="str">
        <f>'Basic Data'!B10</f>
        <v>a</v>
      </c>
      <c r="B4" s="691"/>
      <c r="C4" s="396" t="str">
        <f>'Basic Data'!H10</f>
        <v>Teacher</v>
      </c>
      <c r="D4" s="397" t="str">
        <f>'Basic Data'!I10</f>
        <v>Govt. Sr. School Raimalwada</v>
      </c>
      <c r="E4" s="398">
        <f>SUM('GA-55'!F9:F20,'GA-55'!F28,'GA-55'!F29)</f>
        <v>848400</v>
      </c>
      <c r="F4" s="398">
        <f>SUM('GA-55'!G23,'GA-55'!G22,'GA-55'!G9:G20,'GA-55'!G28:G29)</f>
        <v>446880</v>
      </c>
      <c r="G4" s="399">
        <f>E4+F4</f>
        <v>1295280</v>
      </c>
      <c r="H4" s="400">
        <f>ROUNDUP((G4*0.1),0)</f>
        <v>129528</v>
      </c>
      <c r="I4" s="398">
        <f>SUM('GA-55'!H9:H20,'GA-55'!H28:H29)</f>
        <v>79212</v>
      </c>
      <c r="J4" s="401">
        <f>ROUNDUP((I4+H4),-1)</f>
        <v>208740</v>
      </c>
      <c r="K4" s="402">
        <f>IF(T4&gt;I4,I4,T4)</f>
        <v>0</v>
      </c>
      <c r="L4" s="403">
        <f>ROUNDUP((M4*12),-1)</f>
        <v>0</v>
      </c>
      <c r="M4" s="302">
        <f>IF(H4&gt;100000,0,ROUNDUP(J4/12,-1))</f>
        <v>0</v>
      </c>
      <c r="N4" s="404">
        <f>ROUNDUP((M4*3),-1)</f>
        <v>0</v>
      </c>
      <c r="O4" s="23"/>
      <c r="P4" s="23"/>
      <c r="Q4" s="24"/>
      <c r="R4" s="693"/>
      <c r="T4" s="1">
        <f>IF(AND(M4=0,H4&gt;100000),0,IF(AND(M4&gt;0,L4&gt;H4),(L4-H4),0))</f>
        <v>0</v>
      </c>
    </row>
    <row r="5" spans="1:28 16384:16384" ht="21" customHeight="1" thickBot="1">
      <c r="A5" s="703" t="s">
        <v>82</v>
      </c>
      <c r="B5" s="704"/>
      <c r="C5" s="704"/>
      <c r="D5" s="704"/>
      <c r="E5" s="704"/>
      <c r="F5" s="704"/>
      <c r="G5" s="704"/>
      <c r="H5" s="704"/>
      <c r="I5" s="704"/>
      <c r="J5" s="704"/>
      <c r="K5" s="704"/>
      <c r="L5" s="704"/>
      <c r="M5" s="705"/>
      <c r="N5" s="652" t="s">
        <v>87</v>
      </c>
      <c r="O5" s="653"/>
      <c r="P5" s="653"/>
      <c r="Q5" s="654"/>
      <c r="R5" s="693"/>
    </row>
    <row r="6" spans="1:28 16384:16384" ht="20.25" customHeight="1" thickBot="1">
      <c r="A6" s="413" t="s">
        <v>4</v>
      </c>
      <c r="B6" s="710" t="s">
        <v>84</v>
      </c>
      <c r="C6" s="711"/>
      <c r="D6" s="711"/>
      <c r="E6" s="711"/>
      <c r="F6" s="711"/>
      <c r="G6" s="711"/>
      <c r="H6" s="711"/>
      <c r="I6" s="711"/>
      <c r="J6" s="711"/>
      <c r="K6" s="712"/>
      <c r="L6" s="710" t="s">
        <v>83</v>
      </c>
      <c r="M6" s="713"/>
      <c r="N6" s="414" t="s">
        <v>90</v>
      </c>
      <c r="O6" s="411" t="s">
        <v>88</v>
      </c>
      <c r="P6" s="415" t="s">
        <v>89</v>
      </c>
      <c r="Q6" s="416" t="s">
        <v>83</v>
      </c>
      <c r="R6" s="693"/>
    </row>
    <row r="7" spans="1:28 16384:16384" ht="17.25" customHeight="1">
      <c r="A7" s="250">
        <v>1</v>
      </c>
      <c r="B7" s="655" t="s">
        <v>153</v>
      </c>
      <c r="C7" s="655"/>
      <c r="D7" s="655"/>
      <c r="E7" s="655"/>
      <c r="F7" s="655"/>
      <c r="G7" s="655"/>
      <c r="H7" s="655"/>
      <c r="I7" s="655"/>
      <c r="J7" s="655"/>
      <c r="K7" s="655"/>
      <c r="L7" s="714">
        <v>0</v>
      </c>
      <c r="M7" s="715"/>
      <c r="N7" s="267"/>
      <c r="O7" s="268"/>
      <c r="P7" s="268"/>
      <c r="Q7" s="269">
        <v>0</v>
      </c>
      <c r="R7" s="693"/>
    </row>
    <row r="8" spans="1:28 16384:16384" ht="17.25" customHeight="1">
      <c r="A8" s="251">
        <v>2</v>
      </c>
      <c r="B8" s="656" t="s">
        <v>154</v>
      </c>
      <c r="C8" s="656"/>
      <c r="D8" s="656"/>
      <c r="E8" s="656"/>
      <c r="F8" s="656"/>
      <c r="G8" s="656"/>
      <c r="H8" s="656"/>
      <c r="I8" s="656"/>
      <c r="J8" s="656"/>
      <c r="K8" s="656"/>
      <c r="L8" s="659">
        <v>0</v>
      </c>
      <c r="M8" s="660"/>
      <c r="N8" s="270"/>
      <c r="O8" s="271"/>
      <c r="P8" s="271"/>
      <c r="Q8" s="272">
        <v>0</v>
      </c>
      <c r="R8" s="693"/>
      <c r="XFD8" s="113" t="str">
        <f>IF(L8&gt;50000,"B","A")</f>
        <v>A</v>
      </c>
    </row>
    <row r="9" spans="1:28 16384:16384" ht="17.25" customHeight="1">
      <c r="A9" s="252">
        <v>3</v>
      </c>
      <c r="B9" s="253" t="s">
        <v>155</v>
      </c>
      <c r="C9" s="657" t="s">
        <v>156</v>
      </c>
      <c r="D9" s="657"/>
      <c r="E9" s="657"/>
      <c r="F9" s="657"/>
      <c r="G9" s="657"/>
      <c r="H9" s="657"/>
      <c r="I9" s="657"/>
      <c r="J9" s="657"/>
      <c r="K9" s="658"/>
      <c r="L9" s="659">
        <v>0</v>
      </c>
      <c r="M9" s="660"/>
      <c r="N9" s="270"/>
      <c r="O9" s="271"/>
      <c r="P9" s="271"/>
      <c r="Q9" s="272">
        <v>0</v>
      </c>
      <c r="R9" s="693"/>
      <c r="XFD9" s="113" t="str">
        <f>'Basic Data'!Q10</f>
        <v>A</v>
      </c>
    </row>
    <row r="10" spans="1:28 16384:16384" ht="17.25" customHeight="1" thickBot="1">
      <c r="A10" s="254">
        <v>4</v>
      </c>
      <c r="B10" s="255" t="s">
        <v>155</v>
      </c>
      <c r="C10" s="708" t="s">
        <v>156</v>
      </c>
      <c r="D10" s="708"/>
      <c r="E10" s="708"/>
      <c r="F10" s="708"/>
      <c r="G10" s="708"/>
      <c r="H10" s="708"/>
      <c r="I10" s="708"/>
      <c r="J10" s="708"/>
      <c r="K10" s="709"/>
      <c r="L10" s="661">
        <v>0</v>
      </c>
      <c r="M10" s="662"/>
      <c r="N10" s="273"/>
      <c r="O10" s="274"/>
      <c r="P10" s="274"/>
      <c r="Q10" s="275">
        <v>0</v>
      </c>
      <c r="R10" s="693"/>
      <c r="XFD10" s="113" t="str">
        <f>CONCATENATE(XFD8,XFD9)</f>
        <v>AA</v>
      </c>
    </row>
    <row r="11" spans="1:28 16384:16384" ht="22.5" customHeight="1" thickBot="1">
      <c r="A11" s="692" t="s">
        <v>110</v>
      </c>
      <c r="B11" s="692"/>
      <c r="C11" s="692"/>
      <c r="D11" s="692"/>
      <c r="E11" s="692"/>
      <c r="F11" s="692"/>
      <c r="G11" s="692"/>
      <c r="H11" s="692"/>
      <c r="I11" s="692"/>
      <c r="J11" s="692"/>
      <c r="K11" s="692"/>
      <c r="L11" s="692"/>
      <c r="M11" s="692"/>
      <c r="N11" s="692"/>
      <c r="O11" s="692"/>
      <c r="P11" s="692"/>
      <c r="Q11" s="692"/>
      <c r="R11" s="693"/>
    </row>
    <row r="12" spans="1:28 16384:16384" ht="15" customHeight="1" thickBot="1">
      <c r="A12" s="417" t="s">
        <v>4</v>
      </c>
      <c r="B12" s="663" t="s">
        <v>85</v>
      </c>
      <c r="C12" s="671"/>
      <c r="D12" s="671"/>
      <c r="E12" s="671"/>
      <c r="F12" s="671"/>
      <c r="G12" s="671"/>
      <c r="H12" s="671"/>
      <c r="I12" s="671"/>
      <c r="J12" s="671"/>
      <c r="K12" s="672"/>
      <c r="L12" s="663" t="s">
        <v>86</v>
      </c>
      <c r="M12" s="664"/>
      <c r="N12" s="418" t="s">
        <v>4</v>
      </c>
      <c r="O12" s="673" t="s">
        <v>85</v>
      </c>
      <c r="P12" s="674"/>
      <c r="Q12" s="419" t="s">
        <v>83</v>
      </c>
      <c r="R12" s="693"/>
    </row>
    <row r="13" spans="1:28 16384:16384" s="22" customFormat="1" ht="17.25" customHeight="1">
      <c r="A13" s="256">
        <v>1</v>
      </c>
      <c r="B13" s="698" t="s">
        <v>161</v>
      </c>
      <c r="C13" s="698"/>
      <c r="D13" s="698"/>
      <c r="E13" s="698"/>
      <c r="F13" s="698"/>
      <c r="G13" s="698"/>
      <c r="H13" s="698"/>
      <c r="I13" s="698"/>
      <c r="J13" s="698"/>
      <c r="K13" s="698"/>
      <c r="L13" s="665">
        <v>0</v>
      </c>
      <c r="M13" s="666"/>
      <c r="N13" s="257">
        <v>15</v>
      </c>
      <c r="O13" s="699" t="s">
        <v>233</v>
      </c>
      <c r="P13" s="700"/>
      <c r="Q13" s="264">
        <v>0</v>
      </c>
      <c r="R13" s="693"/>
    </row>
    <row r="14" spans="1:28 16384:16384" s="22" customFormat="1" ht="17.25" customHeight="1">
      <c r="A14" s="258">
        <v>2</v>
      </c>
      <c r="B14" s="680" t="s">
        <v>218</v>
      </c>
      <c r="C14" s="680"/>
      <c r="D14" s="680"/>
      <c r="E14" s="680"/>
      <c r="F14" s="680"/>
      <c r="G14" s="680"/>
      <c r="H14" s="680"/>
      <c r="I14" s="680"/>
      <c r="J14" s="680"/>
      <c r="K14" s="680"/>
      <c r="L14" s="675">
        <v>0</v>
      </c>
      <c r="M14" s="676"/>
      <c r="N14" s="259">
        <v>16</v>
      </c>
      <c r="O14" s="684" t="s">
        <v>140</v>
      </c>
      <c r="P14" s="685"/>
      <c r="Q14" s="265">
        <v>0</v>
      </c>
      <c r="R14" s="693"/>
    </row>
    <row r="15" spans="1:28 16384:16384" s="22" customFormat="1" ht="17.25" customHeight="1">
      <c r="A15" s="260">
        <v>3</v>
      </c>
      <c r="B15" s="681" t="s">
        <v>128</v>
      </c>
      <c r="C15" s="681"/>
      <c r="D15" s="681"/>
      <c r="E15" s="681"/>
      <c r="F15" s="681"/>
      <c r="G15" s="681"/>
      <c r="H15" s="681"/>
      <c r="I15" s="681"/>
      <c r="J15" s="681"/>
      <c r="K15" s="681"/>
      <c r="L15" s="675">
        <v>0</v>
      </c>
      <c r="M15" s="676"/>
      <c r="N15" s="261">
        <v>17</v>
      </c>
      <c r="O15" s="667" t="s">
        <v>141</v>
      </c>
      <c r="P15" s="668"/>
      <c r="Q15" s="265">
        <v>0</v>
      </c>
      <c r="R15" s="693"/>
    </row>
    <row r="16" spans="1:28 16384:16384" s="22" customFormat="1" ht="17.25" customHeight="1">
      <c r="A16" s="258">
        <v>4</v>
      </c>
      <c r="B16" s="680" t="s">
        <v>129</v>
      </c>
      <c r="C16" s="680"/>
      <c r="D16" s="680"/>
      <c r="E16" s="680"/>
      <c r="F16" s="680"/>
      <c r="G16" s="680"/>
      <c r="H16" s="680"/>
      <c r="I16" s="680"/>
      <c r="J16" s="680"/>
      <c r="K16" s="680"/>
      <c r="L16" s="675">
        <v>0</v>
      </c>
      <c r="M16" s="676"/>
      <c r="N16" s="259">
        <v>18</v>
      </c>
      <c r="O16" s="696" t="s">
        <v>142</v>
      </c>
      <c r="P16" s="697"/>
      <c r="Q16" s="265">
        <v>0</v>
      </c>
      <c r="R16" s="693"/>
    </row>
    <row r="17" spans="1:18" s="22" customFormat="1" ht="17.25" customHeight="1">
      <c r="A17" s="260">
        <v>5</v>
      </c>
      <c r="B17" s="681" t="s">
        <v>130</v>
      </c>
      <c r="C17" s="681"/>
      <c r="D17" s="681"/>
      <c r="E17" s="681"/>
      <c r="F17" s="681"/>
      <c r="G17" s="681"/>
      <c r="H17" s="681"/>
      <c r="I17" s="681"/>
      <c r="J17" s="681"/>
      <c r="K17" s="681"/>
      <c r="L17" s="675">
        <v>0</v>
      </c>
      <c r="M17" s="676"/>
      <c r="N17" s="261">
        <v>19</v>
      </c>
      <c r="O17" s="667" t="s">
        <v>143</v>
      </c>
      <c r="P17" s="668"/>
      <c r="Q17" s="265">
        <v>0</v>
      </c>
      <c r="R17" s="693"/>
    </row>
    <row r="18" spans="1:18" s="22" customFormat="1" ht="17.25" customHeight="1">
      <c r="A18" s="258">
        <v>6</v>
      </c>
      <c r="B18" s="680" t="s">
        <v>131</v>
      </c>
      <c r="C18" s="680"/>
      <c r="D18" s="680"/>
      <c r="E18" s="680"/>
      <c r="F18" s="680"/>
      <c r="G18" s="680"/>
      <c r="H18" s="680"/>
      <c r="I18" s="680"/>
      <c r="J18" s="680"/>
      <c r="K18" s="680"/>
      <c r="L18" s="706">
        <v>0</v>
      </c>
      <c r="M18" s="707"/>
      <c r="N18" s="259">
        <v>20</v>
      </c>
      <c r="O18" s="694" t="s">
        <v>144</v>
      </c>
      <c r="P18" s="695"/>
      <c r="Q18" s="265">
        <v>0</v>
      </c>
      <c r="R18" s="693"/>
    </row>
    <row r="19" spans="1:18" s="22" customFormat="1" ht="17.25" customHeight="1">
      <c r="A19" s="260">
        <v>7</v>
      </c>
      <c r="B19" s="681" t="s">
        <v>132</v>
      </c>
      <c r="C19" s="681"/>
      <c r="D19" s="681"/>
      <c r="E19" s="681"/>
      <c r="F19" s="681"/>
      <c r="G19" s="681"/>
      <c r="H19" s="681"/>
      <c r="I19" s="681"/>
      <c r="J19" s="681"/>
      <c r="K19" s="681"/>
      <c r="L19" s="706">
        <v>0</v>
      </c>
      <c r="M19" s="707"/>
      <c r="N19" s="261">
        <v>21</v>
      </c>
      <c r="O19" s="669" t="s">
        <v>145</v>
      </c>
      <c r="P19" s="670"/>
      <c r="Q19" s="265">
        <v>0</v>
      </c>
      <c r="R19" s="693"/>
    </row>
    <row r="20" spans="1:18" s="22" customFormat="1" ht="17.25" customHeight="1">
      <c r="A20" s="258">
        <v>8</v>
      </c>
      <c r="B20" s="680" t="s">
        <v>133</v>
      </c>
      <c r="C20" s="680"/>
      <c r="D20" s="680"/>
      <c r="E20" s="680"/>
      <c r="F20" s="680"/>
      <c r="G20" s="680"/>
      <c r="H20" s="680"/>
      <c r="I20" s="680"/>
      <c r="J20" s="680"/>
      <c r="K20" s="680"/>
      <c r="L20" s="706">
        <v>0</v>
      </c>
      <c r="M20" s="707"/>
      <c r="N20" s="259">
        <v>22</v>
      </c>
      <c r="O20" s="684" t="s">
        <v>146</v>
      </c>
      <c r="P20" s="685"/>
      <c r="Q20" s="265">
        <v>0</v>
      </c>
      <c r="R20" s="693"/>
    </row>
    <row r="21" spans="1:18" s="22" customFormat="1" ht="17.25" customHeight="1">
      <c r="A21" s="260">
        <v>9</v>
      </c>
      <c r="B21" s="681" t="s">
        <v>134</v>
      </c>
      <c r="C21" s="681"/>
      <c r="D21" s="681"/>
      <c r="E21" s="681"/>
      <c r="F21" s="681"/>
      <c r="G21" s="681"/>
      <c r="H21" s="681"/>
      <c r="I21" s="681"/>
      <c r="J21" s="681"/>
      <c r="K21" s="681"/>
      <c r="L21" s="706">
        <v>0</v>
      </c>
      <c r="M21" s="707"/>
      <c r="N21" s="261">
        <v>23</v>
      </c>
      <c r="O21" s="667" t="s">
        <v>147</v>
      </c>
      <c r="P21" s="668"/>
      <c r="Q21" s="265">
        <v>0</v>
      </c>
      <c r="R21" s="693"/>
    </row>
    <row r="22" spans="1:18" s="22" customFormat="1" ht="17.25" customHeight="1">
      <c r="A22" s="258">
        <v>10</v>
      </c>
      <c r="B22" s="680" t="s">
        <v>135</v>
      </c>
      <c r="C22" s="680"/>
      <c r="D22" s="680"/>
      <c r="E22" s="680"/>
      <c r="F22" s="680"/>
      <c r="G22" s="680"/>
      <c r="H22" s="680"/>
      <c r="I22" s="680"/>
      <c r="J22" s="680"/>
      <c r="K22" s="680"/>
      <c r="L22" s="706">
        <v>0</v>
      </c>
      <c r="M22" s="707"/>
      <c r="N22" s="259">
        <v>24</v>
      </c>
      <c r="O22" s="684" t="s">
        <v>148</v>
      </c>
      <c r="P22" s="685"/>
      <c r="Q22" s="265">
        <v>0</v>
      </c>
      <c r="R22" s="693"/>
    </row>
    <row r="23" spans="1:18" s="22" customFormat="1" ht="17.25" customHeight="1">
      <c r="A23" s="260">
        <v>11</v>
      </c>
      <c r="B23" s="681" t="s">
        <v>136</v>
      </c>
      <c r="C23" s="681"/>
      <c r="D23" s="681"/>
      <c r="E23" s="681"/>
      <c r="F23" s="681"/>
      <c r="G23" s="681"/>
      <c r="H23" s="681"/>
      <c r="I23" s="681"/>
      <c r="J23" s="681"/>
      <c r="K23" s="681"/>
      <c r="L23" s="706">
        <v>0</v>
      </c>
      <c r="M23" s="707"/>
      <c r="N23" s="261">
        <v>25</v>
      </c>
      <c r="O23" s="667" t="s">
        <v>149</v>
      </c>
      <c r="P23" s="668"/>
      <c r="Q23" s="265">
        <v>0</v>
      </c>
      <c r="R23" s="693"/>
    </row>
    <row r="24" spans="1:18" s="22" customFormat="1" ht="17.25" customHeight="1">
      <c r="A24" s="258">
        <v>12</v>
      </c>
      <c r="B24" s="680" t="s">
        <v>137</v>
      </c>
      <c r="C24" s="680"/>
      <c r="D24" s="680"/>
      <c r="E24" s="680"/>
      <c r="F24" s="680"/>
      <c r="G24" s="680"/>
      <c r="H24" s="680"/>
      <c r="I24" s="680"/>
      <c r="J24" s="680"/>
      <c r="K24" s="680"/>
      <c r="L24" s="706">
        <v>0</v>
      </c>
      <c r="M24" s="707"/>
      <c r="N24" s="259">
        <v>26</v>
      </c>
      <c r="O24" s="684" t="s">
        <v>150</v>
      </c>
      <c r="P24" s="685"/>
      <c r="Q24" s="265">
        <v>0</v>
      </c>
      <c r="R24" s="693"/>
    </row>
    <row r="25" spans="1:18" s="22" customFormat="1" ht="17.25" customHeight="1">
      <c r="A25" s="260">
        <v>13</v>
      </c>
      <c r="B25" s="681" t="s">
        <v>138</v>
      </c>
      <c r="C25" s="682"/>
      <c r="D25" s="682"/>
      <c r="E25" s="682"/>
      <c r="F25" s="682"/>
      <c r="G25" s="682"/>
      <c r="H25" s="682"/>
      <c r="I25" s="682"/>
      <c r="J25" s="682"/>
      <c r="K25" s="682"/>
      <c r="L25" s="706">
        <v>0</v>
      </c>
      <c r="M25" s="707"/>
      <c r="N25" s="261">
        <v>27</v>
      </c>
      <c r="O25" s="667" t="s">
        <v>151</v>
      </c>
      <c r="P25" s="668"/>
      <c r="Q25" s="265">
        <v>0</v>
      </c>
      <c r="R25" s="693"/>
    </row>
    <row r="26" spans="1:18" s="22" customFormat="1" ht="17.25" customHeight="1" thickBot="1">
      <c r="A26" s="262">
        <v>14</v>
      </c>
      <c r="B26" s="683" t="s">
        <v>139</v>
      </c>
      <c r="C26" s="683"/>
      <c r="D26" s="683"/>
      <c r="E26" s="683"/>
      <c r="F26" s="683"/>
      <c r="G26" s="683"/>
      <c r="H26" s="683"/>
      <c r="I26" s="683"/>
      <c r="J26" s="683"/>
      <c r="K26" s="683"/>
      <c r="L26" s="701">
        <v>0</v>
      </c>
      <c r="M26" s="702"/>
      <c r="N26" s="263">
        <v>28</v>
      </c>
      <c r="O26" s="686" t="s">
        <v>152</v>
      </c>
      <c r="P26" s="687"/>
      <c r="Q26" s="266">
        <f>'10 E Us 89(1) '!AR28</f>
        <v>0</v>
      </c>
      <c r="R26" s="693"/>
    </row>
    <row r="27" spans="1:18">
      <c r="A27" s="588"/>
      <c r="B27" s="588"/>
      <c r="C27" s="588"/>
      <c r="D27" s="588"/>
      <c r="E27" s="588"/>
      <c r="F27" s="588"/>
      <c r="G27" s="588"/>
      <c r="H27" s="588"/>
      <c r="I27" s="588"/>
      <c r="J27" s="588"/>
      <c r="K27" s="588"/>
      <c r="L27" s="588"/>
      <c r="M27" s="588"/>
      <c r="N27" s="588"/>
      <c r="O27" s="588"/>
      <c r="P27" s="588"/>
      <c r="Q27" s="588"/>
      <c r="R27" s="693"/>
    </row>
    <row r="28" spans="1:18" hidden="1"/>
    <row r="29" spans="1:18" hidden="1"/>
    <row r="30" spans="1:18" hidden="1"/>
    <row r="31" spans="1:18" hidden="1"/>
    <row r="32" spans="1:18" hidden="1"/>
    <row r="33" hidden="1"/>
    <row r="34" hidden="1"/>
    <row r="35" hidden="1"/>
  </sheetData>
  <sheetProtection password="E8FA" sheet="1" objects="1" scenarios="1" formatCells="0" formatColumns="0" formatRows="0" selectLockedCells="1"/>
  <mergeCells count="64">
    <mergeCell ref="L26:M26"/>
    <mergeCell ref="A5:M5"/>
    <mergeCell ref="L21:M21"/>
    <mergeCell ref="L22:M22"/>
    <mergeCell ref="L23:M23"/>
    <mergeCell ref="L24:M24"/>
    <mergeCell ref="L25:M25"/>
    <mergeCell ref="L16:M16"/>
    <mergeCell ref="L17:M17"/>
    <mergeCell ref="L18:M18"/>
    <mergeCell ref="L19:M19"/>
    <mergeCell ref="L20:M20"/>
    <mergeCell ref="C10:K10"/>
    <mergeCell ref="B6:K6"/>
    <mergeCell ref="L6:M6"/>
    <mergeCell ref="L7:M7"/>
    <mergeCell ref="A2:Q2"/>
    <mergeCell ref="R1:R27"/>
    <mergeCell ref="A27:Q27"/>
    <mergeCell ref="B21:K21"/>
    <mergeCell ref="B22:K22"/>
    <mergeCell ref="B23:K23"/>
    <mergeCell ref="O18:P18"/>
    <mergeCell ref="O20:P20"/>
    <mergeCell ref="B15:K15"/>
    <mergeCell ref="O15:P15"/>
    <mergeCell ref="O16:P16"/>
    <mergeCell ref="B13:K13"/>
    <mergeCell ref="B14:K14"/>
    <mergeCell ref="O13:P13"/>
    <mergeCell ref="O14:P14"/>
    <mergeCell ref="A11:Q11"/>
    <mergeCell ref="A1:Q1"/>
    <mergeCell ref="B24:K24"/>
    <mergeCell ref="B25:K25"/>
    <mergeCell ref="B26:K26"/>
    <mergeCell ref="O24:P24"/>
    <mergeCell ref="O25:P25"/>
    <mergeCell ref="O26:P26"/>
    <mergeCell ref="O22:P22"/>
    <mergeCell ref="O23:P23"/>
    <mergeCell ref="B16:K16"/>
    <mergeCell ref="B17:K17"/>
    <mergeCell ref="B18:K18"/>
    <mergeCell ref="B19:K19"/>
    <mergeCell ref="B20:K20"/>
    <mergeCell ref="A3:B3"/>
    <mergeCell ref="A4:B4"/>
    <mergeCell ref="O21:P21"/>
    <mergeCell ref="B12:K12"/>
    <mergeCell ref="O12:P12"/>
    <mergeCell ref="L14:M14"/>
    <mergeCell ref="L15:M15"/>
    <mergeCell ref="L10:M10"/>
    <mergeCell ref="L12:M12"/>
    <mergeCell ref="L13:M13"/>
    <mergeCell ref="O17:P17"/>
    <mergeCell ref="O19:P19"/>
    <mergeCell ref="N5:Q5"/>
    <mergeCell ref="B7:K7"/>
    <mergeCell ref="B8:K8"/>
    <mergeCell ref="C9:K9"/>
    <mergeCell ref="L8:M8"/>
    <mergeCell ref="L9:M9"/>
  </mergeCells>
  <conditionalFormatting sqref="E4:Q4">
    <cfRule type="cellIs" dxfId="49" priority="4" operator="equal">
      <formula>0</formula>
    </cfRule>
  </conditionalFormatting>
  <dataValidations count="1">
    <dataValidation type="whole" errorStyle="information" operator="lessThan" allowBlank="1" showInputMessage="1" showErrorMessage="1" error="Please enter maximum amount of 5000" sqref="L13:L14 Q14">
      <formula1>5001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XFC1046"/>
  <sheetViews>
    <sheetView showGridLines="0" showRowColHeaders="0" topLeftCell="B4" zoomScale="91" zoomScaleNormal="91" workbookViewId="0">
      <selection activeCell="D23" sqref="D23"/>
    </sheetView>
  </sheetViews>
  <sheetFormatPr defaultColWidth="0" defaultRowHeight="15" zeroHeight="1"/>
  <cols>
    <col min="1" max="1" width="3.7109375" style="283" hidden="1" customWidth="1"/>
    <col min="2" max="2" width="4.85546875" style="6" customWidth="1"/>
    <col min="3" max="3" width="13.140625" style="6" customWidth="1"/>
    <col min="4" max="4" width="8.5703125" style="6" customWidth="1"/>
    <col min="5" max="5" width="9.42578125" style="6" customWidth="1"/>
    <col min="6" max="8" width="7.140625" style="31" customWidth="1"/>
    <col min="9" max="9" width="4.85546875" style="32" customWidth="1"/>
    <col min="10" max="14" width="6.42578125" style="31" customWidth="1"/>
    <col min="15" max="15" width="7.85546875" style="31" bestFit="1" customWidth="1"/>
    <col min="16" max="16" width="7.140625" style="31" customWidth="1"/>
    <col min="17" max="17" width="6" style="31" customWidth="1"/>
    <col min="18" max="18" width="6" style="33" customWidth="1"/>
    <col min="19" max="19" width="7.140625" style="33" customWidth="1"/>
    <col min="20" max="20" width="6" style="33" customWidth="1"/>
    <col min="21" max="21" width="7.140625" style="33" customWidth="1"/>
    <col min="22" max="22" width="5.85546875" style="33" customWidth="1"/>
    <col min="23" max="24" width="7.140625" style="33" customWidth="1"/>
    <col min="25" max="26" width="5.7109375" style="33" customWidth="1"/>
    <col min="27" max="27" width="7.140625" style="33" customWidth="1"/>
    <col min="28" max="28" width="10.85546875" style="5" customWidth="1"/>
    <col min="29" max="29" width="11" style="5" customWidth="1"/>
    <col min="30" max="30" width="2" style="5" customWidth="1"/>
    <col min="31" max="31" width="3" style="5" customWidth="1"/>
    <col min="32" max="42" width="9.5703125" style="1" hidden="1"/>
    <col min="43" max="16383" width="3" style="1" hidden="1"/>
    <col min="16384" max="16384" width="4.140625" style="1" hidden="1"/>
  </cols>
  <sheetData>
    <row r="1" spans="1:37" s="9" customFormat="1" ht="24" customHeight="1">
      <c r="A1" s="41"/>
      <c r="B1" s="742" t="str">
        <f>CONCATENATE("Office:"," ",'Basic Data'!G5," ","(",'Basic Data'!M5,'Basic Data'!O5,")")</f>
        <v>Office: Govt. Sr. School Raimalwada (DDO Code :-12345)</v>
      </c>
      <c r="C1" s="743"/>
      <c r="D1" s="743"/>
      <c r="E1" s="743"/>
      <c r="F1" s="743"/>
      <c r="G1" s="743"/>
      <c r="H1" s="743"/>
      <c r="I1" s="743"/>
      <c r="J1" s="743"/>
      <c r="K1" s="743"/>
      <c r="L1" s="743"/>
      <c r="M1" s="743"/>
      <c r="N1" s="743"/>
      <c r="O1" s="743"/>
      <c r="P1" s="743"/>
      <c r="Q1" s="743"/>
      <c r="R1" s="743"/>
      <c r="S1" s="743"/>
      <c r="T1" s="743"/>
      <c r="U1" s="743"/>
      <c r="V1" s="743"/>
      <c r="W1" s="743"/>
      <c r="X1" s="743"/>
      <c r="Y1" s="743"/>
      <c r="Z1" s="743"/>
      <c r="AA1" s="743"/>
      <c r="AB1" s="743"/>
      <c r="AC1" s="744"/>
      <c r="AD1" s="756"/>
      <c r="AE1" s="17"/>
    </row>
    <row r="2" spans="1:37" s="9" customFormat="1" ht="20.25" customHeight="1" thickBot="1">
      <c r="A2" s="42"/>
      <c r="B2" s="13"/>
      <c r="C2" s="724" t="s">
        <v>455</v>
      </c>
      <c r="D2" s="724"/>
      <c r="E2" s="724"/>
      <c r="F2" s="724"/>
      <c r="G2" s="724"/>
      <c r="H2" s="724"/>
      <c r="I2" s="724"/>
      <c r="J2" s="724"/>
      <c r="K2" s="724"/>
      <c r="L2" s="724"/>
      <c r="M2" s="724"/>
      <c r="N2" s="724"/>
      <c r="O2" s="724"/>
      <c r="P2" s="724"/>
      <c r="Q2" s="724"/>
      <c r="R2" s="724"/>
      <c r="S2" s="724"/>
      <c r="T2" s="724"/>
      <c r="U2" s="732" t="s">
        <v>47</v>
      </c>
      <c r="V2" s="732"/>
      <c r="W2" s="732"/>
      <c r="X2" s="732"/>
      <c r="Y2" s="732"/>
      <c r="Z2" s="732"/>
      <c r="AA2" s="732"/>
      <c r="AB2" s="733" t="str">
        <f>'Basic Data'!Q6</f>
        <v>2024-25</v>
      </c>
      <c r="AC2" s="734"/>
      <c r="AD2" s="756"/>
      <c r="AE2" s="282"/>
    </row>
    <row r="3" spans="1:37" s="9" customFormat="1" ht="20.25" customHeight="1">
      <c r="A3" s="42"/>
      <c r="B3" s="751" t="s">
        <v>48</v>
      </c>
      <c r="C3" s="752"/>
      <c r="D3" s="752"/>
      <c r="E3" s="752"/>
      <c r="F3" s="750" t="str">
        <f>'Basic Data'!B10</f>
        <v>a</v>
      </c>
      <c r="G3" s="750"/>
      <c r="H3" s="750"/>
      <c r="I3" s="750"/>
      <c r="J3" s="745" t="s">
        <v>49</v>
      </c>
      <c r="K3" s="745"/>
      <c r="L3" s="745"/>
      <c r="M3" s="745"/>
      <c r="N3" s="745"/>
      <c r="O3" s="745"/>
      <c r="P3" s="746" t="str">
        <f>'Basic Data'!H10</f>
        <v>Teacher</v>
      </c>
      <c r="Q3" s="746"/>
      <c r="R3" s="746"/>
      <c r="S3" s="25"/>
      <c r="T3" s="747" t="s">
        <v>50</v>
      </c>
      <c r="U3" s="747"/>
      <c r="V3" s="747"/>
      <c r="W3" s="747"/>
      <c r="X3" s="747"/>
      <c r="Y3" s="747"/>
      <c r="Z3" s="747"/>
      <c r="AA3" s="748" t="str">
        <f>'Basic Data'!F10</f>
        <v>rjjo20212251115</v>
      </c>
      <c r="AB3" s="748"/>
      <c r="AC3" s="749"/>
      <c r="AD3" s="756"/>
      <c r="AE3" s="12"/>
    </row>
    <row r="4" spans="1:37" s="9" customFormat="1" ht="9" customHeight="1">
      <c r="A4" s="42"/>
      <c r="B4" s="729"/>
      <c r="C4" s="730"/>
      <c r="D4" s="730"/>
      <c r="E4" s="730"/>
      <c r="F4" s="730"/>
      <c r="G4" s="730"/>
      <c r="H4" s="730"/>
      <c r="I4" s="730"/>
      <c r="J4" s="730"/>
      <c r="K4" s="730"/>
      <c r="L4" s="730"/>
      <c r="M4" s="730"/>
      <c r="N4" s="730"/>
      <c r="O4" s="730"/>
      <c r="P4" s="730"/>
      <c r="Q4" s="730"/>
      <c r="R4" s="730"/>
      <c r="S4" s="730"/>
      <c r="T4" s="730"/>
      <c r="U4" s="730"/>
      <c r="V4" s="730"/>
      <c r="W4" s="730"/>
      <c r="X4" s="730"/>
      <c r="Y4" s="730"/>
      <c r="Z4" s="730"/>
      <c r="AA4" s="730"/>
      <c r="AB4" s="730"/>
      <c r="AC4" s="731"/>
      <c r="AD4" s="756"/>
      <c r="AE4" s="281"/>
    </row>
    <row r="5" spans="1:37" s="9" customFormat="1" ht="20.25" customHeight="1">
      <c r="A5" s="42"/>
      <c r="B5" s="754" t="s">
        <v>51</v>
      </c>
      <c r="C5" s="755"/>
      <c r="D5" s="755"/>
      <c r="E5" s="755"/>
      <c r="F5" s="753" t="str">
        <f>'Basic Data'!N10</f>
        <v>ABCDE1234F</v>
      </c>
      <c r="G5" s="753"/>
      <c r="H5" s="753"/>
      <c r="I5" s="753"/>
      <c r="J5" s="739" t="s">
        <v>52</v>
      </c>
      <c r="K5" s="739"/>
      <c r="L5" s="739"/>
      <c r="M5" s="739"/>
      <c r="N5" s="739"/>
      <c r="O5" s="739"/>
      <c r="P5" s="725">
        <f>'Basic Data'!L10</f>
        <v>10</v>
      </c>
      <c r="Q5" s="725"/>
      <c r="R5" s="725"/>
      <c r="S5" s="26"/>
      <c r="T5" s="726" t="s">
        <v>53</v>
      </c>
      <c r="U5" s="726"/>
      <c r="V5" s="726"/>
      <c r="W5" s="726"/>
      <c r="X5" s="726"/>
      <c r="Y5" s="726"/>
      <c r="Z5" s="726"/>
      <c r="AA5" s="727">
        <f>'Basic Data'!O10</f>
        <v>0</v>
      </c>
      <c r="AB5" s="727"/>
      <c r="AC5" s="728"/>
      <c r="AD5" s="756"/>
      <c r="AE5" s="12"/>
    </row>
    <row r="6" spans="1:37" s="8" customFormat="1" ht="14.25" customHeight="1" thickBot="1">
      <c r="A6" s="43"/>
      <c r="B6" s="757"/>
      <c r="C6" s="724"/>
      <c r="D6" s="724"/>
      <c r="E6" s="724"/>
      <c r="F6" s="724"/>
      <c r="G6" s="724"/>
      <c r="H6" s="724"/>
      <c r="I6" s="724"/>
      <c r="J6" s="724"/>
      <c r="K6" s="724"/>
      <c r="L6" s="724"/>
      <c r="M6" s="724"/>
      <c r="N6" s="724"/>
      <c r="O6" s="724"/>
      <c r="P6" s="724"/>
      <c r="Q6" s="724"/>
      <c r="R6" s="724"/>
      <c r="S6" s="724"/>
      <c r="T6" s="724"/>
      <c r="U6" s="724"/>
      <c r="V6" s="724"/>
      <c r="W6" s="724"/>
      <c r="X6" s="724"/>
      <c r="Y6" s="724"/>
      <c r="Z6" s="724"/>
      <c r="AA6" s="724"/>
      <c r="AB6" s="724"/>
      <c r="AC6" s="758"/>
      <c r="AD6" s="756"/>
      <c r="AE6" s="281"/>
    </row>
    <row r="7" spans="1:37" s="4" customFormat="1" ht="18" customHeight="1">
      <c r="A7" s="44"/>
      <c r="B7" s="766" t="s">
        <v>4</v>
      </c>
      <c r="C7" s="768" t="s">
        <v>6</v>
      </c>
      <c r="D7" s="770" t="s">
        <v>31</v>
      </c>
      <c r="E7" s="772" t="s">
        <v>32</v>
      </c>
      <c r="F7" s="774" t="s">
        <v>38</v>
      </c>
      <c r="G7" s="775"/>
      <c r="H7" s="775"/>
      <c r="I7" s="775"/>
      <c r="J7" s="775"/>
      <c r="K7" s="775"/>
      <c r="L7" s="775"/>
      <c r="M7" s="775"/>
      <c r="N7" s="775"/>
      <c r="O7" s="776"/>
      <c r="P7" s="761" t="s">
        <v>40</v>
      </c>
      <c r="Q7" s="762"/>
      <c r="R7" s="762"/>
      <c r="S7" s="762"/>
      <c r="T7" s="762"/>
      <c r="U7" s="762"/>
      <c r="V7" s="762"/>
      <c r="W7" s="762"/>
      <c r="X7" s="762"/>
      <c r="Y7" s="762"/>
      <c r="Z7" s="762"/>
      <c r="AA7" s="762"/>
      <c r="AB7" s="763"/>
      <c r="AC7" s="759" t="s">
        <v>44</v>
      </c>
      <c r="AD7" s="756"/>
      <c r="AE7" s="224"/>
      <c r="AF7" s="7"/>
      <c r="AG7" s="7"/>
      <c r="AH7" s="7"/>
      <c r="AI7" s="7"/>
      <c r="AJ7" s="7"/>
      <c r="AK7" s="7"/>
    </row>
    <row r="8" spans="1:37" s="4" customFormat="1" ht="50.25" customHeight="1" thickBot="1">
      <c r="A8" s="44"/>
      <c r="B8" s="767"/>
      <c r="C8" s="769"/>
      <c r="D8" s="771"/>
      <c r="E8" s="773"/>
      <c r="F8" s="225" t="s">
        <v>33</v>
      </c>
      <c r="G8" s="40" t="s">
        <v>34</v>
      </c>
      <c r="H8" s="40" t="s">
        <v>35</v>
      </c>
      <c r="I8" s="284" t="s">
        <v>113</v>
      </c>
      <c r="J8" s="285" t="s">
        <v>114</v>
      </c>
      <c r="K8" s="284" t="s">
        <v>115</v>
      </c>
      <c r="L8" s="248" t="s">
        <v>563</v>
      </c>
      <c r="M8" s="38" t="s">
        <v>37</v>
      </c>
      <c r="N8" s="248" t="s">
        <v>36</v>
      </c>
      <c r="O8" s="39" t="s">
        <v>39</v>
      </c>
      <c r="P8" s="225" t="s">
        <v>112</v>
      </c>
      <c r="Q8" s="40" t="s">
        <v>20</v>
      </c>
      <c r="R8" s="40" t="s">
        <v>41</v>
      </c>
      <c r="S8" s="40" t="s">
        <v>23</v>
      </c>
      <c r="T8" s="40" t="s">
        <v>22</v>
      </c>
      <c r="U8" s="40" t="s">
        <v>111</v>
      </c>
      <c r="V8" s="40" t="s">
        <v>116</v>
      </c>
      <c r="W8" s="36" t="s">
        <v>117</v>
      </c>
      <c r="X8" s="37" t="s">
        <v>118</v>
      </c>
      <c r="Y8" s="38" t="s">
        <v>37</v>
      </c>
      <c r="Z8" s="37" t="s">
        <v>36</v>
      </c>
      <c r="AA8" s="40" t="s">
        <v>42</v>
      </c>
      <c r="AB8" s="226" t="s">
        <v>43</v>
      </c>
      <c r="AC8" s="760"/>
      <c r="AD8" s="756"/>
      <c r="AE8" s="224"/>
      <c r="AF8" s="7"/>
      <c r="AG8" s="7"/>
      <c r="AH8" s="7"/>
      <c r="AI8" s="7"/>
      <c r="AJ8" s="7"/>
      <c r="AK8" s="7"/>
    </row>
    <row r="9" spans="1:37" s="4" customFormat="1" ht="23.25" customHeight="1">
      <c r="A9" s="44"/>
      <c r="B9" s="14">
        <v>1</v>
      </c>
      <c r="C9" s="303">
        <v>45352</v>
      </c>
      <c r="D9" s="286"/>
      <c r="E9" s="287"/>
      <c r="F9" s="240">
        <f>'Basic Data'!M10</f>
        <v>69300</v>
      </c>
      <c r="G9" s="241">
        <f>IF('Basic Data'!$B$15="Regular",'GA-55'!F9*'Basic Data'!D15,0)</f>
        <v>34650</v>
      </c>
      <c r="H9" s="241">
        <f>IF('Basic Data'!$B$15="Regular",'GA-55'!F9*0.09,0)</f>
        <v>6237</v>
      </c>
      <c r="I9" s="241"/>
      <c r="J9" s="241">
        <f>IF('Basic Data'!J15="Yes",180,0)</f>
        <v>0</v>
      </c>
      <c r="K9" s="241">
        <f>IF('Basic Data'!K15="Yes",1200,0)</f>
        <v>0</v>
      </c>
      <c r="L9" s="241"/>
      <c r="M9" s="241"/>
      <c r="N9" s="241"/>
      <c r="O9" s="27">
        <f>SUM(F9:N9)</f>
        <v>110187</v>
      </c>
      <c r="P9" s="292">
        <f>'Basic Data'!L15</f>
        <v>2850</v>
      </c>
      <c r="Q9" s="293">
        <f>'Basic Data'!M15</f>
        <v>5000</v>
      </c>
      <c r="R9" s="293">
        <f>'Basic Data'!N15</f>
        <v>0</v>
      </c>
      <c r="S9" s="293">
        <f>'Basic Data'!P15</f>
        <v>850</v>
      </c>
      <c r="T9" s="293">
        <f>'Basic Data'!O15</f>
        <v>0</v>
      </c>
      <c r="U9" s="293"/>
      <c r="V9" s="293"/>
      <c r="W9" s="293"/>
      <c r="X9" s="293"/>
      <c r="Y9" s="293"/>
      <c r="Z9" s="293"/>
      <c r="AA9" s="293">
        <f>'Basic Data'!$B19</f>
        <v>2000</v>
      </c>
      <c r="AB9" s="227">
        <f>SUM(P9:AA9)</f>
        <v>10700</v>
      </c>
      <c r="AC9" s="228">
        <f>O9-AB9</f>
        <v>99487</v>
      </c>
      <c r="AD9" s="756"/>
      <c r="AE9" s="229"/>
      <c r="AF9" s="7" t="str">
        <f>IF(C9='Basic Data'!$I$15,"Yes","No")</f>
        <v>No</v>
      </c>
      <c r="AG9" s="16">
        <f>IF(AF9="Yes",ROUND(F9/2,0),0)</f>
        <v>0</v>
      </c>
      <c r="AH9" s="16">
        <f>IF(AF9="Yes",ROUND(G9/2,0),0)</f>
        <v>0</v>
      </c>
      <c r="AI9" s="16">
        <f>IF(AF9="Yes",(F9+G9)/2,0)</f>
        <v>0</v>
      </c>
      <c r="AJ9" s="16"/>
      <c r="AK9" s="16"/>
    </row>
    <row r="10" spans="1:37" s="4" customFormat="1" ht="23.25" customHeight="1">
      <c r="A10" s="44"/>
      <c r="B10" s="15">
        <v>2</v>
      </c>
      <c r="C10" s="304">
        <v>45383</v>
      </c>
      <c r="D10" s="288"/>
      <c r="E10" s="289"/>
      <c r="F10" s="242">
        <f>F9</f>
        <v>69300</v>
      </c>
      <c r="G10" s="243">
        <f>IF('Basic Data'!$B$15="Regular",'GA-55'!F10*'Basic Data'!$D$15,0)</f>
        <v>34650</v>
      </c>
      <c r="H10" s="243">
        <f>IF('Basic Data'!$B$15="Regular",'GA-55'!F10*0.09,0)</f>
        <v>6237</v>
      </c>
      <c r="I10" s="243">
        <f>I9</f>
        <v>0</v>
      </c>
      <c r="J10" s="244">
        <f>J9</f>
        <v>0</v>
      </c>
      <c r="K10" s="244">
        <f>K9</f>
        <v>0</v>
      </c>
      <c r="L10" s="244"/>
      <c r="M10" s="244">
        <f>M9</f>
        <v>0</v>
      </c>
      <c r="N10" s="244">
        <f>N9</f>
        <v>0</v>
      </c>
      <c r="O10" s="28">
        <f t="shared" ref="O10:O30" si="0">SUM(F10:N10)</f>
        <v>110187</v>
      </c>
      <c r="P10" s="294">
        <f t="shared" ref="P10:P20" si="1">P9</f>
        <v>2850</v>
      </c>
      <c r="Q10" s="295">
        <f t="shared" ref="Q10:Q20" si="2">Q9</f>
        <v>5000</v>
      </c>
      <c r="R10" s="295">
        <f t="shared" ref="R10:R20" si="3">R9</f>
        <v>0</v>
      </c>
      <c r="S10" s="296">
        <f t="shared" ref="S10:S20" si="4">S9</f>
        <v>850</v>
      </c>
      <c r="T10" s="296">
        <f t="shared" ref="T10:T19" si="5">T9</f>
        <v>0</v>
      </c>
      <c r="U10" s="296">
        <f>'Basic Data'!Q15</f>
        <v>1400</v>
      </c>
      <c r="V10" s="296"/>
      <c r="W10" s="296"/>
      <c r="X10" s="296"/>
      <c r="Y10" s="296"/>
      <c r="Z10" s="296">
        <f t="shared" ref="Z10:Z20" si="6">Z9</f>
        <v>0</v>
      </c>
      <c r="AA10" s="296">
        <f>'Basic Data'!$C19</f>
        <v>2000</v>
      </c>
      <c r="AB10" s="230">
        <f t="shared" ref="AB10:AB30" si="7">SUM(P10:AA10)</f>
        <v>12100</v>
      </c>
      <c r="AC10" s="231">
        <f t="shared" ref="AC10:AC30" si="8">O10-AB10</f>
        <v>98087</v>
      </c>
      <c r="AD10" s="756"/>
      <c r="AE10" s="229"/>
      <c r="AF10" s="7" t="str">
        <f>IF(C10='Basic Data'!$I$15,"Yes","No")</f>
        <v>No</v>
      </c>
      <c r="AG10" s="16">
        <f t="shared" ref="AG10:AG20" si="9">IF(AF10="Yes",ROUND(F10/2,0),0)</f>
        <v>0</v>
      </c>
      <c r="AH10" s="16">
        <f t="shared" ref="AH10:AH20" si="10">IF(AF10="Yes",ROUND(G10/2,0),0)</f>
        <v>0</v>
      </c>
      <c r="AI10" s="16">
        <f t="shared" ref="AI10:AI20" si="11">IF(AF10="Yes",(F10+G10)/2,0)</f>
        <v>0</v>
      </c>
      <c r="AJ10" s="16"/>
      <c r="AK10" s="16"/>
    </row>
    <row r="11" spans="1:37" s="4" customFormat="1" ht="23.25" customHeight="1">
      <c r="A11" s="44"/>
      <c r="B11" s="15">
        <v>3</v>
      </c>
      <c r="C11" s="304">
        <v>45413</v>
      </c>
      <c r="D11" s="288"/>
      <c r="E11" s="289"/>
      <c r="F11" s="242">
        <f t="shared" ref="F11:F12" si="12">F10</f>
        <v>69300</v>
      </c>
      <c r="G11" s="243">
        <f>IF('Basic Data'!$B$15="Regular",'GA-55'!F11*'Basic Data'!$D$15,0)</f>
        <v>34650</v>
      </c>
      <c r="H11" s="243">
        <f>IF('Basic Data'!$B$15="Regular",'GA-55'!F11*0.09,0)</f>
        <v>6237</v>
      </c>
      <c r="I11" s="243">
        <f t="shared" ref="I11:I20" si="13">I10</f>
        <v>0</v>
      </c>
      <c r="J11" s="244">
        <f t="shared" ref="J11:K20" si="14">J10</f>
        <v>0</v>
      </c>
      <c r="K11" s="244">
        <f t="shared" si="14"/>
        <v>0</v>
      </c>
      <c r="L11" s="244"/>
      <c r="M11" s="244">
        <f t="shared" ref="M11:M20" si="15">M10</f>
        <v>0</v>
      </c>
      <c r="N11" s="244">
        <f t="shared" ref="N11:N20" si="16">N10</f>
        <v>0</v>
      </c>
      <c r="O11" s="29">
        <f t="shared" si="0"/>
        <v>110187</v>
      </c>
      <c r="P11" s="294">
        <f t="shared" si="1"/>
        <v>2850</v>
      </c>
      <c r="Q11" s="295">
        <f t="shared" si="2"/>
        <v>5000</v>
      </c>
      <c r="R11" s="295">
        <f t="shared" si="3"/>
        <v>0</v>
      </c>
      <c r="S11" s="296">
        <f t="shared" si="4"/>
        <v>850</v>
      </c>
      <c r="T11" s="296">
        <f t="shared" si="5"/>
        <v>0</v>
      </c>
      <c r="U11" s="296">
        <f>U9</f>
        <v>0</v>
      </c>
      <c r="V11" s="296"/>
      <c r="W11" s="296"/>
      <c r="X11" s="296"/>
      <c r="Y11" s="296"/>
      <c r="Z11" s="296">
        <f t="shared" si="6"/>
        <v>0</v>
      </c>
      <c r="AA11" s="296">
        <f>'Basic Data'!D19</f>
        <v>2000</v>
      </c>
      <c r="AB11" s="230">
        <f t="shared" si="7"/>
        <v>10700</v>
      </c>
      <c r="AC11" s="231">
        <f t="shared" si="8"/>
        <v>99487</v>
      </c>
      <c r="AD11" s="756"/>
      <c r="AE11" s="229"/>
      <c r="AF11" s="7" t="str">
        <f>IF(C11='Basic Data'!$I$15,"Yes","No")</f>
        <v>No</v>
      </c>
      <c r="AG11" s="16">
        <f t="shared" si="9"/>
        <v>0</v>
      </c>
      <c r="AH11" s="16">
        <f t="shared" si="10"/>
        <v>0</v>
      </c>
      <c r="AI11" s="16">
        <f t="shared" si="11"/>
        <v>0</v>
      </c>
      <c r="AJ11" s="16"/>
      <c r="AK11" s="16"/>
    </row>
    <row r="12" spans="1:37" s="4" customFormat="1" ht="23.25" customHeight="1">
      <c r="A12" s="44"/>
      <c r="B12" s="15">
        <v>4</v>
      </c>
      <c r="C12" s="304">
        <v>45444</v>
      </c>
      <c r="D12" s="288"/>
      <c r="E12" s="289"/>
      <c r="F12" s="242">
        <f t="shared" si="12"/>
        <v>69300</v>
      </c>
      <c r="G12" s="243">
        <f>IF('Basic Data'!$B$15="Regular",'GA-55'!F12*'Basic Data'!$D$15,0)</f>
        <v>34650</v>
      </c>
      <c r="H12" s="243">
        <f>IF('Basic Data'!$B$15="Regular",'GA-55'!F12*0.09,0)</f>
        <v>6237</v>
      </c>
      <c r="I12" s="243">
        <f t="shared" si="13"/>
        <v>0</v>
      </c>
      <c r="J12" s="244">
        <f t="shared" si="14"/>
        <v>0</v>
      </c>
      <c r="K12" s="244">
        <f t="shared" si="14"/>
        <v>0</v>
      </c>
      <c r="L12" s="244"/>
      <c r="M12" s="244">
        <f t="shared" si="15"/>
        <v>0</v>
      </c>
      <c r="N12" s="244">
        <f t="shared" si="16"/>
        <v>0</v>
      </c>
      <c r="O12" s="29">
        <f t="shared" si="0"/>
        <v>110187</v>
      </c>
      <c r="P12" s="294">
        <f t="shared" si="1"/>
        <v>2850</v>
      </c>
      <c r="Q12" s="295">
        <f t="shared" si="2"/>
        <v>5000</v>
      </c>
      <c r="R12" s="295">
        <f t="shared" si="3"/>
        <v>0</v>
      </c>
      <c r="S12" s="296">
        <f t="shared" si="4"/>
        <v>850</v>
      </c>
      <c r="T12" s="296">
        <f t="shared" si="5"/>
        <v>0</v>
      </c>
      <c r="U12" s="296">
        <f t="shared" ref="U12:U20" si="17">U11</f>
        <v>0</v>
      </c>
      <c r="V12" s="296"/>
      <c r="W12" s="296"/>
      <c r="X12" s="296"/>
      <c r="Y12" s="296"/>
      <c r="Z12" s="296">
        <f t="shared" si="6"/>
        <v>0</v>
      </c>
      <c r="AA12" s="296">
        <f>'Basic Data'!E19</f>
        <v>2000</v>
      </c>
      <c r="AB12" s="230">
        <f t="shared" si="7"/>
        <v>10700</v>
      </c>
      <c r="AC12" s="231">
        <f t="shared" si="8"/>
        <v>99487</v>
      </c>
      <c r="AD12" s="756"/>
      <c r="AE12" s="229"/>
      <c r="AF12" s="7" t="str">
        <f>IF(C12='Basic Data'!$I$15,"Yes","No")</f>
        <v>No</v>
      </c>
      <c r="AG12" s="16">
        <f t="shared" si="9"/>
        <v>0</v>
      </c>
      <c r="AH12" s="16">
        <f t="shared" si="10"/>
        <v>0</v>
      </c>
      <c r="AI12" s="16">
        <f t="shared" si="11"/>
        <v>0</v>
      </c>
      <c r="AJ12" s="16"/>
      <c r="AK12" s="16"/>
    </row>
    <row r="13" spans="1:37" s="4" customFormat="1" ht="23.25" customHeight="1">
      <c r="A13" s="44"/>
      <c r="B13" s="15">
        <v>5</v>
      </c>
      <c r="C13" s="304">
        <v>45474</v>
      </c>
      <c r="D13" s="288"/>
      <c r="E13" s="289"/>
      <c r="F13" s="242">
        <f>IF('Basic Data'!B15="Regular",ROUND(F12*103%,-2),'GA-55'!F12)</f>
        <v>71400</v>
      </c>
      <c r="G13" s="243">
        <f>IF('Basic Data'!$B$15="Regular",'GA-55'!F13*'Basic Data'!$D$15,0)</f>
        <v>35700</v>
      </c>
      <c r="H13" s="243">
        <f>IF('Basic Data'!$B$15="Regular",'GA-55'!F13*0.09,0)</f>
        <v>6426</v>
      </c>
      <c r="I13" s="243">
        <f t="shared" si="13"/>
        <v>0</v>
      </c>
      <c r="J13" s="244">
        <f t="shared" si="14"/>
        <v>0</v>
      </c>
      <c r="K13" s="244">
        <f t="shared" si="14"/>
        <v>0</v>
      </c>
      <c r="L13" s="244"/>
      <c r="M13" s="244">
        <f t="shared" si="15"/>
        <v>0</v>
      </c>
      <c r="N13" s="244">
        <f t="shared" si="16"/>
        <v>0</v>
      </c>
      <c r="O13" s="29">
        <f t="shared" si="0"/>
        <v>113526</v>
      </c>
      <c r="P13" s="294">
        <f t="shared" si="1"/>
        <v>2850</v>
      </c>
      <c r="Q13" s="295">
        <f t="shared" si="2"/>
        <v>5000</v>
      </c>
      <c r="R13" s="295">
        <f t="shared" si="3"/>
        <v>0</v>
      </c>
      <c r="S13" s="296">
        <f t="shared" si="4"/>
        <v>850</v>
      </c>
      <c r="T13" s="296">
        <f t="shared" si="5"/>
        <v>0</v>
      </c>
      <c r="U13" s="296">
        <f t="shared" si="17"/>
        <v>0</v>
      </c>
      <c r="V13" s="296"/>
      <c r="W13" s="296"/>
      <c r="X13" s="296"/>
      <c r="Y13" s="296"/>
      <c r="Z13" s="296">
        <f t="shared" si="6"/>
        <v>0</v>
      </c>
      <c r="AA13" s="296">
        <f>'Basic Data'!F19</f>
        <v>2000</v>
      </c>
      <c r="AB13" s="230">
        <f t="shared" si="7"/>
        <v>10700</v>
      </c>
      <c r="AC13" s="231">
        <f t="shared" si="8"/>
        <v>102826</v>
      </c>
      <c r="AD13" s="756"/>
      <c r="AE13" s="229"/>
      <c r="AF13" s="7" t="str">
        <f>IF(C13='Basic Data'!$I$15,"Yes","No")</f>
        <v>No</v>
      </c>
      <c r="AG13" s="16">
        <f t="shared" si="9"/>
        <v>0</v>
      </c>
      <c r="AH13" s="16">
        <f t="shared" si="10"/>
        <v>0</v>
      </c>
      <c r="AI13" s="16">
        <f t="shared" si="11"/>
        <v>0</v>
      </c>
      <c r="AJ13" s="16">
        <f>IF(AF13="yes",(F13*0.03/2),0)</f>
        <v>0</v>
      </c>
      <c r="AK13" s="16">
        <f>IF($AF13="Yes",ROUND(AH13*0.04,0),0)</f>
        <v>0</v>
      </c>
    </row>
    <row r="14" spans="1:37" s="4" customFormat="1" ht="23.25" customHeight="1">
      <c r="A14" s="44"/>
      <c r="B14" s="15">
        <v>6</v>
      </c>
      <c r="C14" s="304">
        <v>45505</v>
      </c>
      <c r="D14" s="288"/>
      <c r="E14" s="289"/>
      <c r="F14" s="242">
        <f>F13</f>
        <v>71400</v>
      </c>
      <c r="G14" s="243">
        <f>IF('Basic Data'!$B$15="Regular",'GA-55'!F14*'Basic Data'!$D$15,0)</f>
        <v>35700</v>
      </c>
      <c r="H14" s="243">
        <f>IF('Basic Data'!$B$15="Regular",'GA-55'!F14*0.09,0)</f>
        <v>6426</v>
      </c>
      <c r="I14" s="243">
        <f t="shared" si="13"/>
        <v>0</v>
      </c>
      <c r="J14" s="244">
        <f t="shared" si="14"/>
        <v>0</v>
      </c>
      <c r="K14" s="244">
        <f t="shared" si="14"/>
        <v>0</v>
      </c>
      <c r="L14" s="244"/>
      <c r="M14" s="244">
        <f t="shared" si="15"/>
        <v>0</v>
      </c>
      <c r="N14" s="244">
        <f t="shared" si="16"/>
        <v>0</v>
      </c>
      <c r="O14" s="29">
        <f t="shared" si="0"/>
        <v>113526</v>
      </c>
      <c r="P14" s="294">
        <f t="shared" si="1"/>
        <v>2850</v>
      </c>
      <c r="Q14" s="295">
        <f t="shared" si="2"/>
        <v>5000</v>
      </c>
      <c r="R14" s="295">
        <f t="shared" si="3"/>
        <v>0</v>
      </c>
      <c r="S14" s="296">
        <f t="shared" si="4"/>
        <v>850</v>
      </c>
      <c r="T14" s="296">
        <f t="shared" si="5"/>
        <v>0</v>
      </c>
      <c r="U14" s="296">
        <f t="shared" si="17"/>
        <v>0</v>
      </c>
      <c r="V14" s="296"/>
      <c r="W14" s="296"/>
      <c r="X14" s="296"/>
      <c r="Y14" s="296"/>
      <c r="Z14" s="296">
        <f t="shared" si="6"/>
        <v>0</v>
      </c>
      <c r="AA14" s="296">
        <f>'Basic Data'!G19</f>
        <v>2000</v>
      </c>
      <c r="AB14" s="230">
        <f t="shared" si="7"/>
        <v>10700</v>
      </c>
      <c r="AC14" s="231">
        <f t="shared" si="8"/>
        <v>102826</v>
      </c>
      <c r="AD14" s="756"/>
      <c r="AE14" s="229"/>
      <c r="AF14" s="7" t="str">
        <f>IF(C14='Basic Data'!$I$15,"Yes","No")</f>
        <v>No</v>
      </c>
      <c r="AG14" s="16">
        <f>IF(AF14="Yes",ROUND(F14/2,0),0)</f>
        <v>0</v>
      </c>
      <c r="AH14" s="16">
        <f t="shared" si="10"/>
        <v>0</v>
      </c>
      <c r="AI14" s="16">
        <f t="shared" si="11"/>
        <v>0</v>
      </c>
      <c r="AJ14" s="16">
        <f>IF(AF14="yes",(F14*0.03/2),0)</f>
        <v>0</v>
      </c>
      <c r="AK14" s="16">
        <f>IF($AF14="Yes",ROUND(AH14*0.04,0),0)</f>
        <v>0</v>
      </c>
    </row>
    <row r="15" spans="1:37" s="4" customFormat="1" ht="23.25" customHeight="1">
      <c r="A15" s="44"/>
      <c r="B15" s="15">
        <v>7</v>
      </c>
      <c r="C15" s="304">
        <v>45536</v>
      </c>
      <c r="D15" s="288"/>
      <c r="E15" s="289"/>
      <c r="F15" s="242">
        <f t="shared" ref="F15:F20" si="18">F14</f>
        <v>71400</v>
      </c>
      <c r="G15" s="243">
        <f>IF('Basic Data'!$B$15="Regular",'GA-55'!F15*'Basic Data'!$D$15,0)</f>
        <v>35700</v>
      </c>
      <c r="H15" s="243">
        <f>IF('Basic Data'!$B$15="Regular",'GA-55'!F15*0.09,0)</f>
        <v>6426</v>
      </c>
      <c r="I15" s="243">
        <f t="shared" si="13"/>
        <v>0</v>
      </c>
      <c r="J15" s="244">
        <f t="shared" si="14"/>
        <v>0</v>
      </c>
      <c r="K15" s="244">
        <f t="shared" si="14"/>
        <v>0</v>
      </c>
      <c r="L15" s="244"/>
      <c r="M15" s="244">
        <f t="shared" si="15"/>
        <v>0</v>
      </c>
      <c r="N15" s="244">
        <f t="shared" si="16"/>
        <v>0</v>
      </c>
      <c r="O15" s="29">
        <f t="shared" si="0"/>
        <v>113526</v>
      </c>
      <c r="P15" s="294">
        <f t="shared" si="1"/>
        <v>2850</v>
      </c>
      <c r="Q15" s="295">
        <f t="shared" si="2"/>
        <v>5000</v>
      </c>
      <c r="R15" s="295">
        <f t="shared" si="3"/>
        <v>0</v>
      </c>
      <c r="S15" s="296">
        <f t="shared" si="4"/>
        <v>850</v>
      </c>
      <c r="T15" s="296">
        <f t="shared" si="5"/>
        <v>0</v>
      </c>
      <c r="U15" s="296">
        <f t="shared" si="17"/>
        <v>0</v>
      </c>
      <c r="V15" s="296"/>
      <c r="W15" s="296"/>
      <c r="X15" s="296"/>
      <c r="Y15" s="296"/>
      <c r="Z15" s="296">
        <f t="shared" si="6"/>
        <v>0</v>
      </c>
      <c r="AA15" s="296">
        <f>'Basic Data'!H19</f>
        <v>2000</v>
      </c>
      <c r="AB15" s="230">
        <f t="shared" si="7"/>
        <v>10700</v>
      </c>
      <c r="AC15" s="231">
        <f t="shared" si="8"/>
        <v>102826</v>
      </c>
      <c r="AD15" s="756"/>
      <c r="AE15" s="229"/>
      <c r="AF15" s="7" t="str">
        <f>IF(C15='Basic Data'!$I$15,"Yes","No")</f>
        <v>Yes</v>
      </c>
      <c r="AG15" s="16">
        <f t="shared" si="9"/>
        <v>35700</v>
      </c>
      <c r="AH15" s="16">
        <f t="shared" si="10"/>
        <v>17850</v>
      </c>
      <c r="AI15" s="16">
        <f t="shared" si="11"/>
        <v>53550</v>
      </c>
      <c r="AJ15" s="16">
        <f>IF(AF15="yes",(F15*0.03/2),0)</f>
        <v>1071</v>
      </c>
      <c r="AK15" s="16">
        <f>IF($AF15="Yes",ROUND(AH15*0.03,0),0)</f>
        <v>536</v>
      </c>
    </row>
    <row r="16" spans="1:37" s="4" customFormat="1" ht="23.25" customHeight="1">
      <c r="A16" s="44"/>
      <c r="B16" s="15">
        <v>8</v>
      </c>
      <c r="C16" s="304">
        <v>45566</v>
      </c>
      <c r="D16" s="288"/>
      <c r="E16" s="289"/>
      <c r="F16" s="242">
        <f t="shared" si="18"/>
        <v>71400</v>
      </c>
      <c r="G16" s="243">
        <f>IF('Basic Data'!$B$15="Regular",'GA-55'!F16*'Basic Data'!$D$15,0)</f>
        <v>35700</v>
      </c>
      <c r="H16" s="243">
        <f>IF('Basic Data'!$B$15="Regular",'GA-55'!F16*0.09,0)</f>
        <v>6426</v>
      </c>
      <c r="I16" s="243">
        <f t="shared" si="13"/>
        <v>0</v>
      </c>
      <c r="J16" s="244">
        <f t="shared" si="14"/>
        <v>0</v>
      </c>
      <c r="K16" s="244">
        <f t="shared" si="14"/>
        <v>0</v>
      </c>
      <c r="L16" s="244"/>
      <c r="M16" s="244">
        <f t="shared" si="15"/>
        <v>0</v>
      </c>
      <c r="N16" s="244">
        <f t="shared" si="16"/>
        <v>0</v>
      </c>
      <c r="O16" s="29">
        <f t="shared" si="0"/>
        <v>113526</v>
      </c>
      <c r="P16" s="294">
        <f t="shared" si="1"/>
        <v>2850</v>
      </c>
      <c r="Q16" s="295">
        <f t="shared" si="2"/>
        <v>5000</v>
      </c>
      <c r="R16" s="295">
        <f t="shared" si="3"/>
        <v>0</v>
      </c>
      <c r="S16" s="296">
        <f t="shared" si="4"/>
        <v>850</v>
      </c>
      <c r="T16" s="296">
        <f t="shared" si="5"/>
        <v>0</v>
      </c>
      <c r="U16" s="296">
        <f t="shared" si="17"/>
        <v>0</v>
      </c>
      <c r="V16" s="296"/>
      <c r="W16" s="296"/>
      <c r="X16" s="296"/>
      <c r="Y16" s="296"/>
      <c r="Z16" s="296">
        <f t="shared" si="6"/>
        <v>0</v>
      </c>
      <c r="AA16" s="296">
        <f>'Basic Data'!I19</f>
        <v>2000</v>
      </c>
      <c r="AB16" s="230">
        <f t="shared" si="7"/>
        <v>10700</v>
      </c>
      <c r="AC16" s="231">
        <f t="shared" si="8"/>
        <v>102826</v>
      </c>
      <c r="AD16" s="756"/>
      <c r="AE16" s="229"/>
      <c r="AF16" s="7" t="str">
        <f>IF(C16='Basic Data'!$I$15,"Yes","No")</f>
        <v>No</v>
      </c>
      <c r="AG16" s="16">
        <f t="shared" si="9"/>
        <v>0</v>
      </c>
      <c r="AH16" s="16">
        <f t="shared" si="10"/>
        <v>0</v>
      </c>
      <c r="AI16" s="16">
        <f t="shared" si="11"/>
        <v>0</v>
      </c>
      <c r="AJ16" s="16">
        <f>IF(AF16="yes",(F16*0.03/2),0)</f>
        <v>0</v>
      </c>
      <c r="AK16" s="16">
        <f>IF($AF16="Yes",ROUND(AH16*0.04,0),0)</f>
        <v>0</v>
      </c>
    </row>
    <row r="17" spans="1:37" s="4" customFormat="1" ht="23.25" customHeight="1">
      <c r="A17" s="44"/>
      <c r="B17" s="15">
        <v>9</v>
      </c>
      <c r="C17" s="304">
        <v>45597</v>
      </c>
      <c r="D17" s="288"/>
      <c r="E17" s="289"/>
      <c r="F17" s="242">
        <f t="shared" si="18"/>
        <v>71400</v>
      </c>
      <c r="G17" s="243">
        <f>IF('Basic Data'!$B$15="Regular",'GA-55'!F17*'Basic Data'!$E$15,0)</f>
        <v>37842</v>
      </c>
      <c r="H17" s="243">
        <f>IF('Basic Data'!$B$15="Regular",'GA-55'!F17*0.1,0)</f>
        <v>7140</v>
      </c>
      <c r="I17" s="243">
        <f t="shared" si="13"/>
        <v>0</v>
      </c>
      <c r="J17" s="244">
        <f t="shared" si="14"/>
        <v>0</v>
      </c>
      <c r="K17" s="244">
        <f t="shared" si="14"/>
        <v>0</v>
      </c>
      <c r="L17" s="244"/>
      <c r="M17" s="244">
        <f t="shared" si="15"/>
        <v>0</v>
      </c>
      <c r="N17" s="244">
        <f t="shared" si="16"/>
        <v>0</v>
      </c>
      <c r="O17" s="29">
        <f t="shared" si="0"/>
        <v>116382</v>
      </c>
      <c r="P17" s="294">
        <f t="shared" si="1"/>
        <v>2850</v>
      </c>
      <c r="Q17" s="295">
        <f t="shared" si="2"/>
        <v>5000</v>
      </c>
      <c r="R17" s="295">
        <f t="shared" si="3"/>
        <v>0</v>
      </c>
      <c r="S17" s="296">
        <f t="shared" si="4"/>
        <v>850</v>
      </c>
      <c r="T17" s="296">
        <f t="shared" si="5"/>
        <v>0</v>
      </c>
      <c r="U17" s="296">
        <f t="shared" si="17"/>
        <v>0</v>
      </c>
      <c r="V17" s="296"/>
      <c r="W17" s="296"/>
      <c r="X17" s="296"/>
      <c r="Y17" s="296"/>
      <c r="Z17" s="296">
        <f t="shared" si="6"/>
        <v>0</v>
      </c>
      <c r="AA17" s="296">
        <f>'Basic Data'!J19</f>
        <v>2000</v>
      </c>
      <c r="AB17" s="230">
        <f t="shared" si="7"/>
        <v>10700</v>
      </c>
      <c r="AC17" s="231">
        <f t="shared" si="8"/>
        <v>105682</v>
      </c>
      <c r="AD17" s="756"/>
      <c r="AE17" s="229"/>
      <c r="AF17" s="7" t="str">
        <f>IF(C17='Basic Data'!$I$15,"Yes","No")</f>
        <v>No</v>
      </c>
      <c r="AG17" s="16">
        <f t="shared" si="9"/>
        <v>0</v>
      </c>
      <c r="AH17" s="16">
        <f t="shared" si="10"/>
        <v>0</v>
      </c>
      <c r="AI17" s="16">
        <f t="shared" si="11"/>
        <v>0</v>
      </c>
      <c r="AJ17" s="16"/>
      <c r="AK17" s="16"/>
    </row>
    <row r="18" spans="1:37" s="4" customFormat="1" ht="23.25" customHeight="1">
      <c r="A18" s="44"/>
      <c r="B18" s="15">
        <v>10</v>
      </c>
      <c r="C18" s="304">
        <v>45627</v>
      </c>
      <c r="D18" s="288"/>
      <c r="E18" s="289"/>
      <c r="F18" s="242">
        <f t="shared" si="18"/>
        <v>71400</v>
      </c>
      <c r="G18" s="243">
        <f>IF('Basic Data'!$B$15="Regular",'GA-55'!F18*'Basic Data'!$E$15,0)</f>
        <v>37842</v>
      </c>
      <c r="H18" s="243">
        <f>IF('Basic Data'!$B$15="Regular",'GA-55'!F18*0.1,0)</f>
        <v>7140</v>
      </c>
      <c r="I18" s="243">
        <f t="shared" si="13"/>
        <v>0</v>
      </c>
      <c r="J18" s="244">
        <f t="shared" si="14"/>
        <v>0</v>
      </c>
      <c r="K18" s="244">
        <f t="shared" si="14"/>
        <v>0</v>
      </c>
      <c r="L18" s="244"/>
      <c r="M18" s="244">
        <f t="shared" si="15"/>
        <v>0</v>
      </c>
      <c r="N18" s="244">
        <f t="shared" si="16"/>
        <v>0</v>
      </c>
      <c r="O18" s="29">
        <f t="shared" si="0"/>
        <v>116382</v>
      </c>
      <c r="P18" s="294">
        <f t="shared" si="1"/>
        <v>2850</v>
      </c>
      <c r="Q18" s="295">
        <f t="shared" si="2"/>
        <v>5000</v>
      </c>
      <c r="R18" s="295">
        <f t="shared" si="3"/>
        <v>0</v>
      </c>
      <c r="S18" s="296">
        <f t="shared" si="4"/>
        <v>850</v>
      </c>
      <c r="T18" s="296">
        <f t="shared" si="5"/>
        <v>0</v>
      </c>
      <c r="U18" s="296">
        <f t="shared" si="17"/>
        <v>0</v>
      </c>
      <c r="V18" s="296"/>
      <c r="W18" s="296"/>
      <c r="X18" s="297">
        <f>IF('Basic Data'!D10="State Service",500,250)</f>
        <v>250</v>
      </c>
      <c r="Y18" s="296"/>
      <c r="Z18" s="296">
        <f t="shared" si="6"/>
        <v>0</v>
      </c>
      <c r="AA18" s="296">
        <f>'Basic Data'!K19</f>
        <v>2000</v>
      </c>
      <c r="AB18" s="230">
        <f t="shared" si="7"/>
        <v>10950</v>
      </c>
      <c r="AC18" s="231">
        <f t="shared" si="8"/>
        <v>105432</v>
      </c>
      <c r="AD18" s="756"/>
      <c r="AE18" s="229"/>
      <c r="AF18" s="7" t="str">
        <f>IF(C18='Basic Data'!$I$15,"Yes","No")</f>
        <v>No</v>
      </c>
      <c r="AG18" s="16">
        <f t="shared" si="9"/>
        <v>0</v>
      </c>
      <c r="AH18" s="16">
        <f t="shared" si="10"/>
        <v>0</v>
      </c>
      <c r="AI18" s="16">
        <f t="shared" si="11"/>
        <v>0</v>
      </c>
      <c r="AJ18" s="16"/>
      <c r="AK18" s="16"/>
    </row>
    <row r="19" spans="1:37" s="4" customFormat="1" ht="23.25" customHeight="1">
      <c r="A19" s="44"/>
      <c r="B19" s="15">
        <v>11</v>
      </c>
      <c r="C19" s="304">
        <v>45658</v>
      </c>
      <c r="D19" s="288"/>
      <c r="E19" s="289"/>
      <c r="F19" s="242">
        <f t="shared" si="18"/>
        <v>71400</v>
      </c>
      <c r="G19" s="243">
        <f>IF('Basic Data'!$B$15="Regular",'GA-55'!F19*'Basic Data'!$E$15,0)</f>
        <v>37842</v>
      </c>
      <c r="H19" s="243">
        <f>IF('Basic Data'!$B$15="Regular",'GA-55'!F19*0.1,0)</f>
        <v>7140</v>
      </c>
      <c r="I19" s="243">
        <f t="shared" si="13"/>
        <v>0</v>
      </c>
      <c r="J19" s="244">
        <f t="shared" si="14"/>
        <v>0</v>
      </c>
      <c r="K19" s="244">
        <f t="shared" si="14"/>
        <v>0</v>
      </c>
      <c r="L19" s="244"/>
      <c r="M19" s="244">
        <f t="shared" si="15"/>
        <v>0</v>
      </c>
      <c r="N19" s="244">
        <f t="shared" si="16"/>
        <v>0</v>
      </c>
      <c r="O19" s="29">
        <f t="shared" si="0"/>
        <v>116382</v>
      </c>
      <c r="P19" s="294">
        <f t="shared" si="1"/>
        <v>2850</v>
      </c>
      <c r="Q19" s="295">
        <f t="shared" si="2"/>
        <v>5000</v>
      </c>
      <c r="R19" s="295">
        <f t="shared" si="3"/>
        <v>0</v>
      </c>
      <c r="S19" s="296">
        <f t="shared" si="4"/>
        <v>850</v>
      </c>
      <c r="T19" s="296">
        <f t="shared" si="5"/>
        <v>0</v>
      </c>
      <c r="U19" s="296">
        <f t="shared" si="17"/>
        <v>0</v>
      </c>
      <c r="V19" s="296"/>
      <c r="W19" s="296"/>
      <c r="X19" s="296"/>
      <c r="Y19" s="296"/>
      <c r="Z19" s="296">
        <f t="shared" si="6"/>
        <v>0</v>
      </c>
      <c r="AA19" s="296">
        <f>'Basic Data'!L19</f>
        <v>2000</v>
      </c>
      <c r="AB19" s="230">
        <f t="shared" si="7"/>
        <v>10700</v>
      </c>
      <c r="AC19" s="231">
        <f t="shared" si="8"/>
        <v>105682</v>
      </c>
      <c r="AD19" s="756"/>
      <c r="AE19" s="229"/>
      <c r="AF19" s="7" t="str">
        <f>IF(C19='Basic Data'!$I$15,"Yes","No")</f>
        <v>No</v>
      </c>
      <c r="AG19" s="16">
        <f t="shared" si="9"/>
        <v>0</v>
      </c>
      <c r="AH19" s="16">
        <f t="shared" si="10"/>
        <v>0</v>
      </c>
      <c r="AI19" s="16">
        <f t="shared" si="11"/>
        <v>0</v>
      </c>
      <c r="AJ19" s="16"/>
      <c r="AK19" s="16"/>
    </row>
    <row r="20" spans="1:37" s="4" customFormat="1" ht="23.25" customHeight="1">
      <c r="A20" s="44"/>
      <c r="B20" s="15">
        <v>12</v>
      </c>
      <c r="C20" s="304">
        <v>45689</v>
      </c>
      <c r="D20" s="288"/>
      <c r="E20" s="289"/>
      <c r="F20" s="242">
        <f t="shared" si="18"/>
        <v>71400</v>
      </c>
      <c r="G20" s="243">
        <f>IF('Basic Data'!$B$15="Regular",'GA-55'!F20*'Basic Data'!$E$15,0)</f>
        <v>37842</v>
      </c>
      <c r="H20" s="243">
        <f>IF('Basic Data'!$B$15="Regular",'GA-55'!F20*0.1,0)</f>
        <v>7140</v>
      </c>
      <c r="I20" s="243">
        <f t="shared" si="13"/>
        <v>0</v>
      </c>
      <c r="J20" s="244">
        <f t="shared" si="14"/>
        <v>0</v>
      </c>
      <c r="K20" s="244">
        <f t="shared" si="14"/>
        <v>0</v>
      </c>
      <c r="L20" s="244"/>
      <c r="M20" s="244">
        <f t="shared" si="15"/>
        <v>0</v>
      </c>
      <c r="N20" s="244">
        <f t="shared" si="16"/>
        <v>0</v>
      </c>
      <c r="O20" s="29">
        <f t="shared" si="0"/>
        <v>116382</v>
      </c>
      <c r="P20" s="294">
        <f t="shared" si="1"/>
        <v>2850</v>
      </c>
      <c r="Q20" s="295">
        <f t="shared" si="2"/>
        <v>5000</v>
      </c>
      <c r="R20" s="295">
        <f t="shared" si="3"/>
        <v>0</v>
      </c>
      <c r="S20" s="296">
        <f t="shared" si="4"/>
        <v>850</v>
      </c>
      <c r="T20" s="296">
        <f>T19</f>
        <v>0</v>
      </c>
      <c r="U20" s="296">
        <f t="shared" si="17"/>
        <v>0</v>
      </c>
      <c r="V20" s="296"/>
      <c r="W20" s="296"/>
      <c r="X20" s="296"/>
      <c r="Y20" s="296"/>
      <c r="Z20" s="296">
        <f t="shared" si="6"/>
        <v>0</v>
      </c>
      <c r="AA20" s="296">
        <f>'Basic Data'!M19</f>
        <v>2000</v>
      </c>
      <c r="AB20" s="230">
        <f t="shared" si="7"/>
        <v>10700</v>
      </c>
      <c r="AC20" s="231">
        <f t="shared" si="8"/>
        <v>105682</v>
      </c>
      <c r="AD20" s="756"/>
      <c r="AE20" s="229"/>
      <c r="AF20" s="7" t="str">
        <f>IF(C20='Basic Data'!$I$15,"Yes","No")</f>
        <v>No</v>
      </c>
      <c r="AG20" s="16">
        <f t="shared" si="9"/>
        <v>0</v>
      </c>
      <c r="AH20" s="16">
        <f t="shared" si="10"/>
        <v>0</v>
      </c>
      <c r="AI20" s="16">
        <f t="shared" si="11"/>
        <v>0</v>
      </c>
      <c r="AJ20" s="16"/>
      <c r="AK20" s="16"/>
    </row>
    <row r="21" spans="1:37" s="4" customFormat="1" ht="23.25" customHeight="1">
      <c r="A21" s="44"/>
      <c r="B21" s="740" t="s">
        <v>18</v>
      </c>
      <c r="C21" s="741"/>
      <c r="D21" s="288"/>
      <c r="E21" s="289"/>
      <c r="F21" s="242"/>
      <c r="G21" s="243"/>
      <c r="H21" s="243"/>
      <c r="I21" s="243"/>
      <c r="J21" s="244"/>
      <c r="K21" s="244"/>
      <c r="L21" s="244"/>
      <c r="M21" s="244"/>
      <c r="N21" s="244">
        <f>IF('Basic Data'!L10&gt;=13,0,'Basic Data'!C15)</f>
        <v>6774</v>
      </c>
      <c r="O21" s="29">
        <f t="shared" si="0"/>
        <v>6774</v>
      </c>
      <c r="P21" s="294">
        <f>ROUND(O21*25/100,0)</f>
        <v>1694</v>
      </c>
      <c r="Q21" s="295"/>
      <c r="R21" s="295"/>
      <c r="S21" s="296"/>
      <c r="T21" s="296"/>
      <c r="U21" s="296"/>
      <c r="V21" s="296"/>
      <c r="W21" s="296"/>
      <c r="X21" s="296"/>
      <c r="Y21" s="296"/>
      <c r="Z21" s="296"/>
      <c r="AA21" s="296"/>
      <c r="AB21" s="230">
        <f t="shared" si="7"/>
        <v>1694</v>
      </c>
      <c r="AC21" s="231">
        <f t="shared" si="8"/>
        <v>5080</v>
      </c>
      <c r="AD21" s="756"/>
      <c r="AE21" s="229"/>
      <c r="AF21" s="7"/>
      <c r="AG21" s="16">
        <f>SUM(AG9:AG20)</f>
        <v>35700</v>
      </c>
      <c r="AH21" s="16">
        <f t="shared" ref="AH21:AJ21" si="19">SUM(AH9:AH20)</f>
        <v>17850</v>
      </c>
      <c r="AI21" s="16">
        <f t="shared" si="19"/>
        <v>53550</v>
      </c>
      <c r="AJ21" s="16">
        <f t="shared" si="19"/>
        <v>1071</v>
      </c>
      <c r="AK21" s="16">
        <f>SUM(AK9:AK20)</f>
        <v>536</v>
      </c>
    </row>
    <row r="22" spans="1:37" s="4" customFormat="1" ht="23.25" customHeight="1">
      <c r="A22" s="44"/>
      <c r="B22" s="764" t="s">
        <v>561</v>
      </c>
      <c r="C22" s="765"/>
      <c r="D22" s="288"/>
      <c r="E22" s="289"/>
      <c r="F22" s="242"/>
      <c r="G22" s="243">
        <f>IF('Basic Data'!F15="yes",ROUND('Basic Data'!M10*0.04*2,0),0)</f>
        <v>5544</v>
      </c>
      <c r="H22" s="243"/>
      <c r="I22" s="243"/>
      <c r="J22" s="244"/>
      <c r="K22" s="244"/>
      <c r="L22" s="244"/>
      <c r="M22" s="244"/>
      <c r="N22" s="244"/>
      <c r="O22" s="29">
        <f t="shared" si="0"/>
        <v>5544</v>
      </c>
      <c r="P22" s="294">
        <f>O22</f>
        <v>5544</v>
      </c>
      <c r="Q22" s="295"/>
      <c r="R22" s="295"/>
      <c r="S22" s="296"/>
      <c r="T22" s="296"/>
      <c r="U22" s="296"/>
      <c r="V22" s="296"/>
      <c r="W22" s="296"/>
      <c r="X22" s="296"/>
      <c r="Y22" s="296"/>
      <c r="Z22" s="296"/>
      <c r="AA22" s="296"/>
      <c r="AB22" s="230">
        <f t="shared" si="7"/>
        <v>5544</v>
      </c>
      <c r="AC22" s="231">
        <f t="shared" si="8"/>
        <v>0</v>
      </c>
      <c r="AD22" s="756"/>
      <c r="AE22" s="229"/>
      <c r="AF22" s="7"/>
      <c r="AG22" s="7"/>
      <c r="AH22" s="7"/>
      <c r="AI22" s="7"/>
      <c r="AJ22" s="7"/>
      <c r="AK22" s="7"/>
    </row>
    <row r="23" spans="1:37" s="4" customFormat="1" ht="23.25" customHeight="1">
      <c r="A23" s="44"/>
      <c r="B23" s="764" t="s">
        <v>562</v>
      </c>
      <c r="C23" s="765"/>
      <c r="D23" s="288"/>
      <c r="E23" s="289"/>
      <c r="F23" s="242"/>
      <c r="G23" s="243">
        <f>IF(AND('Basic Data'!E15&gt;'Basic Data'!D15,'Basic Data'!G15="yes"),ROUND(F13*0.03*4,0),0)</f>
        <v>8568</v>
      </c>
      <c r="H23" s="243"/>
      <c r="I23" s="243"/>
      <c r="J23" s="244"/>
      <c r="K23" s="244"/>
      <c r="L23" s="244"/>
      <c r="M23" s="244"/>
      <c r="N23" s="244"/>
      <c r="O23" s="29">
        <f t="shared" si="0"/>
        <v>8568</v>
      </c>
      <c r="P23" s="294">
        <f>O23</f>
        <v>8568</v>
      </c>
      <c r="Q23" s="295"/>
      <c r="R23" s="295"/>
      <c r="S23" s="296"/>
      <c r="T23" s="296"/>
      <c r="U23" s="296"/>
      <c r="V23" s="296"/>
      <c r="W23" s="296"/>
      <c r="X23" s="296"/>
      <c r="Y23" s="296"/>
      <c r="Z23" s="296"/>
      <c r="AA23" s="296"/>
      <c r="AB23" s="230">
        <f t="shared" si="7"/>
        <v>8568</v>
      </c>
      <c r="AC23" s="231">
        <f t="shared" si="8"/>
        <v>0</v>
      </c>
      <c r="AD23" s="756"/>
      <c r="AE23" s="229"/>
      <c r="AF23" s="7"/>
      <c r="AG23" s="7"/>
      <c r="AH23" s="7"/>
      <c r="AI23" s="7"/>
      <c r="AJ23" s="7"/>
      <c r="AK23" s="7"/>
    </row>
    <row r="24" spans="1:37" s="4" customFormat="1" ht="21" customHeight="1">
      <c r="A24" s="44"/>
      <c r="B24" s="740" t="s">
        <v>14</v>
      </c>
      <c r="C24" s="741"/>
      <c r="D24" s="288"/>
      <c r="E24" s="289"/>
      <c r="F24" s="242">
        <f>IF('Basic Data'!H15="Yes",AG21,0)</f>
        <v>0</v>
      </c>
      <c r="G24" s="243">
        <f>IF('Basic Data'!H15="Yes",AH21,0)</f>
        <v>0</v>
      </c>
      <c r="H24" s="243"/>
      <c r="I24" s="243"/>
      <c r="J24" s="244"/>
      <c r="K24" s="244"/>
      <c r="L24" s="244"/>
      <c r="M24" s="244"/>
      <c r="N24" s="244"/>
      <c r="O24" s="29">
        <f t="shared" si="0"/>
        <v>0</v>
      </c>
      <c r="P24" s="294"/>
      <c r="Q24" s="295"/>
      <c r="R24" s="295"/>
      <c r="S24" s="296"/>
      <c r="T24" s="296"/>
      <c r="U24" s="296"/>
      <c r="V24" s="296"/>
      <c r="W24" s="296"/>
      <c r="X24" s="296"/>
      <c r="Y24" s="296"/>
      <c r="Z24" s="296"/>
      <c r="AA24" s="296"/>
      <c r="AB24" s="230">
        <f t="shared" si="7"/>
        <v>0</v>
      </c>
      <c r="AC24" s="231">
        <f t="shared" si="8"/>
        <v>0</v>
      </c>
      <c r="AD24" s="756"/>
      <c r="AE24" s="229"/>
      <c r="AF24" s="7"/>
      <c r="AG24" s="7"/>
      <c r="AH24" s="7"/>
      <c r="AI24" s="7"/>
      <c r="AJ24" s="7"/>
      <c r="AK24" s="7"/>
    </row>
    <row r="25" spans="1:37" s="4" customFormat="1" ht="21" customHeight="1">
      <c r="A25" s="44"/>
      <c r="B25" s="777" t="s">
        <v>460</v>
      </c>
      <c r="C25" s="778"/>
      <c r="D25" s="288"/>
      <c r="E25" s="289"/>
      <c r="F25" s="242"/>
      <c r="G25" s="243">
        <f>IF('Basic Data'!H15="Yes",AJ21,0)</f>
        <v>0</v>
      </c>
      <c r="H25" s="243"/>
      <c r="I25" s="243"/>
      <c r="J25" s="244"/>
      <c r="K25" s="244"/>
      <c r="L25" s="244"/>
      <c r="M25" s="244"/>
      <c r="N25" s="244"/>
      <c r="O25" s="29">
        <f t="shared" si="0"/>
        <v>0</v>
      </c>
      <c r="P25" s="294">
        <f>G25</f>
        <v>0</v>
      </c>
      <c r="Q25" s="295"/>
      <c r="R25" s="295"/>
      <c r="S25" s="296"/>
      <c r="T25" s="296"/>
      <c r="U25" s="296"/>
      <c r="V25" s="296"/>
      <c r="W25" s="296"/>
      <c r="X25" s="296"/>
      <c r="Y25" s="296"/>
      <c r="Z25" s="296"/>
      <c r="AA25" s="296"/>
      <c r="AB25" s="230">
        <f t="shared" si="7"/>
        <v>0</v>
      </c>
      <c r="AC25" s="231">
        <f t="shared" si="8"/>
        <v>0</v>
      </c>
      <c r="AD25" s="756"/>
      <c r="AE25" s="229"/>
      <c r="AF25" s="7"/>
      <c r="AG25" s="7"/>
      <c r="AH25" s="7"/>
      <c r="AI25" s="7"/>
      <c r="AJ25" s="7"/>
      <c r="AK25" s="7"/>
    </row>
    <row r="26" spans="1:37" s="4" customFormat="1" ht="21" customHeight="1">
      <c r="A26" s="44"/>
      <c r="B26" s="735" t="s">
        <v>36</v>
      </c>
      <c r="C26" s="736"/>
      <c r="D26" s="288"/>
      <c r="E26" s="289"/>
      <c r="F26" s="242"/>
      <c r="G26" s="243"/>
      <c r="H26" s="243"/>
      <c r="I26" s="243"/>
      <c r="J26" s="244"/>
      <c r="K26" s="244"/>
      <c r="L26" s="244"/>
      <c r="M26" s="244"/>
      <c r="N26" s="244"/>
      <c r="O26" s="29">
        <f t="shared" si="0"/>
        <v>0</v>
      </c>
      <c r="P26" s="294"/>
      <c r="Q26" s="295"/>
      <c r="R26" s="295"/>
      <c r="S26" s="296"/>
      <c r="T26" s="296"/>
      <c r="U26" s="296"/>
      <c r="V26" s="296"/>
      <c r="W26" s="296"/>
      <c r="X26" s="296"/>
      <c r="Y26" s="296"/>
      <c r="Z26" s="296"/>
      <c r="AA26" s="296"/>
      <c r="AB26" s="230">
        <f t="shared" si="7"/>
        <v>0</v>
      </c>
      <c r="AC26" s="231">
        <f t="shared" si="8"/>
        <v>0</v>
      </c>
      <c r="AD26" s="756"/>
      <c r="AE26" s="229"/>
      <c r="AF26" s="7"/>
      <c r="AG26" s="7"/>
      <c r="AH26" s="7"/>
      <c r="AI26" s="7"/>
      <c r="AJ26" s="7"/>
      <c r="AK26" s="7"/>
    </row>
    <row r="27" spans="1:37" s="4" customFormat="1" ht="21" customHeight="1">
      <c r="A27" s="44"/>
      <c r="B27" s="740" t="s">
        <v>54</v>
      </c>
      <c r="C27" s="741"/>
      <c r="D27" s="288"/>
      <c r="E27" s="289"/>
      <c r="F27" s="242"/>
      <c r="G27" s="243">
        <f>IF('Basic Data'!I15="Yes",AJ21,0)</f>
        <v>0</v>
      </c>
      <c r="H27" s="243"/>
      <c r="I27" s="243"/>
      <c r="J27" s="244"/>
      <c r="K27" s="244"/>
      <c r="L27" s="244"/>
      <c r="M27" s="244"/>
      <c r="N27" s="244"/>
      <c r="O27" s="29">
        <f t="shared" si="0"/>
        <v>0</v>
      </c>
      <c r="P27" s="294">
        <f>O27</f>
        <v>0</v>
      </c>
      <c r="Q27" s="295"/>
      <c r="R27" s="295"/>
      <c r="S27" s="296"/>
      <c r="T27" s="296"/>
      <c r="U27" s="296"/>
      <c r="V27" s="296"/>
      <c r="W27" s="296"/>
      <c r="X27" s="296"/>
      <c r="Y27" s="296"/>
      <c r="Z27" s="296"/>
      <c r="AA27" s="296"/>
      <c r="AB27" s="230">
        <f t="shared" si="7"/>
        <v>0</v>
      </c>
      <c r="AC27" s="231">
        <f t="shared" si="8"/>
        <v>0</v>
      </c>
      <c r="AD27" s="756"/>
      <c r="AE27" s="229"/>
      <c r="AF27" s="7"/>
      <c r="AG27" s="7"/>
      <c r="AH27" s="7"/>
      <c r="AI27" s="7"/>
      <c r="AJ27" s="7"/>
      <c r="AK27" s="7"/>
    </row>
    <row r="28" spans="1:37" s="4" customFormat="1" ht="21" customHeight="1">
      <c r="A28" s="44"/>
      <c r="B28" s="735" t="s">
        <v>45</v>
      </c>
      <c r="C28" s="736"/>
      <c r="D28" s="288"/>
      <c r="E28" s="289"/>
      <c r="F28" s="242"/>
      <c r="G28" s="243"/>
      <c r="H28" s="243" t="str">
        <f>IF('Basic Data'!Q19="Yes",'GA-55'!F13*0.01*4,"")</f>
        <v/>
      </c>
      <c r="I28" s="243"/>
      <c r="J28" s="244"/>
      <c r="K28" s="244"/>
      <c r="L28" s="244"/>
      <c r="M28" s="244"/>
      <c r="N28" s="244"/>
      <c r="O28" s="29">
        <f t="shared" si="0"/>
        <v>0</v>
      </c>
      <c r="P28" s="294"/>
      <c r="Q28" s="295"/>
      <c r="R28" s="295"/>
      <c r="S28" s="296"/>
      <c r="T28" s="296"/>
      <c r="U28" s="296"/>
      <c r="V28" s="296"/>
      <c r="W28" s="296"/>
      <c r="X28" s="296"/>
      <c r="Y28" s="296"/>
      <c r="Z28" s="296"/>
      <c r="AA28" s="296"/>
      <c r="AB28" s="230">
        <f t="shared" si="7"/>
        <v>0</v>
      </c>
      <c r="AC28" s="231">
        <f t="shared" si="8"/>
        <v>0</v>
      </c>
      <c r="AD28" s="756"/>
      <c r="AE28" s="229"/>
      <c r="AF28" s="7"/>
      <c r="AG28" s="7"/>
      <c r="AH28" s="7"/>
      <c r="AI28" s="7"/>
      <c r="AJ28" s="7"/>
      <c r="AK28" s="7"/>
    </row>
    <row r="29" spans="1:37" s="4" customFormat="1" ht="21" customHeight="1">
      <c r="A29" s="44"/>
      <c r="B29" s="735" t="s">
        <v>46</v>
      </c>
      <c r="C29" s="736"/>
      <c r="D29" s="288"/>
      <c r="E29" s="289"/>
      <c r="F29" s="242"/>
      <c r="G29" s="243"/>
      <c r="H29" s="243"/>
      <c r="I29" s="243"/>
      <c r="J29" s="244"/>
      <c r="K29" s="244"/>
      <c r="L29" s="244"/>
      <c r="M29" s="244"/>
      <c r="N29" s="244"/>
      <c r="O29" s="29">
        <f t="shared" si="0"/>
        <v>0</v>
      </c>
      <c r="P29" s="294"/>
      <c r="Q29" s="295"/>
      <c r="R29" s="295"/>
      <c r="S29" s="296"/>
      <c r="T29" s="296"/>
      <c r="U29" s="296"/>
      <c r="V29" s="296"/>
      <c r="W29" s="296"/>
      <c r="X29" s="296"/>
      <c r="Y29" s="296"/>
      <c r="Z29" s="296"/>
      <c r="AA29" s="296"/>
      <c r="AB29" s="230">
        <f t="shared" si="7"/>
        <v>0</v>
      </c>
      <c r="AC29" s="231">
        <f t="shared" si="8"/>
        <v>0</v>
      </c>
      <c r="AD29" s="756"/>
      <c r="AE29" s="229"/>
      <c r="AF29" s="7"/>
      <c r="AG29" s="7"/>
      <c r="AH29" s="7"/>
      <c r="AI29" s="7"/>
      <c r="AJ29" s="7"/>
      <c r="AK29" s="7"/>
    </row>
    <row r="30" spans="1:37" s="4" customFormat="1" ht="21" customHeight="1" thickBot="1">
      <c r="A30" s="44"/>
      <c r="B30" s="737" t="s">
        <v>611</v>
      </c>
      <c r="C30" s="738"/>
      <c r="D30" s="290"/>
      <c r="E30" s="291"/>
      <c r="F30" s="245"/>
      <c r="G30" s="246"/>
      <c r="H30" s="246"/>
      <c r="I30" s="246"/>
      <c r="J30" s="247"/>
      <c r="K30" s="247"/>
      <c r="L30" s="247"/>
      <c r="M30" s="247"/>
      <c r="N30" s="247"/>
      <c r="O30" s="30">
        <f t="shared" si="0"/>
        <v>0</v>
      </c>
      <c r="P30" s="298"/>
      <c r="Q30" s="299"/>
      <c r="R30" s="299"/>
      <c r="S30" s="300"/>
      <c r="T30" s="300"/>
      <c r="U30" s="300"/>
      <c r="V30" s="300"/>
      <c r="W30" s="300"/>
      <c r="X30" s="300"/>
      <c r="Y30" s="300"/>
      <c r="Z30" s="300"/>
      <c r="AA30" s="300"/>
      <c r="AB30" s="232">
        <f t="shared" si="7"/>
        <v>0</v>
      </c>
      <c r="AC30" s="233">
        <f t="shared" si="8"/>
        <v>0</v>
      </c>
      <c r="AD30" s="756"/>
      <c r="AE30" s="229"/>
      <c r="AF30" s="7"/>
      <c r="AG30" s="7"/>
      <c r="AH30" s="7"/>
      <c r="AI30" s="7"/>
      <c r="AJ30" s="7"/>
      <c r="AK30" s="7"/>
    </row>
    <row r="31" spans="1:37" s="4" customFormat="1" ht="87" customHeight="1" thickBot="1">
      <c r="A31" s="45"/>
      <c r="B31" s="721" t="s">
        <v>8</v>
      </c>
      <c r="C31" s="722"/>
      <c r="D31" s="722"/>
      <c r="E31" s="723"/>
      <c r="F31" s="234">
        <f t="array" ref="F31">SUM(F9:F30)</f>
        <v>848400</v>
      </c>
      <c r="G31" s="34">
        <f t="array" ref="G31">SUM(G9:G30)</f>
        <v>446880</v>
      </c>
      <c r="H31" s="34">
        <f t="array" ref="H31">SUM(H9:H30)</f>
        <v>79212</v>
      </c>
      <c r="I31" s="34">
        <f t="array" ref="I31">SUM(I9:I30)</f>
        <v>0</v>
      </c>
      <c r="J31" s="34">
        <f t="array" ref="J31">SUM(J9:J30)</f>
        <v>0</v>
      </c>
      <c r="K31" s="34">
        <f t="array" ref="K31">SUM(K9:K30)</f>
        <v>0</v>
      </c>
      <c r="L31" s="34">
        <f t="array" ref="L31">SUM(L9:L30)</f>
        <v>0</v>
      </c>
      <c r="M31" s="34">
        <f t="array" ref="M31">SUM(M9:M30)</f>
        <v>0</v>
      </c>
      <c r="N31" s="34">
        <f t="array" ref="N31">SUM(N9:N30)</f>
        <v>6774</v>
      </c>
      <c r="O31" s="35">
        <f t="array" ref="O31">SUM(O9:O30)</f>
        <v>1381266</v>
      </c>
      <c r="P31" s="235">
        <f t="array" ref="P31">SUM(P9:P30)</f>
        <v>50006</v>
      </c>
      <c r="Q31" s="34">
        <f t="array" ref="Q31">SUM(Q9:Q30)</f>
        <v>60000</v>
      </c>
      <c r="R31" s="34">
        <f t="array" ref="R31">SUM(R9:R30)</f>
        <v>0</v>
      </c>
      <c r="S31" s="34">
        <f t="array" ref="S31">SUM(S9:S30)</f>
        <v>10200</v>
      </c>
      <c r="T31" s="34">
        <f t="array" ref="T31">SUM(T9:T30)</f>
        <v>0</v>
      </c>
      <c r="U31" s="34">
        <f t="array" ref="U31">SUM(U9:U30)</f>
        <v>1400</v>
      </c>
      <c r="V31" s="34">
        <f t="array" ref="V31">SUM(V9:V30)</f>
        <v>0</v>
      </c>
      <c r="W31" s="34">
        <f t="array" ref="W31">SUM(W9:W30)</f>
        <v>0</v>
      </c>
      <c r="X31" s="34">
        <f t="array" ref="X31">SUM(X9:X30)</f>
        <v>250</v>
      </c>
      <c r="Y31" s="34">
        <f t="array" ref="Y31">SUM(Y9:Y30)</f>
        <v>0</v>
      </c>
      <c r="Z31" s="234">
        <f t="array" ref="Z31">SUM(Z9:Z30)</f>
        <v>0</v>
      </c>
      <c r="AA31" s="34">
        <f t="array" ref="AA31">SUM(AA9:AA30)</f>
        <v>24000</v>
      </c>
      <c r="AB31" s="236">
        <f t="array" ref="AB31">SUM(AB9:AB30)</f>
        <v>145856</v>
      </c>
      <c r="AC31" s="237">
        <f t="array" ref="AC31">SUM(AC9:AC30)</f>
        <v>1235410</v>
      </c>
      <c r="AD31" s="756"/>
      <c r="AE31" s="238"/>
      <c r="AF31" s="7"/>
      <c r="AG31" s="7"/>
      <c r="AH31" s="7"/>
      <c r="AI31" s="7"/>
      <c r="AJ31" s="7"/>
      <c r="AK31" s="7"/>
    </row>
    <row r="32" spans="1:37" s="4" customFormat="1" ht="62.25" customHeight="1" thickBot="1">
      <c r="B32" s="716" t="str">
        <f>CONCATENATE("Siganture of Employee", "(",'Basic Data'!B10,")")</f>
        <v>Siganture of Employee(a)</v>
      </c>
      <c r="C32" s="717"/>
      <c r="D32" s="717"/>
      <c r="E32" s="717"/>
      <c r="F32" s="717"/>
      <c r="G32" s="717"/>
      <c r="H32" s="717"/>
      <c r="I32" s="717"/>
      <c r="J32" s="717"/>
      <c r="K32" s="717"/>
      <c r="L32" s="717"/>
      <c r="M32" s="717"/>
      <c r="N32" s="717"/>
      <c r="O32" s="718"/>
      <c r="P32" s="719" t="str">
        <f>CONCATENATE("Signature of DDO"," ","(",'Basic Data'!O6,")")</f>
        <v>Signature of DDO ()</v>
      </c>
      <c r="Q32" s="717"/>
      <c r="R32" s="717"/>
      <c r="S32" s="717"/>
      <c r="T32" s="717"/>
      <c r="U32" s="717"/>
      <c r="V32" s="717"/>
      <c r="W32" s="717"/>
      <c r="X32" s="717"/>
      <c r="Y32" s="717"/>
      <c r="Z32" s="717"/>
      <c r="AA32" s="717"/>
      <c r="AB32" s="717"/>
      <c r="AC32" s="720"/>
      <c r="AD32" s="756"/>
      <c r="AE32" s="239"/>
      <c r="AF32" s="7"/>
      <c r="AG32" s="7"/>
      <c r="AH32" s="7"/>
      <c r="AI32" s="7"/>
      <c r="AJ32" s="7"/>
      <c r="AK32" s="7"/>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sheetData>
  <sheetProtection password="E8FA" sheet="1" objects="1" scenarios="1" formatCells="0" formatColumns="0" formatRows="0" selectLockedCells="1"/>
  <mergeCells count="39">
    <mergeCell ref="F5:I5"/>
    <mergeCell ref="B5:E5"/>
    <mergeCell ref="AD1:AD32"/>
    <mergeCell ref="B6:AC6"/>
    <mergeCell ref="AC7:AC8"/>
    <mergeCell ref="P7:AB7"/>
    <mergeCell ref="B21:C21"/>
    <mergeCell ref="B22:C22"/>
    <mergeCell ref="B7:B8"/>
    <mergeCell ref="C7:C8"/>
    <mergeCell ref="D7:D8"/>
    <mergeCell ref="E7:E8"/>
    <mergeCell ref="F7:O7"/>
    <mergeCell ref="B23:C23"/>
    <mergeCell ref="B24:C24"/>
    <mergeCell ref="B25:C25"/>
    <mergeCell ref="B1:AC1"/>
    <mergeCell ref="J3:O3"/>
    <mergeCell ref="P3:R3"/>
    <mergeCell ref="T3:Z3"/>
    <mergeCell ref="AA3:AC3"/>
    <mergeCell ref="F3:I3"/>
    <mergeCell ref="B3:E3"/>
    <mergeCell ref="B32:O32"/>
    <mergeCell ref="P32:AC32"/>
    <mergeCell ref="B31:E31"/>
    <mergeCell ref="C2:T2"/>
    <mergeCell ref="P5:R5"/>
    <mergeCell ref="T5:Z5"/>
    <mergeCell ref="AA5:AC5"/>
    <mergeCell ref="B4:AC4"/>
    <mergeCell ref="U2:AA2"/>
    <mergeCell ref="AB2:AC2"/>
    <mergeCell ref="B28:C28"/>
    <mergeCell ref="B29:C29"/>
    <mergeCell ref="B30:C30"/>
    <mergeCell ref="J5:O5"/>
    <mergeCell ref="B26:C26"/>
    <mergeCell ref="B27:C27"/>
  </mergeCells>
  <conditionalFormatting sqref="AE9:AE30 B9:AC30">
    <cfRule type="cellIs" dxfId="48" priority="1" operator="equal">
      <formula>0</formula>
    </cfRule>
  </conditionalFormatting>
  <pageMargins left="0.23622047244094491" right="0.2" top="0.23622047244094491" bottom="0.24" header="0.19685039370078741" footer="0.19685039370078741"/>
  <pageSetup paperSize="9" scale="70" orientation="landscape" r:id="rId1"/>
  <colBreaks count="1" manualBreakCount="1">
    <brk id="31" max="1048575" man="1"/>
  </colBreaks>
</worksheet>
</file>

<file path=xl/worksheets/sheet5.xml><?xml version="1.0" encoding="utf-8"?>
<worksheet xmlns="http://schemas.openxmlformats.org/spreadsheetml/2006/main" xmlns:r="http://schemas.openxmlformats.org/officeDocument/2006/relationships">
  <sheetPr>
    <tabColor theme="8"/>
  </sheetPr>
  <dimension ref="A1:XFC75"/>
  <sheetViews>
    <sheetView showGridLines="0" showRowColHeaders="0" topLeftCell="A31" workbookViewId="0">
      <selection activeCell="Q39" sqref="Q39:Q40"/>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6" style="18" customWidth="1"/>
    <col min="17" max="17" width="26.7109375" style="18" customWidth="1"/>
    <col min="18" max="18" width="1.7109375" style="18" customWidth="1"/>
    <col min="19" max="19" width="1.7109375" style="18" hidden="1" customWidth="1"/>
    <col min="20" max="20" width="21.140625" style="1" customWidth="1"/>
    <col min="21" max="21" width="21.5703125" style="113" customWidth="1"/>
    <col min="22" max="22" width="2.28515625" style="131" customWidth="1"/>
    <col min="23" max="23" width="13.7109375" style="1" hidden="1"/>
    <col min="24" max="30" width="13.7109375" style="131" hidden="1"/>
    <col min="31" max="49" width="13.7109375" style="1" hidden="1"/>
    <col min="50" max="16383" width="7.42578125" style="1" hidden="1"/>
    <col min="16384" max="16384" width="2.28515625" style="1" hidden="1"/>
  </cols>
  <sheetData>
    <row r="1" spans="1:30" ht="28.5" thickBot="1">
      <c r="A1" s="782"/>
      <c r="B1" s="783" t="str">
        <f>'Exemp.(HRA+Other) &amp; Other incom'!A1</f>
        <v>Office: Govt. Sr. School Raimalwada (DDO Code :-12345)</v>
      </c>
      <c r="C1" s="784"/>
      <c r="D1" s="784"/>
      <c r="E1" s="784"/>
      <c r="F1" s="784"/>
      <c r="G1" s="784"/>
      <c r="H1" s="784"/>
      <c r="I1" s="784"/>
      <c r="J1" s="784"/>
      <c r="K1" s="784"/>
      <c r="L1" s="784"/>
      <c r="M1" s="784"/>
      <c r="N1" s="784"/>
      <c r="O1" s="784"/>
      <c r="P1" s="784"/>
      <c r="Q1" s="785"/>
      <c r="R1" s="807"/>
      <c r="S1" s="379"/>
      <c r="T1" s="894"/>
      <c r="U1" s="894"/>
      <c r="V1" s="894"/>
      <c r="W1" s="420"/>
      <c r="X1" s="420"/>
      <c r="Y1" s="420"/>
      <c r="Z1" s="420"/>
    </row>
    <row r="2" spans="1:30" ht="21" customHeight="1" thickBot="1">
      <c r="A2" s="782"/>
      <c r="B2" s="808" t="s">
        <v>565</v>
      </c>
      <c r="C2" s="809"/>
      <c r="D2" s="809"/>
      <c r="E2" s="809"/>
      <c r="F2" s="809"/>
      <c r="G2" s="809"/>
      <c r="H2" s="809"/>
      <c r="I2" s="809"/>
      <c r="J2" s="809"/>
      <c r="K2" s="809"/>
      <c r="L2" s="809"/>
      <c r="M2" s="810"/>
      <c r="N2" s="811" t="s">
        <v>225</v>
      </c>
      <c r="O2" s="812"/>
      <c r="P2" s="812"/>
      <c r="Q2" s="813"/>
      <c r="R2" s="807"/>
      <c r="S2" s="379"/>
      <c r="T2" s="897" t="s">
        <v>234</v>
      </c>
      <c r="U2" s="898"/>
      <c r="V2" s="894"/>
      <c r="W2" s="420"/>
      <c r="X2" s="420"/>
      <c r="Y2" s="420"/>
      <c r="Z2" s="420"/>
    </row>
    <row r="3" spans="1:30" s="95" customFormat="1" ht="16.5" customHeight="1" thickBot="1">
      <c r="A3" s="782"/>
      <c r="B3" s="89">
        <v>1</v>
      </c>
      <c r="C3" s="814" t="s">
        <v>157</v>
      </c>
      <c r="D3" s="814"/>
      <c r="E3" s="815" t="str">
        <f>'GA-55'!F3</f>
        <v>a</v>
      </c>
      <c r="F3" s="815"/>
      <c r="G3" s="815"/>
      <c r="H3" s="815"/>
      <c r="I3" s="815"/>
      <c r="J3" s="815"/>
      <c r="K3" s="90" t="s">
        <v>158</v>
      </c>
      <c r="L3" s="816" t="str">
        <f>'GA-55'!P3</f>
        <v>Teacher</v>
      </c>
      <c r="M3" s="816"/>
      <c r="N3" s="816"/>
      <c r="O3" s="91" t="s">
        <v>91</v>
      </c>
      <c r="P3" s="817" t="str">
        <f>'GA-55'!F5</f>
        <v>ABCDE1234F</v>
      </c>
      <c r="Q3" s="818"/>
      <c r="R3" s="807"/>
      <c r="S3" s="379"/>
      <c r="T3" s="899"/>
      <c r="U3" s="900"/>
      <c r="V3" s="894"/>
      <c r="W3" s="420"/>
      <c r="X3" s="420"/>
      <c r="Y3" s="420"/>
      <c r="Z3" s="420"/>
      <c r="AA3" s="94"/>
      <c r="AB3" s="94"/>
      <c r="AC3" s="94"/>
      <c r="AD3" s="94"/>
    </row>
    <row r="4" spans="1:30" ht="14.25" customHeight="1">
      <c r="A4" s="782"/>
      <c r="B4" s="103">
        <v>2</v>
      </c>
      <c r="C4" s="819" t="s">
        <v>566</v>
      </c>
      <c r="D4" s="819"/>
      <c r="E4" s="819"/>
      <c r="F4" s="819"/>
      <c r="G4" s="819"/>
      <c r="H4" s="819"/>
      <c r="I4" s="819"/>
      <c r="J4" s="819"/>
      <c r="K4" s="819"/>
      <c r="L4" s="819"/>
      <c r="M4" s="819"/>
      <c r="N4" s="819"/>
      <c r="O4" s="819"/>
      <c r="P4" s="64" t="s">
        <v>127</v>
      </c>
      <c r="Q4" s="88">
        <f>'GA-55'!O31</f>
        <v>1381266</v>
      </c>
      <c r="R4" s="807"/>
      <c r="S4" s="379"/>
      <c r="T4" s="899"/>
      <c r="U4" s="900"/>
      <c r="V4" s="894"/>
      <c r="W4" s="420"/>
      <c r="X4" s="420"/>
      <c r="Y4" s="420"/>
      <c r="Z4" s="420"/>
    </row>
    <row r="5" spans="1:30" ht="14.25" customHeight="1">
      <c r="A5" s="782"/>
      <c r="B5" s="104">
        <v>3</v>
      </c>
      <c r="C5" s="795" t="s">
        <v>166</v>
      </c>
      <c r="D5" s="795"/>
      <c r="E5" s="795"/>
      <c r="F5" s="795"/>
      <c r="G5" s="795"/>
      <c r="H5" s="795"/>
      <c r="I5" s="795"/>
      <c r="J5" s="795"/>
      <c r="K5" s="795"/>
      <c r="L5" s="795"/>
      <c r="M5" s="795"/>
      <c r="N5" s="795"/>
      <c r="O5" s="795"/>
      <c r="P5" s="458" t="s">
        <v>127</v>
      </c>
      <c r="Q5" s="459">
        <f>IF(N2="old tax regime",'Exemp.(HRA+Other) &amp; Other incom'!K4,0)</f>
        <v>0</v>
      </c>
      <c r="R5" s="807"/>
      <c r="S5" s="379"/>
      <c r="T5" s="899"/>
      <c r="U5" s="900"/>
      <c r="V5" s="894"/>
      <c r="W5" s="420"/>
      <c r="X5" s="420"/>
      <c r="Y5" s="420"/>
      <c r="Z5" s="420"/>
    </row>
    <row r="6" spans="1:30" ht="14.25" customHeight="1">
      <c r="A6" s="782"/>
      <c r="B6" s="104">
        <v>4</v>
      </c>
      <c r="C6" s="820" t="s">
        <v>160</v>
      </c>
      <c r="D6" s="820"/>
      <c r="E6" s="820"/>
      <c r="F6" s="820"/>
      <c r="G6" s="820"/>
      <c r="H6" s="820"/>
      <c r="I6" s="820"/>
      <c r="J6" s="820"/>
      <c r="K6" s="820"/>
      <c r="L6" s="820"/>
      <c r="M6" s="820"/>
      <c r="N6" s="820"/>
      <c r="O6" s="820"/>
      <c r="P6" s="56" t="s">
        <v>127</v>
      </c>
      <c r="Q6" s="81">
        <f>Q4-Q5</f>
        <v>1381266</v>
      </c>
      <c r="R6" s="807"/>
      <c r="S6" s="379"/>
      <c r="T6" s="899"/>
      <c r="U6" s="900"/>
      <c r="V6" s="894"/>
      <c r="W6" s="420"/>
      <c r="X6" s="420"/>
      <c r="Y6" s="420"/>
      <c r="Z6" s="420"/>
    </row>
    <row r="7" spans="1:30" ht="14.25" customHeight="1" thickBot="1">
      <c r="A7" s="782"/>
      <c r="B7" s="821">
        <v>5</v>
      </c>
      <c r="C7" s="795" t="s">
        <v>162</v>
      </c>
      <c r="D7" s="795"/>
      <c r="E7" s="795"/>
      <c r="F7" s="795"/>
      <c r="G7" s="795"/>
      <c r="H7" s="795"/>
      <c r="I7" s="795"/>
      <c r="J7" s="795"/>
      <c r="K7" s="795"/>
      <c r="L7" s="795"/>
      <c r="M7" s="822">
        <f>'Exemp.(HRA+Other) &amp; Other incom'!L13</f>
        <v>0</v>
      </c>
      <c r="N7" s="822"/>
      <c r="O7" s="822"/>
      <c r="P7" s="823"/>
      <c r="Q7" s="824"/>
      <c r="R7" s="807"/>
      <c r="S7" s="379"/>
      <c r="T7" s="901"/>
      <c r="U7" s="902"/>
      <c r="V7" s="894"/>
      <c r="W7" s="420"/>
      <c r="X7" s="420"/>
      <c r="Y7" s="420"/>
      <c r="Z7" s="420"/>
    </row>
    <row r="8" spans="1:30" ht="14.25" customHeight="1">
      <c r="A8" s="782"/>
      <c r="B8" s="821"/>
      <c r="C8" s="795" t="s">
        <v>163</v>
      </c>
      <c r="D8" s="795"/>
      <c r="E8" s="795"/>
      <c r="F8" s="795"/>
      <c r="G8" s="795"/>
      <c r="H8" s="795"/>
      <c r="I8" s="795"/>
      <c r="J8" s="795"/>
      <c r="K8" s="795"/>
      <c r="L8" s="795"/>
      <c r="M8" s="822">
        <f>'Exemp.(HRA+Other) &amp; Other incom'!L14</f>
        <v>0</v>
      </c>
      <c r="N8" s="822"/>
      <c r="O8" s="822"/>
      <c r="P8" s="823"/>
      <c r="Q8" s="824"/>
      <c r="R8" s="807"/>
      <c r="S8" s="910" t="str">
        <f>IF(U8&gt;U12,"n","y")</f>
        <v>n</v>
      </c>
      <c r="T8" s="903" t="s">
        <v>235</v>
      </c>
      <c r="U8" s="906">
        <f>'Old Regime Calc. Report'!Q66</f>
        <v>185600</v>
      </c>
      <c r="V8" s="894"/>
      <c r="W8" s="421"/>
      <c r="X8" s="896"/>
      <c r="Y8" s="896"/>
      <c r="Z8" s="896"/>
    </row>
    <row r="9" spans="1:30" ht="14.25" customHeight="1">
      <c r="A9" s="782"/>
      <c r="B9" s="821"/>
      <c r="C9" s="825" t="s">
        <v>577</v>
      </c>
      <c r="D9" s="825"/>
      <c r="E9" s="825"/>
      <c r="F9" s="825"/>
      <c r="G9" s="825"/>
      <c r="H9" s="825"/>
      <c r="I9" s="825"/>
      <c r="J9" s="825"/>
      <c r="K9" s="825"/>
      <c r="L9" s="825"/>
      <c r="M9" s="797">
        <v>75000</v>
      </c>
      <c r="N9" s="797"/>
      <c r="O9" s="797"/>
      <c r="P9" s="56" t="s">
        <v>127</v>
      </c>
      <c r="Q9" s="76">
        <f>M7+M8+M9</f>
        <v>75000</v>
      </c>
      <c r="R9" s="807"/>
      <c r="S9" s="911"/>
      <c r="T9" s="904"/>
      <c r="U9" s="907"/>
      <c r="V9" s="894"/>
      <c r="W9" s="421"/>
      <c r="X9" s="896"/>
      <c r="Y9" s="896"/>
      <c r="Z9" s="896"/>
    </row>
    <row r="10" spans="1:30" ht="14.25" customHeight="1">
      <c r="A10" s="782"/>
      <c r="B10" s="104">
        <v>6</v>
      </c>
      <c r="C10" s="820" t="s">
        <v>165</v>
      </c>
      <c r="D10" s="820"/>
      <c r="E10" s="820"/>
      <c r="F10" s="820"/>
      <c r="G10" s="820"/>
      <c r="H10" s="820"/>
      <c r="I10" s="820"/>
      <c r="J10" s="820"/>
      <c r="K10" s="820"/>
      <c r="L10" s="820"/>
      <c r="M10" s="820"/>
      <c r="N10" s="820"/>
      <c r="O10" s="820"/>
      <c r="P10" s="56" t="s">
        <v>127</v>
      </c>
      <c r="Q10" s="81">
        <f>Q6-Q9</f>
        <v>1306266</v>
      </c>
      <c r="R10" s="807"/>
      <c r="S10" s="911"/>
      <c r="T10" s="904"/>
      <c r="U10" s="907"/>
      <c r="V10" s="894"/>
      <c r="W10" s="421"/>
      <c r="X10" s="896"/>
      <c r="Y10" s="896"/>
      <c r="Z10" s="896"/>
    </row>
    <row r="11" spans="1:30" ht="14.25" customHeight="1">
      <c r="A11" s="782"/>
      <c r="B11" s="821">
        <v>7</v>
      </c>
      <c r="C11" s="825" t="s">
        <v>167</v>
      </c>
      <c r="D11" s="825"/>
      <c r="E11" s="825"/>
      <c r="F11" s="825"/>
      <c r="G11" s="825"/>
      <c r="H11" s="825"/>
      <c r="I11" s="825"/>
      <c r="J11" s="825"/>
      <c r="K11" s="787" t="s">
        <v>168</v>
      </c>
      <c r="L11" s="787"/>
      <c r="M11" s="797">
        <f>'Exemp.(HRA+Other) &amp; Other incom'!L7</f>
        <v>0</v>
      </c>
      <c r="N11" s="797"/>
      <c r="O11" s="797"/>
      <c r="P11" s="787"/>
      <c r="Q11" s="826"/>
      <c r="R11" s="807"/>
      <c r="S11" s="424"/>
      <c r="T11" s="425"/>
      <c r="U11" s="426"/>
      <c r="V11" s="894"/>
      <c r="W11" s="422"/>
      <c r="X11" s="422"/>
      <c r="Y11" s="422"/>
      <c r="Z11" s="422"/>
    </row>
    <row r="12" spans="1:30" ht="14.25" customHeight="1">
      <c r="A12" s="782"/>
      <c r="B12" s="821"/>
      <c r="C12" s="786" t="s">
        <v>169</v>
      </c>
      <c r="D12" s="786"/>
      <c r="E12" s="787" t="s">
        <v>170</v>
      </c>
      <c r="F12" s="787"/>
      <c r="G12" s="787"/>
      <c r="H12" s="788" t="s">
        <v>171</v>
      </c>
      <c r="I12" s="788"/>
      <c r="J12" s="788"/>
      <c r="K12" s="787" t="s">
        <v>128</v>
      </c>
      <c r="L12" s="787"/>
      <c r="M12" s="796" t="s">
        <v>172</v>
      </c>
      <c r="N12" s="796"/>
      <c r="O12" s="796"/>
      <c r="P12" s="787"/>
      <c r="Q12" s="826"/>
      <c r="R12" s="807"/>
      <c r="S12" s="910" t="str">
        <f>IF(U12&gt;U8,"n","y")</f>
        <v>y</v>
      </c>
      <c r="T12" s="904" t="s">
        <v>236</v>
      </c>
      <c r="U12" s="908">
        <f>Q69</f>
        <v>105300</v>
      </c>
      <c r="V12" s="894"/>
      <c r="W12" s="421"/>
      <c r="X12" s="896"/>
      <c r="Y12" s="896"/>
      <c r="Z12" s="896"/>
    </row>
    <row r="13" spans="1:30" ht="14.25" customHeight="1">
      <c r="A13" s="782"/>
      <c r="B13" s="821"/>
      <c r="C13" s="786"/>
      <c r="D13" s="786"/>
      <c r="E13" s="797">
        <f>ROUND(M11*0.3,0)</f>
        <v>0</v>
      </c>
      <c r="F13" s="797"/>
      <c r="G13" s="797"/>
      <c r="H13" s="797">
        <f>IF(N2="old tax regime",'Exemp.(HRA+Other) &amp; Other incom'!L17,0)</f>
        <v>0</v>
      </c>
      <c r="I13" s="797"/>
      <c r="J13" s="797"/>
      <c r="K13" s="797">
        <f>IF(N2="old tax regime",'Exemp.(HRA+Other) &amp; Other incom'!L15,0)</f>
        <v>0</v>
      </c>
      <c r="L13" s="797"/>
      <c r="M13" s="798">
        <f>E13+H13+K13</f>
        <v>0</v>
      </c>
      <c r="N13" s="798"/>
      <c r="O13" s="798"/>
      <c r="P13" s="787"/>
      <c r="Q13" s="826"/>
      <c r="R13" s="807"/>
      <c r="S13" s="911"/>
      <c r="T13" s="904"/>
      <c r="U13" s="907"/>
      <c r="V13" s="894"/>
      <c r="W13" s="421"/>
      <c r="X13" s="896"/>
      <c r="Y13" s="896"/>
      <c r="Z13" s="896"/>
    </row>
    <row r="14" spans="1:30" ht="15.75" customHeight="1" thickBot="1">
      <c r="A14" s="782"/>
      <c r="B14" s="104"/>
      <c r="C14" s="799" t="s">
        <v>174</v>
      </c>
      <c r="D14" s="800"/>
      <c r="E14" s="800"/>
      <c r="F14" s="800"/>
      <c r="G14" s="800"/>
      <c r="H14" s="800"/>
      <c r="I14" s="800"/>
      <c r="J14" s="800"/>
      <c r="K14" s="800"/>
      <c r="L14" s="800"/>
      <c r="M14" s="800"/>
      <c r="N14" s="800"/>
      <c r="O14" s="801"/>
      <c r="P14" s="56" t="s">
        <v>127</v>
      </c>
      <c r="Q14" s="76">
        <f>M11-M13</f>
        <v>0</v>
      </c>
      <c r="R14" s="807"/>
      <c r="S14" s="911"/>
      <c r="T14" s="905"/>
      <c r="U14" s="909"/>
      <c r="V14" s="894"/>
      <c r="W14" s="421"/>
      <c r="X14" s="896"/>
      <c r="Y14" s="896"/>
      <c r="Z14" s="896"/>
    </row>
    <row r="15" spans="1:30" ht="22.5" customHeight="1" thickBot="1">
      <c r="A15" s="782"/>
      <c r="B15" s="104">
        <v>8</v>
      </c>
      <c r="C15" s="789" t="s">
        <v>173</v>
      </c>
      <c r="D15" s="790"/>
      <c r="E15" s="790"/>
      <c r="F15" s="790"/>
      <c r="G15" s="790"/>
      <c r="H15" s="790"/>
      <c r="I15" s="790"/>
      <c r="J15" s="790"/>
      <c r="K15" s="790"/>
      <c r="L15" s="790"/>
      <c r="M15" s="790"/>
      <c r="N15" s="790"/>
      <c r="O15" s="791"/>
      <c r="P15" s="56" t="s">
        <v>127</v>
      </c>
      <c r="Q15" s="81">
        <f>Q10+Q14</f>
        <v>1306266</v>
      </c>
      <c r="R15" s="807"/>
      <c r="S15" s="379"/>
      <c r="T15" s="912"/>
      <c r="U15" s="913"/>
      <c r="V15" s="894"/>
      <c r="W15" s="423"/>
      <c r="X15" s="423"/>
      <c r="Y15" s="423"/>
      <c r="Z15" s="423"/>
    </row>
    <row r="16" spans="1:30" ht="20.25" customHeight="1">
      <c r="A16" s="782"/>
      <c r="B16" s="792">
        <v>9</v>
      </c>
      <c r="C16" s="793" t="s">
        <v>155</v>
      </c>
      <c r="D16" s="460" t="s">
        <v>119</v>
      </c>
      <c r="E16" s="794" t="str">
        <f>'Exemp.(HRA+Other) &amp; Other incom'!B8</f>
        <v>अन्य आय (बैंक/एफडी में जमा ब्याज/अन्य ब्याज आदि का योग</v>
      </c>
      <c r="F16" s="795"/>
      <c r="G16" s="795"/>
      <c r="H16" s="795"/>
      <c r="I16" s="795"/>
      <c r="J16" s="795"/>
      <c r="K16" s="795"/>
      <c r="L16" s="795"/>
      <c r="M16" s="795"/>
      <c r="N16" s="795"/>
      <c r="O16" s="795"/>
      <c r="P16" s="458" t="s">
        <v>127</v>
      </c>
      <c r="Q16" s="459">
        <f>'Exemp.(HRA+Other) &amp; Other incom'!L8</f>
        <v>0</v>
      </c>
      <c r="R16" s="807"/>
      <c r="S16" s="379"/>
      <c r="T16" s="547"/>
      <c r="U16" s="547"/>
      <c r="V16" s="894"/>
    </row>
    <row r="17" spans="1:22" ht="20.25" customHeight="1">
      <c r="A17" s="782"/>
      <c r="B17" s="792"/>
      <c r="C17" s="793"/>
      <c r="D17" s="460" t="s">
        <v>120</v>
      </c>
      <c r="E17" s="794" t="str">
        <f>'Exemp.(HRA+Other) &amp; Other incom'!C9</f>
        <v>(-----------------------------------------------------)</v>
      </c>
      <c r="F17" s="795"/>
      <c r="G17" s="795"/>
      <c r="H17" s="795"/>
      <c r="I17" s="795"/>
      <c r="J17" s="795"/>
      <c r="K17" s="795"/>
      <c r="L17" s="795"/>
      <c r="M17" s="795"/>
      <c r="N17" s="795"/>
      <c r="O17" s="795"/>
      <c r="P17" s="461"/>
      <c r="Q17" s="459">
        <f>'Exemp.(HRA+Other) &amp; Other incom'!L9</f>
        <v>0</v>
      </c>
      <c r="R17" s="807"/>
      <c r="S17" s="379"/>
      <c r="T17" s="547"/>
      <c r="U17" s="547"/>
      <c r="V17" s="894"/>
    </row>
    <row r="18" spans="1:22" ht="20.25" customHeight="1">
      <c r="A18" s="782"/>
      <c r="B18" s="792"/>
      <c r="C18" s="793"/>
      <c r="D18" s="460" t="s">
        <v>121</v>
      </c>
      <c r="E18" s="794" t="str">
        <f>'Exemp.(HRA+Other) &amp; Other incom'!C10</f>
        <v>(-----------------------------------------------------)</v>
      </c>
      <c r="F18" s="795"/>
      <c r="G18" s="795"/>
      <c r="H18" s="795"/>
      <c r="I18" s="795"/>
      <c r="J18" s="795"/>
      <c r="K18" s="795"/>
      <c r="L18" s="795"/>
      <c r="M18" s="795"/>
      <c r="N18" s="795"/>
      <c r="O18" s="795"/>
      <c r="P18" s="461"/>
      <c r="Q18" s="459">
        <f>'Exemp.(HRA+Other) &amp; Other incom'!L10</f>
        <v>0</v>
      </c>
      <c r="R18" s="807"/>
      <c r="S18" s="379"/>
      <c r="T18" s="547"/>
      <c r="U18" s="547"/>
      <c r="V18" s="894"/>
    </row>
    <row r="19" spans="1:22" ht="21" customHeight="1" thickBot="1">
      <c r="A19" s="782"/>
      <c r="B19" s="105"/>
      <c r="C19" s="828" t="s">
        <v>175</v>
      </c>
      <c r="D19" s="828"/>
      <c r="E19" s="828"/>
      <c r="F19" s="828"/>
      <c r="G19" s="828"/>
      <c r="H19" s="828"/>
      <c r="I19" s="828"/>
      <c r="J19" s="828"/>
      <c r="K19" s="828"/>
      <c r="L19" s="828"/>
      <c r="M19" s="828"/>
      <c r="N19" s="828"/>
      <c r="O19" s="828"/>
      <c r="P19" s="70"/>
      <c r="Q19" s="86">
        <f>Q16+Q17+Q18</f>
        <v>0</v>
      </c>
      <c r="R19" s="807"/>
      <c r="S19" s="379"/>
      <c r="T19" s="547"/>
      <c r="U19" s="547"/>
      <c r="V19" s="894"/>
    </row>
    <row r="20" spans="1:22" ht="21" customHeight="1" thickBot="1">
      <c r="A20" s="782"/>
      <c r="B20" s="66">
        <v>10</v>
      </c>
      <c r="C20" s="829" t="s">
        <v>176</v>
      </c>
      <c r="D20" s="829"/>
      <c r="E20" s="829"/>
      <c r="F20" s="829"/>
      <c r="G20" s="829"/>
      <c r="H20" s="829"/>
      <c r="I20" s="829"/>
      <c r="J20" s="829"/>
      <c r="K20" s="829"/>
      <c r="L20" s="829"/>
      <c r="M20" s="829"/>
      <c r="N20" s="829"/>
      <c r="O20" s="829"/>
      <c r="P20" s="63" t="s">
        <v>127</v>
      </c>
      <c r="Q20" s="87">
        <f>Q15+Q19</f>
        <v>1306266</v>
      </c>
      <c r="R20" s="807"/>
      <c r="S20" s="379"/>
      <c r="T20" s="547"/>
      <c r="U20" s="547"/>
      <c r="V20" s="894"/>
    </row>
    <row r="21" spans="1:22" ht="20.25" customHeight="1">
      <c r="A21" s="782"/>
      <c r="B21" s="830">
        <v>11</v>
      </c>
      <c r="C21" s="831" t="s">
        <v>177</v>
      </c>
      <c r="D21" s="831"/>
      <c r="E21" s="831"/>
      <c r="F21" s="831"/>
      <c r="G21" s="831"/>
      <c r="H21" s="831"/>
      <c r="I21" s="831"/>
      <c r="J21" s="831"/>
      <c r="K21" s="831"/>
      <c r="L21" s="831"/>
      <c r="M21" s="831"/>
      <c r="N21" s="831"/>
      <c r="O21" s="831"/>
      <c r="P21" s="831"/>
      <c r="Q21" s="832"/>
      <c r="R21" s="807"/>
      <c r="S21" s="379"/>
      <c r="T21" s="547"/>
      <c r="U21" s="547"/>
      <c r="V21" s="894"/>
    </row>
    <row r="22" spans="1:22" ht="14.25" customHeight="1">
      <c r="A22" s="782"/>
      <c r="B22" s="821"/>
      <c r="C22" s="833" t="s">
        <v>178</v>
      </c>
      <c r="D22" s="833"/>
      <c r="E22" s="833"/>
      <c r="F22" s="833"/>
      <c r="G22" s="833"/>
      <c r="H22" s="833"/>
      <c r="I22" s="833"/>
      <c r="J22" s="833"/>
      <c r="K22" s="833"/>
      <c r="L22" s="833"/>
      <c r="M22" s="833"/>
      <c r="N22" s="833"/>
      <c r="O22" s="833"/>
      <c r="P22" s="833"/>
      <c r="Q22" s="834"/>
      <c r="R22" s="807"/>
      <c r="S22" s="379"/>
      <c r="T22" s="547"/>
      <c r="U22" s="547"/>
      <c r="V22" s="894"/>
    </row>
    <row r="23" spans="1:22" ht="14.25" customHeight="1">
      <c r="A23" s="782"/>
      <c r="B23" s="821"/>
      <c r="C23" s="460" t="s">
        <v>92</v>
      </c>
      <c r="D23" s="795" t="s">
        <v>179</v>
      </c>
      <c r="E23" s="795"/>
      <c r="F23" s="795"/>
      <c r="G23" s="795"/>
      <c r="H23" s="458" t="s">
        <v>127</v>
      </c>
      <c r="I23" s="462">
        <f>IF(N2="old tax regime",'GA-55'!Q31,0)</f>
        <v>0</v>
      </c>
      <c r="J23" s="460" t="s">
        <v>93</v>
      </c>
      <c r="K23" s="804" t="s">
        <v>184</v>
      </c>
      <c r="L23" s="805"/>
      <c r="M23" s="806"/>
      <c r="N23" s="458" t="s">
        <v>127</v>
      </c>
      <c r="O23" s="462">
        <f>IF(N2="old tax regime",'Exemp.(HRA+Other) &amp; Other incom'!Q15,0)</f>
        <v>0</v>
      </c>
      <c r="P23" s="835"/>
      <c r="Q23" s="836"/>
      <c r="R23" s="807"/>
      <c r="S23" s="379"/>
      <c r="T23" s="547"/>
      <c r="U23" s="547"/>
      <c r="V23" s="894"/>
    </row>
    <row r="24" spans="1:22" ht="14.25" customHeight="1">
      <c r="A24" s="782"/>
      <c r="B24" s="821"/>
      <c r="C24" s="460" t="s">
        <v>94</v>
      </c>
      <c r="D24" s="795" t="s">
        <v>180</v>
      </c>
      <c r="E24" s="795"/>
      <c r="F24" s="795"/>
      <c r="G24" s="795"/>
      <c r="H24" s="458" t="s">
        <v>127</v>
      </c>
      <c r="I24" s="462">
        <f>IF(N2="old tax regime",'GA-55'!T31+'Exemp.(HRA+Other) &amp; Other incom'!L18,0)</f>
        <v>0</v>
      </c>
      <c r="J24" s="460" t="s">
        <v>95</v>
      </c>
      <c r="K24" s="804" t="s">
        <v>136</v>
      </c>
      <c r="L24" s="805"/>
      <c r="M24" s="806"/>
      <c r="N24" s="458" t="s">
        <v>127</v>
      </c>
      <c r="O24" s="463">
        <f>IF(N2="old tax regime",'Exemp.(HRA+Other) &amp; Other incom'!L23,0)</f>
        <v>0</v>
      </c>
      <c r="P24" s="835"/>
      <c r="Q24" s="836"/>
      <c r="R24" s="807"/>
      <c r="S24" s="379"/>
      <c r="T24" s="547"/>
      <c r="U24" s="547"/>
      <c r="V24" s="894"/>
    </row>
    <row r="25" spans="1:22" ht="14.25" customHeight="1">
      <c r="A25" s="782"/>
      <c r="B25" s="821"/>
      <c r="C25" s="460" t="s">
        <v>96</v>
      </c>
      <c r="D25" s="795" t="s">
        <v>135</v>
      </c>
      <c r="E25" s="795"/>
      <c r="F25" s="795"/>
      <c r="G25" s="795"/>
      <c r="H25" s="458" t="s">
        <v>127</v>
      </c>
      <c r="I25" s="462">
        <f>IF(N2="old tax regime",'Exemp.(HRA+Other) &amp; Other incom'!L22,0)</f>
        <v>0</v>
      </c>
      <c r="J25" s="460" t="s">
        <v>97</v>
      </c>
      <c r="K25" s="804" t="s">
        <v>133</v>
      </c>
      <c r="L25" s="805"/>
      <c r="M25" s="806"/>
      <c r="N25" s="458" t="s">
        <v>127</v>
      </c>
      <c r="O25" s="463">
        <f>IF(N2="old tax regime",'Exemp.(HRA+Other) &amp; Other incom'!L20,0)</f>
        <v>0</v>
      </c>
      <c r="P25" s="835"/>
      <c r="Q25" s="836"/>
      <c r="R25" s="807"/>
      <c r="S25" s="379"/>
      <c r="T25" s="547"/>
      <c r="U25" s="547"/>
      <c r="V25" s="894"/>
    </row>
    <row r="26" spans="1:22" ht="14.25" customHeight="1">
      <c r="A26" s="782"/>
      <c r="B26" s="821"/>
      <c r="C26" s="460" t="s">
        <v>98</v>
      </c>
      <c r="D26" s="795" t="s">
        <v>137</v>
      </c>
      <c r="E26" s="795"/>
      <c r="F26" s="795"/>
      <c r="G26" s="795"/>
      <c r="H26" s="458" t="s">
        <v>127</v>
      </c>
      <c r="I26" s="462">
        <f>IF(N2="old tax regime",'Exemp.(HRA+Other) &amp; Other incom'!L24,0)</f>
        <v>0</v>
      </c>
      <c r="J26" s="460" t="s">
        <v>99</v>
      </c>
      <c r="K26" s="827" t="s">
        <v>150</v>
      </c>
      <c r="L26" s="827"/>
      <c r="M26" s="827"/>
      <c r="N26" s="458" t="s">
        <v>127</v>
      </c>
      <c r="O26" s="462">
        <f>IF(N2="old tax regime",'Exemp.(HRA+Other) &amp; Other incom'!Q24,0)</f>
        <v>0</v>
      </c>
      <c r="P26" s="835"/>
      <c r="Q26" s="836"/>
      <c r="R26" s="807"/>
      <c r="S26" s="379"/>
      <c r="T26" s="547"/>
      <c r="U26" s="547"/>
      <c r="V26" s="894"/>
    </row>
    <row r="27" spans="1:22" ht="14.25" customHeight="1">
      <c r="A27" s="782"/>
      <c r="B27" s="821"/>
      <c r="C27" s="460" t="s">
        <v>100</v>
      </c>
      <c r="D27" s="795" t="s">
        <v>181</v>
      </c>
      <c r="E27" s="795"/>
      <c r="F27" s="795"/>
      <c r="G27" s="795"/>
      <c r="H27" s="458" t="s">
        <v>127</v>
      </c>
      <c r="I27" s="462">
        <f>IF(N2="old tax regime",'Exemp.(HRA+Other) &amp; Other incom'!L25,0)</f>
        <v>0</v>
      </c>
      <c r="J27" s="460" t="s">
        <v>101</v>
      </c>
      <c r="K27" s="804" t="s">
        <v>187</v>
      </c>
      <c r="L27" s="805"/>
      <c r="M27" s="806"/>
      <c r="N27" s="458" t="s">
        <v>127</v>
      </c>
      <c r="O27" s="462">
        <f>IF(N2="old tax regime",'Exemp.(HRA+Other) &amp; Other incom'!Q25,0)</f>
        <v>0</v>
      </c>
      <c r="P27" s="835"/>
      <c r="Q27" s="836"/>
      <c r="R27" s="807"/>
      <c r="S27" s="379"/>
      <c r="T27" s="547"/>
      <c r="U27" s="547"/>
      <c r="V27" s="894"/>
    </row>
    <row r="28" spans="1:22" ht="14.25" customHeight="1">
      <c r="A28" s="782"/>
      <c r="B28" s="821"/>
      <c r="C28" s="460" t="s">
        <v>102</v>
      </c>
      <c r="D28" s="840" t="s">
        <v>122</v>
      </c>
      <c r="E28" s="840"/>
      <c r="F28" s="840"/>
      <c r="G28" s="840"/>
      <c r="H28" s="458" t="s">
        <v>127</v>
      </c>
      <c r="I28" s="462">
        <f>IF(N2="old tax regime",'GA-55'!P31,0)</f>
        <v>0</v>
      </c>
      <c r="J28" s="460" t="s">
        <v>103</v>
      </c>
      <c r="K28" s="827" t="s">
        <v>186</v>
      </c>
      <c r="L28" s="827"/>
      <c r="M28" s="827"/>
      <c r="N28" s="458" t="s">
        <v>127</v>
      </c>
      <c r="O28" s="462">
        <f>IF(N2="old tax regime",'Exemp.(HRA+Other) &amp; Other incom'!L19,0)</f>
        <v>0</v>
      </c>
      <c r="P28" s="835"/>
      <c r="Q28" s="836"/>
      <c r="R28" s="807"/>
      <c r="S28" s="379"/>
      <c r="T28" s="547"/>
      <c r="U28" s="547"/>
      <c r="V28" s="894"/>
    </row>
    <row r="29" spans="1:22" ht="14.25" customHeight="1">
      <c r="A29" s="782"/>
      <c r="B29" s="821"/>
      <c r="C29" s="460" t="s">
        <v>104</v>
      </c>
      <c r="D29" s="795" t="s">
        <v>182</v>
      </c>
      <c r="E29" s="795"/>
      <c r="F29" s="795"/>
      <c r="G29" s="795"/>
      <c r="H29" s="458" t="s">
        <v>127</v>
      </c>
      <c r="I29" s="463">
        <f>IF(N2="old tax regime",'GA-55'!U31,0)</f>
        <v>0</v>
      </c>
      <c r="J29" s="460" t="s">
        <v>105</v>
      </c>
      <c r="K29" s="804" t="s">
        <v>140</v>
      </c>
      <c r="L29" s="805"/>
      <c r="M29" s="806"/>
      <c r="N29" s="458" t="s">
        <v>127</v>
      </c>
      <c r="O29" s="462">
        <f>IF(N2="old tax regime",'Exemp.(HRA+Other) &amp; Other incom'!Q14,0)</f>
        <v>0</v>
      </c>
      <c r="P29" s="835"/>
      <c r="Q29" s="836"/>
      <c r="R29" s="807"/>
      <c r="S29" s="379"/>
      <c r="T29" s="547"/>
      <c r="U29" s="547"/>
      <c r="V29" s="894"/>
    </row>
    <row r="30" spans="1:22" ht="14.25" customHeight="1">
      <c r="A30" s="782"/>
      <c r="B30" s="821"/>
      <c r="C30" s="460" t="s">
        <v>106</v>
      </c>
      <c r="D30" s="795" t="s">
        <v>134</v>
      </c>
      <c r="E30" s="795"/>
      <c r="F30" s="795"/>
      <c r="G30" s="795"/>
      <c r="H30" s="458" t="s">
        <v>127</v>
      </c>
      <c r="I30" s="463">
        <f>IF(N2="old tax regime",'Exemp.(HRA+Other) &amp; Other incom'!L21,0)</f>
        <v>0</v>
      </c>
      <c r="J30" s="460" t="s">
        <v>107</v>
      </c>
      <c r="K30" s="827" t="s">
        <v>185</v>
      </c>
      <c r="L30" s="827"/>
      <c r="M30" s="827"/>
      <c r="N30" s="458" t="s">
        <v>127</v>
      </c>
      <c r="O30" s="462">
        <f>IF(N2="old tax regime",'Exemp.(HRA+Other) &amp; Other incom'!L26,0)</f>
        <v>0</v>
      </c>
      <c r="P30" s="835"/>
      <c r="Q30" s="836"/>
      <c r="R30" s="807"/>
      <c r="S30" s="379"/>
      <c r="T30" s="547"/>
      <c r="U30" s="547"/>
      <c r="V30" s="894"/>
    </row>
    <row r="31" spans="1:22" ht="14.25" customHeight="1">
      <c r="A31" s="782"/>
      <c r="B31" s="821"/>
      <c r="C31" s="460" t="s">
        <v>108</v>
      </c>
      <c r="D31" s="837" t="s">
        <v>183</v>
      </c>
      <c r="E31" s="837"/>
      <c r="F31" s="837"/>
      <c r="G31" s="837"/>
      <c r="H31" s="458" t="s">
        <v>127</v>
      </c>
      <c r="I31" s="462">
        <f>IF(N2="old tax regime",'Exemp.(HRA+Other) &amp; Other incom'!L16,0)</f>
        <v>0</v>
      </c>
      <c r="J31" s="460" t="s">
        <v>109</v>
      </c>
      <c r="K31" s="827"/>
      <c r="L31" s="827"/>
      <c r="M31" s="827"/>
      <c r="N31" s="458" t="s">
        <v>127</v>
      </c>
      <c r="O31" s="462"/>
      <c r="P31" s="835"/>
      <c r="Q31" s="836"/>
      <c r="R31" s="807"/>
      <c r="S31" s="379"/>
      <c r="T31" s="547"/>
      <c r="U31" s="547"/>
      <c r="V31" s="894"/>
    </row>
    <row r="32" spans="1:22" ht="14.25" customHeight="1">
      <c r="A32" s="782"/>
      <c r="B32" s="821"/>
      <c r="C32" s="838" t="s">
        <v>188</v>
      </c>
      <c r="D32" s="838"/>
      <c r="E32" s="838"/>
      <c r="F32" s="838"/>
      <c r="G32" s="838"/>
      <c r="H32" s="838"/>
      <c r="I32" s="838"/>
      <c r="J32" s="838"/>
      <c r="K32" s="838"/>
      <c r="L32" s="838"/>
      <c r="M32" s="838"/>
      <c r="N32" s="458" t="s">
        <v>127</v>
      </c>
      <c r="O32" s="464">
        <f>SUM(O23:O31,I23:I31)</f>
        <v>0</v>
      </c>
      <c r="P32" s="835"/>
      <c r="Q32" s="836"/>
      <c r="R32" s="807"/>
      <c r="S32" s="379"/>
      <c r="T32" s="547"/>
      <c r="U32" s="547"/>
      <c r="V32" s="894"/>
    </row>
    <row r="33" spans="1:28" ht="14.25" customHeight="1">
      <c r="A33" s="782"/>
      <c r="B33" s="821"/>
      <c r="C33" s="838" t="s">
        <v>189</v>
      </c>
      <c r="D33" s="838"/>
      <c r="E33" s="838"/>
      <c r="F33" s="838"/>
      <c r="G33" s="838"/>
      <c r="H33" s="838"/>
      <c r="I33" s="838"/>
      <c r="J33" s="838"/>
      <c r="K33" s="838"/>
      <c r="L33" s="838"/>
      <c r="M33" s="838"/>
      <c r="N33" s="838"/>
      <c r="O33" s="838"/>
      <c r="P33" s="465" t="s">
        <v>127</v>
      </c>
      <c r="Q33" s="466">
        <f>IF(N2="new tax regime",0,IF(O32&gt;=150000,150000,O32))</f>
        <v>0</v>
      </c>
      <c r="R33" s="807"/>
      <c r="S33" s="379"/>
      <c r="T33" s="547"/>
      <c r="U33" s="547"/>
      <c r="V33" s="894"/>
    </row>
    <row r="34" spans="1:28" ht="20.25" customHeight="1">
      <c r="A34" s="782"/>
      <c r="B34" s="821"/>
      <c r="C34" s="833" t="s">
        <v>190</v>
      </c>
      <c r="D34" s="833"/>
      <c r="E34" s="833"/>
      <c r="F34" s="833"/>
      <c r="G34" s="833"/>
      <c r="H34" s="833"/>
      <c r="I34" s="833"/>
      <c r="J34" s="833"/>
      <c r="K34" s="833"/>
      <c r="L34" s="833"/>
      <c r="M34" s="833"/>
      <c r="N34" s="833"/>
      <c r="O34" s="833"/>
      <c r="P34" s="458" t="s">
        <v>127</v>
      </c>
      <c r="Q34" s="466">
        <f>IF(N2="old tax regime",'Exemp.(HRA+Other) &amp; Other incom'!Q16,0)</f>
        <v>0</v>
      </c>
      <c r="R34" s="807"/>
      <c r="S34" s="379"/>
      <c r="T34" s="547"/>
      <c r="U34" s="547"/>
      <c r="V34" s="894"/>
    </row>
    <row r="35" spans="1:28" ht="20.25" customHeight="1">
      <c r="A35" s="782"/>
      <c r="B35" s="821"/>
      <c r="C35" s="839" t="s">
        <v>192</v>
      </c>
      <c r="D35" s="839"/>
      <c r="E35" s="839"/>
      <c r="F35" s="839"/>
      <c r="G35" s="839"/>
      <c r="H35" s="839"/>
      <c r="I35" s="839"/>
      <c r="J35" s="839"/>
      <c r="K35" s="839"/>
      <c r="L35" s="839"/>
      <c r="M35" s="839"/>
      <c r="N35" s="839"/>
      <c r="O35" s="839"/>
      <c r="P35" s="57" t="s">
        <v>127</v>
      </c>
      <c r="Q35" s="82">
        <f>Q33+Q34</f>
        <v>0</v>
      </c>
      <c r="R35" s="807"/>
      <c r="S35" s="379"/>
      <c r="T35" s="547"/>
      <c r="U35" s="547"/>
      <c r="V35" s="894"/>
    </row>
    <row r="36" spans="1:28" ht="14.25" customHeight="1">
      <c r="A36" s="782"/>
      <c r="B36" s="821">
        <v>12</v>
      </c>
      <c r="C36" s="842" t="s">
        <v>191</v>
      </c>
      <c r="D36" s="842"/>
      <c r="E36" s="842"/>
      <c r="F36" s="842"/>
      <c r="G36" s="842"/>
      <c r="H36" s="842"/>
      <c r="I36" s="842"/>
      <c r="J36" s="842"/>
      <c r="K36" s="842"/>
      <c r="L36" s="842"/>
      <c r="M36" s="842"/>
      <c r="N36" s="842"/>
      <c r="O36" s="842"/>
      <c r="P36" s="842"/>
      <c r="Q36" s="843"/>
      <c r="R36" s="807"/>
      <c r="S36" s="379"/>
      <c r="T36" s="547"/>
      <c r="U36" s="547"/>
      <c r="V36" s="894"/>
    </row>
    <row r="37" spans="1:28" ht="14.25" customHeight="1">
      <c r="A37" s="782"/>
      <c r="B37" s="821"/>
      <c r="C37" s="845" t="s">
        <v>549</v>
      </c>
      <c r="D37" s="846"/>
      <c r="E37" s="846"/>
      <c r="F37" s="846"/>
      <c r="G37" s="846"/>
      <c r="H37" s="846"/>
      <c r="I37" s="846"/>
      <c r="J37" s="846"/>
      <c r="K37" s="846"/>
      <c r="L37" s="846"/>
      <c r="M37" s="846"/>
      <c r="N37" s="846"/>
      <c r="O37" s="847"/>
      <c r="P37" s="851" t="s">
        <v>127</v>
      </c>
      <c r="Q37" s="853">
        <v>0</v>
      </c>
      <c r="R37" s="807"/>
      <c r="S37" s="379"/>
      <c r="T37" s="547"/>
      <c r="U37" s="547"/>
      <c r="V37" s="894"/>
    </row>
    <row r="38" spans="1:28" ht="14.25" customHeight="1">
      <c r="A38" s="782"/>
      <c r="B38" s="821"/>
      <c r="C38" s="848"/>
      <c r="D38" s="849"/>
      <c r="E38" s="849"/>
      <c r="F38" s="849"/>
      <c r="G38" s="849"/>
      <c r="H38" s="849"/>
      <c r="I38" s="849"/>
      <c r="J38" s="849"/>
      <c r="K38" s="849"/>
      <c r="L38" s="849"/>
      <c r="M38" s="849"/>
      <c r="N38" s="849"/>
      <c r="O38" s="850"/>
      <c r="P38" s="852"/>
      <c r="Q38" s="854"/>
      <c r="R38" s="807"/>
      <c r="S38" s="379"/>
      <c r="T38" s="547"/>
      <c r="U38" s="547"/>
      <c r="V38" s="894"/>
    </row>
    <row r="39" spans="1:28" ht="14.25" customHeight="1">
      <c r="A39" s="782"/>
      <c r="B39" s="821"/>
      <c r="C39" s="845" t="s">
        <v>550</v>
      </c>
      <c r="D39" s="846"/>
      <c r="E39" s="846"/>
      <c r="F39" s="846"/>
      <c r="G39" s="846"/>
      <c r="H39" s="846"/>
      <c r="I39" s="846"/>
      <c r="J39" s="846"/>
      <c r="K39" s="846"/>
      <c r="L39" s="846"/>
      <c r="M39" s="846"/>
      <c r="N39" s="846"/>
      <c r="O39" s="847"/>
      <c r="P39" s="851" t="s">
        <v>127</v>
      </c>
      <c r="Q39" s="853">
        <v>0</v>
      </c>
      <c r="R39" s="807"/>
      <c r="S39" s="379"/>
      <c r="T39" s="547"/>
      <c r="U39" s="547"/>
      <c r="V39" s="894"/>
    </row>
    <row r="40" spans="1:28" ht="14.25" customHeight="1">
      <c r="A40" s="782"/>
      <c r="B40" s="821"/>
      <c r="C40" s="848"/>
      <c r="D40" s="849"/>
      <c r="E40" s="849"/>
      <c r="F40" s="849"/>
      <c r="G40" s="849"/>
      <c r="H40" s="849"/>
      <c r="I40" s="849"/>
      <c r="J40" s="849"/>
      <c r="K40" s="849"/>
      <c r="L40" s="849"/>
      <c r="M40" s="849"/>
      <c r="N40" s="849"/>
      <c r="O40" s="850"/>
      <c r="P40" s="852"/>
      <c r="Q40" s="854"/>
      <c r="R40" s="807"/>
      <c r="S40" s="379"/>
      <c r="T40" s="547"/>
      <c r="U40" s="547"/>
      <c r="V40" s="894"/>
    </row>
    <row r="41" spans="1:28" ht="14.25" customHeight="1">
      <c r="A41" s="782"/>
      <c r="B41" s="821"/>
      <c r="C41" s="855"/>
      <c r="D41" s="856"/>
      <c r="E41" s="856"/>
      <c r="F41" s="856"/>
      <c r="G41" s="856"/>
      <c r="H41" s="856"/>
      <c r="I41" s="856"/>
      <c r="J41" s="856"/>
      <c r="K41" s="856"/>
      <c r="L41" s="856"/>
      <c r="M41" s="856"/>
      <c r="N41" s="856"/>
      <c r="O41" s="857"/>
      <c r="P41" s="861"/>
      <c r="Q41" s="863"/>
      <c r="R41" s="807"/>
      <c r="S41" s="379"/>
      <c r="T41" s="547"/>
      <c r="U41" s="547"/>
      <c r="V41" s="894"/>
      <c r="W41" s="96"/>
      <c r="X41" s="96" t="s">
        <v>228</v>
      </c>
      <c r="Y41" s="96" t="s">
        <v>470</v>
      </c>
      <c r="Z41" s="97" t="s">
        <v>471</v>
      </c>
      <c r="AA41" s="305" t="s">
        <v>472</v>
      </c>
      <c r="AB41" s="305" t="s">
        <v>231</v>
      </c>
    </row>
    <row r="42" spans="1:28" ht="14.25" customHeight="1">
      <c r="A42" s="782"/>
      <c r="B42" s="821"/>
      <c r="C42" s="858"/>
      <c r="D42" s="859"/>
      <c r="E42" s="859"/>
      <c r="F42" s="859"/>
      <c r="G42" s="859"/>
      <c r="H42" s="859"/>
      <c r="I42" s="859"/>
      <c r="J42" s="859"/>
      <c r="K42" s="859"/>
      <c r="L42" s="859"/>
      <c r="M42" s="859"/>
      <c r="N42" s="859"/>
      <c r="O42" s="860"/>
      <c r="P42" s="862"/>
      <c r="Q42" s="864"/>
      <c r="R42" s="807"/>
      <c r="S42" s="379"/>
      <c r="T42" s="547"/>
      <c r="U42" s="547"/>
      <c r="V42" s="894"/>
      <c r="W42" s="96"/>
      <c r="X42" s="96">
        <f>IF($Q$48&gt;1500000,1,IF($Q$48&gt;1200000,2,IF($Q$48&gt;1000000,3,IF($Q$48&gt;700000,4,IF($Q$48&gt;300000,5,0)))))</f>
        <v>2</v>
      </c>
      <c r="Y42" s="96">
        <f>IF($Q$48&gt;1500000,1,IF($Q$48&gt;1200000,2,IF($Q$48&gt;900000,3,IF($Q$48&gt;600000,4,0))))</f>
        <v>2</v>
      </c>
      <c r="Z42" s="96">
        <f>IF($Q$48&gt;1500000,1,IF($Q$48&gt;1200000,2,IF($Q$48&gt;900000,3,0)))</f>
        <v>2</v>
      </c>
      <c r="AA42" s="305">
        <f>IF($Q$48&gt;1500000,1,IF($Q$48&gt;1200000,2,0))</f>
        <v>2</v>
      </c>
      <c r="AB42" s="305">
        <f>IF($Q$48&gt;1500000,1,0)</f>
        <v>0</v>
      </c>
    </row>
    <row r="43" spans="1:28" ht="14.25" customHeight="1">
      <c r="A43" s="782"/>
      <c r="B43" s="821"/>
      <c r="C43" s="855"/>
      <c r="D43" s="856"/>
      <c r="E43" s="856"/>
      <c r="F43" s="856"/>
      <c r="G43" s="856"/>
      <c r="H43" s="856"/>
      <c r="I43" s="856"/>
      <c r="J43" s="856"/>
      <c r="K43" s="856"/>
      <c r="L43" s="856"/>
      <c r="M43" s="856"/>
      <c r="N43" s="856"/>
      <c r="O43" s="857"/>
      <c r="P43" s="861"/>
      <c r="Q43" s="863"/>
      <c r="R43" s="807"/>
      <c r="S43" s="379"/>
      <c r="T43" s="547"/>
      <c r="U43" s="547"/>
      <c r="V43" s="894"/>
      <c r="W43" s="96" t="s">
        <v>224</v>
      </c>
      <c r="X43" s="96">
        <f>IF(X42&gt;=5,ROUND(($Q$48-300000)*0.05,0),IF(X42=0,0,15000))</f>
        <v>15000</v>
      </c>
      <c r="Y43" s="96">
        <f>IF(Y42&gt;=4,ROUND(($Q$48-600000)*0.1,0),IF(Y42=0,0,30000))</f>
        <v>30000</v>
      </c>
      <c r="Z43" s="96">
        <f>IF(Z42&gt;=3,ROUND(($Q$48-900000)*0.15,0),IF(Z42=0,0,45000))</f>
        <v>45000</v>
      </c>
      <c r="AA43" s="305">
        <f>IF(AA42&gt;=2,ROUND(($Q$48-1200000)*0.2,0),IF(AA42=0,0,60000))</f>
        <v>21254</v>
      </c>
      <c r="AB43" s="305">
        <f>IF(AB42&gt;0,ROUND(($Q$48-1500000)*0.3,0),0)</f>
        <v>0</v>
      </c>
    </row>
    <row r="44" spans="1:28" ht="14.25" customHeight="1">
      <c r="A44" s="782"/>
      <c r="B44" s="821"/>
      <c r="C44" s="858"/>
      <c r="D44" s="859"/>
      <c r="E44" s="859"/>
      <c r="F44" s="859"/>
      <c r="G44" s="859"/>
      <c r="H44" s="859"/>
      <c r="I44" s="859"/>
      <c r="J44" s="859"/>
      <c r="K44" s="859"/>
      <c r="L44" s="859"/>
      <c r="M44" s="859"/>
      <c r="N44" s="859"/>
      <c r="O44" s="860"/>
      <c r="P44" s="862"/>
      <c r="Q44" s="864"/>
      <c r="R44" s="807"/>
      <c r="S44" s="379"/>
      <c r="T44" s="547"/>
      <c r="U44" s="547"/>
      <c r="V44" s="894"/>
      <c r="W44" s="132"/>
      <c r="X44" s="164"/>
    </row>
    <row r="45" spans="1:28" ht="12" customHeight="1" thickBot="1">
      <c r="A45" s="782"/>
      <c r="B45" s="841"/>
      <c r="C45" s="844" t="s">
        <v>551</v>
      </c>
      <c r="D45" s="844"/>
      <c r="E45" s="844"/>
      <c r="F45" s="844"/>
      <c r="G45" s="844"/>
      <c r="H45" s="844"/>
      <c r="I45" s="844"/>
      <c r="J45" s="844"/>
      <c r="K45" s="844"/>
      <c r="L45" s="844"/>
      <c r="M45" s="844"/>
      <c r="N45" s="844"/>
      <c r="O45" s="844"/>
      <c r="P45" s="59" t="s">
        <v>127</v>
      </c>
      <c r="Q45" s="77">
        <f>SUM(Q37:Q44)</f>
        <v>0</v>
      </c>
      <c r="R45" s="807"/>
      <c r="S45" s="379"/>
      <c r="T45" s="547"/>
      <c r="U45" s="547"/>
      <c r="V45" s="894"/>
      <c r="W45" s="132"/>
      <c r="X45" s="164"/>
      <c r="Y45" s="164"/>
    </row>
    <row r="46" spans="1:28" ht="21" customHeight="1" thickBot="1">
      <c r="A46" s="782"/>
      <c r="B46" s="67">
        <v>13</v>
      </c>
      <c r="C46" s="865" t="s">
        <v>201</v>
      </c>
      <c r="D46" s="865"/>
      <c r="E46" s="865"/>
      <c r="F46" s="865"/>
      <c r="G46" s="865"/>
      <c r="H46" s="865"/>
      <c r="I46" s="865"/>
      <c r="J46" s="865"/>
      <c r="K46" s="865"/>
      <c r="L46" s="865"/>
      <c r="M46" s="865"/>
      <c r="N46" s="865"/>
      <c r="O46" s="865"/>
      <c r="P46" s="65" t="s">
        <v>127</v>
      </c>
      <c r="Q46" s="78">
        <f>Q35+Q45</f>
        <v>0</v>
      </c>
      <c r="R46" s="807"/>
      <c r="S46" s="379"/>
      <c r="T46" s="547"/>
      <c r="U46" s="547"/>
      <c r="V46" s="894"/>
    </row>
    <row r="47" spans="1:28" ht="20.25" customHeight="1">
      <c r="A47" s="782"/>
      <c r="B47" s="103">
        <v>14</v>
      </c>
      <c r="C47" s="866" t="s">
        <v>202</v>
      </c>
      <c r="D47" s="866"/>
      <c r="E47" s="866"/>
      <c r="F47" s="866"/>
      <c r="G47" s="866"/>
      <c r="H47" s="866"/>
      <c r="I47" s="866"/>
      <c r="J47" s="866"/>
      <c r="K47" s="866"/>
      <c r="L47" s="866"/>
      <c r="M47" s="866"/>
      <c r="N47" s="866"/>
      <c r="O47" s="866"/>
      <c r="P47" s="61" t="s">
        <v>127</v>
      </c>
      <c r="Q47" s="79">
        <f>Q20-Q46</f>
        <v>1306266</v>
      </c>
      <c r="R47" s="807"/>
      <c r="S47" s="379"/>
      <c r="T47" s="547"/>
      <c r="U47" s="547"/>
      <c r="V47" s="894"/>
    </row>
    <row r="48" spans="1:28" ht="15.75" customHeight="1" thickBot="1">
      <c r="A48" s="782"/>
      <c r="B48" s="105">
        <v>15</v>
      </c>
      <c r="C48" s="867" t="s">
        <v>203</v>
      </c>
      <c r="D48" s="867"/>
      <c r="E48" s="867"/>
      <c r="F48" s="867"/>
      <c r="G48" s="867"/>
      <c r="H48" s="867"/>
      <c r="I48" s="867"/>
      <c r="J48" s="867"/>
      <c r="K48" s="867"/>
      <c r="L48" s="867"/>
      <c r="M48" s="867"/>
      <c r="N48" s="867"/>
      <c r="O48" s="867"/>
      <c r="P48" s="62" t="s">
        <v>127</v>
      </c>
      <c r="Q48" s="80">
        <f>ROUND(Q47,-1)</f>
        <v>1306270</v>
      </c>
      <c r="R48" s="807"/>
      <c r="S48" s="379"/>
      <c r="T48" s="547"/>
      <c r="U48" s="547"/>
      <c r="V48" s="894"/>
      <c r="W48" s="131"/>
      <c r="X48" s="164"/>
      <c r="Y48" s="164"/>
      <c r="Z48" s="164"/>
    </row>
    <row r="49" spans="1:41" ht="14.25" customHeight="1">
      <c r="A49" s="782"/>
      <c r="B49" s="830">
        <v>16</v>
      </c>
      <c r="C49" s="868" t="s">
        <v>204</v>
      </c>
      <c r="D49" s="868"/>
      <c r="E49" s="868"/>
      <c r="F49" s="868"/>
      <c r="G49" s="868"/>
      <c r="H49" s="868"/>
      <c r="I49" s="868"/>
      <c r="J49" s="868"/>
      <c r="K49" s="868"/>
      <c r="L49" s="868"/>
      <c r="M49" s="868"/>
      <c r="N49" s="868"/>
      <c r="O49" s="868"/>
      <c r="P49" s="868"/>
      <c r="Q49" s="869"/>
      <c r="R49" s="807"/>
      <c r="S49" s="379"/>
      <c r="T49" s="547"/>
      <c r="U49" s="547"/>
      <c r="V49" s="894"/>
    </row>
    <row r="50" spans="1:41" ht="14.25" customHeight="1">
      <c r="A50" s="782"/>
      <c r="B50" s="821"/>
      <c r="C50" s="870" t="s">
        <v>469</v>
      </c>
      <c r="D50" s="871"/>
      <c r="E50" s="871"/>
      <c r="F50" s="871"/>
      <c r="G50" s="871"/>
      <c r="H50" s="872"/>
      <c r="I50" s="870" t="s">
        <v>205</v>
      </c>
      <c r="J50" s="871"/>
      <c r="K50" s="873" t="s">
        <v>206</v>
      </c>
      <c r="L50" s="874"/>
      <c r="M50" s="870" t="s">
        <v>468</v>
      </c>
      <c r="N50" s="871"/>
      <c r="O50" s="872"/>
      <c r="P50" s="108"/>
      <c r="Q50" s="71"/>
      <c r="R50" s="807"/>
      <c r="S50" s="379"/>
      <c r="T50" s="547"/>
      <c r="U50" s="547"/>
      <c r="V50" s="894"/>
    </row>
    <row r="51" spans="1:41" ht="12" customHeight="1">
      <c r="A51" s="782"/>
      <c r="B51" s="821"/>
      <c r="C51" s="779" t="str">
        <f t="shared" ref="C51" si="0">IF($N$2="old tax regime","2,50,000 तक","3,00,000 तक")</f>
        <v>3,00,000 तक</v>
      </c>
      <c r="D51" s="781"/>
      <c r="E51" s="781"/>
      <c r="F51" s="781"/>
      <c r="G51" s="781"/>
      <c r="H51" s="780"/>
      <c r="I51" s="779" t="str">
        <f t="shared" ref="I51" si="1">IF($N$2="old tax regime","Nil","Nil")</f>
        <v>Nil</v>
      </c>
      <c r="J51" s="780"/>
      <c r="K51" s="779" t="str">
        <f t="shared" ref="K51" si="2">IF($N$2="old tax regime","Nil","Nil")</f>
        <v>Nil</v>
      </c>
      <c r="L51" s="780"/>
      <c r="M51" s="779" t="str">
        <f>IF($N$2="old tax regime","Nil","Nil")</f>
        <v>Nil</v>
      </c>
      <c r="N51" s="781"/>
      <c r="O51" s="780"/>
      <c r="P51" s="56" t="s">
        <v>127</v>
      </c>
      <c r="Q51" s="73">
        <v>0</v>
      </c>
      <c r="R51" s="807"/>
      <c r="S51" s="379"/>
      <c r="T51" s="547"/>
      <c r="U51" s="547"/>
      <c r="V51" s="894"/>
    </row>
    <row r="52" spans="1:41" ht="12" customHeight="1">
      <c r="A52" s="782"/>
      <c r="B52" s="821"/>
      <c r="C52" s="779" t="str">
        <f>IF($N$2="old tax regime","2,50,001 से 3,00,000 तक","3,00,001 से 7,00,000 तक")</f>
        <v>3,00,001 से 7,00,000 तक</v>
      </c>
      <c r="D52" s="781"/>
      <c r="E52" s="781"/>
      <c r="F52" s="781"/>
      <c r="G52" s="781"/>
      <c r="H52" s="780"/>
      <c r="I52" s="880" t="str">
        <f t="shared" ref="I52" si="3">IF($N$2="old tax regime","5%","5% (With Tax Rebate Under Sec.87A)")</f>
        <v>5% (With Tax Rebate Under Sec.87A)</v>
      </c>
      <c r="J52" s="881"/>
      <c r="K52" s="880" t="str">
        <f>IF($N$2="old tax regime","Nil","5% (With Tax Rebate Under Sec.87A)")</f>
        <v>5% (With Tax Rebate Under Sec.87A)</v>
      </c>
      <c r="L52" s="881"/>
      <c r="M52" s="880" t="str">
        <f>IF($N$2="old tax regime","Nil","5% (With Tax Rebate Under Sec.87A)")</f>
        <v>5% (With Tax Rebate Under Sec.87A)</v>
      </c>
      <c r="N52" s="882"/>
      <c r="O52" s="881"/>
      <c r="P52" s="56" t="s">
        <v>127</v>
      </c>
      <c r="Q52" s="73">
        <f>X55</f>
        <v>20000</v>
      </c>
      <c r="R52" s="807"/>
      <c r="S52" s="379"/>
      <c r="T52" s="547"/>
      <c r="U52" s="547"/>
      <c r="V52" s="894"/>
    </row>
    <row r="53" spans="1:41" ht="12" customHeight="1">
      <c r="A53" s="782"/>
      <c r="B53" s="821"/>
      <c r="C53" s="779" t="str">
        <f>IF($N$2="old tax regime","3,00,001 से 5,00,000 तक","7,00,001 से 10,00,000 तक")</f>
        <v>7,00,001 से 10,00,000 तक</v>
      </c>
      <c r="D53" s="781"/>
      <c r="E53" s="781"/>
      <c r="F53" s="781"/>
      <c r="G53" s="781"/>
      <c r="H53" s="780"/>
      <c r="I53" s="880" t="str">
        <f>IF($N$2="old tax regime","5%","10% (With Tax Rebate Under Sec.87A Up to Rs. 7 Lakh.)")</f>
        <v>10% (With Tax Rebate Under Sec.87A Up to Rs. 7 Lakh.)</v>
      </c>
      <c r="J53" s="881"/>
      <c r="K53" s="880" t="str">
        <f>IF($N$2="old tax regime","5%","10% (With Tax Rebate Under Sec.87A Up to Rs. 7 Lakh.)")</f>
        <v>10% (With Tax Rebate Under Sec.87A Up to Rs. 7 Lakh.)</v>
      </c>
      <c r="L53" s="881"/>
      <c r="M53" s="880" t="str">
        <f>IF($N$2="old tax regime","Nil","10% (With Tax Rebate Under Sec.87A Up to Rs. 7 Lakh.)")</f>
        <v>10% (With Tax Rebate Under Sec.87A Up to Rs. 7 Lakh.)</v>
      </c>
      <c r="N53" s="882"/>
      <c r="O53" s="881"/>
      <c r="P53" s="56" t="s">
        <v>127</v>
      </c>
      <c r="Q53" s="73">
        <f>ROUND(Y55,0)</f>
        <v>30000</v>
      </c>
      <c r="R53" s="807"/>
      <c r="S53" s="379"/>
      <c r="T53" s="547"/>
      <c r="U53" s="547"/>
      <c r="V53" s="894"/>
      <c r="W53" s="96"/>
      <c r="X53" s="96" t="s">
        <v>228</v>
      </c>
      <c r="Y53" s="96" t="s">
        <v>578</v>
      </c>
      <c r="Z53" s="97" t="s">
        <v>230</v>
      </c>
      <c r="AA53" s="305" t="s">
        <v>472</v>
      </c>
      <c r="AB53" s="305" t="s">
        <v>231</v>
      </c>
      <c r="AC53" s="380" t="s">
        <v>539</v>
      </c>
      <c r="AD53" s="380" t="s">
        <v>541</v>
      </c>
      <c r="AE53" s="380" t="s">
        <v>540</v>
      </c>
      <c r="AH53" s="96"/>
      <c r="AI53" s="96">
        <f>IF(Q48&gt;10000000,3,IF(Q48&gt;5000000,2,IF(Q48&gt;700000,1,0)))</f>
        <v>1</v>
      </c>
      <c r="AJ53" s="96">
        <f>IF(AI53=1,Q48-700000,0)</f>
        <v>606270</v>
      </c>
      <c r="AK53" s="384">
        <f>IF(AI53=2,Q48-5000000,0)</f>
        <v>0</v>
      </c>
      <c r="AL53" s="131">
        <f>IF(AI53=3,Q48-10000000,0)</f>
        <v>0</v>
      </c>
      <c r="AM53" s="131"/>
      <c r="AN53" s="131"/>
      <c r="AO53" s="131"/>
    </row>
    <row r="54" spans="1:41" ht="12" customHeight="1">
      <c r="A54" s="782"/>
      <c r="B54" s="821"/>
      <c r="C54" s="779" t="str">
        <f>IF($N$2="old tax regime","5,00,001 से 10,00,000 तक","10,00,001 से 12,00,000 तक")</f>
        <v>10,00,001 से 12,00,000 तक</v>
      </c>
      <c r="D54" s="781"/>
      <c r="E54" s="781"/>
      <c r="F54" s="781"/>
      <c r="G54" s="781"/>
      <c r="H54" s="780"/>
      <c r="I54" s="779" t="str">
        <f t="shared" ref="I54" si="4">IF($N$2="old tax regime","20%","15%")</f>
        <v>15%</v>
      </c>
      <c r="J54" s="780"/>
      <c r="K54" s="779" t="str">
        <f>IF($N$2="old tax regime","20%","15%")</f>
        <v>15%</v>
      </c>
      <c r="L54" s="780"/>
      <c r="M54" s="779" t="str">
        <f>IF($N$2="old tax regime","20%","15%")</f>
        <v>15%</v>
      </c>
      <c r="N54" s="781"/>
      <c r="O54" s="780"/>
      <c r="P54" s="56" t="s">
        <v>127</v>
      </c>
      <c r="Q54" s="73">
        <f>Z55</f>
        <v>30000</v>
      </c>
      <c r="R54" s="807"/>
      <c r="S54" s="379"/>
      <c r="T54" s="547"/>
      <c r="U54" s="547"/>
      <c r="V54" s="894"/>
      <c r="W54" s="96"/>
      <c r="X54" s="96">
        <f>IF($Q$48&gt;10000000,1,IF($Q$48&gt;5000000,2,IF(Q$48&gt;1500000,3,IF($Q$48&gt;1200000,4,IF($Q$48&gt;1000000,5,IF($Q$48&gt;700000,6,IF($Q$48&gt;300000,7,0)))))))</f>
        <v>4</v>
      </c>
      <c r="Y54" s="96">
        <f>IF($Q$48&gt;10000000,1,IF($Q$48&gt;5000000,2,IF(Q$48&gt;1500000,3,IF($Q$48&gt;1200000,4,IF($Q$48&gt;1000000,5,IF($Q$48&gt;700000,6,0))))))</f>
        <v>4</v>
      </c>
      <c r="Z54" s="96">
        <f>IF($Q$48&gt;10000000,1,IF($Q$48&gt;5000000,2,IF(Q$48&gt;1500000,3,IF($Q$48&gt;1200000,4,IF($Q$48&gt;1000000,5,0)))))</f>
        <v>4</v>
      </c>
      <c r="AA54" s="305">
        <f>IF($Q$48&gt;10000000,1,IF($Q$48&gt;5000000,2,IF(Q$48&gt;1500000,3,IF($Q$48&gt;1200000,4,0))))</f>
        <v>4</v>
      </c>
      <c r="AB54" s="305">
        <f>IF($Q$48&gt;10000000,1,IF($Q$48&gt;5000000,2,IF(Q$48&gt;1500000,3,0)))</f>
        <v>0</v>
      </c>
      <c r="AC54" s="380">
        <f>IF($Q$48&gt;10000000,1,IF($Q$48&gt;5000000,2,0))</f>
        <v>0</v>
      </c>
      <c r="AD54" s="131">
        <f>IF($Q$48&gt;10000000,1,0)</f>
        <v>0</v>
      </c>
      <c r="AE54" s="131"/>
      <c r="AH54" s="96"/>
      <c r="AI54" s="96"/>
      <c r="AJ54" s="96"/>
      <c r="AK54" s="96"/>
      <c r="AL54" s="131"/>
      <c r="AM54" s="131"/>
      <c r="AN54" s="131"/>
      <c r="AO54" s="131"/>
    </row>
    <row r="55" spans="1:41" ht="12" customHeight="1">
      <c r="A55" s="782"/>
      <c r="B55" s="821"/>
      <c r="C55" s="779" t="str">
        <f>IF($N$2="old tax regime","10,00,001 अथवा इससे ऊपर","12,00,001 से 15,00,000 तक")</f>
        <v>12,00,001 से 15,00,000 तक</v>
      </c>
      <c r="D55" s="781"/>
      <c r="E55" s="781"/>
      <c r="F55" s="781"/>
      <c r="G55" s="781"/>
      <c r="H55" s="780"/>
      <c r="I55" s="779" t="str">
        <f>IF($N$2="old tax regime","30%","20%")</f>
        <v>20%</v>
      </c>
      <c r="J55" s="780"/>
      <c r="K55" s="779" t="str">
        <f>IF($N$2="old tax regime","30%","20%")</f>
        <v>20%</v>
      </c>
      <c r="L55" s="780"/>
      <c r="M55" s="779" t="str">
        <f>IF($N$2="old tax regime","30%","20%")</f>
        <v>20%</v>
      </c>
      <c r="N55" s="781"/>
      <c r="O55" s="780"/>
      <c r="P55" s="56" t="s">
        <v>127</v>
      </c>
      <c r="Q55" s="73">
        <f>AA55</f>
        <v>21254</v>
      </c>
      <c r="R55" s="807"/>
      <c r="S55" s="379"/>
      <c r="T55" s="547"/>
      <c r="U55" s="547"/>
      <c r="V55" s="894"/>
      <c r="W55" s="96" t="s">
        <v>224</v>
      </c>
      <c r="X55" s="96">
        <f>IF(X54&gt;=7,($Q$48-300000)*0.05,IF(X54=0,0,20000))</f>
        <v>20000</v>
      </c>
      <c r="Y55" s="384">
        <f>IF(Y54&gt;=6,($Q$48-700000)*0.1,IF(Y54=0,0,30000))</f>
        <v>30000</v>
      </c>
      <c r="Z55" s="384">
        <f>IF(Z54&gt;=5,($Q$48-1000000)*0.15,IF(Z54=0,0,30000))</f>
        <v>30000</v>
      </c>
      <c r="AA55" s="305">
        <f>IF(AA54&gt;=4,ROUND(($Q$48-1200000)*0.2,0),IF(AA54=0,0,60000))</f>
        <v>21254</v>
      </c>
      <c r="AB55" s="305">
        <f>IF(OR(AC54&gt;=1,AD54&gt;=1,AB54=0),0,ROUND((Q48-1500000)*0.3,0))</f>
        <v>0</v>
      </c>
      <c r="AC55" s="380">
        <f>IF(OR(AD54&gt;=1,AC54=0),0,ROUND((Q48-1500000)*0.3,0))</f>
        <v>0</v>
      </c>
      <c r="AD55" s="131">
        <f>IF(AD54&gt;=1,ROUND(($Q$48-1500000)*0.3,0),0)</f>
        <v>0</v>
      </c>
      <c r="AE55" s="131">
        <f>IF(Q48&gt;20000000,AH55*0.25,IF(Q48&gt;10000000,AH55*0.15,IF(Q48&gt;5000000,AH55*0.1,0)))</f>
        <v>0</v>
      </c>
      <c r="AH55" s="384">
        <f>SUM(X55:AE55)</f>
        <v>101254</v>
      </c>
      <c r="AI55" s="96"/>
      <c r="AJ55" s="96">
        <f>IF(AND(AI53=1,AJ53&lt;=AH55),AJ53,IF(AND(AI53=2,AK53&lt;=AH58),AK53+1200000,IF(AND(AI53=3,AL53&lt;=AH59),AK53+2970000+AL55,0)))</f>
        <v>0</v>
      </c>
      <c r="AK55" s="96">
        <f>ROUND(AK53*0.3,0)</f>
        <v>0</v>
      </c>
      <c r="AL55" s="96">
        <f>ROUND(AL53*0.3,0)</f>
        <v>0</v>
      </c>
      <c r="AM55" s="131"/>
      <c r="AN55" s="131"/>
      <c r="AO55" s="131"/>
    </row>
    <row r="56" spans="1:41" ht="12" customHeight="1">
      <c r="A56" s="782"/>
      <c r="B56" s="821"/>
      <c r="C56" s="779" t="str">
        <f t="shared" ref="C56" si="5">IF($N$2="old tax regime","----","15,00,001 अथवा इससे ऊपर")</f>
        <v>15,00,001 अथवा इससे ऊपर</v>
      </c>
      <c r="D56" s="781"/>
      <c r="E56" s="781"/>
      <c r="F56" s="781"/>
      <c r="G56" s="781"/>
      <c r="H56" s="780"/>
      <c r="I56" s="779" t="str">
        <f t="shared" ref="I56" si="6">IF($N$2="old tax regime","----","30%")</f>
        <v>30%</v>
      </c>
      <c r="J56" s="780"/>
      <c r="K56" s="779" t="str">
        <f>IF($N$2="old tax regime","----","30%")</f>
        <v>30%</v>
      </c>
      <c r="L56" s="780"/>
      <c r="M56" s="779" t="str">
        <f>IF($N$2="old tax regime","----","30%")</f>
        <v>30%</v>
      </c>
      <c r="N56" s="781"/>
      <c r="O56" s="780"/>
      <c r="P56" s="56" t="s">
        <v>127</v>
      </c>
      <c r="Q56" s="73">
        <f>SUM(AB55:AD55)</f>
        <v>0</v>
      </c>
      <c r="R56" s="807"/>
      <c r="S56" s="379"/>
      <c r="T56" s="547"/>
      <c r="U56" s="547"/>
      <c r="V56" s="894"/>
      <c r="W56" s="96"/>
      <c r="X56" s="96"/>
      <c r="Y56" s="96"/>
      <c r="Z56" s="96"/>
      <c r="AA56" s="305"/>
      <c r="AB56" s="305"/>
      <c r="AC56" s="380"/>
      <c r="AH56" s="384">
        <f>IF(AH55&lt;25000,0,25000)</f>
        <v>25000</v>
      </c>
      <c r="AI56" s="96"/>
      <c r="AJ56" s="96"/>
      <c r="AK56" s="96"/>
      <c r="AL56" s="131"/>
      <c r="AM56" s="131"/>
      <c r="AN56" s="131"/>
      <c r="AO56" s="131"/>
    </row>
    <row r="57" spans="1:41" ht="14.25" customHeight="1">
      <c r="A57" s="782"/>
      <c r="B57" s="821"/>
      <c r="C57" s="789" t="str">
        <f>IF(Q48&lt;5000000,"","Marginal Relief से पूर्व अधिभार (Surcharge)")</f>
        <v/>
      </c>
      <c r="D57" s="800"/>
      <c r="E57" s="800"/>
      <c r="F57" s="800"/>
      <c r="G57" s="800"/>
      <c r="H57" s="800"/>
      <c r="I57" s="800"/>
      <c r="J57" s="800"/>
      <c r="K57" s="800"/>
      <c r="L57" s="800"/>
      <c r="M57" s="800"/>
      <c r="N57" s="800"/>
      <c r="O57" s="801"/>
      <c r="P57" s="56" t="str">
        <f>IF(Q48&lt;5000000,"","Rs.")</f>
        <v/>
      </c>
      <c r="Q57" s="386" t="str">
        <f>IF(Q48&lt;5000000,"",ROUND(AE55,0))</f>
        <v/>
      </c>
      <c r="R57" s="807"/>
      <c r="S57" s="379"/>
      <c r="T57" s="547"/>
      <c r="U57" s="547"/>
      <c r="V57" s="894"/>
      <c r="W57" s="96"/>
      <c r="X57" s="96"/>
      <c r="Y57" s="96"/>
      <c r="Z57" s="96"/>
      <c r="AA57" s="380"/>
      <c r="AB57" s="380"/>
      <c r="AC57" s="380"/>
      <c r="AD57" s="380"/>
      <c r="AH57" s="384"/>
      <c r="AI57" s="96"/>
      <c r="AJ57" s="96"/>
      <c r="AK57" s="96"/>
      <c r="AL57" s="380"/>
      <c r="AM57" s="380"/>
      <c r="AN57" s="380"/>
      <c r="AO57" s="380"/>
    </row>
    <row r="58" spans="1:41" ht="14.25" customHeight="1">
      <c r="A58" s="782"/>
      <c r="B58" s="821"/>
      <c r="C58" s="877" t="s">
        <v>207</v>
      </c>
      <c r="D58" s="877"/>
      <c r="E58" s="877"/>
      <c r="F58" s="877"/>
      <c r="G58" s="877"/>
      <c r="H58" s="877"/>
      <c r="I58" s="877"/>
      <c r="J58" s="877"/>
      <c r="K58" s="877"/>
      <c r="L58" s="877"/>
      <c r="M58" s="877"/>
      <c r="N58" s="877"/>
      <c r="O58" s="877"/>
      <c r="P58" s="56" t="s">
        <v>127</v>
      </c>
      <c r="Q58" s="75">
        <f>ROUND(SUM(Q51:Q57),0)</f>
        <v>101254</v>
      </c>
      <c r="R58" s="807"/>
      <c r="S58" s="379"/>
      <c r="T58" s="547"/>
      <c r="U58" s="547"/>
      <c r="V58" s="894"/>
      <c r="X58" s="137"/>
      <c r="Y58" s="137"/>
      <c r="AH58" s="385">
        <f>IF(AH55&lt;1200000,0,AH55-1200000)</f>
        <v>0</v>
      </c>
      <c r="AI58" s="380"/>
      <c r="AJ58" s="381">
        <f>IF(AND(AJ55&gt;0,AI53=1),AJ55,IF(AND(AJ55&gt;0,AI53=2),AJ55,IF(AND(AJ55&gt;0,AI53=3),AJ55,AH55)))</f>
        <v>101254</v>
      </c>
    </row>
    <row r="59" spans="1:41" ht="14.25" hidden="1" customHeight="1">
      <c r="A59" s="782"/>
      <c r="B59" s="821"/>
      <c r="C59" s="878" t="s">
        <v>474</v>
      </c>
      <c r="D59" s="879"/>
      <c r="E59" s="879"/>
      <c r="F59" s="879"/>
      <c r="G59" s="879"/>
      <c r="H59" s="879"/>
      <c r="I59" s="879"/>
      <c r="J59" s="879"/>
      <c r="K59" s="879"/>
      <c r="L59" s="879"/>
      <c r="M59" s="879"/>
      <c r="N59" s="879"/>
      <c r="O59" s="879"/>
      <c r="P59" s="427" t="s">
        <v>127</v>
      </c>
      <c r="Q59" s="428">
        <f>IF(Q48&lt;=700000,Q58,0)</f>
        <v>0</v>
      </c>
      <c r="R59" s="807"/>
      <c r="S59" s="379"/>
      <c r="T59" s="547"/>
      <c r="U59" s="547"/>
      <c r="V59" s="894"/>
      <c r="AH59" s="385">
        <f>IF(AH55&lt;2970000,0,AH55-2970000)</f>
        <v>0</v>
      </c>
    </row>
    <row r="60" spans="1:41" ht="14.25" hidden="1" customHeight="1">
      <c r="A60" s="782"/>
      <c r="B60" s="821"/>
      <c r="C60" s="878" t="s">
        <v>542</v>
      </c>
      <c r="D60" s="879"/>
      <c r="E60" s="879"/>
      <c r="F60" s="879"/>
      <c r="G60" s="879"/>
      <c r="H60" s="879"/>
      <c r="I60" s="879"/>
      <c r="J60" s="879"/>
      <c r="K60" s="879"/>
      <c r="L60" s="879"/>
      <c r="M60" s="879"/>
      <c r="N60" s="879"/>
      <c r="O60" s="879"/>
      <c r="P60" s="427" t="s">
        <v>127</v>
      </c>
      <c r="Q60" s="428">
        <f>IF(AND(AI53=1,AJ55&gt;0),ROUND(Q58-AJ53,0),IF(AND(AI53=2,AJ55&gt;0),ROUND(AH58-AK53+Q63,0),IF(AND(AI53=3,AJ55&gt;0),ROUND(AH59-AL53+Q63,0),0)))</f>
        <v>0</v>
      </c>
      <c r="R60" s="807"/>
      <c r="S60" s="379"/>
      <c r="T60" s="547"/>
      <c r="U60" s="547"/>
      <c r="V60" s="894"/>
      <c r="X60" s="380"/>
      <c r="Y60" s="380"/>
      <c r="Z60" s="380"/>
      <c r="AA60" s="380"/>
      <c r="AB60" s="380"/>
      <c r="AC60" s="380"/>
      <c r="AD60" s="380"/>
      <c r="AH60" s="385"/>
    </row>
    <row r="61" spans="1:41" ht="26.25" customHeight="1">
      <c r="A61" s="782"/>
      <c r="B61" s="821"/>
      <c r="C61" s="802" t="s">
        <v>543</v>
      </c>
      <c r="D61" s="803"/>
      <c r="E61" s="803"/>
      <c r="F61" s="803"/>
      <c r="G61" s="803"/>
      <c r="H61" s="803"/>
      <c r="I61" s="803"/>
      <c r="J61" s="803"/>
      <c r="K61" s="803"/>
      <c r="L61" s="803"/>
      <c r="M61" s="803"/>
      <c r="N61" s="803"/>
      <c r="O61" s="803"/>
      <c r="P61" s="56" t="s">
        <v>127</v>
      </c>
      <c r="Q61" s="74">
        <f>SUM(Q59:Q60)</f>
        <v>0</v>
      </c>
      <c r="R61" s="807"/>
      <c r="S61" s="382"/>
      <c r="T61" s="547"/>
      <c r="U61" s="547"/>
      <c r="V61" s="894"/>
      <c r="X61" s="383"/>
      <c r="Y61" s="383"/>
      <c r="Z61" s="383"/>
      <c r="AA61" s="383"/>
      <c r="AB61" s="383"/>
      <c r="AC61" s="383"/>
      <c r="AD61" s="383"/>
      <c r="AH61" s="385"/>
    </row>
    <row r="62" spans="1:41" ht="14.25" customHeight="1">
      <c r="A62" s="782"/>
      <c r="B62" s="821"/>
      <c r="C62" s="877" t="s">
        <v>544</v>
      </c>
      <c r="D62" s="877"/>
      <c r="E62" s="877"/>
      <c r="F62" s="877"/>
      <c r="G62" s="877"/>
      <c r="H62" s="877"/>
      <c r="I62" s="877"/>
      <c r="J62" s="877"/>
      <c r="K62" s="877"/>
      <c r="L62" s="877"/>
      <c r="M62" s="877"/>
      <c r="N62" s="877"/>
      <c r="O62" s="877"/>
      <c r="P62" s="56" t="s">
        <v>127</v>
      </c>
      <c r="Q62" s="75">
        <f>ROUND(Q58-Q61,0)</f>
        <v>101254</v>
      </c>
      <c r="R62" s="807"/>
      <c r="S62" s="379"/>
      <c r="T62" s="547"/>
      <c r="U62" s="547"/>
      <c r="V62" s="894"/>
      <c r="Y62" s="164">
        <f>ROUND(Q47,-1)</f>
        <v>1306270</v>
      </c>
    </row>
    <row r="63" spans="1:41" ht="14.25" customHeight="1">
      <c r="A63" s="782"/>
      <c r="B63" s="821"/>
      <c r="C63" s="877" t="s">
        <v>548</v>
      </c>
      <c r="D63" s="877"/>
      <c r="E63" s="877"/>
      <c r="F63" s="877"/>
      <c r="G63" s="877"/>
      <c r="H63" s="877"/>
      <c r="I63" s="877"/>
      <c r="J63" s="877"/>
      <c r="K63" s="877"/>
      <c r="L63" s="877"/>
      <c r="M63" s="877"/>
      <c r="N63" s="877"/>
      <c r="O63" s="877"/>
      <c r="P63" s="56" t="s">
        <v>127</v>
      </c>
      <c r="Q63" s="75">
        <f>AE55</f>
        <v>0</v>
      </c>
      <c r="R63" s="807"/>
      <c r="S63" s="379"/>
      <c r="T63" s="547"/>
      <c r="U63" s="547"/>
      <c r="V63" s="894"/>
      <c r="X63" s="380"/>
      <c r="Y63" s="380"/>
      <c r="Z63" s="380"/>
      <c r="AA63" s="380"/>
      <c r="AB63" s="380"/>
      <c r="AC63" s="380"/>
      <c r="AD63" s="380"/>
    </row>
    <row r="64" spans="1:41" ht="14.25" customHeight="1">
      <c r="A64" s="782"/>
      <c r="B64" s="821"/>
      <c r="C64" s="895" t="s">
        <v>547</v>
      </c>
      <c r="D64" s="895"/>
      <c r="E64" s="895"/>
      <c r="F64" s="895"/>
      <c r="G64" s="895"/>
      <c r="H64" s="895"/>
      <c r="I64" s="895"/>
      <c r="J64" s="895"/>
      <c r="K64" s="895"/>
      <c r="L64" s="895"/>
      <c r="M64" s="895"/>
      <c r="N64" s="895"/>
      <c r="O64" s="895"/>
      <c r="P64" s="56" t="s">
        <v>127</v>
      </c>
      <c r="Q64" s="75">
        <f>SUM(Q62:Q63)</f>
        <v>101254</v>
      </c>
      <c r="R64" s="807"/>
      <c r="S64" s="379"/>
      <c r="T64" s="547"/>
      <c r="U64" s="547"/>
      <c r="V64" s="894"/>
      <c r="X64" s="380"/>
      <c r="Y64" s="380"/>
      <c r="Z64" s="380"/>
      <c r="AA64" s="380"/>
      <c r="AB64" s="380"/>
      <c r="AC64" s="380"/>
      <c r="AD64" s="380"/>
    </row>
    <row r="65" spans="1:30" ht="14.25" customHeight="1">
      <c r="A65" s="782"/>
      <c r="B65" s="821"/>
      <c r="C65" s="890" t="s">
        <v>545</v>
      </c>
      <c r="D65" s="890"/>
      <c r="E65" s="890"/>
      <c r="F65" s="890"/>
      <c r="G65" s="890"/>
      <c r="H65" s="890"/>
      <c r="I65" s="890"/>
      <c r="J65" s="890"/>
      <c r="K65" s="890"/>
      <c r="L65" s="890"/>
      <c r="M65" s="890"/>
      <c r="N65" s="890"/>
      <c r="O65" s="890"/>
      <c r="P65" s="56" t="s">
        <v>127</v>
      </c>
      <c r="Q65" s="74">
        <f>ROUND(Q64*0.04,0)</f>
        <v>4050</v>
      </c>
      <c r="R65" s="807"/>
      <c r="S65" s="379"/>
      <c r="T65" s="547"/>
      <c r="U65" s="547"/>
      <c r="V65" s="894"/>
    </row>
    <row r="66" spans="1:30" ht="12.75" customHeight="1">
      <c r="A66" s="782"/>
      <c r="B66" s="821"/>
      <c r="C66" s="891" t="s">
        <v>546</v>
      </c>
      <c r="D66" s="892"/>
      <c r="E66" s="892"/>
      <c r="F66" s="892"/>
      <c r="G66" s="892"/>
      <c r="H66" s="892"/>
      <c r="I66" s="892"/>
      <c r="J66" s="892"/>
      <c r="K66" s="892"/>
      <c r="L66" s="892"/>
      <c r="M66" s="892"/>
      <c r="N66" s="892"/>
      <c r="O66" s="893"/>
      <c r="P66" s="56" t="s">
        <v>127</v>
      </c>
      <c r="Q66" s="75">
        <f>SUM(Q64:Q65)</f>
        <v>105304</v>
      </c>
      <c r="R66" s="807"/>
      <c r="S66" s="379"/>
      <c r="T66" s="547"/>
      <c r="U66" s="547"/>
      <c r="V66" s="894"/>
      <c r="X66" s="137"/>
      <c r="Y66" s="137"/>
    </row>
    <row r="67" spans="1:30" ht="14.25" customHeight="1">
      <c r="A67" s="782"/>
      <c r="B67" s="104">
        <v>17</v>
      </c>
      <c r="C67" s="825" t="s">
        <v>212</v>
      </c>
      <c r="D67" s="825"/>
      <c r="E67" s="825"/>
      <c r="F67" s="825"/>
      <c r="G67" s="825"/>
      <c r="H67" s="825"/>
      <c r="I67" s="825"/>
      <c r="J67" s="825"/>
      <c r="K67" s="825"/>
      <c r="L67" s="825"/>
      <c r="M67" s="825"/>
      <c r="N67" s="825"/>
      <c r="O67" s="825"/>
      <c r="P67" s="56" t="s">
        <v>127</v>
      </c>
      <c r="Q67" s="74">
        <f>'Exemp.(HRA+Other) &amp; Other incom'!Q26</f>
        <v>0</v>
      </c>
      <c r="R67" s="807"/>
      <c r="S67" s="379"/>
      <c r="T67" s="547"/>
      <c r="U67" s="547"/>
      <c r="V67" s="894"/>
    </row>
    <row r="68" spans="1:30" ht="14.25" customHeight="1">
      <c r="A68" s="782"/>
      <c r="B68" s="792">
        <v>18</v>
      </c>
      <c r="C68" s="876" t="s">
        <v>213</v>
      </c>
      <c r="D68" s="876"/>
      <c r="E68" s="876"/>
      <c r="F68" s="876"/>
      <c r="G68" s="876"/>
      <c r="H68" s="876"/>
      <c r="I68" s="876"/>
      <c r="J68" s="876"/>
      <c r="K68" s="876"/>
      <c r="L68" s="876"/>
      <c r="M68" s="876"/>
      <c r="N68" s="876"/>
      <c r="O68" s="876"/>
      <c r="P68" s="56" t="s">
        <v>127</v>
      </c>
      <c r="Q68" s="75">
        <f>Q66-Q67</f>
        <v>105304</v>
      </c>
      <c r="R68" s="807"/>
      <c r="S68" s="379"/>
      <c r="T68" s="547"/>
      <c r="U68" s="547"/>
      <c r="V68" s="894"/>
    </row>
    <row r="69" spans="1:30" ht="14.25" customHeight="1" thickBot="1">
      <c r="A69" s="782"/>
      <c r="B69" s="875"/>
      <c r="C69" s="867" t="s">
        <v>214</v>
      </c>
      <c r="D69" s="867"/>
      <c r="E69" s="867"/>
      <c r="F69" s="867"/>
      <c r="G69" s="867"/>
      <c r="H69" s="867"/>
      <c r="I69" s="867"/>
      <c r="J69" s="867"/>
      <c r="K69" s="867"/>
      <c r="L69" s="867"/>
      <c r="M69" s="867"/>
      <c r="N69" s="867"/>
      <c r="O69" s="867"/>
      <c r="P69" s="60" t="s">
        <v>127</v>
      </c>
      <c r="Q69" s="72">
        <f>ROUND(Q68,-1)</f>
        <v>105300</v>
      </c>
      <c r="R69" s="807"/>
      <c r="S69" s="379"/>
      <c r="T69" s="547"/>
      <c r="U69" s="547"/>
      <c r="V69" s="894"/>
    </row>
    <row r="70" spans="1:30" ht="44.25" customHeight="1">
      <c r="A70" s="782"/>
      <c r="B70" s="917">
        <v>19</v>
      </c>
      <c r="C70" s="918" t="s">
        <v>159</v>
      </c>
      <c r="D70" s="921" t="s">
        <v>567</v>
      </c>
      <c r="E70" s="921"/>
      <c r="F70" s="921" t="s">
        <v>568</v>
      </c>
      <c r="G70" s="921"/>
      <c r="H70" s="921"/>
      <c r="I70" s="434" t="s">
        <v>569</v>
      </c>
      <c r="J70" s="434" t="s">
        <v>570</v>
      </c>
      <c r="K70" s="434" t="s">
        <v>571</v>
      </c>
      <c r="L70" s="434" t="s">
        <v>572</v>
      </c>
      <c r="M70" s="883" t="s">
        <v>215</v>
      </c>
      <c r="N70" s="883"/>
      <c r="O70" s="106" t="s">
        <v>216</v>
      </c>
      <c r="P70" s="884" t="s">
        <v>217</v>
      </c>
      <c r="Q70" s="885"/>
      <c r="R70" s="807"/>
      <c r="S70" s="379"/>
      <c r="T70" s="547"/>
      <c r="U70" s="547"/>
      <c r="V70" s="894"/>
      <c r="Z70" s="164"/>
    </row>
    <row r="71" spans="1:30" s="10" customFormat="1" ht="13.5" customHeight="1">
      <c r="A71" s="782"/>
      <c r="B71" s="792"/>
      <c r="C71" s="919"/>
      <c r="D71" s="886">
        <f>SUM('GA-55'!AA9:AA11)</f>
        <v>6000</v>
      </c>
      <c r="E71" s="886"/>
      <c r="F71" s="886">
        <f>SUM('GA-55'!AA12:AA14)</f>
        <v>6000</v>
      </c>
      <c r="G71" s="886"/>
      <c r="H71" s="886"/>
      <c r="I71" s="107">
        <f>SUM('GA-55'!AA15:AA17)</f>
        <v>6000</v>
      </c>
      <c r="J71" s="107">
        <f>'GA-55'!AA18</f>
        <v>2000</v>
      </c>
      <c r="K71" s="107">
        <f>'GA-55'!AA19</f>
        <v>2000</v>
      </c>
      <c r="L71" s="107">
        <f>'GA-55'!AA20</f>
        <v>2000</v>
      </c>
      <c r="M71" s="886">
        <f>SUM('GA-55'!AA21:AA30)</f>
        <v>0</v>
      </c>
      <c r="N71" s="887"/>
      <c r="O71" s="107">
        <f>'Basic Data'!N19</f>
        <v>0</v>
      </c>
      <c r="P71" s="92" t="s">
        <v>127</v>
      </c>
      <c r="Q71" s="93">
        <f>SUM(D71:O71)</f>
        <v>24000</v>
      </c>
      <c r="R71" s="807"/>
      <c r="S71" s="379"/>
      <c r="T71" s="547"/>
      <c r="U71" s="547"/>
      <c r="V71" s="894"/>
      <c r="X71" s="131"/>
      <c r="Y71" s="131"/>
      <c r="Z71" s="131"/>
      <c r="AA71" s="131"/>
      <c r="AB71" s="131"/>
      <c r="AC71" s="131"/>
      <c r="AD71" s="131"/>
    </row>
    <row r="72" spans="1:30" ht="21" customHeight="1" thickBot="1">
      <c r="A72" s="782"/>
      <c r="B72" s="875"/>
      <c r="C72" s="920"/>
      <c r="D72" s="888" t="s">
        <v>552</v>
      </c>
      <c r="E72" s="889"/>
      <c r="F72" s="889"/>
      <c r="G72" s="889"/>
      <c r="H72" s="889"/>
      <c r="I72" s="889"/>
      <c r="J72" s="889"/>
      <c r="K72" s="889"/>
      <c r="L72" s="914" t="str">
        <f>IF(Q71&gt;Q69,"(Refundable)","(Payble)")</f>
        <v>(Payble)</v>
      </c>
      <c r="M72" s="914"/>
      <c r="N72" s="914"/>
      <c r="O72" s="914"/>
      <c r="P72" s="60" t="s">
        <v>127</v>
      </c>
      <c r="Q72" s="72">
        <f>Q71-Q69</f>
        <v>-81300</v>
      </c>
      <c r="R72" s="807"/>
      <c r="S72" s="379"/>
      <c r="T72" s="547"/>
      <c r="U72" s="547"/>
      <c r="V72" s="894"/>
    </row>
    <row r="73" spans="1:30" ht="9.75" customHeight="1">
      <c r="A73" s="782"/>
      <c r="B73" s="915" t="str">
        <f>'GA-55'!B32</f>
        <v>Siganture of Employee(a)</v>
      </c>
      <c r="C73" s="915"/>
      <c r="D73" s="915"/>
      <c r="E73" s="915"/>
      <c r="F73" s="915"/>
      <c r="G73" s="915"/>
      <c r="H73" s="915"/>
      <c r="I73" s="915"/>
      <c r="J73" s="915"/>
      <c r="K73" s="915" t="str">
        <f>'GA-55'!P32</f>
        <v>Signature of DDO ()</v>
      </c>
      <c r="L73" s="915"/>
      <c r="M73" s="915"/>
      <c r="N73" s="915"/>
      <c r="O73" s="915"/>
      <c r="P73" s="915"/>
      <c r="Q73" s="915"/>
      <c r="R73" s="807"/>
      <c r="S73" s="379"/>
      <c r="T73" s="547"/>
      <c r="U73" s="547"/>
      <c r="V73" s="894"/>
    </row>
    <row r="74" spans="1:30" ht="25.5" customHeight="1">
      <c r="A74" s="782"/>
      <c r="B74" s="916"/>
      <c r="C74" s="916"/>
      <c r="D74" s="916"/>
      <c r="E74" s="916"/>
      <c r="F74" s="916"/>
      <c r="G74" s="916"/>
      <c r="H74" s="916"/>
      <c r="I74" s="916"/>
      <c r="J74" s="916"/>
      <c r="K74" s="916"/>
      <c r="L74" s="916"/>
      <c r="M74" s="916"/>
      <c r="N74" s="916"/>
      <c r="O74" s="916"/>
      <c r="P74" s="916"/>
      <c r="Q74" s="916"/>
      <c r="R74" s="807"/>
      <c r="S74" s="379"/>
      <c r="T74" s="547"/>
      <c r="U74" s="547"/>
      <c r="V74" s="894"/>
    </row>
    <row r="75" spans="1:30" ht="6.75" customHeight="1">
      <c r="T75" s="547"/>
      <c r="U75" s="547"/>
      <c r="V75" s="894"/>
    </row>
  </sheetData>
  <sheetProtection password="E8FA" sheet="1" objects="1" scenarios="1" formatCells="0" formatColumns="0" selectLockedCells="1"/>
  <mergeCells count="158">
    <mergeCell ref="T1:U1"/>
    <mergeCell ref="V1:V75"/>
    <mergeCell ref="C63:O63"/>
    <mergeCell ref="C64:O64"/>
    <mergeCell ref="C60:O60"/>
    <mergeCell ref="C57:O57"/>
    <mergeCell ref="X8:Z10"/>
    <mergeCell ref="X12:Z14"/>
    <mergeCell ref="T16:U75"/>
    <mergeCell ref="T2:U7"/>
    <mergeCell ref="T8:T10"/>
    <mergeCell ref="T12:T14"/>
    <mergeCell ref="U8:U10"/>
    <mergeCell ref="U12:U14"/>
    <mergeCell ref="S8:S10"/>
    <mergeCell ref="S12:S14"/>
    <mergeCell ref="T15:U15"/>
    <mergeCell ref="L72:O72"/>
    <mergeCell ref="B73:J74"/>
    <mergeCell ref="K73:Q74"/>
    <mergeCell ref="B70:B72"/>
    <mergeCell ref="C70:C72"/>
    <mergeCell ref="D70:E70"/>
    <mergeCell ref="F70:H70"/>
    <mergeCell ref="M70:N70"/>
    <mergeCell ref="P70:Q70"/>
    <mergeCell ref="D71:E71"/>
    <mergeCell ref="F71:H71"/>
    <mergeCell ref="M71:N71"/>
    <mergeCell ref="D72:K72"/>
    <mergeCell ref="C62:O62"/>
    <mergeCell ref="C65:O65"/>
    <mergeCell ref="C66:O66"/>
    <mergeCell ref="C67:O67"/>
    <mergeCell ref="B68:B69"/>
    <mergeCell ref="C68:O68"/>
    <mergeCell ref="C69:O69"/>
    <mergeCell ref="C58:O58"/>
    <mergeCell ref="C59:O59"/>
    <mergeCell ref="B49:B66"/>
    <mergeCell ref="C52:H52"/>
    <mergeCell ref="I52:J52"/>
    <mergeCell ref="K52:L52"/>
    <mergeCell ref="M52:O52"/>
    <mergeCell ref="C53:H53"/>
    <mergeCell ref="I53:J53"/>
    <mergeCell ref="K53:L53"/>
    <mergeCell ref="M53:O53"/>
    <mergeCell ref="C54:H54"/>
    <mergeCell ref="I54:J54"/>
    <mergeCell ref="K54:L54"/>
    <mergeCell ref="M54:O54"/>
    <mergeCell ref="C55:H55"/>
    <mergeCell ref="I55:J55"/>
    <mergeCell ref="K55:L55"/>
    <mergeCell ref="M55:O55"/>
    <mergeCell ref="C56:H56"/>
    <mergeCell ref="I56:J56"/>
    <mergeCell ref="C46:O46"/>
    <mergeCell ref="C47:O47"/>
    <mergeCell ref="C48:O48"/>
    <mergeCell ref="C49:Q49"/>
    <mergeCell ref="C50:H50"/>
    <mergeCell ref="I50:J50"/>
    <mergeCell ref="K50:L50"/>
    <mergeCell ref="M50:O50"/>
    <mergeCell ref="C51:H51"/>
    <mergeCell ref="I51:J51"/>
    <mergeCell ref="K51:L51"/>
    <mergeCell ref="M51:O51"/>
    <mergeCell ref="K30:M30"/>
    <mergeCell ref="B36:B45"/>
    <mergeCell ref="C36:Q36"/>
    <mergeCell ref="C45:O45"/>
    <mergeCell ref="C37:O38"/>
    <mergeCell ref="P37:P38"/>
    <mergeCell ref="Q37:Q38"/>
    <mergeCell ref="C39:O40"/>
    <mergeCell ref="P39:P40"/>
    <mergeCell ref="Q39:Q40"/>
    <mergeCell ref="C41:O42"/>
    <mergeCell ref="P41:P42"/>
    <mergeCell ref="Q41:Q42"/>
    <mergeCell ref="C43:O44"/>
    <mergeCell ref="P43:P44"/>
    <mergeCell ref="Q43:Q44"/>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R1:R74"/>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K56:L56"/>
    <mergeCell ref="M56:O56"/>
    <mergeCell ref="A1:A74"/>
    <mergeCell ref="B1:Q1"/>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C61:O61"/>
    <mergeCell ref="D25:G25"/>
    <mergeCell ref="K25:M25"/>
    <mergeCell ref="D26:G26"/>
  </mergeCells>
  <conditionalFormatting sqref="L72:O72">
    <cfRule type="cellIs" dxfId="47" priority="12" operator="equal">
      <formula>"(Payble)"</formula>
    </cfRule>
    <cfRule type="cellIs" dxfId="46" priority="13" operator="equal">
      <formula>"(Refundable)"</formula>
    </cfRule>
  </conditionalFormatting>
  <conditionalFormatting sqref="Q72">
    <cfRule type="cellIs" dxfId="45" priority="10" operator="lessThan">
      <formula>0</formula>
    </cfRule>
    <cfRule type="cellIs" dxfId="44" priority="11" operator="greaterThan">
      <formula>0</formula>
    </cfRule>
  </conditionalFormatting>
  <conditionalFormatting sqref="P55:P57">
    <cfRule type="expression" dxfId="43" priority="9">
      <formula>$C55="----"</formula>
    </cfRule>
  </conditionalFormatting>
  <conditionalFormatting sqref="S8:U14">
    <cfRule type="expression" dxfId="42" priority="1">
      <formula>$S8="n"</formula>
    </cfRule>
    <cfRule type="expression" dxfId="41" priority="2">
      <formula>$S8="y"</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1" orientation="portrait" r:id="rId1"/>
</worksheet>
</file>

<file path=xl/worksheets/sheet6.xml><?xml version="1.0" encoding="utf-8"?>
<worksheet xmlns="http://schemas.openxmlformats.org/spreadsheetml/2006/main" xmlns:r="http://schemas.openxmlformats.org/officeDocument/2006/relationships">
  <sheetPr>
    <tabColor rgb="FF002060"/>
  </sheetPr>
  <dimension ref="A1:XFC72"/>
  <sheetViews>
    <sheetView showGridLines="0" showRowColHeaders="0" topLeftCell="A25" workbookViewId="0">
      <selection activeCell="Q5" sqref="Q5"/>
    </sheetView>
  </sheetViews>
  <sheetFormatPr defaultColWidth="0" defaultRowHeight="22.5"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12" width="12.42578125" style="18" customWidth="1"/>
    <col min="13" max="13" width="9.140625" style="18" customWidth="1"/>
    <col min="14" max="14" width="4.140625" style="18" customWidth="1"/>
    <col min="15" max="15" width="10.7109375" style="18" customWidth="1"/>
    <col min="16" max="16" width="3" style="18" customWidth="1"/>
    <col min="17" max="17" width="16.140625" style="18" customWidth="1"/>
    <col min="18" max="18" width="1.42578125" style="18" customWidth="1"/>
    <col min="19" max="19" width="6" style="18" hidden="1" customWidth="1"/>
    <col min="20" max="21" width="8.28515625" style="96" customWidth="1"/>
    <col min="22" max="22" width="7.140625" style="96" customWidth="1"/>
    <col min="23" max="23" width="1.140625" style="96" customWidth="1"/>
    <col min="24" max="24" width="12.85546875" style="96" customWidth="1"/>
    <col min="25" max="25" width="8.7109375" style="96" customWidth="1"/>
    <col min="26" max="26" width="4.42578125" style="96" customWidth="1"/>
    <col min="27" max="27" width="1.5703125" style="467" customWidth="1"/>
    <col min="28" max="30" width="7.140625" style="131" hidden="1"/>
    <col min="31" max="32" width="7.140625" style="1" hidden="1"/>
    <col min="33" max="37" width="13.85546875" style="1" hidden="1"/>
    <col min="38" max="16383" width="7.140625" style="1" hidden="1"/>
    <col min="16384" max="16384" width="3.5703125" style="1" hidden="1"/>
  </cols>
  <sheetData>
    <row r="1" spans="1:30" ht="21" customHeight="1" thickBot="1">
      <c r="A1" s="782"/>
      <c r="B1" s="783" t="str">
        <f>'Exemp.(HRA+Other) &amp; Other incom'!A1</f>
        <v>Office: Govt. Sr. School Raimalwada (DDO Code :-12345)</v>
      </c>
      <c r="C1" s="784"/>
      <c r="D1" s="784"/>
      <c r="E1" s="784"/>
      <c r="F1" s="784"/>
      <c r="G1" s="784"/>
      <c r="H1" s="784"/>
      <c r="I1" s="784"/>
      <c r="J1" s="784"/>
      <c r="K1" s="784"/>
      <c r="L1" s="784"/>
      <c r="M1" s="784"/>
      <c r="N1" s="784"/>
      <c r="O1" s="784"/>
      <c r="P1" s="784"/>
      <c r="Q1" s="785"/>
      <c r="R1" s="807"/>
      <c r="S1" s="102"/>
      <c r="T1" s="931"/>
      <c r="U1" s="931"/>
      <c r="V1" s="931"/>
      <c r="W1" s="931"/>
      <c r="X1" s="931"/>
      <c r="Y1" s="931"/>
      <c r="Z1" s="931"/>
    </row>
    <row r="2" spans="1:30" ht="21" customHeight="1" thickBot="1">
      <c r="A2" s="782"/>
      <c r="B2" s="963" t="str">
        <f>CONCATENATE("Income Tax Calculation F.Y.",":-", 'Basic Data'!Q6)</f>
        <v>Income Tax Calculation F.Y.:-2024-25</v>
      </c>
      <c r="C2" s="964"/>
      <c r="D2" s="964"/>
      <c r="E2" s="964"/>
      <c r="F2" s="964"/>
      <c r="G2" s="964"/>
      <c r="H2" s="964"/>
      <c r="I2" s="964"/>
      <c r="J2" s="964"/>
      <c r="K2" s="965" t="str">
        <f>CONCATENATE("(","A.Y.",":-",AC4,")")</f>
        <v>(A.Y.:-2025-26)</v>
      </c>
      <c r="L2" s="965"/>
      <c r="M2" s="966"/>
      <c r="N2" s="811" t="s">
        <v>226</v>
      </c>
      <c r="O2" s="812"/>
      <c r="P2" s="812"/>
      <c r="Q2" s="813"/>
      <c r="R2" s="807"/>
      <c r="S2" s="102"/>
      <c r="T2" s="935" t="s">
        <v>234</v>
      </c>
      <c r="U2" s="936"/>
      <c r="V2" s="936"/>
      <c r="W2" s="936"/>
      <c r="X2" s="936"/>
      <c r="Y2" s="936"/>
      <c r="Z2" s="937"/>
      <c r="AC2" s="131">
        <f>YEAR('GA-55'!C9)</f>
        <v>2024</v>
      </c>
      <c r="AD2" s="131">
        <f>AC2+1</f>
        <v>2025</v>
      </c>
    </row>
    <row r="3" spans="1:30" s="95" customFormat="1" ht="16.5" customHeight="1" thickBot="1">
      <c r="A3" s="782"/>
      <c r="B3" s="89">
        <v>1</v>
      </c>
      <c r="C3" s="814" t="s">
        <v>157</v>
      </c>
      <c r="D3" s="814"/>
      <c r="E3" s="815" t="str">
        <f>'GA-55'!F3</f>
        <v>a</v>
      </c>
      <c r="F3" s="815"/>
      <c r="G3" s="815"/>
      <c r="H3" s="815"/>
      <c r="I3" s="815"/>
      <c r="J3" s="815"/>
      <c r="K3" s="90" t="s">
        <v>158</v>
      </c>
      <c r="L3" s="816" t="str">
        <f>'GA-55'!P3</f>
        <v>Teacher</v>
      </c>
      <c r="M3" s="816"/>
      <c r="N3" s="816"/>
      <c r="O3" s="91" t="s">
        <v>91</v>
      </c>
      <c r="P3" s="817" t="str">
        <f>'GA-55'!F5</f>
        <v>ABCDE1234F</v>
      </c>
      <c r="Q3" s="818"/>
      <c r="R3" s="807"/>
      <c r="S3" s="102"/>
      <c r="T3" s="938"/>
      <c r="U3" s="939"/>
      <c r="V3" s="939"/>
      <c r="W3" s="939"/>
      <c r="X3" s="939"/>
      <c r="Y3" s="939"/>
      <c r="Z3" s="940"/>
      <c r="AA3" s="467"/>
      <c r="AB3" s="94"/>
      <c r="AC3" s="94">
        <f>YEAR('GA-55'!C19)</f>
        <v>2025</v>
      </c>
      <c r="AD3" s="94">
        <f>AC3+1-2000</f>
        <v>26</v>
      </c>
    </row>
    <row r="4" spans="1:30" ht="14.25" customHeight="1">
      <c r="A4" s="782"/>
      <c r="B4" s="103">
        <v>2</v>
      </c>
      <c r="C4" s="819" t="s">
        <v>566</v>
      </c>
      <c r="D4" s="819"/>
      <c r="E4" s="819"/>
      <c r="F4" s="819"/>
      <c r="G4" s="819"/>
      <c r="H4" s="819"/>
      <c r="I4" s="819"/>
      <c r="J4" s="819"/>
      <c r="K4" s="819"/>
      <c r="L4" s="819"/>
      <c r="M4" s="819"/>
      <c r="N4" s="819"/>
      <c r="O4" s="819"/>
      <c r="P4" s="64" t="s">
        <v>127</v>
      </c>
      <c r="Q4" s="88">
        <f>'GA-55'!O31</f>
        <v>1381266</v>
      </c>
      <c r="R4" s="807"/>
      <c r="S4" s="102"/>
      <c r="T4" s="938"/>
      <c r="U4" s="939"/>
      <c r="V4" s="939"/>
      <c r="W4" s="939"/>
      <c r="X4" s="939"/>
      <c r="Y4" s="939"/>
      <c r="Z4" s="940"/>
      <c r="AC4" s="131" t="str">
        <f>CONCATENATE(AD2,"-",AD3)</f>
        <v>2025-26</v>
      </c>
    </row>
    <row r="5" spans="1:30" ht="14.25" customHeight="1">
      <c r="A5" s="782"/>
      <c r="B5" s="104">
        <v>3</v>
      </c>
      <c r="C5" s="825" t="s">
        <v>166</v>
      </c>
      <c r="D5" s="825"/>
      <c r="E5" s="825"/>
      <c r="F5" s="825"/>
      <c r="G5" s="825"/>
      <c r="H5" s="825"/>
      <c r="I5" s="825"/>
      <c r="J5" s="825"/>
      <c r="K5" s="825"/>
      <c r="L5" s="825"/>
      <c r="M5" s="825"/>
      <c r="N5" s="825"/>
      <c r="O5" s="825"/>
      <c r="P5" s="56" t="s">
        <v>127</v>
      </c>
      <c r="Q5" s="476">
        <f>IF(N2="old tax regime",'Exemp.(HRA+Other) &amp; Other incom'!K4,0)</f>
        <v>0</v>
      </c>
      <c r="R5" s="807"/>
      <c r="S5" s="102"/>
      <c r="T5" s="938"/>
      <c r="U5" s="939"/>
      <c r="V5" s="939"/>
      <c r="W5" s="939"/>
      <c r="X5" s="939"/>
      <c r="Y5" s="939"/>
      <c r="Z5" s="940"/>
    </row>
    <row r="6" spans="1:30" ht="14.25" customHeight="1">
      <c r="A6" s="782"/>
      <c r="B6" s="104">
        <v>4</v>
      </c>
      <c r="C6" s="820" t="s">
        <v>160</v>
      </c>
      <c r="D6" s="820"/>
      <c r="E6" s="820"/>
      <c r="F6" s="820"/>
      <c r="G6" s="820"/>
      <c r="H6" s="820"/>
      <c r="I6" s="820"/>
      <c r="J6" s="820"/>
      <c r="K6" s="820"/>
      <c r="L6" s="820"/>
      <c r="M6" s="820"/>
      <c r="N6" s="820"/>
      <c r="O6" s="820"/>
      <c r="P6" s="56" t="s">
        <v>127</v>
      </c>
      <c r="Q6" s="81">
        <f>Q4-Q5</f>
        <v>1381266</v>
      </c>
      <c r="R6" s="807"/>
      <c r="S6" s="102"/>
      <c r="T6" s="938"/>
      <c r="U6" s="939"/>
      <c r="V6" s="939"/>
      <c r="W6" s="939"/>
      <c r="X6" s="939"/>
      <c r="Y6" s="939"/>
      <c r="Z6" s="940"/>
    </row>
    <row r="7" spans="1:30" ht="14.25" customHeight="1" thickBot="1">
      <c r="A7" s="782"/>
      <c r="B7" s="821">
        <v>5</v>
      </c>
      <c r="C7" s="825" t="s">
        <v>162</v>
      </c>
      <c r="D7" s="825"/>
      <c r="E7" s="825"/>
      <c r="F7" s="825"/>
      <c r="G7" s="825"/>
      <c r="H7" s="825"/>
      <c r="I7" s="825"/>
      <c r="J7" s="825"/>
      <c r="K7" s="825"/>
      <c r="L7" s="825"/>
      <c r="M7" s="797">
        <f>'Exemp.(HRA+Other) &amp; Other incom'!L13</f>
        <v>0</v>
      </c>
      <c r="N7" s="797"/>
      <c r="O7" s="797"/>
      <c r="P7" s="823"/>
      <c r="Q7" s="824"/>
      <c r="R7" s="807"/>
      <c r="S7" s="102"/>
      <c r="T7" s="941"/>
      <c r="U7" s="942"/>
      <c r="V7" s="942"/>
      <c r="W7" s="942"/>
      <c r="X7" s="942"/>
      <c r="Y7" s="942"/>
      <c r="Z7" s="943"/>
    </row>
    <row r="8" spans="1:30" ht="14.25" customHeight="1">
      <c r="A8" s="782"/>
      <c r="B8" s="821"/>
      <c r="C8" s="825" t="s">
        <v>163</v>
      </c>
      <c r="D8" s="825"/>
      <c r="E8" s="825"/>
      <c r="F8" s="825"/>
      <c r="G8" s="825"/>
      <c r="H8" s="825"/>
      <c r="I8" s="825"/>
      <c r="J8" s="825"/>
      <c r="K8" s="825"/>
      <c r="L8" s="825"/>
      <c r="M8" s="797">
        <f>'Exemp.(HRA+Other) &amp; Other incom'!L14</f>
        <v>0</v>
      </c>
      <c r="N8" s="797"/>
      <c r="O8" s="797"/>
      <c r="P8" s="823"/>
      <c r="Q8" s="824"/>
      <c r="R8" s="807"/>
      <c r="S8" s="945">
        <f>X8-X12</f>
        <v>80300</v>
      </c>
      <c r="T8" s="903" t="s">
        <v>235</v>
      </c>
      <c r="U8" s="922"/>
      <c r="V8" s="922"/>
      <c r="W8" s="922"/>
      <c r="X8" s="924">
        <f>'OLD REGIME'!Q64</f>
        <v>185600</v>
      </c>
      <c r="Y8" s="924"/>
      <c r="Z8" s="925"/>
    </row>
    <row r="9" spans="1:30" ht="14.25" customHeight="1">
      <c r="A9" s="782"/>
      <c r="B9" s="821"/>
      <c r="C9" s="825" t="s">
        <v>164</v>
      </c>
      <c r="D9" s="825"/>
      <c r="E9" s="825"/>
      <c r="F9" s="825"/>
      <c r="G9" s="825"/>
      <c r="H9" s="825"/>
      <c r="I9" s="825"/>
      <c r="J9" s="825"/>
      <c r="K9" s="825"/>
      <c r="L9" s="825"/>
      <c r="M9" s="797">
        <v>50000</v>
      </c>
      <c r="N9" s="797"/>
      <c r="O9" s="797"/>
      <c r="P9" s="56" t="s">
        <v>127</v>
      </c>
      <c r="Q9" s="76">
        <f>M7+M8+M9</f>
        <v>50000</v>
      </c>
      <c r="R9" s="807"/>
      <c r="S9" s="807"/>
      <c r="T9" s="904"/>
      <c r="U9" s="923"/>
      <c r="V9" s="923"/>
      <c r="W9" s="923"/>
      <c r="X9" s="926"/>
      <c r="Y9" s="926"/>
      <c r="Z9" s="927"/>
    </row>
    <row r="10" spans="1:30" ht="14.25" customHeight="1">
      <c r="A10" s="782"/>
      <c r="B10" s="104">
        <v>6</v>
      </c>
      <c r="C10" s="820" t="s">
        <v>165</v>
      </c>
      <c r="D10" s="820"/>
      <c r="E10" s="820"/>
      <c r="F10" s="820"/>
      <c r="G10" s="820"/>
      <c r="H10" s="820"/>
      <c r="I10" s="820"/>
      <c r="J10" s="820"/>
      <c r="K10" s="820"/>
      <c r="L10" s="820"/>
      <c r="M10" s="820"/>
      <c r="N10" s="820"/>
      <c r="O10" s="820"/>
      <c r="P10" s="56" t="s">
        <v>127</v>
      </c>
      <c r="Q10" s="81">
        <f>Q6-Q9</f>
        <v>1331266</v>
      </c>
      <c r="R10" s="807"/>
      <c r="S10" s="807"/>
      <c r="T10" s="904"/>
      <c r="U10" s="923"/>
      <c r="V10" s="923"/>
      <c r="W10" s="923"/>
      <c r="X10" s="926"/>
      <c r="Y10" s="926"/>
      <c r="Z10" s="927"/>
    </row>
    <row r="11" spans="1:30" ht="14.25" customHeight="1">
      <c r="A11" s="782"/>
      <c r="B11" s="821">
        <v>7</v>
      </c>
      <c r="C11" s="825" t="s">
        <v>167</v>
      </c>
      <c r="D11" s="825"/>
      <c r="E11" s="825"/>
      <c r="F11" s="825"/>
      <c r="G11" s="825"/>
      <c r="H11" s="825"/>
      <c r="I11" s="825"/>
      <c r="J11" s="825"/>
      <c r="K11" s="787" t="s">
        <v>168</v>
      </c>
      <c r="L11" s="787"/>
      <c r="M11" s="797">
        <f>'Exemp.(HRA+Other) &amp; Other incom'!L7</f>
        <v>0</v>
      </c>
      <c r="N11" s="797"/>
      <c r="O11" s="797"/>
      <c r="P11" s="787"/>
      <c r="Q11" s="826"/>
      <c r="R11" s="807"/>
      <c r="S11" s="102"/>
      <c r="T11" s="928"/>
      <c r="U11" s="929"/>
      <c r="V11" s="929"/>
      <c r="W11" s="929"/>
      <c r="X11" s="929"/>
      <c r="Y11" s="929"/>
      <c r="Z11" s="930"/>
    </row>
    <row r="12" spans="1:30" ht="14.25" customHeight="1">
      <c r="A12" s="782"/>
      <c r="B12" s="821"/>
      <c r="C12" s="786" t="s">
        <v>169</v>
      </c>
      <c r="D12" s="786"/>
      <c r="E12" s="787" t="s">
        <v>170</v>
      </c>
      <c r="F12" s="787"/>
      <c r="G12" s="787"/>
      <c r="H12" s="788" t="s">
        <v>171</v>
      </c>
      <c r="I12" s="788"/>
      <c r="J12" s="788"/>
      <c r="K12" s="787" t="s">
        <v>128</v>
      </c>
      <c r="L12" s="787"/>
      <c r="M12" s="796" t="s">
        <v>172</v>
      </c>
      <c r="N12" s="796"/>
      <c r="O12" s="796"/>
      <c r="P12" s="787"/>
      <c r="Q12" s="826"/>
      <c r="R12" s="807"/>
      <c r="S12" s="945">
        <f>X12-X8</f>
        <v>-80300</v>
      </c>
      <c r="T12" s="904" t="s">
        <v>236</v>
      </c>
      <c r="U12" s="923"/>
      <c r="V12" s="923"/>
      <c r="W12" s="923"/>
      <c r="X12" s="926">
        <f>'New Regime Calc. Report'!Q69</f>
        <v>105300</v>
      </c>
      <c r="Y12" s="926"/>
      <c r="Z12" s="927"/>
    </row>
    <row r="13" spans="1:30" ht="14.25" customHeight="1">
      <c r="A13" s="782"/>
      <c r="B13" s="821"/>
      <c r="C13" s="786"/>
      <c r="D13" s="786"/>
      <c r="E13" s="797">
        <f>IF(N2="old tax regime",ROUND(M11*0.3,0),0)</f>
        <v>0</v>
      </c>
      <c r="F13" s="797"/>
      <c r="G13" s="797"/>
      <c r="H13" s="797">
        <f>IF(N2="old tax regime",'Exemp.(HRA+Other) &amp; Other incom'!L17,0)</f>
        <v>0</v>
      </c>
      <c r="I13" s="797"/>
      <c r="J13" s="797"/>
      <c r="K13" s="797">
        <f>IF(N2="old tax regime",'Exemp.(HRA+Other) &amp; Other incom'!L15,0)</f>
        <v>0</v>
      </c>
      <c r="L13" s="797"/>
      <c r="M13" s="798">
        <f>E13+H13+K13</f>
        <v>0</v>
      </c>
      <c r="N13" s="798"/>
      <c r="O13" s="798"/>
      <c r="P13" s="787"/>
      <c r="Q13" s="826"/>
      <c r="R13" s="807"/>
      <c r="S13" s="807"/>
      <c r="T13" s="904"/>
      <c r="U13" s="923"/>
      <c r="V13" s="923"/>
      <c r="W13" s="923"/>
      <c r="X13" s="926"/>
      <c r="Y13" s="926"/>
      <c r="Z13" s="927"/>
    </row>
    <row r="14" spans="1:30" ht="18" customHeight="1">
      <c r="A14" s="782"/>
      <c r="B14" s="104"/>
      <c r="C14" s="799" t="s">
        <v>174</v>
      </c>
      <c r="D14" s="800"/>
      <c r="E14" s="800"/>
      <c r="F14" s="800"/>
      <c r="G14" s="800"/>
      <c r="H14" s="800"/>
      <c r="I14" s="800"/>
      <c r="J14" s="800"/>
      <c r="K14" s="800"/>
      <c r="L14" s="800"/>
      <c r="M14" s="800"/>
      <c r="N14" s="800"/>
      <c r="O14" s="801"/>
      <c r="P14" s="56" t="s">
        <v>127</v>
      </c>
      <c r="Q14" s="76">
        <f>M11-M13</f>
        <v>0</v>
      </c>
      <c r="R14" s="807"/>
      <c r="S14" s="807"/>
      <c r="T14" s="904"/>
      <c r="U14" s="923"/>
      <c r="V14" s="923"/>
      <c r="W14" s="923"/>
      <c r="X14" s="926"/>
      <c r="Y14" s="926"/>
      <c r="Z14" s="927"/>
    </row>
    <row r="15" spans="1:30" ht="15" customHeight="1" thickBot="1">
      <c r="A15" s="782"/>
      <c r="B15" s="104">
        <v>8</v>
      </c>
      <c r="C15" s="789" t="s">
        <v>173</v>
      </c>
      <c r="D15" s="790"/>
      <c r="E15" s="790"/>
      <c r="F15" s="790"/>
      <c r="G15" s="790"/>
      <c r="H15" s="790"/>
      <c r="I15" s="790"/>
      <c r="J15" s="790"/>
      <c r="K15" s="790"/>
      <c r="L15" s="790"/>
      <c r="M15" s="790"/>
      <c r="N15" s="790"/>
      <c r="O15" s="791"/>
      <c r="P15" s="56" t="s">
        <v>127</v>
      </c>
      <c r="Q15" s="81">
        <f>Q10+Q14</f>
        <v>1331266</v>
      </c>
      <c r="R15" s="807"/>
      <c r="S15" s="102"/>
      <c r="T15" s="932"/>
      <c r="U15" s="933"/>
      <c r="V15" s="933"/>
      <c r="W15" s="933"/>
      <c r="X15" s="933"/>
      <c r="Y15" s="933"/>
      <c r="Z15" s="934"/>
    </row>
    <row r="16" spans="1:30" ht="15" customHeight="1">
      <c r="A16" s="782"/>
      <c r="B16" s="792">
        <v>9</v>
      </c>
      <c r="C16" s="961" t="s">
        <v>155</v>
      </c>
      <c r="D16" s="109" t="s">
        <v>119</v>
      </c>
      <c r="E16" s="962" t="str">
        <f>'Exemp.(HRA+Other) &amp; Other incom'!B8</f>
        <v>अन्य आय (बैंक/एफडी में जमा ब्याज/अन्य ब्याज आदि का योग</v>
      </c>
      <c r="F16" s="825"/>
      <c r="G16" s="825"/>
      <c r="H16" s="825"/>
      <c r="I16" s="825"/>
      <c r="J16" s="825"/>
      <c r="K16" s="825"/>
      <c r="L16" s="825"/>
      <c r="M16" s="825"/>
      <c r="N16" s="825"/>
      <c r="O16" s="825"/>
      <c r="P16" s="56" t="s">
        <v>127</v>
      </c>
      <c r="Q16" s="76">
        <f>'Exemp.(HRA+Other) &amp; Other incom'!L8</f>
        <v>0</v>
      </c>
      <c r="R16" s="807"/>
      <c r="S16" s="102"/>
      <c r="T16" s="944"/>
      <c r="U16" s="944"/>
      <c r="V16" s="944"/>
      <c r="W16" s="944"/>
      <c r="X16" s="944"/>
      <c r="Y16" s="944"/>
      <c r="Z16" s="944"/>
    </row>
    <row r="17" spans="1:26" ht="15" customHeight="1">
      <c r="A17" s="782"/>
      <c r="B17" s="792"/>
      <c r="C17" s="961"/>
      <c r="D17" s="109" t="s">
        <v>120</v>
      </c>
      <c r="E17" s="962" t="str">
        <f>'Exemp.(HRA+Other) &amp; Other incom'!C9</f>
        <v>(-----------------------------------------------------)</v>
      </c>
      <c r="F17" s="825"/>
      <c r="G17" s="825"/>
      <c r="H17" s="825"/>
      <c r="I17" s="825"/>
      <c r="J17" s="825"/>
      <c r="K17" s="825"/>
      <c r="L17" s="825"/>
      <c r="M17" s="825"/>
      <c r="N17" s="825"/>
      <c r="O17" s="825"/>
      <c r="P17" s="69"/>
      <c r="Q17" s="76">
        <f>'Exemp.(HRA+Other) &amp; Other incom'!L9</f>
        <v>0</v>
      </c>
      <c r="R17" s="807"/>
      <c r="S17" s="102"/>
      <c r="T17" s="944"/>
      <c r="U17" s="944"/>
      <c r="V17" s="944"/>
      <c r="W17" s="944"/>
      <c r="X17" s="944"/>
      <c r="Y17" s="944"/>
      <c r="Z17" s="944"/>
    </row>
    <row r="18" spans="1:26" ht="15" customHeight="1">
      <c r="A18" s="782"/>
      <c r="B18" s="792"/>
      <c r="C18" s="961"/>
      <c r="D18" s="109" t="s">
        <v>121</v>
      </c>
      <c r="E18" s="962" t="str">
        <f>'Exemp.(HRA+Other) &amp; Other incom'!C10</f>
        <v>(-----------------------------------------------------)</v>
      </c>
      <c r="F18" s="825"/>
      <c r="G18" s="825"/>
      <c r="H18" s="825"/>
      <c r="I18" s="825"/>
      <c r="J18" s="825"/>
      <c r="K18" s="825"/>
      <c r="L18" s="825"/>
      <c r="M18" s="825"/>
      <c r="N18" s="825"/>
      <c r="O18" s="825"/>
      <c r="P18" s="69"/>
      <c r="Q18" s="76">
        <f>'Exemp.(HRA+Other) &amp; Other incom'!L10</f>
        <v>0</v>
      </c>
      <c r="R18" s="807"/>
      <c r="S18" s="102"/>
      <c r="T18" s="944"/>
      <c r="U18" s="944"/>
      <c r="V18" s="944"/>
      <c r="W18" s="944"/>
      <c r="X18" s="944"/>
      <c r="Y18" s="944"/>
      <c r="Z18" s="944"/>
    </row>
    <row r="19" spans="1:26" ht="15" customHeight="1" thickBot="1">
      <c r="A19" s="782"/>
      <c r="B19" s="105"/>
      <c r="C19" s="828" t="s">
        <v>175</v>
      </c>
      <c r="D19" s="828"/>
      <c r="E19" s="828"/>
      <c r="F19" s="828"/>
      <c r="G19" s="828"/>
      <c r="H19" s="828"/>
      <c r="I19" s="828"/>
      <c r="J19" s="828"/>
      <c r="K19" s="828"/>
      <c r="L19" s="828"/>
      <c r="M19" s="828"/>
      <c r="N19" s="828"/>
      <c r="O19" s="828"/>
      <c r="P19" s="70"/>
      <c r="Q19" s="86">
        <f>Q16+Q17+Q18</f>
        <v>0</v>
      </c>
      <c r="R19" s="807"/>
      <c r="S19" s="102"/>
      <c r="T19" s="944"/>
      <c r="U19" s="944"/>
      <c r="V19" s="944"/>
      <c r="W19" s="944"/>
      <c r="X19" s="944"/>
      <c r="Y19" s="944"/>
      <c r="Z19" s="944"/>
    </row>
    <row r="20" spans="1:26" ht="15" customHeight="1" thickBot="1">
      <c r="A20" s="782"/>
      <c r="B20" s="66">
        <v>10</v>
      </c>
      <c r="C20" s="829" t="s">
        <v>176</v>
      </c>
      <c r="D20" s="829"/>
      <c r="E20" s="829"/>
      <c r="F20" s="829"/>
      <c r="G20" s="829"/>
      <c r="H20" s="829"/>
      <c r="I20" s="829"/>
      <c r="J20" s="829"/>
      <c r="K20" s="829"/>
      <c r="L20" s="829"/>
      <c r="M20" s="829"/>
      <c r="N20" s="829"/>
      <c r="O20" s="829"/>
      <c r="P20" s="63" t="s">
        <v>127</v>
      </c>
      <c r="Q20" s="87">
        <f>Q15+Q19</f>
        <v>1331266</v>
      </c>
      <c r="R20" s="807"/>
      <c r="S20" s="102"/>
      <c r="T20" s="944"/>
      <c r="U20" s="944"/>
      <c r="V20" s="944"/>
      <c r="W20" s="944"/>
      <c r="X20" s="944"/>
      <c r="Y20" s="944"/>
      <c r="Z20" s="944"/>
    </row>
    <row r="21" spans="1:26" ht="15" customHeight="1">
      <c r="A21" s="782"/>
      <c r="B21" s="830">
        <v>11</v>
      </c>
      <c r="C21" s="953" t="s">
        <v>177</v>
      </c>
      <c r="D21" s="953"/>
      <c r="E21" s="953"/>
      <c r="F21" s="953"/>
      <c r="G21" s="953"/>
      <c r="H21" s="953"/>
      <c r="I21" s="953"/>
      <c r="J21" s="953"/>
      <c r="K21" s="953"/>
      <c r="L21" s="953"/>
      <c r="M21" s="953"/>
      <c r="N21" s="953"/>
      <c r="O21" s="953"/>
      <c r="P21" s="953"/>
      <c r="Q21" s="954"/>
      <c r="R21" s="807"/>
      <c r="S21" s="102"/>
      <c r="T21" s="944"/>
      <c r="U21" s="944"/>
      <c r="V21" s="944"/>
      <c r="W21" s="944"/>
      <c r="X21" s="944"/>
      <c r="Y21" s="944"/>
      <c r="Z21" s="944"/>
    </row>
    <row r="22" spans="1:26" ht="14.25" customHeight="1">
      <c r="A22" s="782"/>
      <c r="B22" s="821"/>
      <c r="C22" s="950" t="s">
        <v>178</v>
      </c>
      <c r="D22" s="950"/>
      <c r="E22" s="950"/>
      <c r="F22" s="950"/>
      <c r="G22" s="950"/>
      <c r="H22" s="950"/>
      <c r="I22" s="950"/>
      <c r="J22" s="950"/>
      <c r="K22" s="950"/>
      <c r="L22" s="950"/>
      <c r="M22" s="950"/>
      <c r="N22" s="950"/>
      <c r="O22" s="950"/>
      <c r="P22" s="950"/>
      <c r="Q22" s="955"/>
      <c r="R22" s="807"/>
      <c r="S22" s="102"/>
      <c r="T22" s="944"/>
      <c r="U22" s="944"/>
      <c r="V22" s="944"/>
      <c r="W22" s="944"/>
      <c r="X22" s="944"/>
      <c r="Y22" s="944"/>
      <c r="Z22" s="944"/>
    </row>
    <row r="23" spans="1:26" ht="14.25" customHeight="1">
      <c r="A23" s="782"/>
      <c r="B23" s="821"/>
      <c r="C23" s="109" t="s">
        <v>92</v>
      </c>
      <c r="D23" s="825" t="s">
        <v>179</v>
      </c>
      <c r="E23" s="825"/>
      <c r="F23" s="825"/>
      <c r="G23" s="825"/>
      <c r="H23" s="58" t="s">
        <v>127</v>
      </c>
      <c r="I23" s="83">
        <f>IF(N2="old tax regime",'GA-55'!Q31,0)</f>
        <v>60000</v>
      </c>
      <c r="J23" s="109" t="s">
        <v>93</v>
      </c>
      <c r="K23" s="946" t="s">
        <v>184</v>
      </c>
      <c r="L23" s="947"/>
      <c r="M23" s="948"/>
      <c r="N23" s="58" t="s">
        <v>127</v>
      </c>
      <c r="O23" s="83">
        <f>IF(N2="old tax regime",'Exemp.(HRA+Other) &amp; Other incom'!Q15,0)</f>
        <v>0</v>
      </c>
      <c r="P23" s="956"/>
      <c r="Q23" s="957"/>
      <c r="R23" s="807"/>
      <c r="S23" s="102"/>
      <c r="T23" s="944"/>
      <c r="U23" s="944"/>
      <c r="V23" s="944"/>
      <c r="W23" s="944"/>
      <c r="X23" s="944"/>
      <c r="Y23" s="944"/>
      <c r="Z23" s="944"/>
    </row>
    <row r="24" spans="1:26" ht="14.25" customHeight="1">
      <c r="A24" s="782"/>
      <c r="B24" s="821"/>
      <c r="C24" s="109" t="s">
        <v>94</v>
      </c>
      <c r="D24" s="825" t="s">
        <v>180</v>
      </c>
      <c r="E24" s="825"/>
      <c r="F24" s="825"/>
      <c r="G24" s="825"/>
      <c r="H24" s="58" t="s">
        <v>127</v>
      </c>
      <c r="I24" s="83">
        <f>IF(N2="old tax regime",'GA-55'!T31+'Exemp.(HRA+Other) &amp; Other incom'!L18,0)</f>
        <v>0</v>
      </c>
      <c r="J24" s="109" t="s">
        <v>95</v>
      </c>
      <c r="K24" s="946" t="s">
        <v>136</v>
      </c>
      <c r="L24" s="947"/>
      <c r="M24" s="948"/>
      <c r="N24" s="58" t="s">
        <v>127</v>
      </c>
      <c r="O24" s="84">
        <f>IF(N2="old tax regime",'Exemp.(HRA+Other) &amp; Other incom'!L23,0)</f>
        <v>0</v>
      </c>
      <c r="P24" s="956"/>
      <c r="Q24" s="957"/>
      <c r="R24" s="807"/>
      <c r="S24" s="102"/>
      <c r="T24" s="944"/>
      <c r="U24" s="944"/>
      <c r="V24" s="944"/>
      <c r="W24" s="944"/>
      <c r="X24" s="944"/>
      <c r="Y24" s="944"/>
      <c r="Z24" s="944"/>
    </row>
    <row r="25" spans="1:26" ht="14.25" customHeight="1">
      <c r="A25" s="782"/>
      <c r="B25" s="821"/>
      <c r="C25" s="109" t="s">
        <v>96</v>
      </c>
      <c r="D25" s="825" t="s">
        <v>135</v>
      </c>
      <c r="E25" s="825"/>
      <c r="F25" s="825"/>
      <c r="G25" s="825"/>
      <c r="H25" s="58" t="s">
        <v>127</v>
      </c>
      <c r="I25" s="83">
        <f>IF(N2="old tax regime",'Exemp.(HRA+Other) &amp; Other incom'!L22,0)</f>
        <v>0</v>
      </c>
      <c r="J25" s="109" t="s">
        <v>97</v>
      </c>
      <c r="K25" s="946" t="s">
        <v>133</v>
      </c>
      <c r="L25" s="947"/>
      <c r="M25" s="948"/>
      <c r="N25" s="58" t="s">
        <v>127</v>
      </c>
      <c r="O25" s="84">
        <f>IF(N2="old tax regime",'Exemp.(HRA+Other) &amp; Other incom'!L20,0)</f>
        <v>0</v>
      </c>
      <c r="P25" s="956"/>
      <c r="Q25" s="957"/>
      <c r="R25" s="807"/>
      <c r="S25" s="102"/>
      <c r="T25" s="944"/>
      <c r="U25" s="944"/>
      <c r="V25" s="944"/>
      <c r="W25" s="944"/>
      <c r="X25" s="944"/>
      <c r="Y25" s="944"/>
      <c r="Z25" s="944"/>
    </row>
    <row r="26" spans="1:26" ht="14.25" customHeight="1">
      <c r="A26" s="782"/>
      <c r="B26" s="821"/>
      <c r="C26" s="109" t="s">
        <v>98</v>
      </c>
      <c r="D26" s="825" t="s">
        <v>137</v>
      </c>
      <c r="E26" s="825"/>
      <c r="F26" s="825"/>
      <c r="G26" s="825"/>
      <c r="H26" s="58" t="s">
        <v>127</v>
      </c>
      <c r="I26" s="83">
        <f>IF(N2="old tax regime",'Exemp.(HRA+Other) &amp; Other incom'!L24,0)</f>
        <v>0</v>
      </c>
      <c r="J26" s="109" t="s">
        <v>99</v>
      </c>
      <c r="K26" s="958" t="s">
        <v>150</v>
      </c>
      <c r="L26" s="958"/>
      <c r="M26" s="958"/>
      <c r="N26" s="58" t="s">
        <v>127</v>
      </c>
      <c r="O26" s="83">
        <f>IF(N2="old tax regime",'Exemp.(HRA+Other) &amp; Other incom'!Q24,0)</f>
        <v>0</v>
      </c>
      <c r="P26" s="956"/>
      <c r="Q26" s="957"/>
      <c r="R26" s="807"/>
      <c r="S26" s="102"/>
      <c r="T26" s="944"/>
      <c r="U26" s="944"/>
      <c r="V26" s="944"/>
      <c r="W26" s="944"/>
      <c r="X26" s="944"/>
      <c r="Y26" s="944"/>
      <c r="Z26" s="944"/>
    </row>
    <row r="27" spans="1:26" ht="14.25" customHeight="1">
      <c r="A27" s="782"/>
      <c r="B27" s="821"/>
      <c r="C27" s="109" t="s">
        <v>100</v>
      </c>
      <c r="D27" s="825" t="s">
        <v>181</v>
      </c>
      <c r="E27" s="825"/>
      <c r="F27" s="825"/>
      <c r="G27" s="825"/>
      <c r="H27" s="58" t="s">
        <v>127</v>
      </c>
      <c r="I27" s="83">
        <f>IF(N2="old tax regime",'Exemp.(HRA+Other) &amp; Other incom'!L25,0)</f>
        <v>0</v>
      </c>
      <c r="J27" s="109" t="s">
        <v>101</v>
      </c>
      <c r="K27" s="946" t="s">
        <v>187</v>
      </c>
      <c r="L27" s="947"/>
      <c r="M27" s="948"/>
      <c r="N27" s="58" t="s">
        <v>127</v>
      </c>
      <c r="O27" s="83">
        <f>IF(N2="old tax regime",'Exemp.(HRA+Other) &amp; Other incom'!Q25,0)</f>
        <v>0</v>
      </c>
      <c r="P27" s="956"/>
      <c r="Q27" s="957"/>
      <c r="R27" s="807"/>
      <c r="S27" s="102"/>
      <c r="T27" s="944"/>
      <c r="U27" s="944"/>
      <c r="V27" s="944"/>
      <c r="W27" s="944"/>
      <c r="X27" s="944"/>
      <c r="Y27" s="944"/>
      <c r="Z27" s="944"/>
    </row>
    <row r="28" spans="1:26" ht="14.25" customHeight="1">
      <c r="A28" s="782"/>
      <c r="B28" s="821"/>
      <c r="C28" s="109" t="s">
        <v>102</v>
      </c>
      <c r="D28" s="786" t="s">
        <v>122</v>
      </c>
      <c r="E28" s="786"/>
      <c r="F28" s="786"/>
      <c r="G28" s="786"/>
      <c r="H28" s="58" t="s">
        <v>127</v>
      </c>
      <c r="I28" s="83">
        <f>IF(N2="old tax regime",'GA-55'!P31,0)</f>
        <v>50006</v>
      </c>
      <c r="J28" s="109" t="s">
        <v>103</v>
      </c>
      <c r="K28" s="958" t="s">
        <v>186</v>
      </c>
      <c r="L28" s="958"/>
      <c r="M28" s="958"/>
      <c r="N28" s="58" t="s">
        <v>127</v>
      </c>
      <c r="O28" s="83">
        <f>IF(N2="old tax regime",'Exemp.(HRA+Other) &amp; Other incom'!L19,0)</f>
        <v>0</v>
      </c>
      <c r="P28" s="956"/>
      <c r="Q28" s="957"/>
      <c r="R28" s="807"/>
      <c r="S28" s="102"/>
      <c r="T28" s="944"/>
      <c r="U28" s="944"/>
      <c r="V28" s="944"/>
      <c r="W28" s="944"/>
      <c r="X28" s="944"/>
      <c r="Y28" s="944"/>
      <c r="Z28" s="944"/>
    </row>
    <row r="29" spans="1:26" ht="14.25" customHeight="1">
      <c r="A29" s="782"/>
      <c r="B29" s="821"/>
      <c r="C29" s="109" t="s">
        <v>104</v>
      </c>
      <c r="D29" s="825" t="s">
        <v>182</v>
      </c>
      <c r="E29" s="825"/>
      <c r="F29" s="825"/>
      <c r="G29" s="825"/>
      <c r="H29" s="58" t="s">
        <v>127</v>
      </c>
      <c r="I29" s="84">
        <f>IF(N2="old tax regime",'GA-55'!U31,0)</f>
        <v>1400</v>
      </c>
      <c r="J29" s="109" t="s">
        <v>105</v>
      </c>
      <c r="K29" s="946" t="s">
        <v>140</v>
      </c>
      <c r="L29" s="947"/>
      <c r="M29" s="948"/>
      <c r="N29" s="58" t="s">
        <v>127</v>
      </c>
      <c r="O29" s="83">
        <f>IF(N2="old tax regime",'Exemp.(HRA+Other) &amp; Other incom'!Q14,0)</f>
        <v>0</v>
      </c>
      <c r="P29" s="956"/>
      <c r="Q29" s="957"/>
      <c r="R29" s="807"/>
      <c r="S29" s="102"/>
      <c r="T29" s="944"/>
      <c r="U29" s="944"/>
      <c r="V29" s="944"/>
      <c r="W29" s="944"/>
      <c r="X29" s="944"/>
      <c r="Y29" s="944"/>
      <c r="Z29" s="944"/>
    </row>
    <row r="30" spans="1:26" ht="14.25" customHeight="1">
      <c r="A30" s="782"/>
      <c r="B30" s="821"/>
      <c r="C30" s="109" t="s">
        <v>106</v>
      </c>
      <c r="D30" s="825" t="s">
        <v>134</v>
      </c>
      <c r="E30" s="825"/>
      <c r="F30" s="825"/>
      <c r="G30" s="825"/>
      <c r="H30" s="58" t="s">
        <v>127</v>
      </c>
      <c r="I30" s="84">
        <f>IF(N2="old tax regime",'Exemp.(HRA+Other) &amp; Other incom'!L21,0)</f>
        <v>0</v>
      </c>
      <c r="J30" s="109" t="s">
        <v>107</v>
      </c>
      <c r="K30" s="958" t="s">
        <v>185</v>
      </c>
      <c r="L30" s="958"/>
      <c r="M30" s="958"/>
      <c r="N30" s="58" t="s">
        <v>127</v>
      </c>
      <c r="O30" s="83">
        <f>IF(N2="old tax regime",'Exemp.(HRA+Other) &amp; Other incom'!L26,0)</f>
        <v>0</v>
      </c>
      <c r="P30" s="956"/>
      <c r="Q30" s="957"/>
      <c r="R30" s="807"/>
      <c r="S30" s="102"/>
      <c r="T30" s="944"/>
      <c r="U30" s="944"/>
      <c r="V30" s="944"/>
      <c r="W30" s="944"/>
      <c r="X30" s="944"/>
      <c r="Y30" s="944"/>
      <c r="Z30" s="944"/>
    </row>
    <row r="31" spans="1:26" ht="14.25" customHeight="1">
      <c r="A31" s="782"/>
      <c r="B31" s="821"/>
      <c r="C31" s="109" t="s">
        <v>108</v>
      </c>
      <c r="D31" s="952" t="s">
        <v>183</v>
      </c>
      <c r="E31" s="952"/>
      <c r="F31" s="952"/>
      <c r="G31" s="952"/>
      <c r="H31" s="58" t="s">
        <v>127</v>
      </c>
      <c r="I31" s="83">
        <f>IF(N2="old tax regime",'Exemp.(HRA+Other) &amp; Other incom'!L16,0)</f>
        <v>0</v>
      </c>
      <c r="J31" s="109" t="s">
        <v>109</v>
      </c>
      <c r="K31" s="959"/>
      <c r="L31" s="959"/>
      <c r="M31" s="959"/>
      <c r="N31" s="58" t="s">
        <v>127</v>
      </c>
      <c r="O31" s="223"/>
      <c r="P31" s="956"/>
      <c r="Q31" s="957"/>
      <c r="R31" s="807"/>
      <c r="S31" s="102"/>
      <c r="T31" s="944"/>
      <c r="U31" s="944"/>
      <c r="V31" s="944"/>
      <c r="W31" s="944"/>
      <c r="X31" s="944"/>
      <c r="Y31" s="944"/>
      <c r="Z31" s="944"/>
    </row>
    <row r="32" spans="1:26" ht="14.25" customHeight="1">
      <c r="A32" s="782"/>
      <c r="B32" s="821"/>
      <c r="C32" s="960" t="s">
        <v>188</v>
      </c>
      <c r="D32" s="960"/>
      <c r="E32" s="960"/>
      <c r="F32" s="960"/>
      <c r="G32" s="960"/>
      <c r="H32" s="960"/>
      <c r="I32" s="960"/>
      <c r="J32" s="960"/>
      <c r="K32" s="960"/>
      <c r="L32" s="960"/>
      <c r="M32" s="960"/>
      <c r="N32" s="58" t="s">
        <v>127</v>
      </c>
      <c r="O32" s="85">
        <f>SUM(O23:O31,I23:I31)</f>
        <v>111406</v>
      </c>
      <c r="P32" s="956"/>
      <c r="Q32" s="957"/>
      <c r="R32" s="807"/>
      <c r="S32" s="102"/>
      <c r="T32" s="944"/>
      <c r="U32" s="944"/>
      <c r="V32" s="944"/>
      <c r="W32" s="944"/>
      <c r="X32" s="944"/>
      <c r="Y32" s="944"/>
      <c r="Z32" s="944"/>
    </row>
    <row r="33" spans="1:40" ht="14.25" customHeight="1">
      <c r="A33" s="782"/>
      <c r="B33" s="821"/>
      <c r="C33" s="960" t="s">
        <v>189</v>
      </c>
      <c r="D33" s="960"/>
      <c r="E33" s="960"/>
      <c r="F33" s="960"/>
      <c r="G33" s="960"/>
      <c r="H33" s="960"/>
      <c r="I33" s="960"/>
      <c r="J33" s="960"/>
      <c r="K33" s="960"/>
      <c r="L33" s="960"/>
      <c r="M33" s="960"/>
      <c r="N33" s="960"/>
      <c r="O33" s="960"/>
      <c r="P33" s="68" t="s">
        <v>127</v>
      </c>
      <c r="Q33" s="81">
        <f>IF(N2="new tax regime",0,IF(O32&gt;=150000,150000,O32))</f>
        <v>111406</v>
      </c>
      <c r="R33" s="807"/>
      <c r="S33" s="102"/>
      <c r="T33" s="944"/>
      <c r="U33" s="944"/>
      <c r="V33" s="944"/>
      <c r="W33" s="944"/>
      <c r="X33" s="944"/>
      <c r="Y33" s="944"/>
      <c r="Z33" s="944"/>
    </row>
    <row r="34" spans="1:40" ht="22.5" customHeight="1">
      <c r="A34" s="782"/>
      <c r="B34" s="821"/>
      <c r="C34" s="950" t="s">
        <v>190</v>
      </c>
      <c r="D34" s="950"/>
      <c r="E34" s="950"/>
      <c r="F34" s="950"/>
      <c r="G34" s="950"/>
      <c r="H34" s="950"/>
      <c r="I34" s="950"/>
      <c r="J34" s="950"/>
      <c r="K34" s="950"/>
      <c r="L34" s="950"/>
      <c r="M34" s="950"/>
      <c r="N34" s="950"/>
      <c r="O34" s="950"/>
      <c r="P34" s="56" t="s">
        <v>127</v>
      </c>
      <c r="Q34" s="81">
        <f>IF(N2="old tax regime",'Exemp.(HRA+Other) &amp; Other incom'!Q16,0)</f>
        <v>0</v>
      </c>
      <c r="R34" s="807"/>
      <c r="S34" s="102"/>
      <c r="T34" s="944"/>
      <c r="U34" s="944"/>
      <c r="V34" s="944"/>
      <c r="W34" s="944"/>
      <c r="X34" s="944"/>
      <c r="Y34" s="944"/>
      <c r="Z34" s="944"/>
    </row>
    <row r="35" spans="1:40" ht="22.5" customHeight="1">
      <c r="A35" s="782"/>
      <c r="B35" s="821"/>
      <c r="C35" s="839" t="s">
        <v>192</v>
      </c>
      <c r="D35" s="839"/>
      <c r="E35" s="839"/>
      <c r="F35" s="839"/>
      <c r="G35" s="839"/>
      <c r="H35" s="839"/>
      <c r="I35" s="839"/>
      <c r="J35" s="839"/>
      <c r="K35" s="839"/>
      <c r="L35" s="839"/>
      <c r="M35" s="839"/>
      <c r="N35" s="839"/>
      <c r="O35" s="839"/>
      <c r="P35" s="57" t="s">
        <v>127</v>
      </c>
      <c r="Q35" s="82">
        <f>Q33+Q34</f>
        <v>111406</v>
      </c>
      <c r="R35" s="807"/>
      <c r="S35" s="102"/>
      <c r="T35" s="944"/>
      <c r="U35" s="944"/>
      <c r="V35" s="944"/>
      <c r="W35" s="944"/>
      <c r="X35" s="944"/>
      <c r="Y35" s="944"/>
      <c r="Z35" s="944"/>
    </row>
    <row r="36" spans="1:40" ht="14.25" customHeight="1">
      <c r="A36" s="782"/>
      <c r="B36" s="821">
        <v>12</v>
      </c>
      <c r="C36" s="842" t="s">
        <v>191</v>
      </c>
      <c r="D36" s="842"/>
      <c r="E36" s="842"/>
      <c r="F36" s="842"/>
      <c r="G36" s="842"/>
      <c r="H36" s="842"/>
      <c r="I36" s="842"/>
      <c r="J36" s="842"/>
      <c r="K36" s="842"/>
      <c r="L36" s="842"/>
      <c r="M36" s="842"/>
      <c r="N36" s="842"/>
      <c r="O36" s="842"/>
      <c r="P36" s="842"/>
      <c r="Q36" s="843"/>
      <c r="R36" s="807"/>
      <c r="S36" s="102"/>
      <c r="T36" s="944"/>
      <c r="U36" s="944"/>
      <c r="V36" s="944"/>
      <c r="W36" s="944"/>
      <c r="X36" s="944"/>
      <c r="Y36" s="944"/>
      <c r="Z36" s="944"/>
    </row>
    <row r="37" spans="1:40" ht="14.25" customHeight="1">
      <c r="A37" s="782"/>
      <c r="B37" s="821"/>
      <c r="C37" s="951" t="s">
        <v>219</v>
      </c>
      <c r="D37" s="951"/>
      <c r="E37" s="951"/>
      <c r="F37" s="951"/>
      <c r="G37" s="951"/>
      <c r="H37" s="951"/>
      <c r="I37" s="951"/>
      <c r="J37" s="951"/>
      <c r="K37" s="951"/>
      <c r="L37" s="951"/>
      <c r="M37" s="951"/>
      <c r="N37" s="951"/>
      <c r="O37" s="951"/>
      <c r="P37" s="56" t="s">
        <v>127</v>
      </c>
      <c r="Q37" s="76">
        <f>IF(N2="old tax regime",'Exemp.(HRA+Other) &amp; Other incom'!Q17,0)</f>
        <v>0</v>
      </c>
      <c r="R37" s="807"/>
      <c r="S37" s="102"/>
      <c r="T37" s="944"/>
      <c r="U37" s="944"/>
      <c r="V37" s="944"/>
      <c r="W37" s="944"/>
      <c r="X37" s="944"/>
      <c r="Y37" s="944"/>
      <c r="Z37" s="944"/>
    </row>
    <row r="38" spans="1:40" ht="14.25" customHeight="1">
      <c r="A38" s="782"/>
      <c r="B38" s="821"/>
      <c r="C38" s="825" t="s">
        <v>196</v>
      </c>
      <c r="D38" s="825"/>
      <c r="E38" s="825"/>
      <c r="F38" s="825"/>
      <c r="G38" s="825"/>
      <c r="H38" s="825"/>
      <c r="I38" s="825"/>
      <c r="J38" s="825"/>
      <c r="K38" s="825"/>
      <c r="L38" s="825"/>
      <c r="M38" s="825"/>
      <c r="N38" s="825"/>
      <c r="O38" s="825"/>
      <c r="P38" s="56" t="s">
        <v>127</v>
      </c>
      <c r="Q38" s="76">
        <f>IF(N2="old tax regime",'Exemp.(HRA+Other) &amp; Other incom'!Q18,0)</f>
        <v>0</v>
      </c>
      <c r="R38" s="807"/>
      <c r="S38" s="102"/>
      <c r="T38" s="944"/>
      <c r="U38" s="944"/>
      <c r="V38" s="944"/>
      <c r="W38" s="944"/>
      <c r="X38" s="944"/>
      <c r="Y38" s="944"/>
      <c r="Z38" s="944"/>
    </row>
    <row r="39" spans="1:40" ht="14.25" customHeight="1">
      <c r="A39" s="782"/>
      <c r="B39" s="821"/>
      <c r="C39" s="825" t="s">
        <v>193</v>
      </c>
      <c r="D39" s="825"/>
      <c r="E39" s="825"/>
      <c r="F39" s="825"/>
      <c r="G39" s="825"/>
      <c r="H39" s="825"/>
      <c r="I39" s="825"/>
      <c r="J39" s="825"/>
      <c r="K39" s="825"/>
      <c r="L39" s="825"/>
      <c r="M39" s="825"/>
      <c r="N39" s="825"/>
      <c r="O39" s="825"/>
      <c r="P39" s="56" t="s">
        <v>127</v>
      </c>
      <c r="Q39" s="76">
        <f>IF(N2="old tax regime",'Exemp.(HRA+Other) &amp; Other incom'!Q19,0)</f>
        <v>0</v>
      </c>
      <c r="R39" s="807"/>
      <c r="S39" s="102"/>
      <c r="T39" s="944"/>
      <c r="U39" s="944"/>
      <c r="V39" s="944"/>
      <c r="W39" s="944"/>
      <c r="X39" s="944"/>
      <c r="Y39" s="944"/>
      <c r="Z39" s="944"/>
    </row>
    <row r="40" spans="1:40" ht="14.25" customHeight="1">
      <c r="A40" s="782"/>
      <c r="B40" s="821"/>
      <c r="C40" s="825" t="s">
        <v>194</v>
      </c>
      <c r="D40" s="825"/>
      <c r="E40" s="825"/>
      <c r="F40" s="825"/>
      <c r="G40" s="825"/>
      <c r="H40" s="825"/>
      <c r="I40" s="825"/>
      <c r="J40" s="825"/>
      <c r="K40" s="825"/>
      <c r="L40" s="825"/>
      <c r="M40" s="825"/>
      <c r="N40" s="825"/>
      <c r="O40" s="825"/>
      <c r="P40" s="56" t="s">
        <v>127</v>
      </c>
      <c r="Q40" s="76">
        <f>IF(N2="old tax regime",'Exemp.(HRA+Other) &amp; Other incom'!Q20,0)</f>
        <v>0</v>
      </c>
      <c r="R40" s="807"/>
      <c r="S40" s="102"/>
      <c r="T40" s="944"/>
      <c r="U40" s="944"/>
      <c r="V40" s="944"/>
      <c r="W40" s="944"/>
      <c r="X40" s="944"/>
      <c r="Y40" s="944"/>
      <c r="Z40" s="944"/>
      <c r="AE40" s="96"/>
      <c r="AF40" s="96"/>
      <c r="AG40" s="96"/>
      <c r="AH40" s="96"/>
      <c r="AI40" s="96"/>
      <c r="AJ40" s="96"/>
      <c r="AK40" s="131"/>
      <c r="AL40" s="131"/>
      <c r="AM40" s="131"/>
      <c r="AN40" s="131"/>
    </row>
    <row r="41" spans="1:40" ht="14.25" customHeight="1">
      <c r="A41" s="782"/>
      <c r="B41" s="821"/>
      <c r="C41" s="825" t="s">
        <v>195</v>
      </c>
      <c r="D41" s="825"/>
      <c r="E41" s="825"/>
      <c r="F41" s="825"/>
      <c r="G41" s="825"/>
      <c r="H41" s="825"/>
      <c r="I41" s="825"/>
      <c r="J41" s="825"/>
      <c r="K41" s="825"/>
      <c r="L41" s="825"/>
      <c r="M41" s="825"/>
      <c r="N41" s="825"/>
      <c r="O41" s="825"/>
      <c r="P41" s="56" t="s">
        <v>127</v>
      </c>
      <c r="Q41" s="76">
        <f>IF(N2="old tax regime",'Exemp.(HRA+Other) &amp; Other incom'!Q21,0)</f>
        <v>0</v>
      </c>
      <c r="R41" s="807"/>
      <c r="S41" s="102"/>
      <c r="T41" s="944"/>
      <c r="U41" s="944"/>
      <c r="V41" s="944"/>
      <c r="W41" s="944"/>
      <c r="X41" s="944"/>
      <c r="Y41" s="944"/>
      <c r="Z41" s="944"/>
      <c r="AE41" s="96"/>
      <c r="AF41" s="96"/>
      <c r="AG41" s="96"/>
      <c r="AH41" s="96" t="s">
        <v>227</v>
      </c>
      <c r="AI41" s="96" t="s">
        <v>228</v>
      </c>
      <c r="AJ41" s="97" t="s">
        <v>229</v>
      </c>
      <c r="AK41" s="131" t="s">
        <v>230</v>
      </c>
      <c r="AL41" s="430"/>
      <c r="AM41" s="430" t="s">
        <v>540</v>
      </c>
      <c r="AN41" s="131"/>
    </row>
    <row r="42" spans="1:40" ht="14.25" customHeight="1">
      <c r="A42" s="782"/>
      <c r="B42" s="821"/>
      <c r="C42" s="951" t="s">
        <v>197</v>
      </c>
      <c r="D42" s="951"/>
      <c r="E42" s="951"/>
      <c r="F42" s="951"/>
      <c r="G42" s="951"/>
      <c r="H42" s="951"/>
      <c r="I42" s="951"/>
      <c r="J42" s="951"/>
      <c r="K42" s="951"/>
      <c r="L42" s="951"/>
      <c r="M42" s="951"/>
      <c r="N42" s="951"/>
      <c r="O42" s="951"/>
      <c r="P42" s="56" t="s">
        <v>127</v>
      </c>
      <c r="Q42" s="76">
        <f>IF(N2="old tax regime",'Exemp.(HRA+Other) &amp; Other incom'!Q22,0)</f>
        <v>0</v>
      </c>
      <c r="R42" s="807"/>
      <c r="S42" s="102"/>
      <c r="T42" s="944"/>
      <c r="U42" s="944"/>
      <c r="V42" s="944"/>
      <c r="W42" s="944"/>
      <c r="X42" s="944"/>
      <c r="Y42" s="944"/>
      <c r="Z42" s="944"/>
      <c r="AE42" s="96"/>
      <c r="AF42" s="96"/>
      <c r="AG42" s="96"/>
      <c r="AH42" s="96">
        <f>IF($Q$48&gt;1000000,1,IF($Q$48&gt;500000,2,IF($Q$48&gt;300000,3,IF($Q$48&gt;250000,4,0))))</f>
        <v>1</v>
      </c>
      <c r="AI42" s="96">
        <f>IF($Q$48&gt;1000000,1,IF($Q$48&gt;500000,2,IF($Q$48&gt;300000,3,0)))</f>
        <v>1</v>
      </c>
      <c r="AJ42" s="96">
        <f>IF($Q$48&gt;1000000,1,IF($Q$48&gt;500000,2,0))</f>
        <v>1</v>
      </c>
      <c r="AK42" s="131">
        <f>IF($Q$48&gt;1000000,1,0)</f>
        <v>1</v>
      </c>
      <c r="AL42" s="430"/>
      <c r="AM42" s="430"/>
      <c r="AN42" s="131"/>
    </row>
    <row r="43" spans="1:40" ht="14.25" customHeight="1">
      <c r="A43" s="782"/>
      <c r="B43" s="821"/>
      <c r="C43" s="952" t="s">
        <v>198</v>
      </c>
      <c r="D43" s="952"/>
      <c r="E43" s="952"/>
      <c r="F43" s="952"/>
      <c r="G43" s="952"/>
      <c r="H43" s="952"/>
      <c r="I43" s="952"/>
      <c r="J43" s="952"/>
      <c r="K43" s="952"/>
      <c r="L43" s="952"/>
      <c r="M43" s="952"/>
      <c r="N43" s="952"/>
      <c r="O43" s="952"/>
      <c r="P43" s="56" t="s">
        <v>127</v>
      </c>
      <c r="Q43" s="76">
        <f>IF(N2="old tax regime",'Exemp.(HRA+Other) &amp; Other incom'!Q13,0)</f>
        <v>0</v>
      </c>
      <c r="R43" s="807"/>
      <c r="S43" s="102"/>
      <c r="T43" s="944"/>
      <c r="U43" s="944"/>
      <c r="V43" s="944"/>
      <c r="W43" s="944"/>
      <c r="X43" s="944"/>
      <c r="Y43" s="944"/>
      <c r="Z43" s="944"/>
      <c r="AE43" s="96"/>
      <c r="AF43" s="96"/>
      <c r="AG43" s="96" t="s">
        <v>224</v>
      </c>
      <c r="AH43" s="96">
        <f>IF(AH42&gt;=1,2500,0)</f>
        <v>2500</v>
      </c>
      <c r="AI43" s="96">
        <f>IF(AI42=3,ROUND((Q48-300000)*0.05,0),IF(AI42=0,0,10000))</f>
        <v>10000</v>
      </c>
      <c r="AJ43" s="96">
        <f>IF($AJ$42=2,($Q$48-500000)*0.2,IF($AJ$42=1,100000,0))</f>
        <v>100000</v>
      </c>
      <c r="AK43" s="131">
        <f>IF($AK$42&gt;0,($Q$48-1000000)*0.3,0)</f>
        <v>65958</v>
      </c>
      <c r="AL43" s="430">
        <f>SUM(AH43:AK43)</f>
        <v>178458</v>
      </c>
      <c r="AM43" s="430">
        <f>IF($Q$48&gt;50000000,AL43*0.37,IF($Q$48&gt;20000000,AL43*0.25,IF($Q$48&gt;10000000,Y65*0.15,IF($Q$48&gt;5000000,Y65*0.1,0))))</f>
        <v>0</v>
      </c>
      <c r="AN43" s="131"/>
    </row>
    <row r="44" spans="1:40" ht="14.25" customHeight="1">
      <c r="A44" s="782"/>
      <c r="B44" s="821"/>
      <c r="C44" s="825" t="s">
        <v>199</v>
      </c>
      <c r="D44" s="825"/>
      <c r="E44" s="825"/>
      <c r="F44" s="825"/>
      <c r="G44" s="825"/>
      <c r="H44" s="825"/>
      <c r="I44" s="825"/>
      <c r="J44" s="825"/>
      <c r="K44" s="825"/>
      <c r="L44" s="825"/>
      <c r="M44" s="825"/>
      <c r="N44" s="825"/>
      <c r="O44" s="825"/>
      <c r="P44" s="56" t="s">
        <v>127</v>
      </c>
      <c r="Q44" s="76">
        <f>IF(N2="old tax regime",'Exemp.(HRA+Other) &amp; Other incom'!Q23,0)</f>
        <v>0</v>
      </c>
      <c r="R44" s="807"/>
      <c r="S44" s="102"/>
      <c r="T44" s="944"/>
      <c r="U44" s="944"/>
      <c r="V44" s="944"/>
      <c r="W44" s="944"/>
      <c r="X44" s="944"/>
      <c r="Y44" s="944"/>
      <c r="Z44" s="944"/>
      <c r="AE44" s="96"/>
      <c r="AF44" s="96"/>
      <c r="AG44" s="96" t="s">
        <v>123</v>
      </c>
      <c r="AH44" s="97">
        <v>0</v>
      </c>
      <c r="AI44" s="96">
        <f>IF(AI42=3,ROUND((Q48-300000)*0.05,0),IF(AI42=0,0,10000))</f>
        <v>10000</v>
      </c>
      <c r="AJ44" s="96">
        <f>IF($AJ$42=2,($Q$48-500000)*0.2,IF($AJ$42=1,100000,0))</f>
        <v>100000</v>
      </c>
      <c r="AK44" s="131">
        <f>IF($AK$42&gt;0,($Q$48-1000000)*0.3,0)</f>
        <v>65958</v>
      </c>
      <c r="AL44" s="430">
        <f t="shared" ref="AL44:AL45" si="0">SUM(AH44:AK44)</f>
        <v>175958</v>
      </c>
      <c r="AM44" s="430">
        <f>IF($Q$48&gt;50000000,AL44*0.37,IF($Q$48&gt;20000000,AL44*0.25,IF($Q$48&gt;10000000,Y66*0.15,IF($Q$48&gt;5000000,Y66*0.1,0))))</f>
        <v>0</v>
      </c>
      <c r="AN44" s="131"/>
    </row>
    <row r="45" spans="1:40" ht="12" customHeight="1" thickBot="1">
      <c r="A45" s="782"/>
      <c r="B45" s="841"/>
      <c r="C45" s="844" t="s">
        <v>200</v>
      </c>
      <c r="D45" s="844"/>
      <c r="E45" s="844"/>
      <c r="F45" s="844"/>
      <c r="G45" s="844"/>
      <c r="H45" s="844"/>
      <c r="I45" s="844"/>
      <c r="J45" s="844"/>
      <c r="K45" s="844"/>
      <c r="L45" s="844"/>
      <c r="M45" s="844"/>
      <c r="N45" s="844"/>
      <c r="O45" s="844"/>
      <c r="P45" s="59" t="s">
        <v>127</v>
      </c>
      <c r="Q45" s="77">
        <f>SUM(Q37:Q44)</f>
        <v>0</v>
      </c>
      <c r="R45" s="807"/>
      <c r="S45" s="102"/>
      <c r="T45" s="944"/>
      <c r="U45" s="944"/>
      <c r="V45" s="944"/>
      <c r="W45" s="944"/>
      <c r="X45" s="944"/>
      <c r="Y45" s="944"/>
      <c r="Z45" s="944"/>
      <c r="AE45" s="96"/>
      <c r="AF45" s="96"/>
      <c r="AG45" s="96" t="s">
        <v>223</v>
      </c>
      <c r="AH45" s="97">
        <v>0</v>
      </c>
      <c r="AI45" s="97">
        <v>0</v>
      </c>
      <c r="AJ45" s="96">
        <f>IF($AJ$42=2,($Q$48-500000)*0.2,IF($AJ$42=1,100000,0))</f>
        <v>100000</v>
      </c>
      <c r="AK45" s="131">
        <f>IF($AK$42&gt;0,($Q$48-1000000)*0.3,0)</f>
        <v>65958</v>
      </c>
      <c r="AL45" s="430">
        <f t="shared" si="0"/>
        <v>165958</v>
      </c>
      <c r="AM45" s="430">
        <f>IF($Q$48&gt;50000000,AL45*0.37,IF($Q$48&gt;20000000,AL45*0.25,IF($Q$48&gt;10000000,Y67*0.15,IF($Q$48&gt;5000000,Y67*0.1,0))))</f>
        <v>0</v>
      </c>
      <c r="AN45" s="131"/>
    </row>
    <row r="46" spans="1:40" ht="12" customHeight="1" thickBot="1">
      <c r="A46" s="782"/>
      <c r="B46" s="67">
        <v>13</v>
      </c>
      <c r="C46" s="865" t="s">
        <v>201</v>
      </c>
      <c r="D46" s="865"/>
      <c r="E46" s="865"/>
      <c r="F46" s="865"/>
      <c r="G46" s="865"/>
      <c r="H46" s="865"/>
      <c r="I46" s="865"/>
      <c r="J46" s="865"/>
      <c r="K46" s="865"/>
      <c r="L46" s="865"/>
      <c r="M46" s="865"/>
      <c r="N46" s="865"/>
      <c r="O46" s="865"/>
      <c r="P46" s="65" t="s">
        <v>127</v>
      </c>
      <c r="Q46" s="78">
        <f>Q35+Q45</f>
        <v>111406</v>
      </c>
      <c r="R46" s="807"/>
      <c r="S46" s="102"/>
      <c r="T46" s="944"/>
      <c r="U46" s="944"/>
      <c r="V46" s="944"/>
      <c r="W46" s="944"/>
      <c r="X46" s="944"/>
      <c r="Y46" s="944"/>
      <c r="Z46" s="944"/>
      <c r="AE46" s="96"/>
      <c r="AF46" s="96"/>
      <c r="AG46" s="96"/>
      <c r="AH46" s="96"/>
      <c r="AI46" s="96"/>
      <c r="AJ46" s="96"/>
      <c r="AK46" s="131"/>
      <c r="AL46" s="131"/>
      <c r="AM46" s="131"/>
      <c r="AN46" s="131"/>
    </row>
    <row r="47" spans="1:40" ht="13.5" customHeight="1">
      <c r="A47" s="782"/>
      <c r="B47" s="103">
        <v>14</v>
      </c>
      <c r="C47" s="866" t="s">
        <v>202</v>
      </c>
      <c r="D47" s="866"/>
      <c r="E47" s="866"/>
      <c r="F47" s="866"/>
      <c r="G47" s="866"/>
      <c r="H47" s="866"/>
      <c r="I47" s="866"/>
      <c r="J47" s="866"/>
      <c r="K47" s="866"/>
      <c r="L47" s="866"/>
      <c r="M47" s="866"/>
      <c r="N47" s="866"/>
      <c r="O47" s="866"/>
      <c r="P47" s="61" t="s">
        <v>127</v>
      </c>
      <c r="Q47" s="79">
        <f>Q20-Q46</f>
        <v>1219860</v>
      </c>
      <c r="R47" s="807"/>
      <c r="S47" s="102"/>
      <c r="T47" s="944"/>
      <c r="U47" s="944"/>
      <c r="V47" s="944"/>
      <c r="W47" s="944"/>
      <c r="X47" s="944"/>
      <c r="Y47" s="944"/>
      <c r="Z47" s="944"/>
      <c r="AE47" s="96"/>
      <c r="AF47" s="96"/>
      <c r="AG47" s="96"/>
      <c r="AH47" s="96"/>
      <c r="AI47" s="96"/>
      <c r="AJ47" s="96"/>
      <c r="AK47" s="131"/>
      <c r="AL47" s="131"/>
      <c r="AM47" s="131"/>
      <c r="AN47" s="131"/>
    </row>
    <row r="48" spans="1:40" ht="15.75" customHeight="1" thickBot="1">
      <c r="A48" s="782"/>
      <c r="B48" s="105">
        <v>15</v>
      </c>
      <c r="C48" s="867" t="s">
        <v>203</v>
      </c>
      <c r="D48" s="867"/>
      <c r="E48" s="867"/>
      <c r="F48" s="867"/>
      <c r="G48" s="867"/>
      <c r="H48" s="867"/>
      <c r="I48" s="867"/>
      <c r="J48" s="867"/>
      <c r="K48" s="867"/>
      <c r="L48" s="867"/>
      <c r="M48" s="867"/>
      <c r="N48" s="867"/>
      <c r="O48" s="867"/>
      <c r="P48" s="62" t="s">
        <v>127</v>
      </c>
      <c r="Q48" s="80">
        <f>ROUND(Q47,-1)</f>
        <v>1219860</v>
      </c>
      <c r="R48" s="807"/>
      <c r="S48" s="102"/>
      <c r="T48" s="944"/>
      <c r="U48" s="944"/>
      <c r="V48" s="944"/>
      <c r="W48" s="944"/>
      <c r="X48" s="944"/>
      <c r="Y48" s="944"/>
      <c r="Z48" s="944"/>
      <c r="AE48" s="96" t="str">
        <f>IF(N2="Old tax regime","O","N")</f>
        <v>O</v>
      </c>
      <c r="AF48" s="96" t="str">
        <f>'Basic Data'!Q10</f>
        <v>A</v>
      </c>
      <c r="AG48" s="96" t="str">
        <f>CONCATENATE(AE48,AF48)</f>
        <v>OA</v>
      </c>
      <c r="AH48" s="97"/>
      <c r="AI48" s="97"/>
      <c r="AJ48" s="97"/>
      <c r="AK48" s="131"/>
      <c r="AL48" s="131"/>
      <c r="AM48" s="131"/>
      <c r="AN48" s="131"/>
    </row>
    <row r="49" spans="1:40" ht="14.25" customHeight="1">
      <c r="A49" s="782"/>
      <c r="B49" s="830">
        <v>16</v>
      </c>
      <c r="C49" s="868" t="s">
        <v>204</v>
      </c>
      <c r="D49" s="868"/>
      <c r="E49" s="868"/>
      <c r="F49" s="868"/>
      <c r="G49" s="868"/>
      <c r="H49" s="868"/>
      <c r="I49" s="868"/>
      <c r="J49" s="868"/>
      <c r="K49" s="868"/>
      <c r="L49" s="868"/>
      <c r="M49" s="868"/>
      <c r="N49" s="868"/>
      <c r="O49" s="868"/>
      <c r="P49" s="868"/>
      <c r="Q49" s="869"/>
      <c r="R49" s="807"/>
      <c r="S49" s="102"/>
      <c r="T49" s="944"/>
      <c r="U49" s="944"/>
      <c r="V49" s="944"/>
      <c r="W49" s="944"/>
      <c r="X49" s="944"/>
      <c r="Y49" s="944"/>
      <c r="Z49" s="944"/>
      <c r="AE49" s="96"/>
      <c r="AF49" s="96"/>
      <c r="AG49" s="96"/>
      <c r="AH49" s="96"/>
      <c r="AI49" s="96"/>
      <c r="AJ49" s="96"/>
      <c r="AK49" s="131"/>
      <c r="AL49" s="131"/>
      <c r="AM49" s="131"/>
      <c r="AN49" s="131"/>
    </row>
    <row r="50" spans="1:40" ht="14.25" customHeight="1">
      <c r="A50" s="782"/>
      <c r="B50" s="821"/>
      <c r="C50" s="870" t="s">
        <v>469</v>
      </c>
      <c r="D50" s="871"/>
      <c r="E50" s="871"/>
      <c r="F50" s="871"/>
      <c r="G50" s="871"/>
      <c r="H50" s="872"/>
      <c r="I50" s="870" t="s">
        <v>205</v>
      </c>
      <c r="J50" s="871"/>
      <c r="K50" s="873" t="s">
        <v>206</v>
      </c>
      <c r="L50" s="874"/>
      <c r="M50" s="870" t="s">
        <v>468</v>
      </c>
      <c r="N50" s="871"/>
      <c r="O50" s="872"/>
      <c r="P50" s="108"/>
      <c r="Q50" s="71"/>
      <c r="R50" s="807"/>
      <c r="S50" s="102"/>
      <c r="T50" s="944"/>
      <c r="U50" s="944"/>
      <c r="V50" s="944"/>
      <c r="W50" s="944"/>
      <c r="X50" s="944"/>
      <c r="Y50" s="944"/>
      <c r="Z50" s="944"/>
      <c r="AE50" s="96"/>
      <c r="AF50" s="96"/>
      <c r="AG50" s="96"/>
      <c r="AH50" s="96"/>
      <c r="AI50" s="96"/>
      <c r="AJ50" s="96"/>
      <c r="AK50" s="131"/>
      <c r="AL50" s="131"/>
      <c r="AM50" s="131"/>
      <c r="AN50" s="131"/>
    </row>
    <row r="51" spans="1:40" ht="12" customHeight="1">
      <c r="A51" s="782"/>
      <c r="B51" s="821"/>
      <c r="C51" s="779" t="str">
        <f t="shared" ref="C51" si="1">IF($N$2="old tax regime","2,50,000 तक","3,00,000 तक")</f>
        <v>2,50,000 तक</v>
      </c>
      <c r="D51" s="781"/>
      <c r="E51" s="781"/>
      <c r="F51" s="781"/>
      <c r="G51" s="781"/>
      <c r="H51" s="780"/>
      <c r="I51" s="779" t="str">
        <f t="shared" ref="I51" si="2">IF($N$2="old tax regime","Nil","Nil")</f>
        <v>Nil</v>
      </c>
      <c r="J51" s="780"/>
      <c r="K51" s="779" t="str">
        <f t="shared" ref="K51" si="3">IF($N$2="old tax regime","Nil","Nil")</f>
        <v>Nil</v>
      </c>
      <c r="L51" s="780"/>
      <c r="M51" s="779" t="str">
        <f>IF($N$2="old tax regime","Nil","Nil")</f>
        <v>Nil</v>
      </c>
      <c r="N51" s="781"/>
      <c r="O51" s="780"/>
      <c r="P51" s="56" t="s">
        <v>127</v>
      </c>
      <c r="Q51" s="73">
        <v>0</v>
      </c>
      <c r="R51" s="807"/>
      <c r="S51" s="102"/>
      <c r="T51" s="944"/>
      <c r="U51" s="944"/>
      <c r="V51" s="944"/>
      <c r="W51" s="944"/>
      <c r="X51" s="944"/>
      <c r="Y51" s="944"/>
      <c r="Z51" s="944"/>
      <c r="AE51" s="96"/>
      <c r="AF51" s="96"/>
      <c r="AG51" s="96"/>
      <c r="AH51" s="96"/>
      <c r="AI51" s="96"/>
      <c r="AJ51" s="96"/>
      <c r="AK51" s="131"/>
      <c r="AL51" s="131"/>
      <c r="AM51" s="131"/>
      <c r="AN51" s="131"/>
    </row>
    <row r="52" spans="1:40" ht="21" customHeight="1">
      <c r="A52" s="782"/>
      <c r="B52" s="821"/>
      <c r="C52" s="779" t="str">
        <f>IF($N$2="old tax regime","2,50,001 से 3,00,000 तक","3,00,001 से 6,00,000 तक")</f>
        <v>2,50,001 से 3,00,000 तक</v>
      </c>
      <c r="D52" s="781"/>
      <c r="E52" s="781"/>
      <c r="F52" s="781"/>
      <c r="G52" s="781"/>
      <c r="H52" s="780"/>
      <c r="I52" s="880" t="str">
        <f t="shared" ref="I52" si="4">IF($N$2="old tax regime","5%","5% (With Tax Rebate Under Sec.87A)")</f>
        <v>5%</v>
      </c>
      <c r="J52" s="881"/>
      <c r="K52" s="880" t="str">
        <f>IF($N$2="old tax regime","Nil","5% (With Tax Rebate Under Sec.87A)")</f>
        <v>Nil</v>
      </c>
      <c r="L52" s="881"/>
      <c r="M52" s="880" t="str">
        <f>IF($N$2="old tax regime","Nil","5% (With Tax Rebate Under Sec.87A)")</f>
        <v>Nil</v>
      </c>
      <c r="N52" s="882"/>
      <c r="O52" s="881"/>
      <c r="P52" s="56" t="s">
        <v>127</v>
      </c>
      <c r="Q52" s="74">
        <f>IF(OR($AG$48="NA",$AG$48="NB",$AG$48="NC"),AH55,IF($AG$48="OA",AH43,IF($AG$48="OB",AH44,IF($AG$48="OC",AH45,0))))</f>
        <v>2500</v>
      </c>
      <c r="R52" s="807"/>
      <c r="S52" s="102"/>
      <c r="T52" s="944"/>
      <c r="U52" s="944"/>
      <c r="V52" s="944"/>
      <c r="W52" s="944"/>
      <c r="X52" s="944"/>
      <c r="Y52" s="944"/>
      <c r="Z52" s="944"/>
      <c r="AE52" s="96"/>
      <c r="AF52" s="96"/>
      <c r="AG52" s="96"/>
      <c r="AH52" s="96"/>
      <c r="AI52" s="96"/>
      <c r="AJ52" s="96"/>
      <c r="AK52" s="131"/>
      <c r="AL52" s="131"/>
      <c r="AM52" s="131"/>
      <c r="AN52" s="131"/>
    </row>
    <row r="53" spans="1:40" ht="21.75" customHeight="1">
      <c r="A53" s="782"/>
      <c r="B53" s="821"/>
      <c r="C53" s="779" t="str">
        <f>IF($N$2="old tax regime","3,00,001 से 5,00,000 तक","6,00,001 से 9,00,000 तक")</f>
        <v>3,00,001 से 5,00,000 तक</v>
      </c>
      <c r="D53" s="781"/>
      <c r="E53" s="781"/>
      <c r="F53" s="781"/>
      <c r="G53" s="781"/>
      <c r="H53" s="780"/>
      <c r="I53" s="880" t="str">
        <f>IF($N$2="old tax regime","5%","10% (With Tax Rebate Under Sec.87A Up to Rs. 7 Lakh.)")</f>
        <v>5%</v>
      </c>
      <c r="J53" s="881"/>
      <c r="K53" s="880" t="str">
        <f>IF($N$2="old tax regime","5%","10% (With Tax Rebate Under Sec.87A Up to Rs. 7 Lakh.)")</f>
        <v>5%</v>
      </c>
      <c r="L53" s="881"/>
      <c r="M53" s="880" t="str">
        <f>IF($N$2="old tax regime","Nil","10% (With Tax Rebate Under Sec.87A Up to Rs. 7 Lakh.)")</f>
        <v>Nil</v>
      </c>
      <c r="N53" s="882"/>
      <c r="O53" s="881"/>
      <c r="P53" s="56" t="s">
        <v>127</v>
      </c>
      <c r="Q53" s="74">
        <f>IF(OR($AG$48="NA",$AG$48="NB",$AG$48="NC"),AI55,IF($AG$48="OA",AI43,IF($AG$48="OB",AI44,IF($AG$48="OC",AI45,0))))</f>
        <v>10000</v>
      </c>
      <c r="R53" s="807"/>
      <c r="S53" s="102"/>
      <c r="T53" s="944"/>
      <c r="U53" s="944"/>
      <c r="V53" s="944"/>
      <c r="W53" s="944"/>
      <c r="X53" s="944"/>
      <c r="Y53" s="944"/>
      <c r="Z53" s="944"/>
      <c r="AE53" s="96"/>
      <c r="AF53" s="96"/>
      <c r="AG53" s="96"/>
      <c r="AH53" s="96" t="s">
        <v>228</v>
      </c>
      <c r="AI53" s="96" t="s">
        <v>470</v>
      </c>
      <c r="AJ53" s="97" t="s">
        <v>471</v>
      </c>
      <c r="AK53" s="305" t="s">
        <v>472</v>
      </c>
      <c r="AL53" s="305" t="s">
        <v>231</v>
      </c>
      <c r="AM53" s="305"/>
      <c r="AN53" s="131"/>
    </row>
    <row r="54" spans="1:40" ht="12" customHeight="1">
      <c r="A54" s="782"/>
      <c r="B54" s="821"/>
      <c r="C54" s="779" t="str">
        <f>IF($N$2="old tax regime","5,00,001 से 10,00,000 तक","9,00,001 से 12,00,000 तक")</f>
        <v>5,00,001 से 10,00,000 तक</v>
      </c>
      <c r="D54" s="781"/>
      <c r="E54" s="781"/>
      <c r="F54" s="781"/>
      <c r="G54" s="781"/>
      <c r="H54" s="780"/>
      <c r="I54" s="779" t="str">
        <f t="shared" ref="I54" si="5">IF($N$2="old tax regime","20%","15%")</f>
        <v>20%</v>
      </c>
      <c r="J54" s="780"/>
      <c r="K54" s="779" t="str">
        <f>IF($N$2="old tax regime","20%","15%")</f>
        <v>20%</v>
      </c>
      <c r="L54" s="780"/>
      <c r="M54" s="779" t="str">
        <f>IF($N$2="old tax regime","20%","15%")</f>
        <v>20%</v>
      </c>
      <c r="N54" s="781"/>
      <c r="O54" s="780"/>
      <c r="P54" s="56" t="s">
        <v>127</v>
      </c>
      <c r="Q54" s="74">
        <f>IF(OR($AG$48="NA",$AG$48="NB",$AG$48="NC"),AJ55,IF($AG$48="OA",AJ43,IF($AG$48="OB",AJ44,IF($AG$48="OC",AJ45,0))))</f>
        <v>100000</v>
      </c>
      <c r="R54" s="807"/>
      <c r="S54" s="102"/>
      <c r="T54" s="944"/>
      <c r="U54" s="944"/>
      <c r="V54" s="944"/>
      <c r="W54" s="944"/>
      <c r="X54" s="944"/>
      <c r="Y54" s="944"/>
      <c r="Z54" s="944"/>
      <c r="AE54" s="96"/>
      <c r="AF54" s="96"/>
      <c r="AG54" s="96"/>
      <c r="AH54" s="96">
        <f>IF($Q$48&gt;1500000,1,IF($Q$48&gt;1200000,2,IF($Q$48&gt;900000,3,IF($Q$48&gt;600000,4,IF($Q$48&gt;300000,5,0)))))</f>
        <v>2</v>
      </c>
      <c r="AI54" s="96">
        <f>IF($Q$48&gt;1500000,1,IF($Q$48&gt;1200000,2,IF($Q$48&gt;900000,3,IF($Q$48&gt;600000,4,0))))</f>
        <v>2</v>
      </c>
      <c r="AJ54" s="96">
        <f>IF($Q$48&gt;1500000,1,IF($Q$48&gt;1200000,2,IF($Q$48&gt;900000,3,0)))</f>
        <v>2</v>
      </c>
      <c r="AK54" s="131">
        <f>IF($Q$48&gt;1500000,1,IF($Q$48&gt;1200000,2,0))</f>
        <v>2</v>
      </c>
      <c r="AL54" s="131">
        <f>IF($Q$48&gt;1500000,1,0)</f>
        <v>0</v>
      </c>
      <c r="AM54" s="131"/>
      <c r="AN54" s="131"/>
    </row>
    <row r="55" spans="1:40" ht="12" customHeight="1">
      <c r="A55" s="782"/>
      <c r="B55" s="821"/>
      <c r="C55" s="779" t="str">
        <f>IF($N$2="old tax regime","10,00,001 अथवा इससे ऊपर","12,00,001 से 15,00,000 तक")</f>
        <v>10,00,001 अथवा इससे ऊपर</v>
      </c>
      <c r="D55" s="781"/>
      <c r="E55" s="781"/>
      <c r="F55" s="781"/>
      <c r="G55" s="781"/>
      <c r="H55" s="780"/>
      <c r="I55" s="779" t="str">
        <f>IF($N$2="old tax regime","30%","20%")</f>
        <v>30%</v>
      </c>
      <c r="J55" s="780"/>
      <c r="K55" s="779" t="str">
        <f>IF($N$2="old tax regime","30%","20%")</f>
        <v>30%</v>
      </c>
      <c r="L55" s="780"/>
      <c r="M55" s="779" t="str">
        <f>IF($N$2="old tax regime","30%","20%")</f>
        <v>30%</v>
      </c>
      <c r="N55" s="781"/>
      <c r="O55" s="780"/>
      <c r="P55" s="56" t="s">
        <v>127</v>
      </c>
      <c r="Q55" s="73">
        <f>IF(OR($AG$48="NA",$AG$48="NB",$AG$48="NC"),AK55,IF($AG$48="OA",AK43,IF($AG$48="OB",AK44,IF($AG$48="OC",AK45,0))))</f>
        <v>65958</v>
      </c>
      <c r="R55" s="807"/>
      <c r="S55" s="102"/>
      <c r="T55" s="944"/>
      <c r="U55" s="944"/>
      <c r="V55" s="944"/>
      <c r="W55" s="944"/>
      <c r="X55" s="944"/>
      <c r="Y55" s="944"/>
      <c r="Z55" s="944"/>
      <c r="AE55" s="96"/>
      <c r="AF55" s="96"/>
      <c r="AG55" s="96" t="s">
        <v>224</v>
      </c>
      <c r="AH55" s="96">
        <f>IF(AH54&gt;=5,ROUND(($Q$48-300000)*0.05,0),IF(AH54=0,0,15000))</f>
        <v>15000</v>
      </c>
      <c r="AI55" s="96">
        <f>IF(AI54&gt;=4,ROUND(($Q$48-600000)*0.1,0),IF(AI54=0,0,30000))</f>
        <v>30000</v>
      </c>
      <c r="AJ55" s="96">
        <f>IF($AJ$54&gt;=3,ROUND(($Q$48-900000)*0.15,0),IF($AJ$54=0,0,45000))</f>
        <v>45000</v>
      </c>
      <c r="AK55" s="131">
        <f>IF($AK$54&gt;=2,ROUND(($Q$48-1200000)*0.2,0),IF($AK$54=0,0,60000))</f>
        <v>3972</v>
      </c>
      <c r="AL55" s="131">
        <f>IF($AL$54&gt;0,ROUND(($Q$48-1500000)*0.3,0),0)</f>
        <v>0</v>
      </c>
      <c r="AM55" s="131"/>
      <c r="AN55" s="131"/>
    </row>
    <row r="56" spans="1:40" ht="12" customHeight="1">
      <c r="A56" s="782"/>
      <c r="B56" s="821"/>
      <c r="C56" s="779" t="str">
        <f t="shared" ref="C56" si="6">IF($N$2="old tax regime","----","15,00,001 अथवा इससे ऊपर")</f>
        <v>----</v>
      </c>
      <c r="D56" s="781"/>
      <c r="E56" s="781"/>
      <c r="F56" s="781"/>
      <c r="G56" s="781"/>
      <c r="H56" s="780"/>
      <c r="I56" s="779" t="str">
        <f t="shared" ref="I56" si="7">IF($N$2="old tax regime","----","30%")</f>
        <v>----</v>
      </c>
      <c r="J56" s="780"/>
      <c r="K56" s="779" t="str">
        <f>IF($N$2="old tax regime","----","30%")</f>
        <v>----</v>
      </c>
      <c r="L56" s="780"/>
      <c r="M56" s="779" t="str">
        <f>IF($N$2="old tax regime","----","30%")</f>
        <v>----</v>
      </c>
      <c r="N56" s="781"/>
      <c r="O56" s="780"/>
      <c r="P56" s="56" t="s">
        <v>127</v>
      </c>
      <c r="Q56" s="73">
        <f>IF($AE$48="O",0,AL55)</f>
        <v>0</v>
      </c>
      <c r="R56" s="807"/>
      <c r="S56" s="102"/>
      <c r="T56" s="944"/>
      <c r="U56" s="944"/>
      <c r="V56" s="944"/>
      <c r="W56" s="944"/>
      <c r="X56" s="944"/>
      <c r="Y56" s="944"/>
      <c r="Z56" s="944"/>
      <c r="AE56" s="96"/>
      <c r="AF56" s="96"/>
      <c r="AG56" s="96" t="s">
        <v>123</v>
      </c>
      <c r="AH56" s="96">
        <v>0</v>
      </c>
      <c r="AI56" s="96">
        <f>IF(AI54=6,ROUND(($Q$48-300000)*0.05,0),IF(AI54=0,0,10000))</f>
        <v>10000</v>
      </c>
      <c r="AJ56" s="96">
        <f>IF($AJ$54=5,ROUND(($Q$48-500000)*0.1,0),IF($AJ$54&lt;=4,IF($AJ$54=0,0,25000)))</f>
        <v>25000</v>
      </c>
      <c r="AK56" s="131">
        <f>IF($AK$54=4,ROUND(($Q$48-750000)*0.15,0),IF($AK$54&lt;=3,IF($AK$54=0,0,37500)))</f>
        <v>37500</v>
      </c>
      <c r="AL56" s="131">
        <f>IF($AL$54=3,ROUND(($Q$48-1000000)*0.2,0),IF($AL$54&lt;=2,IF($AL$54=0,0,50000)))</f>
        <v>0</v>
      </c>
      <c r="AM56" s="131"/>
      <c r="AN56" s="131"/>
    </row>
    <row r="57" spans="1:40" ht="14.25" customHeight="1">
      <c r="A57" s="782"/>
      <c r="B57" s="821"/>
      <c r="C57" s="877" t="s">
        <v>207</v>
      </c>
      <c r="D57" s="877"/>
      <c r="E57" s="877"/>
      <c r="F57" s="877"/>
      <c r="G57" s="877"/>
      <c r="H57" s="877"/>
      <c r="I57" s="877"/>
      <c r="J57" s="877"/>
      <c r="K57" s="877"/>
      <c r="L57" s="877"/>
      <c r="M57" s="877"/>
      <c r="N57" s="877"/>
      <c r="O57" s="877"/>
      <c r="P57" s="56" t="s">
        <v>127</v>
      </c>
      <c r="Q57" s="75">
        <f>SUM(Q51:Q56)</f>
        <v>178458</v>
      </c>
      <c r="R57" s="807"/>
      <c r="S57" s="102"/>
      <c r="T57" s="944"/>
      <c r="U57" s="944"/>
      <c r="V57" s="944"/>
      <c r="W57" s="944"/>
      <c r="X57" s="944"/>
      <c r="Y57" s="944"/>
      <c r="Z57" s="944"/>
    </row>
    <row r="58" spans="1:40" ht="14.25" customHeight="1">
      <c r="A58" s="782"/>
      <c r="B58" s="821"/>
      <c r="C58" s="949" t="s">
        <v>473</v>
      </c>
      <c r="D58" s="949"/>
      <c r="E58" s="949"/>
      <c r="F58" s="949"/>
      <c r="G58" s="949"/>
      <c r="H58" s="949"/>
      <c r="I58" s="949"/>
      <c r="J58" s="949"/>
      <c r="K58" s="949"/>
      <c r="L58" s="949"/>
      <c r="M58" s="949"/>
      <c r="N58" s="949"/>
      <c r="O58" s="949"/>
      <c r="P58" s="56" t="s">
        <v>127</v>
      </c>
      <c r="Q58" s="74">
        <f>IF(AND(AE48="o",Q57&lt;=12500),Q57,IF(AND(AE48="n",Q57&lt;=25000),Q57,0))</f>
        <v>0</v>
      </c>
      <c r="R58" s="807"/>
      <c r="S58" s="102"/>
      <c r="T58" s="944"/>
      <c r="U58" s="944"/>
      <c r="V58" s="944"/>
      <c r="W58" s="944"/>
      <c r="X58" s="944"/>
      <c r="Y58" s="944"/>
      <c r="Z58" s="944"/>
    </row>
    <row r="59" spans="1:40" ht="14.25" customHeight="1">
      <c r="A59" s="782"/>
      <c r="B59" s="821"/>
      <c r="C59" s="877" t="s">
        <v>209</v>
      </c>
      <c r="D59" s="877"/>
      <c r="E59" s="877"/>
      <c r="F59" s="877"/>
      <c r="G59" s="877"/>
      <c r="H59" s="877"/>
      <c r="I59" s="877"/>
      <c r="J59" s="877"/>
      <c r="K59" s="877"/>
      <c r="L59" s="877"/>
      <c r="M59" s="877"/>
      <c r="N59" s="877"/>
      <c r="O59" s="877"/>
      <c r="P59" s="56" t="s">
        <v>127</v>
      </c>
      <c r="Q59" s="75">
        <f>Q57-Q58</f>
        <v>178458</v>
      </c>
      <c r="R59" s="807"/>
      <c r="S59" s="102"/>
      <c r="T59" s="944"/>
      <c r="U59" s="944"/>
      <c r="V59" s="944"/>
      <c r="W59" s="944"/>
      <c r="X59" s="944"/>
      <c r="Y59" s="944"/>
      <c r="Z59" s="944"/>
    </row>
    <row r="60" spans="1:40" ht="24.75" customHeight="1">
      <c r="A60" s="782"/>
      <c r="B60" s="821"/>
      <c r="C60" s="967" t="s">
        <v>553</v>
      </c>
      <c r="D60" s="877"/>
      <c r="E60" s="877"/>
      <c r="F60" s="877"/>
      <c r="G60" s="877"/>
      <c r="H60" s="877"/>
      <c r="I60" s="877"/>
      <c r="J60" s="877"/>
      <c r="K60" s="877"/>
      <c r="L60" s="877"/>
      <c r="M60" s="877"/>
      <c r="N60" s="877"/>
      <c r="O60" s="877"/>
      <c r="P60" s="56" t="s">
        <v>127</v>
      </c>
      <c r="Q60" s="75">
        <f>IF($AG$48="OA",AM43,IF($AG$48="OB",AM44,IF($AG$48="OC",AM45,0)))</f>
        <v>0</v>
      </c>
      <c r="R60" s="807"/>
      <c r="S60" s="429"/>
      <c r="T60" s="944"/>
      <c r="U60" s="944"/>
      <c r="V60" s="944"/>
      <c r="W60" s="944"/>
      <c r="X60" s="944"/>
      <c r="Y60" s="944"/>
      <c r="Z60" s="944"/>
      <c r="AB60" s="430"/>
      <c r="AC60" s="430"/>
      <c r="AD60" s="430"/>
    </row>
    <row r="61" spans="1:40" ht="14.25" customHeight="1">
      <c r="A61" s="782"/>
      <c r="B61" s="821"/>
      <c r="C61" s="895" t="s">
        <v>547</v>
      </c>
      <c r="D61" s="895"/>
      <c r="E61" s="895"/>
      <c r="F61" s="895"/>
      <c r="G61" s="895"/>
      <c r="H61" s="895"/>
      <c r="I61" s="895"/>
      <c r="J61" s="895"/>
      <c r="K61" s="895"/>
      <c r="L61" s="895"/>
      <c r="M61" s="895"/>
      <c r="N61" s="895"/>
      <c r="O61" s="895"/>
      <c r="P61" s="56" t="s">
        <v>127</v>
      </c>
      <c r="Q61" s="75">
        <f>SUM(Q59:Q60)</f>
        <v>178458</v>
      </c>
      <c r="R61" s="807"/>
      <c r="S61" s="429"/>
      <c r="T61" s="944"/>
      <c r="U61" s="944"/>
      <c r="V61" s="944"/>
      <c r="W61" s="944"/>
      <c r="X61" s="944"/>
      <c r="Y61" s="944"/>
      <c r="Z61" s="944"/>
      <c r="AB61" s="430"/>
      <c r="AC61" s="430"/>
      <c r="AD61" s="430"/>
    </row>
    <row r="62" spans="1:40" ht="14.25" customHeight="1">
      <c r="A62" s="782"/>
      <c r="B62" s="821"/>
      <c r="C62" s="890" t="s">
        <v>545</v>
      </c>
      <c r="D62" s="890"/>
      <c r="E62" s="890"/>
      <c r="F62" s="890"/>
      <c r="G62" s="890"/>
      <c r="H62" s="890"/>
      <c r="I62" s="890"/>
      <c r="J62" s="890"/>
      <c r="K62" s="890"/>
      <c r="L62" s="890"/>
      <c r="M62" s="890"/>
      <c r="N62" s="890"/>
      <c r="O62" s="890"/>
      <c r="P62" s="56" t="s">
        <v>127</v>
      </c>
      <c r="Q62" s="74">
        <f>ROUND(Q59*0.04,0)</f>
        <v>7138</v>
      </c>
      <c r="R62" s="807"/>
      <c r="S62" s="102"/>
      <c r="T62" s="944"/>
      <c r="U62" s="944"/>
      <c r="V62" s="944"/>
      <c r="W62" s="944"/>
      <c r="X62" s="944"/>
      <c r="Y62" s="944"/>
      <c r="Z62" s="944"/>
    </row>
    <row r="63" spans="1:40" ht="12.75" customHeight="1">
      <c r="A63" s="782"/>
      <c r="B63" s="821"/>
      <c r="C63" s="891" t="s">
        <v>546</v>
      </c>
      <c r="D63" s="892"/>
      <c r="E63" s="892"/>
      <c r="F63" s="892"/>
      <c r="G63" s="892"/>
      <c r="H63" s="892"/>
      <c r="I63" s="892"/>
      <c r="J63" s="892"/>
      <c r="K63" s="892"/>
      <c r="L63" s="892"/>
      <c r="M63" s="892"/>
      <c r="N63" s="892"/>
      <c r="O63" s="893"/>
      <c r="P63" s="56" t="s">
        <v>127</v>
      </c>
      <c r="Q63" s="75">
        <f>Q61+Q62</f>
        <v>185596</v>
      </c>
      <c r="R63" s="807"/>
      <c r="S63" s="102"/>
      <c r="T63" s="944"/>
      <c r="U63" s="944"/>
      <c r="V63" s="944"/>
      <c r="W63" s="944"/>
      <c r="X63" s="944"/>
      <c r="Y63" s="944"/>
      <c r="Z63" s="944"/>
    </row>
    <row r="64" spans="1:40" ht="14.25" customHeight="1">
      <c r="A64" s="782"/>
      <c r="B64" s="104">
        <v>17</v>
      </c>
      <c r="C64" s="825" t="s">
        <v>212</v>
      </c>
      <c r="D64" s="825"/>
      <c r="E64" s="825"/>
      <c r="F64" s="825"/>
      <c r="G64" s="825"/>
      <c r="H64" s="825"/>
      <c r="I64" s="825"/>
      <c r="J64" s="825"/>
      <c r="K64" s="825"/>
      <c r="L64" s="825"/>
      <c r="M64" s="825"/>
      <c r="N64" s="825"/>
      <c r="O64" s="825"/>
      <c r="P64" s="56" t="s">
        <v>127</v>
      </c>
      <c r="Q64" s="74">
        <f>'Exemp.(HRA+Other) &amp; Other incom'!Q26</f>
        <v>0</v>
      </c>
      <c r="R64" s="807"/>
      <c r="S64" s="102"/>
      <c r="T64" s="944"/>
      <c r="U64" s="944"/>
      <c r="V64" s="944"/>
      <c r="W64" s="944"/>
      <c r="X64" s="944"/>
      <c r="Y64" s="944"/>
      <c r="Z64" s="944"/>
    </row>
    <row r="65" spans="1:30" ht="14.25" customHeight="1">
      <c r="A65" s="782"/>
      <c r="B65" s="792">
        <v>18</v>
      </c>
      <c r="C65" s="876" t="s">
        <v>213</v>
      </c>
      <c r="D65" s="876"/>
      <c r="E65" s="876"/>
      <c r="F65" s="876"/>
      <c r="G65" s="876"/>
      <c r="H65" s="876"/>
      <c r="I65" s="876"/>
      <c r="J65" s="876"/>
      <c r="K65" s="876"/>
      <c r="L65" s="876"/>
      <c r="M65" s="876"/>
      <c r="N65" s="876"/>
      <c r="O65" s="876"/>
      <c r="P65" s="56" t="s">
        <v>127</v>
      </c>
      <c r="Q65" s="75">
        <f>Q63-Q64</f>
        <v>185596</v>
      </c>
      <c r="R65" s="807"/>
      <c r="S65" s="102"/>
      <c r="T65" s="944"/>
      <c r="U65" s="944"/>
      <c r="V65" s="944"/>
      <c r="W65" s="944"/>
      <c r="X65" s="944"/>
      <c r="Y65" s="944"/>
      <c r="Z65" s="944"/>
    </row>
    <row r="66" spans="1:30" ht="14.25" customHeight="1" thickBot="1">
      <c r="A66" s="782"/>
      <c r="B66" s="875"/>
      <c r="C66" s="867" t="s">
        <v>214</v>
      </c>
      <c r="D66" s="867"/>
      <c r="E66" s="867"/>
      <c r="F66" s="867"/>
      <c r="G66" s="867"/>
      <c r="H66" s="867"/>
      <c r="I66" s="867"/>
      <c r="J66" s="867"/>
      <c r="K66" s="867"/>
      <c r="L66" s="867"/>
      <c r="M66" s="867"/>
      <c r="N66" s="867"/>
      <c r="O66" s="867"/>
      <c r="P66" s="60" t="s">
        <v>127</v>
      </c>
      <c r="Q66" s="72">
        <f>ROUND(Q65,-1)</f>
        <v>185600</v>
      </c>
      <c r="R66" s="807"/>
      <c r="S66" s="102"/>
      <c r="T66" s="944"/>
      <c r="U66" s="944"/>
      <c r="V66" s="944"/>
      <c r="W66" s="944"/>
      <c r="X66" s="944"/>
      <c r="Y66" s="944"/>
      <c r="Z66" s="944"/>
    </row>
    <row r="67" spans="1:30" ht="44.25" customHeight="1">
      <c r="A67" s="782"/>
      <c r="B67" s="917">
        <v>19</v>
      </c>
      <c r="C67" s="918" t="s">
        <v>159</v>
      </c>
      <c r="D67" s="921" t="s">
        <v>573</v>
      </c>
      <c r="E67" s="921"/>
      <c r="F67" s="921" t="s">
        <v>574</v>
      </c>
      <c r="G67" s="921"/>
      <c r="H67" s="921"/>
      <c r="I67" s="378" t="s">
        <v>575</v>
      </c>
      <c r="J67" s="434" t="s">
        <v>576</v>
      </c>
      <c r="K67" s="434" t="s">
        <v>571</v>
      </c>
      <c r="L67" s="434" t="s">
        <v>572</v>
      </c>
      <c r="M67" s="883" t="s">
        <v>215</v>
      </c>
      <c r="N67" s="883"/>
      <c r="O67" s="106" t="s">
        <v>216</v>
      </c>
      <c r="P67" s="884" t="s">
        <v>217</v>
      </c>
      <c r="Q67" s="885"/>
      <c r="R67" s="807"/>
      <c r="S67" s="102"/>
      <c r="T67" s="944"/>
      <c r="U67" s="944"/>
      <c r="V67" s="944"/>
      <c r="W67" s="944"/>
      <c r="X67" s="944"/>
      <c r="Y67" s="944"/>
      <c r="Z67" s="944"/>
    </row>
    <row r="68" spans="1:30" s="10" customFormat="1" ht="13.5" customHeight="1">
      <c r="A68" s="782"/>
      <c r="B68" s="792"/>
      <c r="C68" s="919"/>
      <c r="D68" s="886">
        <f>SUM('GA-55'!AA9:AA11)</f>
        <v>6000</v>
      </c>
      <c r="E68" s="886"/>
      <c r="F68" s="886">
        <f>SUM('GA-55'!AA12:AA14)</f>
        <v>6000</v>
      </c>
      <c r="G68" s="886"/>
      <c r="H68" s="886"/>
      <c r="I68" s="107">
        <f>SUM('GA-55'!AA15:AA17)</f>
        <v>6000</v>
      </c>
      <c r="J68" s="107">
        <f>'GA-55'!AA18</f>
        <v>2000</v>
      </c>
      <c r="K68" s="107">
        <f>'GA-55'!AA19</f>
        <v>2000</v>
      </c>
      <c r="L68" s="107">
        <f>'GA-55'!AA20</f>
        <v>2000</v>
      </c>
      <c r="M68" s="886">
        <f>SUM('GA-55'!AA21:AA30)</f>
        <v>0</v>
      </c>
      <c r="N68" s="887"/>
      <c r="O68" s="107">
        <f>'Basic Data'!N19</f>
        <v>0</v>
      </c>
      <c r="P68" s="92" t="s">
        <v>127</v>
      </c>
      <c r="Q68" s="93">
        <f>SUM(D68:O68)</f>
        <v>24000</v>
      </c>
      <c r="R68" s="807"/>
      <c r="S68" s="102"/>
      <c r="T68" s="944"/>
      <c r="U68" s="944"/>
      <c r="V68" s="944"/>
      <c r="W68" s="944"/>
      <c r="X68" s="944"/>
      <c r="Y68" s="944"/>
      <c r="Z68" s="944"/>
      <c r="AA68" s="467"/>
      <c r="AB68" s="131"/>
      <c r="AC68" s="131"/>
      <c r="AD68" s="131"/>
    </row>
    <row r="69" spans="1:30" ht="23.25" customHeight="1" thickBot="1">
      <c r="A69" s="782"/>
      <c r="B69" s="875"/>
      <c r="C69" s="920"/>
      <c r="D69" s="888" t="s">
        <v>554</v>
      </c>
      <c r="E69" s="889"/>
      <c r="F69" s="889"/>
      <c r="G69" s="889"/>
      <c r="H69" s="889"/>
      <c r="I69" s="889"/>
      <c r="J69" s="889"/>
      <c r="K69" s="889"/>
      <c r="L69" s="914" t="str">
        <f>IF(Q68&gt;Q66,"(Refundable)","(Payble)")</f>
        <v>(Payble)</v>
      </c>
      <c r="M69" s="914"/>
      <c r="N69" s="914"/>
      <c r="O69" s="914"/>
      <c r="P69" s="60" t="s">
        <v>127</v>
      </c>
      <c r="Q69" s="72">
        <f>Q68-Q66</f>
        <v>-161600</v>
      </c>
      <c r="R69" s="807"/>
      <c r="S69" s="102"/>
      <c r="T69" s="944"/>
      <c r="U69" s="944"/>
      <c r="V69" s="944"/>
      <c r="W69" s="944"/>
      <c r="X69" s="944"/>
      <c r="Y69" s="944"/>
      <c r="Z69" s="944"/>
    </row>
    <row r="70" spans="1:30" ht="9.75" customHeight="1">
      <c r="A70" s="782"/>
      <c r="B70" s="915" t="str">
        <f>'GA-55'!B32</f>
        <v>Siganture of Employee(a)</v>
      </c>
      <c r="C70" s="915"/>
      <c r="D70" s="915"/>
      <c r="E70" s="915"/>
      <c r="F70" s="915"/>
      <c r="G70" s="915"/>
      <c r="H70" s="915"/>
      <c r="I70" s="915"/>
      <c r="J70" s="915"/>
      <c r="K70" s="915" t="str">
        <f>'GA-55'!P32</f>
        <v>Signature of DDO ()</v>
      </c>
      <c r="L70" s="915"/>
      <c r="M70" s="915"/>
      <c r="N70" s="915"/>
      <c r="O70" s="915"/>
      <c r="P70" s="915"/>
      <c r="Q70" s="915"/>
      <c r="R70" s="807"/>
      <c r="S70" s="102"/>
      <c r="T70" s="944"/>
      <c r="U70" s="944"/>
      <c r="V70" s="944"/>
      <c r="W70" s="944"/>
      <c r="X70" s="944"/>
      <c r="Y70" s="944"/>
      <c r="Z70" s="944"/>
    </row>
    <row r="71" spans="1:30" ht="15.75" customHeight="1">
      <c r="A71" s="782"/>
      <c r="B71" s="916"/>
      <c r="C71" s="916"/>
      <c r="D71" s="916"/>
      <c r="E71" s="916"/>
      <c r="F71" s="916"/>
      <c r="G71" s="916"/>
      <c r="H71" s="916"/>
      <c r="I71" s="916"/>
      <c r="J71" s="916"/>
      <c r="K71" s="916"/>
      <c r="L71" s="916"/>
      <c r="M71" s="916"/>
      <c r="N71" s="916"/>
      <c r="O71" s="916"/>
      <c r="P71" s="916"/>
      <c r="Q71" s="916"/>
      <c r="R71" s="807"/>
      <c r="S71" s="102"/>
      <c r="T71" s="944"/>
      <c r="U71" s="944"/>
      <c r="V71" s="944"/>
      <c r="W71" s="944"/>
      <c r="X71" s="944"/>
      <c r="Y71" s="944"/>
      <c r="Z71" s="944"/>
    </row>
    <row r="72" spans="1:30" ht="22.5" customHeight="1">
      <c r="T72" s="944"/>
      <c r="U72" s="944"/>
      <c r="V72" s="944"/>
      <c r="W72" s="944"/>
      <c r="X72" s="944"/>
      <c r="Y72" s="944"/>
      <c r="Z72" s="944"/>
    </row>
  </sheetData>
  <sheetProtection password="E8FA" sheet="1" objects="1" scenarios="1" formatCells="0" formatColumns="0" formatRows="0" selectLockedCells="1"/>
  <mergeCells count="150">
    <mergeCell ref="C60:O60"/>
    <mergeCell ref="C61:O61"/>
    <mergeCell ref="M56:O56"/>
    <mergeCell ref="I56:J56"/>
    <mergeCell ref="M51:O51"/>
    <mergeCell ref="M52:O52"/>
    <mergeCell ref="M53:O53"/>
    <mergeCell ref="M54:O54"/>
    <mergeCell ref="M55:O55"/>
    <mergeCell ref="I51:J51"/>
    <mergeCell ref="I52:J52"/>
    <mergeCell ref="I53:J53"/>
    <mergeCell ref="I54:J54"/>
    <mergeCell ref="I55:J55"/>
    <mergeCell ref="C4:O4"/>
    <mergeCell ref="C5:O5"/>
    <mergeCell ref="C6:O6"/>
    <mergeCell ref="B7:B9"/>
    <mergeCell ref="C7:L7"/>
    <mergeCell ref="M7:O7"/>
    <mergeCell ref="B1:Q1"/>
    <mergeCell ref="C3:D3"/>
    <mergeCell ref="E3:J3"/>
    <mergeCell ref="L3:N3"/>
    <mergeCell ref="P3:Q3"/>
    <mergeCell ref="N2:Q2"/>
    <mergeCell ref="B2:J2"/>
    <mergeCell ref="K2:M2"/>
    <mergeCell ref="P11:Q13"/>
    <mergeCell ref="C12:D13"/>
    <mergeCell ref="E12:G12"/>
    <mergeCell ref="H12:J12"/>
    <mergeCell ref="K12:L12"/>
    <mergeCell ref="M12:O12"/>
    <mergeCell ref="P7:Q8"/>
    <mergeCell ref="C8:L8"/>
    <mergeCell ref="M8:O8"/>
    <mergeCell ref="C9:L9"/>
    <mergeCell ref="M9:O9"/>
    <mergeCell ref="C10:O10"/>
    <mergeCell ref="E13:G13"/>
    <mergeCell ref="H13:J13"/>
    <mergeCell ref="K13:L13"/>
    <mergeCell ref="M13:O13"/>
    <mergeCell ref="B16:B18"/>
    <mergeCell ref="C16:C18"/>
    <mergeCell ref="E16:O16"/>
    <mergeCell ref="E17:O17"/>
    <mergeCell ref="E18:O18"/>
    <mergeCell ref="C19:O19"/>
    <mergeCell ref="C14:O14"/>
    <mergeCell ref="C15:O15"/>
    <mergeCell ref="B11:B13"/>
    <mergeCell ref="C11:J11"/>
    <mergeCell ref="K11:L11"/>
    <mergeCell ref="M11:O11"/>
    <mergeCell ref="C20:O20"/>
    <mergeCell ref="B21:B35"/>
    <mergeCell ref="C21:Q21"/>
    <mergeCell ref="C22:Q22"/>
    <mergeCell ref="D23:G23"/>
    <mergeCell ref="P23:Q32"/>
    <mergeCell ref="D24:G24"/>
    <mergeCell ref="D25:G25"/>
    <mergeCell ref="K25:M25"/>
    <mergeCell ref="D26:G26"/>
    <mergeCell ref="K26:M26"/>
    <mergeCell ref="D27:G27"/>
    <mergeCell ref="D30:G30"/>
    <mergeCell ref="K30:M30"/>
    <mergeCell ref="D31:G31"/>
    <mergeCell ref="K31:M31"/>
    <mergeCell ref="C32:M32"/>
    <mergeCell ref="C33:O33"/>
    <mergeCell ref="D28:G28"/>
    <mergeCell ref="K28:M28"/>
    <mergeCell ref="D29:G29"/>
    <mergeCell ref="K23:M23"/>
    <mergeCell ref="K24:M24"/>
    <mergeCell ref="K29:M29"/>
    <mergeCell ref="C34:O34"/>
    <mergeCell ref="C35:O35"/>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I50:J50"/>
    <mergeCell ref="C50:H50"/>
    <mergeCell ref="M50:O50"/>
    <mergeCell ref="K50:L50"/>
    <mergeCell ref="M67:N67"/>
    <mergeCell ref="B49:B63"/>
    <mergeCell ref="C49:Q49"/>
    <mergeCell ref="C57:O57"/>
    <mergeCell ref="C58:O58"/>
    <mergeCell ref="C56:H56"/>
    <mergeCell ref="C55:H55"/>
    <mergeCell ref="C54:H54"/>
    <mergeCell ref="C53:H53"/>
    <mergeCell ref="C52:H52"/>
    <mergeCell ref="C51:H51"/>
    <mergeCell ref="K51:L51"/>
    <mergeCell ref="K52:L52"/>
    <mergeCell ref="K53:L53"/>
    <mergeCell ref="K54:L54"/>
    <mergeCell ref="K55:L55"/>
    <mergeCell ref="K56:L56"/>
    <mergeCell ref="S8:S10"/>
    <mergeCell ref="S12:S14"/>
    <mergeCell ref="K27:M27"/>
    <mergeCell ref="B70:J71"/>
    <mergeCell ref="K70:Q71"/>
    <mergeCell ref="R1:R71"/>
    <mergeCell ref="A1:A71"/>
    <mergeCell ref="C66:O66"/>
    <mergeCell ref="C67:C69"/>
    <mergeCell ref="B67:B69"/>
    <mergeCell ref="B65:B66"/>
    <mergeCell ref="D67:E67"/>
    <mergeCell ref="F67:H67"/>
    <mergeCell ref="D68:E68"/>
    <mergeCell ref="F68:H68"/>
    <mergeCell ref="D69:K69"/>
    <mergeCell ref="L69:O69"/>
    <mergeCell ref="P67:Q67"/>
    <mergeCell ref="M68:N68"/>
    <mergeCell ref="C59:O59"/>
    <mergeCell ref="C62:O62"/>
    <mergeCell ref="C63:O63"/>
    <mergeCell ref="C64:O64"/>
    <mergeCell ref="C65:O65"/>
    <mergeCell ref="T8:W10"/>
    <mergeCell ref="X8:Z10"/>
    <mergeCell ref="T11:Z11"/>
    <mergeCell ref="T12:W14"/>
    <mergeCell ref="T1:Z1"/>
    <mergeCell ref="X12:Z14"/>
    <mergeCell ref="T15:Z15"/>
    <mergeCell ref="T2:Z7"/>
    <mergeCell ref="T16:Z72"/>
  </mergeCells>
  <conditionalFormatting sqref="L69:O69">
    <cfRule type="cellIs" dxfId="40" priority="10" operator="equal">
      <formula>"(Payble)"</formula>
    </cfRule>
    <cfRule type="cellIs" dxfId="39" priority="11" operator="equal">
      <formula>"(Refundable)"</formula>
    </cfRule>
  </conditionalFormatting>
  <conditionalFormatting sqref="Q69">
    <cfRule type="cellIs" dxfId="38" priority="8" operator="lessThan">
      <formula>0</formula>
    </cfRule>
    <cfRule type="cellIs" dxfId="37" priority="9" operator="greaterThan">
      <formula>0</formula>
    </cfRule>
  </conditionalFormatting>
  <conditionalFormatting sqref="P55:Q56">
    <cfRule type="expression" dxfId="36" priority="7">
      <formula>$C$56="----"</formula>
    </cfRule>
  </conditionalFormatting>
  <conditionalFormatting sqref="S8:Z10">
    <cfRule type="expression" dxfId="35" priority="4">
      <formula>$S8=0</formula>
    </cfRule>
    <cfRule type="expression" dxfId="34" priority="5">
      <formula>$S8&gt;0</formula>
    </cfRule>
    <cfRule type="expression" dxfId="33" priority="6">
      <formula>$S8&lt;0</formula>
    </cfRule>
  </conditionalFormatting>
  <conditionalFormatting sqref="S12:Z14">
    <cfRule type="expression" dxfId="32" priority="1">
      <formula>$S12=0</formula>
    </cfRule>
    <cfRule type="expression" dxfId="31" priority="2">
      <formula>$S12&gt;0</formula>
    </cfRule>
    <cfRule type="expression" dxfId="30" priority="3">
      <formula>$S12&lt;0</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6" orientation="portrait" r:id="rId1"/>
  <colBreaks count="1" manualBreakCount="1">
    <brk id="17" max="1048575" man="1"/>
  </colBreaks>
</worksheet>
</file>

<file path=xl/worksheets/sheet7.xml><?xml version="1.0" encoding="utf-8"?>
<worksheet xmlns="http://schemas.openxmlformats.org/spreadsheetml/2006/main" xmlns:r="http://schemas.openxmlformats.org/officeDocument/2006/relationships">
  <sheetPr>
    <tabColor rgb="FFFFFF00"/>
  </sheetPr>
  <dimension ref="A1:XFC161"/>
  <sheetViews>
    <sheetView showGridLines="0" showRowColHeaders="0" workbookViewId="0">
      <selection activeCell="B16" sqref="B16:D16"/>
    </sheetView>
  </sheetViews>
  <sheetFormatPr defaultColWidth="0" defaultRowHeight="15" customHeight="1" zeroHeight="1"/>
  <cols>
    <col min="1" max="1" width="2.7109375" style="1" customWidth="1"/>
    <col min="2" max="2" width="10.85546875" style="222" customWidth="1"/>
    <col min="3" max="3" width="3.85546875" style="222" customWidth="1"/>
    <col min="4" max="9" width="11.140625" style="222" customWidth="1"/>
    <col min="10" max="10" width="14.42578125" style="222" customWidth="1"/>
    <col min="11" max="11" width="14.28515625" style="222" customWidth="1"/>
    <col min="12" max="12" width="18.140625" style="222" hidden="1" customWidth="1"/>
    <col min="13" max="13" width="18.28515625" style="222" customWidth="1"/>
    <col min="14" max="14" width="2.140625" style="1" customWidth="1"/>
    <col min="15" max="16383" width="3.5703125" style="1" hidden="1"/>
    <col min="16384" max="16384" width="4.28515625" style="1" hidden="1"/>
  </cols>
  <sheetData>
    <row r="1" spans="1:18" ht="15.75" thickBot="1">
      <c r="A1" s="1147"/>
      <c r="B1" s="1148"/>
      <c r="C1" s="1148"/>
      <c r="D1" s="1148"/>
      <c r="E1" s="1148"/>
      <c r="F1" s="1148"/>
      <c r="G1" s="1148"/>
      <c r="H1" s="1148"/>
      <c r="I1" s="1148"/>
      <c r="J1" s="1148"/>
      <c r="K1" s="1148"/>
      <c r="L1" s="1148"/>
      <c r="M1" s="1148"/>
      <c r="N1" s="1149"/>
    </row>
    <row r="2" spans="1:18" ht="18">
      <c r="A2" s="1150"/>
      <c r="B2" s="1152" t="s">
        <v>237</v>
      </c>
      <c r="C2" s="1153"/>
      <c r="D2" s="1153"/>
      <c r="E2" s="1153"/>
      <c r="F2" s="1153"/>
      <c r="G2" s="1153"/>
      <c r="H2" s="1153"/>
      <c r="I2" s="1153"/>
      <c r="J2" s="1153"/>
      <c r="K2" s="1153"/>
      <c r="L2" s="1153"/>
      <c r="M2" s="1154"/>
      <c r="N2" s="1155"/>
    </row>
    <row r="3" spans="1:18">
      <c r="A3" s="1150"/>
      <c r="B3" s="972" t="s">
        <v>581</v>
      </c>
      <c r="C3" s="973"/>
      <c r="D3" s="973"/>
      <c r="E3" s="973"/>
      <c r="F3" s="973"/>
      <c r="G3" s="973"/>
      <c r="H3" s="973"/>
      <c r="I3" s="973"/>
      <c r="J3" s="973"/>
      <c r="K3" s="973"/>
      <c r="L3" s="973"/>
      <c r="M3" s="974"/>
      <c r="N3" s="1155"/>
    </row>
    <row r="4" spans="1:18">
      <c r="A4" s="1150"/>
      <c r="B4" s="1157" t="s">
        <v>238</v>
      </c>
      <c r="C4" s="1158"/>
      <c r="D4" s="1158"/>
      <c r="E4" s="1158"/>
      <c r="F4" s="1158"/>
      <c r="G4" s="1158"/>
      <c r="H4" s="1158"/>
      <c r="I4" s="1158"/>
      <c r="J4" s="1158"/>
      <c r="K4" s="1158"/>
      <c r="L4" s="1158"/>
      <c r="M4" s="1159"/>
      <c r="N4" s="1155"/>
    </row>
    <row r="5" spans="1:18">
      <c r="A5" s="1150"/>
      <c r="B5" s="1157" t="s">
        <v>239</v>
      </c>
      <c r="C5" s="1158"/>
      <c r="D5" s="1158"/>
      <c r="E5" s="1158"/>
      <c r="F5" s="1158"/>
      <c r="G5" s="1158"/>
      <c r="H5" s="1158"/>
      <c r="I5" s="1158"/>
      <c r="J5" s="1158"/>
      <c r="K5" s="1158"/>
      <c r="L5" s="1158"/>
      <c r="M5" s="1159"/>
      <c r="N5" s="1155"/>
    </row>
    <row r="6" spans="1:18">
      <c r="A6" s="1150"/>
      <c r="B6" s="1160" t="s">
        <v>240</v>
      </c>
      <c r="C6" s="1161"/>
      <c r="D6" s="1161"/>
      <c r="E6" s="1161"/>
      <c r="F6" s="1161"/>
      <c r="G6" s="1161"/>
      <c r="H6" s="1161"/>
      <c r="I6" s="1161"/>
      <c r="J6" s="1161"/>
      <c r="K6" s="1161"/>
      <c r="L6" s="1161"/>
      <c r="M6" s="1162"/>
      <c r="N6" s="1155"/>
    </row>
    <row r="7" spans="1:18">
      <c r="A7" s="1150"/>
      <c r="B7" s="1163" t="s">
        <v>241</v>
      </c>
      <c r="C7" s="1164"/>
      <c r="D7" s="1164"/>
      <c r="E7" s="1164"/>
      <c r="F7" s="1164"/>
      <c r="G7" s="1164"/>
      <c r="H7" s="1164"/>
      <c r="I7" s="1164"/>
      <c r="J7" s="1164"/>
      <c r="K7" s="1164"/>
      <c r="L7" s="1164"/>
      <c r="M7" s="1165"/>
      <c r="N7" s="1155"/>
    </row>
    <row r="8" spans="1:18" ht="18" customHeight="1" thickBot="1">
      <c r="A8" s="1150"/>
      <c r="B8" s="1166" t="str">
        <f>CONCATENATE("Calculation as per","  ",'Old Regime Calc. Report'!X16)</f>
        <v xml:space="preserve">Calculation as per  </v>
      </c>
      <c r="C8" s="1167"/>
      <c r="D8" s="1167"/>
      <c r="E8" s="1167"/>
      <c r="F8" s="1167"/>
      <c r="G8" s="1167"/>
      <c r="H8" s="1167"/>
      <c r="I8" s="1167"/>
      <c r="J8" s="1168"/>
      <c r="K8" s="1168"/>
      <c r="L8" s="1168"/>
      <c r="M8" s="1169"/>
      <c r="N8" s="1155"/>
    </row>
    <row r="9" spans="1:18" ht="17.25" customHeight="1" thickBot="1">
      <c r="A9" s="1150"/>
      <c r="B9" s="1166"/>
      <c r="C9" s="1167"/>
      <c r="D9" s="1167"/>
      <c r="E9" s="1167"/>
      <c r="F9" s="1167"/>
      <c r="G9" s="1167"/>
      <c r="H9" s="1167"/>
      <c r="I9" s="1167"/>
      <c r="J9" s="1122" t="s">
        <v>374</v>
      </c>
      <c r="K9" s="1123"/>
      <c r="L9" s="165"/>
      <c r="M9" s="477" t="str">
        <f>IF('Basic Data'!Q10="A","Under 60 Yrs.",IF('Basic Data'!Q10="B","Between 60&amp;80 Yrs.","Above 80 Yrs."))</f>
        <v>Under 60 Yrs.</v>
      </c>
      <c r="N9" s="1155"/>
    </row>
    <row r="10" spans="1:18">
      <c r="A10" s="1150"/>
      <c r="B10" s="1124" t="s">
        <v>242</v>
      </c>
      <c r="C10" s="1125"/>
      <c r="D10" s="1125"/>
      <c r="E10" s="1125"/>
      <c r="F10" s="1125"/>
      <c r="G10" s="1125"/>
      <c r="H10" s="1126" t="s">
        <v>243</v>
      </c>
      <c r="I10" s="1126"/>
      <c r="J10" s="1127"/>
      <c r="K10" s="1127"/>
      <c r="L10" s="1127"/>
      <c r="M10" s="1128"/>
      <c r="N10" s="1155"/>
    </row>
    <row r="11" spans="1:18" ht="15" customHeight="1">
      <c r="A11" s="1150"/>
      <c r="B11" s="1129" t="str">
        <f>CONCATENATE('Exemp.(HRA+Other) &amp; Other incom'!A1)</f>
        <v>Office: Govt. Sr. School Raimalwada (DDO Code :-12345)</v>
      </c>
      <c r="C11" s="1130"/>
      <c r="D11" s="1130"/>
      <c r="E11" s="1130"/>
      <c r="F11" s="1130"/>
      <c r="G11" s="1131"/>
      <c r="H11" s="1138" t="str">
        <f>CONCATENATE('Exemp.(HRA+Other) &amp; Other incom'!A4,"  ","(",'Exemp.(HRA+Other) &amp; Other incom'!C4,")")</f>
        <v>a  (Teacher)</v>
      </c>
      <c r="I11" s="1139"/>
      <c r="J11" s="1139"/>
      <c r="K11" s="1139"/>
      <c r="L11" s="1139"/>
      <c r="M11" s="1140"/>
      <c r="N11" s="1155"/>
    </row>
    <row r="12" spans="1:18" ht="9.75" customHeight="1">
      <c r="A12" s="1150"/>
      <c r="B12" s="1132"/>
      <c r="C12" s="1133"/>
      <c r="D12" s="1133"/>
      <c r="E12" s="1133"/>
      <c r="F12" s="1133"/>
      <c r="G12" s="1134"/>
      <c r="H12" s="1141"/>
      <c r="I12" s="1142"/>
      <c r="J12" s="1142"/>
      <c r="K12" s="1142"/>
      <c r="L12" s="1142"/>
      <c r="M12" s="1143"/>
      <c r="N12" s="1155"/>
    </row>
    <row r="13" spans="1:18" ht="15" customHeight="1">
      <c r="A13" s="1150"/>
      <c r="B13" s="1132"/>
      <c r="C13" s="1133"/>
      <c r="D13" s="1133"/>
      <c r="E13" s="1133"/>
      <c r="F13" s="1133"/>
      <c r="G13" s="1134"/>
      <c r="H13" s="1141" t="str">
        <f>'Exemp.(HRA+Other) &amp; Other incom'!D4</f>
        <v>Govt. Sr. School Raimalwada</v>
      </c>
      <c r="I13" s="1142"/>
      <c r="J13" s="1142"/>
      <c r="K13" s="1142"/>
      <c r="L13" s="1142"/>
      <c r="M13" s="1143"/>
      <c r="N13" s="1155"/>
    </row>
    <row r="14" spans="1:18" ht="4.5" customHeight="1">
      <c r="A14" s="1150"/>
      <c r="B14" s="1135"/>
      <c r="C14" s="1136"/>
      <c r="D14" s="1136"/>
      <c r="E14" s="1136"/>
      <c r="F14" s="1136"/>
      <c r="G14" s="1137"/>
      <c r="H14" s="1144"/>
      <c r="I14" s="1145"/>
      <c r="J14" s="1145"/>
      <c r="K14" s="1145"/>
      <c r="L14" s="1145"/>
      <c r="M14" s="1146"/>
      <c r="N14" s="1155"/>
    </row>
    <row r="15" spans="1:18">
      <c r="A15" s="1150"/>
      <c r="B15" s="1100" t="s">
        <v>244</v>
      </c>
      <c r="C15" s="993"/>
      <c r="D15" s="1049"/>
      <c r="E15" s="1048" t="s">
        <v>245</v>
      </c>
      <c r="F15" s="993"/>
      <c r="G15" s="1049"/>
      <c r="H15" s="1048" t="s">
        <v>246</v>
      </c>
      <c r="I15" s="993"/>
      <c r="J15" s="993"/>
      <c r="K15" s="993"/>
      <c r="L15" s="993"/>
      <c r="M15" s="1107"/>
      <c r="N15" s="1155"/>
      <c r="R15" s="166">
        <f>I26</f>
        <v>24000</v>
      </c>
    </row>
    <row r="16" spans="1:18" ht="18" customHeight="1">
      <c r="A16" s="1150"/>
      <c r="B16" s="1108"/>
      <c r="C16" s="1109"/>
      <c r="D16" s="1110"/>
      <c r="E16" s="1048" t="str">
        <f>'Basic Data'!K6</f>
        <v>JDHG09250D</v>
      </c>
      <c r="F16" s="993"/>
      <c r="G16" s="1049"/>
      <c r="H16" s="1111" t="str">
        <f>'Basic Data'!N10</f>
        <v>ABCDE1234F</v>
      </c>
      <c r="I16" s="1112"/>
      <c r="J16" s="1112"/>
      <c r="K16" s="1112"/>
      <c r="L16" s="1112"/>
      <c r="M16" s="1113"/>
      <c r="N16" s="1155"/>
      <c r="R16" s="166">
        <f>C44</f>
        <v>0</v>
      </c>
    </row>
    <row r="17" spans="1:18">
      <c r="A17" s="1150"/>
      <c r="B17" s="478" t="s">
        <v>247</v>
      </c>
      <c r="C17" s="167"/>
      <c r="D17" s="168"/>
      <c r="E17" s="1170"/>
      <c r="F17" s="1171"/>
      <c r="G17" s="1172"/>
      <c r="H17" s="993" t="s">
        <v>248</v>
      </c>
      <c r="I17" s="993"/>
      <c r="J17" s="993"/>
      <c r="K17" s="1048" t="s">
        <v>249</v>
      </c>
      <c r="L17" s="1179"/>
      <c r="M17" s="1180"/>
      <c r="N17" s="1155"/>
      <c r="R17" s="166">
        <f>C55</f>
        <v>0</v>
      </c>
    </row>
    <row r="18" spans="1:18">
      <c r="A18" s="1150"/>
      <c r="B18" s="479" t="s">
        <v>250</v>
      </c>
      <c r="C18" s="169"/>
      <c r="D18" s="170"/>
      <c r="E18" s="1173"/>
      <c r="F18" s="1174"/>
      <c r="G18" s="1175"/>
      <c r="H18" s="1048" t="s">
        <v>251</v>
      </c>
      <c r="I18" s="1049"/>
      <c r="J18" s="449" t="s">
        <v>252</v>
      </c>
      <c r="K18" s="1181" t="str">
        <f>'Old Regime Calc. Report'!AC4</f>
        <v>2025-26</v>
      </c>
      <c r="L18" s="1182"/>
      <c r="M18" s="1183"/>
      <c r="N18" s="1155"/>
      <c r="R18" s="166">
        <f>SUM(R15:R17)</f>
        <v>24000</v>
      </c>
    </row>
    <row r="19" spans="1:18">
      <c r="A19" s="1150"/>
      <c r="B19" s="480" t="s">
        <v>253</v>
      </c>
      <c r="C19" s="171"/>
      <c r="D19" s="172"/>
      <c r="E19" s="1176"/>
      <c r="F19" s="1177"/>
      <c r="G19" s="1178"/>
      <c r="H19" s="1187">
        <f>'GA-55'!C10</f>
        <v>45383</v>
      </c>
      <c r="I19" s="1188"/>
      <c r="J19" s="173">
        <f>EOMONTH('GA-55'!C20,0)+31</f>
        <v>45747</v>
      </c>
      <c r="K19" s="1184"/>
      <c r="L19" s="1185"/>
      <c r="M19" s="1186"/>
      <c r="N19" s="1155"/>
    </row>
    <row r="20" spans="1:18">
      <c r="A20" s="1150"/>
      <c r="B20" s="480" t="s">
        <v>254</v>
      </c>
      <c r="C20" s="171"/>
      <c r="D20" s="171"/>
      <c r="E20" s="174"/>
      <c r="F20" s="174"/>
      <c r="G20" s="174"/>
      <c r="H20" s="442"/>
      <c r="I20" s="442"/>
      <c r="J20" s="442"/>
      <c r="K20" s="442"/>
      <c r="L20" s="442"/>
      <c r="M20" s="481"/>
      <c r="N20" s="1155"/>
    </row>
    <row r="21" spans="1:18">
      <c r="A21" s="1150"/>
      <c r="B21" s="1114" t="s">
        <v>255</v>
      </c>
      <c r="C21" s="1115"/>
      <c r="D21" s="1116" t="s">
        <v>256</v>
      </c>
      <c r="E21" s="1116"/>
      <c r="F21" s="1116"/>
      <c r="G21" s="1117" t="s">
        <v>257</v>
      </c>
      <c r="H21" s="1117"/>
      <c r="I21" s="1118" t="s">
        <v>258</v>
      </c>
      <c r="J21" s="1119"/>
      <c r="K21" s="1120"/>
      <c r="L21" s="1116" t="s">
        <v>259</v>
      </c>
      <c r="M21" s="1121"/>
      <c r="N21" s="1155"/>
    </row>
    <row r="22" spans="1:18">
      <c r="A22" s="1150"/>
      <c r="B22" s="1104" t="s">
        <v>260</v>
      </c>
      <c r="C22" s="1058"/>
      <c r="D22" s="1091"/>
      <c r="E22" s="1092"/>
      <c r="F22" s="1093"/>
      <c r="G22" s="1094"/>
      <c r="H22" s="1095"/>
      <c r="I22" s="1091">
        <f>'Old Regime Calc. Report'!D68</f>
        <v>6000</v>
      </c>
      <c r="J22" s="1092"/>
      <c r="K22" s="1093"/>
      <c r="L22" s="1086">
        <f>I22</f>
        <v>6000</v>
      </c>
      <c r="M22" s="1106"/>
      <c r="N22" s="1155"/>
    </row>
    <row r="23" spans="1:18">
      <c r="A23" s="1150"/>
      <c r="B23" s="1104" t="s">
        <v>261</v>
      </c>
      <c r="C23" s="1058"/>
      <c r="D23" s="1091"/>
      <c r="E23" s="1092"/>
      <c r="F23" s="1093"/>
      <c r="G23" s="1094"/>
      <c r="H23" s="1095"/>
      <c r="I23" s="1091">
        <f>'Old Regime Calc. Report'!F68</f>
        <v>6000</v>
      </c>
      <c r="J23" s="1092"/>
      <c r="K23" s="1093"/>
      <c r="L23" s="1086">
        <f>I23</f>
        <v>6000</v>
      </c>
      <c r="M23" s="1106"/>
      <c r="N23" s="1155"/>
    </row>
    <row r="24" spans="1:18">
      <c r="A24" s="1150"/>
      <c r="B24" s="1104" t="s">
        <v>262</v>
      </c>
      <c r="C24" s="1058"/>
      <c r="D24" s="1091"/>
      <c r="E24" s="1092"/>
      <c r="F24" s="1093"/>
      <c r="G24" s="1094"/>
      <c r="H24" s="1095"/>
      <c r="I24" s="1091">
        <f>'Old Regime Calc. Report'!I68</f>
        <v>6000</v>
      </c>
      <c r="J24" s="1092"/>
      <c r="K24" s="1093"/>
      <c r="L24" s="1086">
        <f>I24</f>
        <v>6000</v>
      </c>
      <c r="M24" s="1105"/>
      <c r="N24" s="1155"/>
    </row>
    <row r="25" spans="1:18">
      <c r="A25" s="1150"/>
      <c r="B25" s="1104" t="s">
        <v>263</v>
      </c>
      <c r="C25" s="1058"/>
      <c r="D25" s="1091"/>
      <c r="E25" s="1092"/>
      <c r="F25" s="1093"/>
      <c r="G25" s="1094"/>
      <c r="H25" s="1095"/>
      <c r="I25" s="1091">
        <f>'Old Regime Calc. Report'!J68+'Old Regime Calc. Report'!K68+'Old Regime Calc. Report'!L68+'Old Regime Calc. Report'!M68</f>
        <v>6000</v>
      </c>
      <c r="J25" s="1092"/>
      <c r="K25" s="1093"/>
      <c r="L25" s="1086">
        <f>I25</f>
        <v>6000</v>
      </c>
      <c r="M25" s="1105"/>
      <c r="N25" s="1155"/>
    </row>
    <row r="26" spans="1:18">
      <c r="A26" s="1150"/>
      <c r="B26" s="1100" t="s">
        <v>8</v>
      </c>
      <c r="C26" s="1049"/>
      <c r="D26" s="1048"/>
      <c r="E26" s="993"/>
      <c r="F26" s="1049"/>
      <c r="G26" s="1101">
        <f>SUM(G22:H25)</f>
        <v>0</v>
      </c>
      <c r="H26" s="1102"/>
      <c r="I26" s="1048">
        <f>SUM(I22:K25)</f>
        <v>24000</v>
      </c>
      <c r="J26" s="993"/>
      <c r="K26" s="1049"/>
      <c r="L26" s="1101">
        <f>SUM(L22:M25)</f>
        <v>24000</v>
      </c>
      <c r="M26" s="1103"/>
      <c r="N26" s="1155"/>
    </row>
    <row r="27" spans="1:18">
      <c r="A27" s="1150"/>
      <c r="B27" s="1087" t="s">
        <v>264</v>
      </c>
      <c r="C27" s="1088"/>
      <c r="D27" s="1088"/>
      <c r="E27" s="1088"/>
      <c r="F27" s="1089"/>
      <c r="G27" s="1089"/>
      <c r="H27" s="1089"/>
      <c r="I27" s="1089"/>
      <c r="J27" s="1089"/>
      <c r="K27" s="1089"/>
      <c r="L27" s="1089"/>
      <c r="M27" s="1090"/>
      <c r="N27" s="1155"/>
    </row>
    <row r="28" spans="1:18">
      <c r="A28" s="1150"/>
      <c r="B28" s="482" t="s">
        <v>265</v>
      </c>
      <c r="C28" s="1074" t="s">
        <v>266</v>
      </c>
      <c r="D28" s="1074"/>
      <c r="E28" s="1075"/>
      <c r="F28" s="1076" t="s">
        <v>267</v>
      </c>
      <c r="G28" s="1077"/>
      <c r="H28" s="1077"/>
      <c r="I28" s="1077"/>
      <c r="J28" s="1078"/>
      <c r="K28" s="1078"/>
      <c r="L28" s="1077"/>
      <c r="M28" s="1079"/>
      <c r="N28" s="1155"/>
    </row>
    <row r="29" spans="1:18">
      <c r="A29" s="1150"/>
      <c r="B29" s="483"/>
      <c r="C29" s="1080" t="s">
        <v>268</v>
      </c>
      <c r="D29" s="1080"/>
      <c r="E29" s="1080"/>
      <c r="F29" s="1081" t="s">
        <v>269</v>
      </c>
      <c r="G29" s="1082"/>
      <c r="H29" s="1081" t="s">
        <v>270</v>
      </c>
      <c r="I29" s="1083"/>
      <c r="J29" s="1081" t="s">
        <v>271</v>
      </c>
      <c r="K29" s="1083"/>
      <c r="L29" s="1084" t="s">
        <v>272</v>
      </c>
      <c r="M29" s="1085"/>
      <c r="N29" s="1155"/>
    </row>
    <row r="30" spans="1:18">
      <c r="A30" s="1150"/>
      <c r="B30" s="483"/>
      <c r="C30" s="444"/>
      <c r="D30" s="444" t="s">
        <v>273</v>
      </c>
      <c r="E30" s="444"/>
      <c r="F30" s="1064" t="s">
        <v>274</v>
      </c>
      <c r="G30" s="1065"/>
      <c r="H30" s="1064" t="s">
        <v>274</v>
      </c>
      <c r="I30" s="1066"/>
      <c r="J30" s="1064" t="s">
        <v>274</v>
      </c>
      <c r="K30" s="1066"/>
      <c r="L30" s="1067" t="s">
        <v>275</v>
      </c>
      <c r="M30" s="1068"/>
      <c r="N30" s="1155"/>
    </row>
    <row r="31" spans="1:18">
      <c r="A31" s="1150"/>
      <c r="B31" s="484"/>
      <c r="C31" s="1069"/>
      <c r="D31" s="1069"/>
      <c r="E31" s="1069"/>
      <c r="F31" s="175"/>
      <c r="G31" s="176"/>
      <c r="H31" s="1070"/>
      <c r="I31" s="1071"/>
      <c r="J31" s="1072" t="s">
        <v>276</v>
      </c>
      <c r="K31" s="1073"/>
      <c r="L31" s="443"/>
      <c r="M31" s="485"/>
      <c r="N31" s="1155"/>
    </row>
    <row r="32" spans="1:18">
      <c r="A32" s="1150"/>
      <c r="B32" s="486">
        <v>1</v>
      </c>
      <c r="C32" s="1091"/>
      <c r="D32" s="1092"/>
      <c r="E32" s="1093"/>
      <c r="F32" s="1094"/>
      <c r="G32" s="1095"/>
      <c r="H32" s="1091"/>
      <c r="I32" s="1093"/>
      <c r="J32" s="1099"/>
      <c r="K32" s="1099"/>
      <c r="L32" s="1091"/>
      <c r="M32" s="1096"/>
      <c r="N32" s="1155"/>
    </row>
    <row r="33" spans="1:14">
      <c r="A33" s="1150"/>
      <c r="B33" s="487">
        <v>2</v>
      </c>
      <c r="C33" s="1091"/>
      <c r="D33" s="1092"/>
      <c r="E33" s="1093"/>
      <c r="F33" s="1094"/>
      <c r="G33" s="1095"/>
      <c r="H33" s="1091"/>
      <c r="I33" s="1093"/>
      <c r="J33" s="1099"/>
      <c r="K33" s="1099"/>
      <c r="L33" s="1091"/>
      <c r="M33" s="1096"/>
      <c r="N33" s="1155"/>
    </row>
    <row r="34" spans="1:14">
      <c r="A34" s="1150"/>
      <c r="B34" s="487">
        <v>3</v>
      </c>
      <c r="C34" s="1091"/>
      <c r="D34" s="1092"/>
      <c r="E34" s="1093"/>
      <c r="F34" s="447"/>
      <c r="G34" s="448"/>
      <c r="H34" s="436"/>
      <c r="I34" s="446"/>
      <c r="J34" s="98"/>
      <c r="K34" s="99"/>
      <c r="L34" s="1091"/>
      <c r="M34" s="1096"/>
      <c r="N34" s="1155"/>
    </row>
    <row r="35" spans="1:14">
      <c r="A35" s="1150"/>
      <c r="B35" s="487">
        <v>4</v>
      </c>
      <c r="C35" s="1091"/>
      <c r="D35" s="1092"/>
      <c r="E35" s="1093"/>
      <c r="F35" s="447"/>
      <c r="G35" s="448"/>
      <c r="H35" s="436"/>
      <c r="I35" s="446"/>
      <c r="J35" s="436"/>
      <c r="K35" s="446"/>
      <c r="L35" s="1091"/>
      <c r="M35" s="1096"/>
      <c r="N35" s="1155"/>
    </row>
    <row r="36" spans="1:14">
      <c r="A36" s="1150"/>
      <c r="B36" s="487">
        <v>5</v>
      </c>
      <c r="C36" s="1091"/>
      <c r="D36" s="1092"/>
      <c r="E36" s="1093"/>
      <c r="F36" s="447"/>
      <c r="G36" s="448"/>
      <c r="H36" s="436"/>
      <c r="I36" s="446"/>
      <c r="J36" s="436"/>
      <c r="K36" s="446"/>
      <c r="L36" s="1091"/>
      <c r="M36" s="1096"/>
      <c r="N36" s="1155"/>
    </row>
    <row r="37" spans="1:14">
      <c r="A37" s="1150"/>
      <c r="B37" s="487">
        <v>6</v>
      </c>
      <c r="C37" s="1091"/>
      <c r="D37" s="1092"/>
      <c r="E37" s="1093"/>
      <c r="F37" s="447"/>
      <c r="G37" s="448"/>
      <c r="H37" s="436"/>
      <c r="I37" s="446"/>
      <c r="J37" s="436"/>
      <c r="K37" s="446"/>
      <c r="L37" s="1091"/>
      <c r="M37" s="1096"/>
      <c r="N37" s="1155"/>
    </row>
    <row r="38" spans="1:14">
      <c r="A38" s="1150"/>
      <c r="B38" s="487">
        <v>7</v>
      </c>
      <c r="C38" s="1091"/>
      <c r="D38" s="1092"/>
      <c r="E38" s="1093"/>
      <c r="F38" s="447"/>
      <c r="G38" s="448"/>
      <c r="H38" s="436"/>
      <c r="I38" s="446"/>
      <c r="J38" s="436"/>
      <c r="K38" s="446"/>
      <c r="L38" s="1091"/>
      <c r="M38" s="1096"/>
      <c r="N38" s="1155"/>
    </row>
    <row r="39" spans="1:14">
      <c r="A39" s="1150"/>
      <c r="B39" s="487">
        <v>8</v>
      </c>
      <c r="C39" s="1091"/>
      <c r="D39" s="1092"/>
      <c r="E39" s="1093"/>
      <c r="F39" s="447"/>
      <c r="G39" s="448"/>
      <c r="H39" s="436"/>
      <c r="I39" s="446"/>
      <c r="J39" s="436"/>
      <c r="K39" s="446"/>
      <c r="L39" s="1091"/>
      <c r="M39" s="1096"/>
      <c r="N39" s="1155"/>
    </row>
    <row r="40" spans="1:14">
      <c r="A40" s="1150"/>
      <c r="B40" s="487">
        <v>9</v>
      </c>
      <c r="C40" s="1091"/>
      <c r="D40" s="1092"/>
      <c r="E40" s="1093"/>
      <c r="F40" s="1094"/>
      <c r="G40" s="1095"/>
      <c r="H40" s="1091"/>
      <c r="I40" s="1093"/>
      <c r="J40" s="1091"/>
      <c r="K40" s="1093"/>
      <c r="L40" s="1091"/>
      <c r="M40" s="1096"/>
      <c r="N40" s="1155"/>
    </row>
    <row r="41" spans="1:14">
      <c r="A41" s="1150"/>
      <c r="B41" s="487">
        <v>10</v>
      </c>
      <c r="C41" s="1091"/>
      <c r="D41" s="1092"/>
      <c r="E41" s="1093"/>
      <c r="F41" s="1094"/>
      <c r="G41" s="1095"/>
      <c r="H41" s="1091"/>
      <c r="I41" s="1093"/>
      <c r="J41" s="1091"/>
      <c r="K41" s="1093"/>
      <c r="L41" s="1091"/>
      <c r="M41" s="1096"/>
      <c r="N41" s="1155"/>
    </row>
    <row r="42" spans="1:14">
      <c r="A42" s="1150"/>
      <c r="B42" s="487">
        <v>11</v>
      </c>
      <c r="C42" s="1091"/>
      <c r="D42" s="1092"/>
      <c r="E42" s="1093"/>
      <c r="F42" s="1094"/>
      <c r="G42" s="1095"/>
      <c r="H42" s="1091"/>
      <c r="I42" s="1093"/>
      <c r="J42" s="1091"/>
      <c r="K42" s="1093"/>
      <c r="L42" s="1091"/>
      <c r="M42" s="1096"/>
      <c r="N42" s="1155"/>
    </row>
    <row r="43" spans="1:14">
      <c r="A43" s="1150"/>
      <c r="B43" s="487">
        <v>12</v>
      </c>
      <c r="C43" s="1091"/>
      <c r="D43" s="1092"/>
      <c r="E43" s="1093"/>
      <c r="F43" s="1094"/>
      <c r="G43" s="1095"/>
      <c r="H43" s="1091"/>
      <c r="I43" s="1093"/>
      <c r="J43" s="1097"/>
      <c r="K43" s="1098"/>
      <c r="L43" s="1091"/>
      <c r="M43" s="1096"/>
      <c r="N43" s="1155"/>
    </row>
    <row r="44" spans="1:14">
      <c r="A44" s="1150"/>
      <c r="B44" s="484" t="s">
        <v>277</v>
      </c>
      <c r="C44" s="1052">
        <f>SUM(C32:E43)</f>
        <v>0</v>
      </c>
      <c r="D44" s="1053"/>
      <c r="E44" s="1058"/>
      <c r="F44" s="1086"/>
      <c r="G44" s="1051"/>
      <c r="H44" s="1052"/>
      <c r="I44" s="1058"/>
      <c r="J44" s="1063"/>
      <c r="K44" s="1063"/>
      <c r="L44" s="1052"/>
      <c r="M44" s="1054"/>
      <c r="N44" s="1155"/>
    </row>
    <row r="45" spans="1:14" ht="11.25" customHeight="1">
      <c r="A45" s="1150"/>
      <c r="B45" s="480"/>
      <c r="C45" s="441"/>
      <c r="D45" s="441"/>
      <c r="E45" s="441"/>
      <c r="F45" s="445"/>
      <c r="G45" s="445"/>
      <c r="H45" s="441"/>
      <c r="I45" s="441"/>
      <c r="J45" s="442"/>
      <c r="K45" s="442"/>
      <c r="L45" s="442"/>
      <c r="M45" s="485"/>
      <c r="N45" s="1155"/>
    </row>
    <row r="46" spans="1:14">
      <c r="A46" s="1150"/>
      <c r="B46" s="1087" t="s">
        <v>354</v>
      </c>
      <c r="C46" s="1088"/>
      <c r="D46" s="1088"/>
      <c r="E46" s="1088"/>
      <c r="F46" s="1089"/>
      <c r="G46" s="1089"/>
      <c r="H46" s="1089"/>
      <c r="I46" s="1089"/>
      <c r="J46" s="1089"/>
      <c r="K46" s="1089"/>
      <c r="L46" s="1089"/>
      <c r="M46" s="1090"/>
      <c r="N46" s="1155"/>
    </row>
    <row r="47" spans="1:14">
      <c r="A47" s="1150"/>
      <c r="B47" s="482" t="s">
        <v>265</v>
      </c>
      <c r="C47" s="1074" t="s">
        <v>266</v>
      </c>
      <c r="D47" s="1074"/>
      <c r="E47" s="1075"/>
      <c r="F47" s="1076" t="s">
        <v>278</v>
      </c>
      <c r="G47" s="1077"/>
      <c r="H47" s="1077"/>
      <c r="I47" s="1077"/>
      <c r="J47" s="1078"/>
      <c r="K47" s="1078"/>
      <c r="L47" s="1077"/>
      <c r="M47" s="1079"/>
      <c r="N47" s="1155"/>
    </row>
    <row r="48" spans="1:14">
      <c r="A48" s="1150"/>
      <c r="B48" s="483"/>
      <c r="C48" s="1080" t="s">
        <v>268</v>
      </c>
      <c r="D48" s="1080"/>
      <c r="E48" s="1080"/>
      <c r="F48" s="1081" t="s">
        <v>279</v>
      </c>
      <c r="G48" s="1082"/>
      <c r="H48" s="1081" t="s">
        <v>280</v>
      </c>
      <c r="I48" s="1083"/>
      <c r="J48" s="1081" t="s">
        <v>281</v>
      </c>
      <c r="K48" s="1083"/>
      <c r="L48" s="1084" t="s">
        <v>272</v>
      </c>
      <c r="M48" s="1085"/>
      <c r="N48" s="1155"/>
    </row>
    <row r="49" spans="1:14">
      <c r="A49" s="1150"/>
      <c r="B49" s="483"/>
      <c r="C49" s="444"/>
      <c r="D49" s="444" t="s">
        <v>273</v>
      </c>
      <c r="E49" s="444"/>
      <c r="F49" s="1064" t="s">
        <v>282</v>
      </c>
      <c r="G49" s="1065"/>
      <c r="H49" s="1064" t="s">
        <v>283</v>
      </c>
      <c r="I49" s="1066"/>
      <c r="J49" s="1064" t="s">
        <v>284</v>
      </c>
      <c r="K49" s="1066"/>
      <c r="L49" s="1067" t="s">
        <v>275</v>
      </c>
      <c r="M49" s="1068"/>
      <c r="N49" s="1155"/>
    </row>
    <row r="50" spans="1:14">
      <c r="A50" s="1150"/>
      <c r="B50" s="484"/>
      <c r="C50" s="1069"/>
      <c r="D50" s="1069"/>
      <c r="E50" s="1069"/>
      <c r="F50" s="175"/>
      <c r="G50" s="176"/>
      <c r="H50" s="1070" t="s">
        <v>276</v>
      </c>
      <c r="I50" s="1071"/>
      <c r="J50" s="1072"/>
      <c r="K50" s="1073"/>
      <c r="L50" s="443"/>
      <c r="M50" s="485"/>
      <c r="N50" s="1155"/>
    </row>
    <row r="51" spans="1:14">
      <c r="A51" s="1150"/>
      <c r="B51" s="486">
        <v>1</v>
      </c>
      <c r="C51" s="1052">
        <f>'Exemp.(HRA+Other) &amp; Other incom'!Q7</f>
        <v>0</v>
      </c>
      <c r="D51" s="1053"/>
      <c r="E51" s="1058"/>
      <c r="F51" s="1050">
        <f>'Exemp.(HRA+Other) &amp; Other incom'!P7</f>
        <v>0</v>
      </c>
      <c r="G51" s="1059"/>
      <c r="H51" s="1060">
        <f>'Exemp.(HRA+Other) &amp; Other incom'!N7</f>
        <v>0</v>
      </c>
      <c r="I51" s="1061"/>
      <c r="J51" s="1062">
        <f>'Exemp.(HRA+Other) &amp; Other incom'!O7</f>
        <v>0</v>
      </c>
      <c r="K51" s="1063"/>
      <c r="L51" s="1052">
        <f>IF(C51&gt;0,"Matched",0)</f>
        <v>0</v>
      </c>
      <c r="M51" s="1054"/>
      <c r="N51" s="1155"/>
    </row>
    <row r="52" spans="1:14">
      <c r="A52" s="1150"/>
      <c r="B52" s="487">
        <v>2</v>
      </c>
      <c r="C52" s="1052">
        <f>'Exemp.(HRA+Other) &amp; Other incom'!Q8</f>
        <v>0</v>
      </c>
      <c r="D52" s="1053"/>
      <c r="E52" s="1058"/>
      <c r="F52" s="1050">
        <f>'Exemp.(HRA+Other) &amp; Other incom'!P8</f>
        <v>0</v>
      </c>
      <c r="G52" s="1059"/>
      <c r="H52" s="1060">
        <f>'Exemp.(HRA+Other) &amp; Other incom'!N8</f>
        <v>0</v>
      </c>
      <c r="I52" s="1061"/>
      <c r="J52" s="1062">
        <f>'Exemp.(HRA+Other) &amp; Other incom'!O8</f>
        <v>0</v>
      </c>
      <c r="K52" s="1063"/>
      <c r="L52" s="1052">
        <f t="shared" ref="L52:L54" si="0">IF(C52&gt;0,"Matched",0)</f>
        <v>0</v>
      </c>
      <c r="M52" s="1054"/>
      <c r="N52" s="1155"/>
    </row>
    <row r="53" spans="1:14">
      <c r="A53" s="1150"/>
      <c r="B53" s="487">
        <v>3</v>
      </c>
      <c r="C53" s="1052">
        <f>'Exemp.(HRA+Other) &amp; Other incom'!Q9</f>
        <v>0</v>
      </c>
      <c r="D53" s="1053"/>
      <c r="E53" s="1058"/>
      <c r="F53" s="1050">
        <f>'Exemp.(HRA+Other) &amp; Other incom'!P9</f>
        <v>0</v>
      </c>
      <c r="G53" s="1059"/>
      <c r="H53" s="1060">
        <f>'Exemp.(HRA+Other) &amp; Other incom'!N9</f>
        <v>0</v>
      </c>
      <c r="I53" s="1061"/>
      <c r="J53" s="1062">
        <f>'Exemp.(HRA+Other) &amp; Other incom'!O9</f>
        <v>0</v>
      </c>
      <c r="K53" s="1063"/>
      <c r="L53" s="1052">
        <f t="shared" si="0"/>
        <v>0</v>
      </c>
      <c r="M53" s="1054"/>
      <c r="N53" s="1155"/>
    </row>
    <row r="54" spans="1:14">
      <c r="A54" s="1150"/>
      <c r="B54" s="487">
        <v>4</v>
      </c>
      <c r="C54" s="1052">
        <f>'Exemp.(HRA+Other) &amp; Other incom'!Q10</f>
        <v>0</v>
      </c>
      <c r="D54" s="1053"/>
      <c r="E54" s="1058"/>
      <c r="F54" s="1050">
        <f>'Exemp.(HRA+Other) &amp; Other incom'!P10</f>
        <v>0</v>
      </c>
      <c r="G54" s="1059"/>
      <c r="H54" s="1060">
        <f>'Exemp.(HRA+Other) &amp; Other incom'!N10</f>
        <v>0</v>
      </c>
      <c r="I54" s="1061"/>
      <c r="J54" s="1062">
        <f>'Exemp.(HRA+Other) &amp; Other incom'!O10</f>
        <v>0</v>
      </c>
      <c r="K54" s="1063"/>
      <c r="L54" s="1052">
        <f t="shared" si="0"/>
        <v>0</v>
      </c>
      <c r="M54" s="1054"/>
      <c r="N54" s="1155"/>
    </row>
    <row r="55" spans="1:14">
      <c r="A55" s="1150"/>
      <c r="B55" s="488" t="s">
        <v>277</v>
      </c>
      <c r="C55" s="1048">
        <f>SUM(C51:E54)</f>
        <v>0</v>
      </c>
      <c r="D55" s="993"/>
      <c r="E55" s="1049"/>
      <c r="F55" s="1050"/>
      <c r="G55" s="1051"/>
      <c r="H55" s="1052"/>
      <c r="I55" s="1053"/>
      <c r="J55" s="1053"/>
      <c r="K55" s="1053"/>
      <c r="L55" s="1053"/>
      <c r="M55" s="1054"/>
      <c r="N55" s="1155"/>
    </row>
    <row r="56" spans="1:14">
      <c r="A56" s="1150"/>
      <c r="B56" s="989" t="s">
        <v>285</v>
      </c>
      <c r="C56" s="990"/>
      <c r="D56" s="990"/>
      <c r="E56" s="990"/>
      <c r="F56" s="990"/>
      <c r="G56" s="990"/>
      <c r="H56" s="990"/>
      <c r="I56" s="990"/>
      <c r="J56" s="990"/>
      <c r="K56" s="990"/>
      <c r="L56" s="990"/>
      <c r="M56" s="1055"/>
      <c r="N56" s="1155"/>
    </row>
    <row r="57" spans="1:14">
      <c r="A57" s="1150"/>
      <c r="B57" s="489" t="s">
        <v>286</v>
      </c>
      <c r="C57" s="992">
        <f>'Basic Data'!O6</f>
        <v>0</v>
      </c>
      <c r="D57" s="992"/>
      <c r="E57" s="992"/>
      <c r="F57" s="177" t="s">
        <v>287</v>
      </c>
      <c r="G57" s="178"/>
      <c r="H57" s="1056"/>
      <c r="I57" s="1057"/>
      <c r="J57" s="1057"/>
      <c r="K57" s="177" t="s">
        <v>288</v>
      </c>
      <c r="L57" s="178"/>
      <c r="M57" s="490"/>
      <c r="N57" s="1155"/>
    </row>
    <row r="58" spans="1:14">
      <c r="A58" s="1150"/>
      <c r="B58" s="1039" t="s">
        <v>355</v>
      </c>
      <c r="C58" s="1040"/>
      <c r="D58" s="1040"/>
      <c r="E58" s="179" t="s">
        <v>289</v>
      </c>
      <c r="F58" s="169"/>
      <c r="G58" s="180"/>
      <c r="H58" s="180"/>
      <c r="I58" s="180"/>
      <c r="J58" s="450">
        <f>'Old Regime Calc. Report'!Q68</f>
        <v>24000</v>
      </c>
      <c r="K58" s="181" t="s">
        <v>290</v>
      </c>
      <c r="L58" s="180"/>
      <c r="M58" s="491"/>
      <c r="N58" s="1155"/>
    </row>
    <row r="59" spans="1:14">
      <c r="A59" s="1150"/>
      <c r="B59" s="1041"/>
      <c r="C59" s="1042"/>
      <c r="D59" s="1042"/>
      <c r="E59" s="1042"/>
      <c r="F59" s="1042"/>
      <c r="G59" s="182" t="s">
        <v>291</v>
      </c>
      <c r="H59" s="183"/>
      <c r="I59" s="183"/>
      <c r="J59" s="183"/>
      <c r="K59" s="183"/>
      <c r="L59" s="183"/>
      <c r="M59" s="492"/>
      <c r="N59" s="1155"/>
    </row>
    <row r="60" spans="1:14">
      <c r="A60" s="1150"/>
      <c r="B60" s="977" t="s">
        <v>292</v>
      </c>
      <c r="C60" s="978"/>
      <c r="D60" s="978"/>
      <c r="E60" s="978"/>
      <c r="F60" s="978"/>
      <c r="G60" s="978"/>
      <c r="H60" s="978"/>
      <c r="I60" s="978"/>
      <c r="J60" s="978"/>
      <c r="K60" s="978"/>
      <c r="L60" s="978"/>
      <c r="M60" s="979"/>
      <c r="N60" s="1155"/>
    </row>
    <row r="61" spans="1:14">
      <c r="A61" s="1150"/>
      <c r="B61" s="1043"/>
      <c r="C61" s="1044"/>
      <c r="D61" s="1044"/>
      <c r="E61" s="1044"/>
      <c r="F61" s="1044"/>
      <c r="G61" s="1044"/>
      <c r="H61" s="1044"/>
      <c r="I61" s="1044"/>
      <c r="J61" s="1044"/>
      <c r="K61" s="1044"/>
      <c r="L61" s="1044"/>
      <c r="M61" s="1045"/>
      <c r="N61" s="1155"/>
    </row>
    <row r="62" spans="1:14">
      <c r="A62" s="1150"/>
      <c r="B62" s="1046" t="s">
        <v>293</v>
      </c>
      <c r="C62" s="1047"/>
      <c r="D62" s="184"/>
      <c r="E62" s="184"/>
      <c r="F62" s="184"/>
      <c r="G62" s="184"/>
      <c r="H62" s="184"/>
      <c r="I62" s="184"/>
      <c r="J62" s="184"/>
      <c r="K62" s="184"/>
      <c r="L62" s="184"/>
      <c r="M62" s="493"/>
      <c r="N62" s="1155"/>
    </row>
    <row r="63" spans="1:14">
      <c r="A63" s="1150"/>
      <c r="B63" s="1028" t="s">
        <v>294</v>
      </c>
      <c r="C63" s="1029"/>
      <c r="D63" s="1029"/>
      <c r="E63" s="1029"/>
      <c r="F63" s="1029"/>
      <c r="G63" s="1029"/>
      <c r="H63" s="1029"/>
      <c r="I63" s="1029"/>
      <c r="J63" s="1029"/>
      <c r="K63" s="1029"/>
      <c r="L63" s="1029"/>
      <c r="M63" s="1030"/>
      <c r="N63" s="1155"/>
    </row>
    <row r="64" spans="1:14">
      <c r="A64" s="1150"/>
      <c r="B64" s="1028" t="s">
        <v>295</v>
      </c>
      <c r="C64" s="1029"/>
      <c r="D64" s="1029"/>
      <c r="E64" s="1029"/>
      <c r="F64" s="1029"/>
      <c r="G64" s="1029"/>
      <c r="H64" s="1029"/>
      <c r="I64" s="1029"/>
      <c r="J64" s="1029"/>
      <c r="K64" s="1029"/>
      <c r="L64" s="1029"/>
      <c r="M64" s="1030"/>
      <c r="N64" s="1155"/>
    </row>
    <row r="65" spans="1:14">
      <c r="A65" s="1150"/>
      <c r="B65" s="1028" t="s">
        <v>296</v>
      </c>
      <c r="C65" s="1029"/>
      <c r="D65" s="1029"/>
      <c r="E65" s="1029"/>
      <c r="F65" s="1029"/>
      <c r="G65" s="1029"/>
      <c r="H65" s="1029"/>
      <c r="I65" s="1029"/>
      <c r="J65" s="1029"/>
      <c r="K65" s="1029"/>
      <c r="L65" s="1029"/>
      <c r="M65" s="1030"/>
      <c r="N65" s="1155"/>
    </row>
    <row r="66" spans="1:14">
      <c r="A66" s="1150"/>
      <c r="B66" s="1028" t="s">
        <v>297</v>
      </c>
      <c r="C66" s="1029"/>
      <c r="D66" s="1029"/>
      <c r="E66" s="1029"/>
      <c r="F66" s="1029"/>
      <c r="G66" s="1029"/>
      <c r="H66" s="1029"/>
      <c r="I66" s="1029"/>
      <c r="J66" s="1029"/>
      <c r="K66" s="1029"/>
      <c r="L66" s="1029"/>
      <c r="M66" s="1030"/>
      <c r="N66" s="1155"/>
    </row>
    <row r="67" spans="1:14">
      <c r="A67" s="1150"/>
      <c r="B67" s="1028" t="s">
        <v>298</v>
      </c>
      <c r="C67" s="1029"/>
      <c r="D67" s="1029"/>
      <c r="E67" s="1029"/>
      <c r="F67" s="1029"/>
      <c r="G67" s="1029"/>
      <c r="H67" s="1029"/>
      <c r="I67" s="437"/>
      <c r="J67" s="437"/>
      <c r="K67" s="437"/>
      <c r="L67" s="437"/>
      <c r="M67" s="494"/>
      <c r="N67" s="1155"/>
    </row>
    <row r="68" spans="1:14">
      <c r="A68" s="1150"/>
      <c r="B68" s="1028" t="s">
        <v>299</v>
      </c>
      <c r="C68" s="1029"/>
      <c r="D68" s="1029"/>
      <c r="E68" s="1029"/>
      <c r="F68" s="1029"/>
      <c r="G68" s="1029"/>
      <c r="H68" s="1029"/>
      <c r="I68" s="1029"/>
      <c r="J68" s="1029"/>
      <c r="K68" s="1029"/>
      <c r="L68" s="1029"/>
      <c r="M68" s="1030"/>
      <c r="N68" s="1155"/>
    </row>
    <row r="69" spans="1:14">
      <c r="A69" s="1150"/>
      <c r="B69" s="1028" t="s">
        <v>300</v>
      </c>
      <c r="C69" s="1029"/>
      <c r="D69" s="1029"/>
      <c r="E69" s="1029"/>
      <c r="F69" s="1029"/>
      <c r="G69" s="1029"/>
      <c r="H69" s="1029"/>
      <c r="I69" s="1029"/>
      <c r="J69" s="1029"/>
      <c r="K69" s="1029"/>
      <c r="L69" s="1029"/>
      <c r="M69" s="1030"/>
      <c r="N69" s="1155"/>
    </row>
    <row r="70" spans="1:14">
      <c r="A70" s="1150"/>
      <c r="B70" s="1028" t="s">
        <v>301</v>
      </c>
      <c r="C70" s="1029"/>
      <c r="D70" s="1029"/>
      <c r="E70" s="1029"/>
      <c r="F70" s="1029"/>
      <c r="G70" s="1029"/>
      <c r="H70" s="1029"/>
      <c r="I70" s="1029"/>
      <c r="J70" s="1029"/>
      <c r="K70" s="1029"/>
      <c r="L70" s="1029"/>
      <c r="M70" s="1030"/>
      <c r="N70" s="1155"/>
    </row>
    <row r="71" spans="1:14">
      <c r="A71" s="1150"/>
      <c r="B71" s="1028" t="s">
        <v>302</v>
      </c>
      <c r="C71" s="1029"/>
      <c r="D71" s="1029"/>
      <c r="E71" s="1029"/>
      <c r="F71" s="1029"/>
      <c r="G71" s="1029"/>
      <c r="H71" s="1029"/>
      <c r="I71" s="1029"/>
      <c r="J71" s="1029"/>
      <c r="K71" s="1029"/>
      <c r="L71" s="1029"/>
      <c r="M71" s="1030"/>
      <c r="N71" s="1155"/>
    </row>
    <row r="72" spans="1:14">
      <c r="A72" s="1150"/>
      <c r="B72" s="977" t="s">
        <v>303</v>
      </c>
      <c r="C72" s="978"/>
      <c r="D72" s="978"/>
      <c r="E72" s="978"/>
      <c r="F72" s="978"/>
      <c r="G72" s="978"/>
      <c r="H72" s="978"/>
      <c r="I72" s="978"/>
      <c r="J72" s="978"/>
      <c r="K72" s="978"/>
      <c r="L72" s="978"/>
      <c r="M72" s="979"/>
      <c r="N72" s="1155"/>
    </row>
    <row r="73" spans="1:14">
      <c r="A73" s="1150"/>
      <c r="B73" s="977" t="s">
        <v>304</v>
      </c>
      <c r="C73" s="978"/>
      <c r="D73" s="978"/>
      <c r="E73" s="978"/>
      <c r="F73" s="978"/>
      <c r="G73" s="169"/>
      <c r="H73" s="169"/>
      <c r="I73" s="169"/>
      <c r="J73" s="169"/>
      <c r="K73" s="169"/>
      <c r="L73" s="169"/>
      <c r="M73" s="495"/>
      <c r="N73" s="1155"/>
    </row>
    <row r="74" spans="1:14">
      <c r="A74" s="1150"/>
      <c r="B74" s="496" t="s">
        <v>305</v>
      </c>
      <c r="C74" s="169"/>
      <c r="D74" s="169"/>
      <c r="E74" s="169"/>
      <c r="F74" s="169"/>
      <c r="G74" s="437"/>
      <c r="H74" s="437"/>
      <c r="I74" s="437"/>
      <c r="J74" s="437"/>
      <c r="K74" s="437"/>
      <c r="L74" s="437"/>
      <c r="M74" s="494"/>
      <c r="N74" s="1155"/>
    </row>
    <row r="75" spans="1:14" ht="8.25" customHeight="1" thickBot="1">
      <c r="A75" s="1150"/>
      <c r="B75" s="534"/>
      <c r="C75" s="535"/>
      <c r="D75" s="535"/>
      <c r="E75" s="535"/>
      <c r="F75" s="535"/>
      <c r="G75" s="535"/>
      <c r="H75" s="535"/>
      <c r="I75" s="535"/>
      <c r="J75" s="535"/>
      <c r="K75" s="535"/>
      <c r="L75" s="535"/>
      <c r="M75" s="536"/>
      <c r="N75" s="1155"/>
    </row>
    <row r="76" spans="1:14">
      <c r="A76" s="1150"/>
      <c r="B76" s="1031" t="s">
        <v>306</v>
      </c>
      <c r="C76" s="1032"/>
      <c r="D76" s="1032"/>
      <c r="E76" s="1032"/>
      <c r="F76" s="1032"/>
      <c r="G76" s="1032"/>
      <c r="H76" s="1032"/>
      <c r="I76" s="1032"/>
      <c r="J76" s="1032"/>
      <c r="K76" s="1032"/>
      <c r="L76" s="1032"/>
      <c r="M76" s="1033"/>
      <c r="N76" s="1155"/>
    </row>
    <row r="77" spans="1:14" ht="15.75">
      <c r="A77" s="1150"/>
      <c r="B77" s="1034" t="s">
        <v>307</v>
      </c>
      <c r="C77" s="1035"/>
      <c r="D77" s="1035"/>
      <c r="E77" s="1035"/>
      <c r="F77" s="1035"/>
      <c r="G77" s="1035"/>
      <c r="H77" s="1035"/>
      <c r="I77" s="1035"/>
      <c r="J77" s="1035"/>
      <c r="K77" s="1035"/>
      <c r="L77" s="1035"/>
      <c r="M77" s="1036"/>
      <c r="N77" s="1155"/>
    </row>
    <row r="78" spans="1:14">
      <c r="A78" s="1150"/>
      <c r="B78" s="497" t="s">
        <v>308</v>
      </c>
      <c r="C78" s="185"/>
      <c r="D78" s="186"/>
      <c r="E78" s="186"/>
      <c r="F78" s="186"/>
      <c r="G78" s="186"/>
      <c r="H78" s="186"/>
      <c r="I78" s="186"/>
      <c r="J78" s="187"/>
      <c r="K78" s="188"/>
      <c r="L78" s="189"/>
      <c r="M78" s="498"/>
      <c r="N78" s="1155"/>
    </row>
    <row r="79" spans="1:14">
      <c r="A79" s="1150"/>
      <c r="B79" s="499"/>
      <c r="C79" s="190" t="s">
        <v>309</v>
      </c>
      <c r="D79" s="190"/>
      <c r="E79" s="190"/>
      <c r="F79" s="190"/>
      <c r="G79" s="190"/>
      <c r="H79" s="186"/>
      <c r="I79" s="186"/>
      <c r="J79" s="191">
        <f>'New Regime Calc. Report'!Q4</f>
        <v>1381266</v>
      </c>
      <c r="K79" s="187"/>
      <c r="L79" s="189"/>
      <c r="M79" s="498"/>
      <c r="N79" s="1155"/>
    </row>
    <row r="80" spans="1:14">
      <c r="A80" s="1150"/>
      <c r="B80" s="499"/>
      <c r="C80" s="190" t="s">
        <v>310</v>
      </c>
      <c r="D80" s="190"/>
      <c r="E80" s="190"/>
      <c r="F80" s="190"/>
      <c r="G80" s="190"/>
      <c r="H80" s="186"/>
      <c r="I80" s="186"/>
      <c r="J80" s="191"/>
      <c r="K80" s="187"/>
      <c r="L80" s="189"/>
      <c r="M80" s="498"/>
      <c r="N80" s="1155"/>
    </row>
    <row r="81" spans="1:18">
      <c r="A81" s="1150"/>
      <c r="B81" s="499"/>
      <c r="C81" s="190" t="s">
        <v>311</v>
      </c>
      <c r="D81" s="190"/>
      <c r="E81" s="190"/>
      <c r="F81" s="190"/>
      <c r="G81" s="190"/>
      <c r="H81" s="186"/>
      <c r="I81" s="186"/>
      <c r="J81" s="187"/>
      <c r="K81" s="187"/>
      <c r="L81" s="189"/>
      <c r="M81" s="498"/>
      <c r="N81" s="1155"/>
    </row>
    <row r="82" spans="1:18">
      <c r="A82" s="1150"/>
      <c r="B82" s="499"/>
      <c r="C82" s="190" t="s">
        <v>312</v>
      </c>
      <c r="D82" s="190"/>
      <c r="E82" s="190"/>
      <c r="F82" s="190"/>
      <c r="G82" s="190"/>
      <c r="H82" s="186"/>
      <c r="I82" s="186"/>
      <c r="J82" s="191"/>
      <c r="K82" s="187"/>
      <c r="L82" s="189"/>
      <c r="M82" s="498"/>
      <c r="N82" s="1155"/>
    </row>
    <row r="83" spans="1:18">
      <c r="A83" s="1150"/>
      <c r="B83" s="499"/>
      <c r="C83" s="190" t="s">
        <v>311</v>
      </c>
      <c r="D83" s="190"/>
      <c r="E83" s="190"/>
      <c r="F83" s="190"/>
      <c r="G83" s="190"/>
      <c r="H83" s="186"/>
      <c r="I83" s="186"/>
      <c r="J83" s="187"/>
      <c r="K83" s="187"/>
      <c r="L83" s="189"/>
      <c r="M83" s="498"/>
      <c r="N83" s="1155"/>
    </row>
    <row r="84" spans="1:18">
      <c r="A84" s="1150"/>
      <c r="B84" s="497"/>
      <c r="C84" s="192" t="s">
        <v>313</v>
      </c>
      <c r="D84" s="192"/>
      <c r="E84" s="192"/>
      <c r="F84" s="192"/>
      <c r="G84" s="192"/>
      <c r="H84" s="193"/>
      <c r="I84" s="193"/>
      <c r="J84" s="194"/>
      <c r="K84" s="1037">
        <f>+J83+J81+J79</f>
        <v>1381266</v>
      </c>
      <c r="L84" s="1038"/>
      <c r="M84" s="498"/>
      <c r="N84" s="1155"/>
    </row>
    <row r="85" spans="1:18" hidden="1">
      <c r="A85" s="1150"/>
      <c r="B85" s="499"/>
      <c r="C85" s="186"/>
      <c r="D85" s="186"/>
      <c r="E85" s="186"/>
      <c r="F85" s="186"/>
      <c r="G85" s="186"/>
      <c r="H85" s="186"/>
      <c r="I85" s="186"/>
      <c r="J85" s="187"/>
      <c r="K85" s="187"/>
      <c r="L85" s="189"/>
      <c r="M85" s="498"/>
      <c r="N85" s="1155"/>
    </row>
    <row r="86" spans="1:18">
      <c r="A86" s="1150"/>
      <c r="B86" s="497" t="s">
        <v>314</v>
      </c>
      <c r="C86" s="186"/>
      <c r="D86" s="186"/>
      <c r="E86" s="186"/>
      <c r="F86" s="186"/>
      <c r="G86" s="186"/>
      <c r="H86" s="186"/>
      <c r="I86" s="186"/>
      <c r="J86" s="187"/>
      <c r="K86" s="187"/>
      <c r="L86" s="189"/>
      <c r="M86" s="498"/>
      <c r="N86" s="1155"/>
    </row>
    <row r="87" spans="1:18">
      <c r="A87" s="1150"/>
      <c r="B87" s="1021" t="s">
        <v>356</v>
      </c>
      <c r="C87" s="1022"/>
      <c r="D87" s="1022"/>
      <c r="E87" s="1022"/>
      <c r="F87" s="1022"/>
      <c r="G87" s="1022"/>
      <c r="H87" s="1022"/>
      <c r="I87" s="440"/>
      <c r="J87" s="191">
        <v>0</v>
      </c>
      <c r="K87" s="187"/>
      <c r="L87" s="189"/>
      <c r="M87" s="498"/>
      <c r="N87" s="1155"/>
    </row>
    <row r="88" spans="1:18">
      <c r="A88" s="1150"/>
      <c r="B88" s="1021" t="s">
        <v>315</v>
      </c>
      <c r="C88" s="1022"/>
      <c r="D88" s="1022"/>
      <c r="E88" s="1022"/>
      <c r="F88" s="1022"/>
      <c r="G88" s="1022"/>
      <c r="H88" s="1022"/>
      <c r="I88" s="440"/>
      <c r="J88" s="195"/>
      <c r="K88" s="187"/>
      <c r="L88" s="189"/>
      <c r="M88" s="498"/>
      <c r="N88" s="1155"/>
    </row>
    <row r="89" spans="1:18">
      <c r="A89" s="1150"/>
      <c r="B89" s="500" t="s">
        <v>316</v>
      </c>
      <c r="C89" s="196"/>
      <c r="D89" s="196"/>
      <c r="E89" s="196"/>
      <c r="F89" s="196"/>
      <c r="G89" s="196"/>
      <c r="H89" s="196"/>
      <c r="I89" s="196"/>
      <c r="J89" s="197"/>
      <c r="K89" s="1023">
        <f>+K84-J86-J87-J88</f>
        <v>1381266</v>
      </c>
      <c r="L89" s="1024"/>
      <c r="M89" s="498"/>
      <c r="N89" s="1155"/>
    </row>
    <row r="90" spans="1:18" hidden="1">
      <c r="A90" s="1150"/>
      <c r="B90" s="499"/>
      <c r="C90" s="186"/>
      <c r="D90" s="186"/>
      <c r="E90" s="186"/>
      <c r="F90" s="186"/>
      <c r="G90" s="186"/>
      <c r="H90" s="186"/>
      <c r="I90" s="186"/>
      <c r="J90" s="187"/>
      <c r="K90" s="187"/>
      <c r="L90" s="189"/>
      <c r="M90" s="498"/>
      <c r="N90" s="1155"/>
    </row>
    <row r="91" spans="1:18">
      <c r="A91" s="1150"/>
      <c r="B91" s="497" t="s">
        <v>317</v>
      </c>
      <c r="C91" s="186"/>
      <c r="D91" s="186"/>
      <c r="E91" s="186"/>
      <c r="F91" s="186"/>
      <c r="G91" s="186"/>
      <c r="H91" s="186"/>
      <c r="I91" s="186"/>
      <c r="J91" s="187"/>
      <c r="K91" s="187"/>
      <c r="L91" s="189"/>
      <c r="M91" s="498"/>
      <c r="N91" s="1155"/>
      <c r="R91" s="198">
        <f>IF('Old Regime Calc. Report'!X16="New tax regime",0,'Old Regime Calc. Report'!Q9)</f>
        <v>50000</v>
      </c>
    </row>
    <row r="92" spans="1:18">
      <c r="A92" s="1150"/>
      <c r="B92" s="499"/>
      <c r="C92" s="190" t="s">
        <v>318</v>
      </c>
      <c r="D92" s="190"/>
      <c r="E92" s="190"/>
      <c r="F92" s="190"/>
      <c r="G92" s="190" t="s">
        <v>127</v>
      </c>
      <c r="H92" s="199">
        <f>'New Regime Calc. Report'!M9</f>
        <v>75000</v>
      </c>
      <c r="I92" s="200"/>
      <c r="J92" s="187"/>
      <c r="K92" s="187"/>
      <c r="L92" s="189"/>
      <c r="M92" s="498"/>
      <c r="N92" s="1155"/>
      <c r="R92" s="198">
        <f>IF('Old Regime Calc. Report'!X16="New tax regime",0,'Old Regime Calc. Report'!M7+'Old Regime Calc. Report'!M8)</f>
        <v>0</v>
      </c>
    </row>
    <row r="93" spans="1:18">
      <c r="A93" s="1150"/>
      <c r="B93" s="499"/>
      <c r="C93" s="190" t="s">
        <v>319</v>
      </c>
      <c r="D93" s="190"/>
      <c r="E93" s="190"/>
      <c r="F93" s="190"/>
      <c r="G93" s="190" t="s">
        <v>127</v>
      </c>
      <c r="H93" s="201">
        <f>'Old Regime Calc. Report'!M7</f>
        <v>0</v>
      </c>
      <c r="I93" s="190"/>
      <c r="J93" s="187"/>
      <c r="K93" s="187"/>
      <c r="L93" s="189"/>
      <c r="M93" s="498"/>
      <c r="N93" s="1155"/>
    </row>
    <row r="94" spans="1:18">
      <c r="A94" s="1150"/>
      <c r="B94" s="499"/>
      <c r="C94" s="190" t="s">
        <v>320</v>
      </c>
      <c r="D94" s="190"/>
      <c r="E94" s="190"/>
      <c r="F94" s="190"/>
      <c r="G94" s="190" t="s">
        <v>127</v>
      </c>
      <c r="H94" s="190">
        <f>'Old Regime Calc. Report'!M8</f>
        <v>0</v>
      </c>
      <c r="I94" s="190"/>
      <c r="J94" s="187"/>
      <c r="K94" s="187"/>
      <c r="L94" s="189"/>
      <c r="M94" s="498"/>
      <c r="N94" s="1155"/>
    </row>
    <row r="95" spans="1:18">
      <c r="A95" s="1150"/>
      <c r="B95" s="497" t="s">
        <v>321</v>
      </c>
      <c r="C95" s="186"/>
      <c r="D95" s="186"/>
      <c r="E95" s="186"/>
      <c r="F95" s="186"/>
      <c r="G95" s="186"/>
      <c r="H95" s="186"/>
      <c r="I95" s="186"/>
      <c r="J95" s="202">
        <f>+H92+H93+H94</f>
        <v>75000</v>
      </c>
      <c r="K95" s="187"/>
      <c r="L95" s="189"/>
      <c r="M95" s="498"/>
      <c r="N95" s="1155"/>
    </row>
    <row r="96" spans="1:18" hidden="1">
      <c r="A96" s="1150"/>
      <c r="B96" s="499"/>
      <c r="C96" s="186"/>
      <c r="D96" s="186"/>
      <c r="E96" s="186"/>
      <c r="F96" s="186"/>
      <c r="G96" s="186"/>
      <c r="H96" s="186"/>
      <c r="I96" s="186"/>
      <c r="J96" s="187"/>
      <c r="K96" s="187"/>
      <c r="L96" s="189"/>
      <c r="M96" s="498"/>
      <c r="N96" s="1155"/>
    </row>
    <row r="97" spans="1:14">
      <c r="A97" s="1150"/>
      <c r="B97" s="497" t="s">
        <v>322</v>
      </c>
      <c r="C97" s="193"/>
      <c r="D97" s="193"/>
      <c r="E97" s="193"/>
      <c r="F97" s="193"/>
      <c r="G97" s="193"/>
      <c r="H97" s="193"/>
      <c r="I97" s="193"/>
      <c r="J97" s="194"/>
      <c r="K97" s="194"/>
      <c r="L97" s="203"/>
      <c r="M97" s="501">
        <f>IF(AND((K89&gt;50000)),(K89-J95),0)</f>
        <v>1306266</v>
      </c>
      <c r="N97" s="1155"/>
    </row>
    <row r="98" spans="1:14" hidden="1">
      <c r="A98" s="1150"/>
      <c r="B98" s="497"/>
      <c r="C98" s="186"/>
      <c r="D98" s="186"/>
      <c r="E98" s="186"/>
      <c r="F98" s="186"/>
      <c r="G98" s="186"/>
      <c r="H98" s="186"/>
      <c r="I98" s="186"/>
      <c r="J98" s="187"/>
      <c r="K98" s="187"/>
      <c r="L98" s="189"/>
      <c r="M98" s="502"/>
      <c r="N98" s="1155"/>
    </row>
    <row r="99" spans="1:14">
      <c r="A99" s="1150"/>
      <c r="B99" s="497" t="s">
        <v>323</v>
      </c>
      <c r="C99" s="186"/>
      <c r="D99" s="186"/>
      <c r="E99" s="186"/>
      <c r="F99" s="186"/>
      <c r="G99" s="186"/>
      <c r="H99" s="186"/>
      <c r="I99" s="186"/>
      <c r="J99" s="187"/>
      <c r="K99" s="187"/>
      <c r="L99" s="189"/>
      <c r="M99" s="503">
        <f>'Old Regime Calc. Report'!M11</f>
        <v>0</v>
      </c>
      <c r="N99" s="1155"/>
    </row>
    <row r="100" spans="1:14">
      <c r="A100" s="1150"/>
      <c r="B100" s="497"/>
      <c r="C100" s="186" t="s">
        <v>324</v>
      </c>
      <c r="D100" s="186"/>
      <c r="E100" s="186"/>
      <c r="F100" s="186"/>
      <c r="G100" s="186"/>
      <c r="H100" s="186"/>
      <c r="I100" s="186"/>
      <c r="J100" s="187"/>
      <c r="K100" s="187"/>
      <c r="L100" s="189"/>
      <c r="M100" s="503">
        <f>'Old Regime Calc. Report'!M13</f>
        <v>0</v>
      </c>
      <c r="N100" s="1155"/>
    </row>
    <row r="101" spans="1:14" hidden="1">
      <c r="A101" s="1150"/>
      <c r="B101" s="497"/>
      <c r="C101" s="186"/>
      <c r="D101" s="186"/>
      <c r="E101" s="186"/>
      <c r="F101" s="186"/>
      <c r="G101" s="186"/>
      <c r="H101" s="186"/>
      <c r="I101" s="186"/>
      <c r="J101" s="187"/>
      <c r="K101" s="187"/>
      <c r="L101" s="189"/>
      <c r="M101" s="502"/>
      <c r="N101" s="1155"/>
    </row>
    <row r="102" spans="1:14">
      <c r="A102" s="1150"/>
      <c r="B102" s="500" t="s">
        <v>325</v>
      </c>
      <c r="C102" s="196"/>
      <c r="D102" s="196"/>
      <c r="E102" s="196"/>
      <c r="F102" s="196"/>
      <c r="G102" s="196"/>
      <c r="H102" s="196"/>
      <c r="I102" s="196"/>
      <c r="J102" s="197"/>
      <c r="K102" s="204"/>
      <c r="L102" s="205"/>
      <c r="M102" s="504">
        <f>+M97+M99-M100</f>
        <v>1306266</v>
      </c>
      <c r="N102" s="1155"/>
    </row>
    <row r="103" spans="1:14" hidden="1">
      <c r="A103" s="1150"/>
      <c r="B103" s="505"/>
      <c r="C103" s="206"/>
      <c r="D103" s="206"/>
      <c r="E103" s="206"/>
      <c r="F103" s="206"/>
      <c r="G103" s="206"/>
      <c r="H103" s="207"/>
      <c r="I103" s="208"/>
      <c r="J103" s="206"/>
      <c r="K103" s="189"/>
      <c r="L103" s="186"/>
      <c r="M103" s="506"/>
      <c r="N103" s="1155"/>
    </row>
    <row r="104" spans="1:14">
      <c r="A104" s="1150"/>
      <c r="B104" s="1025" t="s">
        <v>326</v>
      </c>
      <c r="C104" s="1026"/>
      <c r="D104" s="1026"/>
      <c r="E104" s="1026"/>
      <c r="F104" s="186"/>
      <c r="G104" s="189"/>
      <c r="H104" s="187"/>
      <c r="I104" s="189"/>
      <c r="J104" s="186"/>
      <c r="K104" s="189"/>
      <c r="L104" s="186"/>
      <c r="M104" s="506"/>
      <c r="N104" s="1155"/>
    </row>
    <row r="105" spans="1:14">
      <c r="A105" s="1150"/>
      <c r="B105" s="507" t="s">
        <v>327</v>
      </c>
      <c r="C105" s="440" t="s">
        <v>328</v>
      </c>
      <c r="D105" s="440"/>
      <c r="E105" s="186"/>
      <c r="F105" s="186"/>
      <c r="G105" s="203"/>
      <c r="H105" s="194" t="s">
        <v>329</v>
      </c>
      <c r="I105" s="193"/>
      <c r="J105" s="985" t="s">
        <v>330</v>
      </c>
      <c r="K105" s="986"/>
      <c r="L105" s="194" t="s">
        <v>331</v>
      </c>
      <c r="M105" s="508" t="s">
        <v>332</v>
      </c>
      <c r="N105" s="1155"/>
    </row>
    <row r="106" spans="1:14">
      <c r="A106" s="1150"/>
      <c r="B106" s="509" t="s">
        <v>333</v>
      </c>
      <c r="C106" s="186" t="s">
        <v>357</v>
      </c>
      <c r="D106" s="186"/>
      <c r="E106" s="186"/>
      <c r="F106" s="186"/>
      <c r="G106" s="189"/>
      <c r="H106" s="1001"/>
      <c r="I106" s="1027"/>
      <c r="J106" s="1001"/>
      <c r="K106" s="1027"/>
      <c r="L106" s="1001"/>
      <c r="M106" s="1002"/>
      <c r="N106" s="1155"/>
    </row>
    <row r="107" spans="1:14">
      <c r="A107" s="1150"/>
      <c r="B107" s="510">
        <v>1</v>
      </c>
      <c r="C107" s="186" t="s">
        <v>92</v>
      </c>
      <c r="D107" s="1019" t="s">
        <v>579</v>
      </c>
      <c r="E107" s="1020"/>
      <c r="F107" s="1020"/>
      <c r="G107" s="189" t="s">
        <v>127</v>
      </c>
      <c r="H107" s="1007">
        <v>0</v>
      </c>
      <c r="I107" s="1008"/>
      <c r="J107" s="1007">
        <f t="shared" ref="J107:J112" si="1">+H107</f>
        <v>0</v>
      </c>
      <c r="K107" s="1008"/>
      <c r="L107" s="1007">
        <f t="shared" ref="L107:L112" si="2">J107</f>
        <v>0</v>
      </c>
      <c r="M107" s="1009"/>
      <c r="N107" s="1155"/>
    </row>
    <row r="108" spans="1:14">
      <c r="A108" s="1150"/>
      <c r="B108" s="510">
        <v>2</v>
      </c>
      <c r="C108" s="186" t="s">
        <v>94</v>
      </c>
      <c r="D108" s="1019" t="s">
        <v>579</v>
      </c>
      <c r="E108" s="1020"/>
      <c r="F108" s="1020"/>
      <c r="G108" s="189" t="s">
        <v>127</v>
      </c>
      <c r="H108" s="1007">
        <v>0</v>
      </c>
      <c r="I108" s="1008"/>
      <c r="J108" s="1007">
        <f t="shared" si="1"/>
        <v>0</v>
      </c>
      <c r="K108" s="1008"/>
      <c r="L108" s="1007">
        <f t="shared" si="2"/>
        <v>0</v>
      </c>
      <c r="M108" s="1009"/>
      <c r="N108" s="1155"/>
    </row>
    <row r="109" spans="1:14">
      <c r="A109" s="1150"/>
      <c r="B109" s="510">
        <v>3</v>
      </c>
      <c r="C109" s="186" t="s">
        <v>96</v>
      </c>
      <c r="D109" s="1019" t="s">
        <v>579</v>
      </c>
      <c r="E109" s="1020"/>
      <c r="F109" s="1020"/>
      <c r="G109" s="189" t="s">
        <v>127</v>
      </c>
      <c r="H109" s="1007">
        <v>0</v>
      </c>
      <c r="I109" s="1008"/>
      <c r="J109" s="1007">
        <f t="shared" si="1"/>
        <v>0</v>
      </c>
      <c r="K109" s="1008"/>
      <c r="L109" s="1007">
        <f t="shared" si="2"/>
        <v>0</v>
      </c>
      <c r="M109" s="1009"/>
      <c r="N109" s="1155"/>
    </row>
    <row r="110" spans="1:14">
      <c r="A110" s="1150"/>
      <c r="B110" s="510">
        <v>4</v>
      </c>
      <c r="C110" s="186" t="s">
        <v>98</v>
      </c>
      <c r="D110" s="1019" t="s">
        <v>579</v>
      </c>
      <c r="E110" s="1020"/>
      <c r="F110" s="1020"/>
      <c r="G110" s="189" t="s">
        <v>127</v>
      </c>
      <c r="H110" s="1007" t="str">
        <f>IFERROR(VLOOKUP(B110,$Q$133:$S$151,3,0),"0")</f>
        <v>0</v>
      </c>
      <c r="I110" s="1008"/>
      <c r="J110" s="1007" t="str">
        <f t="shared" si="1"/>
        <v>0</v>
      </c>
      <c r="K110" s="1008"/>
      <c r="L110" s="1007" t="str">
        <f t="shared" si="2"/>
        <v>0</v>
      </c>
      <c r="M110" s="1009"/>
      <c r="N110" s="1155"/>
    </row>
    <row r="111" spans="1:14">
      <c r="A111" s="1150"/>
      <c r="B111" s="510">
        <v>5</v>
      </c>
      <c r="C111" s="186" t="s">
        <v>100</v>
      </c>
      <c r="D111" s="1019" t="s">
        <v>579</v>
      </c>
      <c r="E111" s="1020"/>
      <c r="F111" s="1020"/>
      <c r="G111" s="189" t="s">
        <v>127</v>
      </c>
      <c r="H111" s="1007" t="str">
        <f>IFERROR(VLOOKUP(B111,$Q$133:$S$151,3,0),"0")</f>
        <v>0</v>
      </c>
      <c r="I111" s="1008"/>
      <c r="J111" s="1007" t="str">
        <f t="shared" si="1"/>
        <v>0</v>
      </c>
      <c r="K111" s="1008"/>
      <c r="L111" s="1007" t="str">
        <f t="shared" si="2"/>
        <v>0</v>
      </c>
      <c r="M111" s="1009"/>
      <c r="N111" s="1155"/>
    </row>
    <row r="112" spans="1:14">
      <c r="A112" s="1150"/>
      <c r="B112" s="510">
        <v>6</v>
      </c>
      <c r="C112" s="186" t="s">
        <v>102</v>
      </c>
      <c r="D112" s="1019" t="s">
        <v>579</v>
      </c>
      <c r="E112" s="1020"/>
      <c r="F112" s="1020"/>
      <c r="G112" s="189" t="s">
        <v>127</v>
      </c>
      <c r="H112" s="1007" t="str">
        <f>IFERROR(VLOOKUP(B112,$Q$133:$S$151,3,0),"0")</f>
        <v>0</v>
      </c>
      <c r="I112" s="1008"/>
      <c r="J112" s="1007" t="str">
        <f t="shared" si="1"/>
        <v>0</v>
      </c>
      <c r="K112" s="1008"/>
      <c r="L112" s="1007" t="str">
        <f t="shared" si="2"/>
        <v>0</v>
      </c>
      <c r="M112" s="1009"/>
      <c r="N112" s="1155"/>
    </row>
    <row r="113" spans="1:14" ht="23.25" customHeight="1">
      <c r="A113" s="1150"/>
      <c r="B113" s="1014" t="s">
        <v>368</v>
      </c>
      <c r="C113" s="1015"/>
      <c r="D113" s="1015"/>
      <c r="E113" s="1015"/>
      <c r="F113" s="1015"/>
      <c r="G113" s="1016"/>
      <c r="H113" s="438"/>
      <c r="I113" s="439"/>
      <c r="J113" s="435"/>
      <c r="K113" s="439"/>
      <c r="L113" s="209"/>
      <c r="M113" s="511">
        <f>IF(SUM(L107:M112)&gt;150000,150000,SUM(L107:M112))</f>
        <v>0</v>
      </c>
      <c r="N113" s="1155"/>
    </row>
    <row r="114" spans="1:14" hidden="1">
      <c r="A114" s="1150"/>
      <c r="B114" s="497"/>
      <c r="C114" s="186"/>
      <c r="D114" s="186"/>
      <c r="E114" s="186"/>
      <c r="F114" s="186"/>
      <c r="G114" s="189"/>
      <c r="H114" s="438"/>
      <c r="I114" s="439"/>
      <c r="J114" s="435"/>
      <c r="K114" s="439"/>
      <c r="L114" s="209"/>
      <c r="M114" s="512"/>
      <c r="N114" s="1155"/>
    </row>
    <row r="115" spans="1:14" hidden="1">
      <c r="A115" s="1150"/>
      <c r="B115" s="497"/>
      <c r="C115" s="186"/>
      <c r="D115" s="186"/>
      <c r="E115" s="186"/>
      <c r="F115" s="186"/>
      <c r="G115" s="189"/>
      <c r="H115" s="438"/>
      <c r="I115" s="439"/>
      <c r="J115" s="435"/>
      <c r="K115" s="439"/>
      <c r="L115" s="209"/>
      <c r="M115" s="512"/>
      <c r="N115" s="1155"/>
    </row>
    <row r="116" spans="1:14">
      <c r="A116" s="1150"/>
      <c r="B116" s="513" t="s">
        <v>334</v>
      </c>
      <c r="C116" s="210" t="s">
        <v>335</v>
      </c>
      <c r="D116" s="210"/>
      <c r="E116" s="210"/>
      <c r="F116" s="210"/>
      <c r="G116" s="211" t="s">
        <v>127</v>
      </c>
      <c r="H116" s="1007">
        <f>'Old Regime Calc. Report'!Q34</f>
        <v>0</v>
      </c>
      <c r="I116" s="1008"/>
      <c r="J116" s="1007">
        <f>+H116</f>
        <v>0</v>
      </c>
      <c r="K116" s="1008"/>
      <c r="L116" s="1017">
        <f>IF(J116&gt;50000,50000,J116)</f>
        <v>0</v>
      </c>
      <c r="M116" s="1018"/>
      <c r="N116" s="1155"/>
    </row>
    <row r="117" spans="1:14">
      <c r="A117" s="1150"/>
      <c r="B117" s="514"/>
      <c r="C117" s="212"/>
      <c r="D117" s="212"/>
      <c r="E117" s="212"/>
      <c r="F117" s="212"/>
      <c r="G117" s="212"/>
      <c r="H117" s="445"/>
      <c r="I117" s="445"/>
      <c r="J117" s="445"/>
      <c r="K117" s="445"/>
      <c r="L117" s="213"/>
      <c r="M117" s="515"/>
      <c r="N117" s="1155"/>
    </row>
    <row r="118" spans="1:14">
      <c r="A118" s="1150"/>
      <c r="B118" s="516" t="s">
        <v>336</v>
      </c>
      <c r="C118" s="186" t="s">
        <v>337</v>
      </c>
      <c r="D118" s="186"/>
      <c r="E118" s="186"/>
      <c r="F118" s="186"/>
      <c r="G118" s="186"/>
      <c r="H118" s="438"/>
      <c r="I118" s="435"/>
      <c r="J118" s="438"/>
      <c r="K118" s="214"/>
      <c r="L118" s="435"/>
      <c r="M118" s="517"/>
      <c r="N118" s="1155"/>
    </row>
    <row r="119" spans="1:14">
      <c r="A119" s="1150"/>
      <c r="B119" s="507"/>
      <c r="C119" s="186"/>
      <c r="D119" s="186"/>
      <c r="E119" s="186"/>
      <c r="F119" s="186"/>
      <c r="G119" s="186"/>
      <c r="H119" s="194" t="s">
        <v>329</v>
      </c>
      <c r="I119" s="193"/>
      <c r="J119" s="985" t="s">
        <v>330</v>
      </c>
      <c r="K119" s="986"/>
      <c r="L119" s="194" t="s">
        <v>331</v>
      </c>
      <c r="M119" s="508" t="s">
        <v>332</v>
      </c>
      <c r="N119" s="1155"/>
    </row>
    <row r="120" spans="1:14" ht="16.5" customHeight="1">
      <c r="A120" s="1150"/>
      <c r="B120" s="518">
        <v>1</v>
      </c>
      <c r="C120" s="186" t="s">
        <v>92</v>
      </c>
      <c r="D120" s="1006" t="str">
        <f>IFERROR(VLOOKUP(B107,$Q$154:$X$161,8,0),"--")</f>
        <v>--</v>
      </c>
      <c r="E120" s="1006"/>
      <c r="F120" s="1006"/>
      <c r="G120" s="186" t="s">
        <v>127</v>
      </c>
      <c r="H120" s="1007" t="str">
        <f>IFERROR(VLOOKUP(B107,$Q$154:$X$161,3,0),"0")</f>
        <v>0</v>
      </c>
      <c r="I120" s="1008"/>
      <c r="J120" s="1007" t="str">
        <f t="shared" ref="J120:J125" si="3">+H120</f>
        <v>0</v>
      </c>
      <c r="K120" s="1008"/>
      <c r="L120" s="1007" t="str">
        <f t="shared" ref="L120:L125" si="4">J120</f>
        <v>0</v>
      </c>
      <c r="M120" s="1009"/>
      <c r="N120" s="1155"/>
    </row>
    <row r="121" spans="1:14" ht="16.5" customHeight="1">
      <c r="A121" s="1150"/>
      <c r="B121" s="518">
        <v>2</v>
      </c>
      <c r="C121" s="186" t="s">
        <v>94</v>
      </c>
      <c r="D121" s="1006" t="str">
        <f t="shared" ref="D121:D125" si="5">IFERROR(VLOOKUP(B108,$Q$154:$X$161,8,0),"--")</f>
        <v>--</v>
      </c>
      <c r="E121" s="1006"/>
      <c r="F121" s="1006"/>
      <c r="G121" s="186" t="s">
        <v>127</v>
      </c>
      <c r="H121" s="1007" t="str">
        <f t="shared" ref="H121:H125" si="6">IFERROR(VLOOKUP(B108,$Q$154:$X$161,3,0),"0")</f>
        <v>0</v>
      </c>
      <c r="I121" s="1008"/>
      <c r="J121" s="1007" t="str">
        <f t="shared" si="3"/>
        <v>0</v>
      </c>
      <c r="K121" s="1008"/>
      <c r="L121" s="1007" t="str">
        <f t="shared" si="4"/>
        <v>0</v>
      </c>
      <c r="M121" s="1009"/>
      <c r="N121" s="1155"/>
    </row>
    <row r="122" spans="1:14" ht="16.5" customHeight="1">
      <c r="A122" s="1150"/>
      <c r="B122" s="518">
        <v>3</v>
      </c>
      <c r="C122" s="186" t="s">
        <v>96</v>
      </c>
      <c r="D122" s="1006" t="str">
        <f t="shared" si="5"/>
        <v>--</v>
      </c>
      <c r="E122" s="1006"/>
      <c r="F122" s="1006"/>
      <c r="G122" s="186" t="s">
        <v>127</v>
      </c>
      <c r="H122" s="1007" t="str">
        <f t="shared" si="6"/>
        <v>0</v>
      </c>
      <c r="I122" s="1008"/>
      <c r="J122" s="1007" t="str">
        <f t="shared" si="3"/>
        <v>0</v>
      </c>
      <c r="K122" s="1008"/>
      <c r="L122" s="1007" t="str">
        <f t="shared" si="4"/>
        <v>0</v>
      </c>
      <c r="M122" s="1009"/>
      <c r="N122" s="1155"/>
    </row>
    <row r="123" spans="1:14" ht="16.5" customHeight="1">
      <c r="A123" s="1150"/>
      <c r="B123" s="518">
        <v>4</v>
      </c>
      <c r="C123" s="186" t="s">
        <v>98</v>
      </c>
      <c r="D123" s="1006" t="str">
        <f t="shared" si="5"/>
        <v>--</v>
      </c>
      <c r="E123" s="1006"/>
      <c r="F123" s="1006"/>
      <c r="G123" s="186" t="s">
        <v>127</v>
      </c>
      <c r="H123" s="1007" t="str">
        <f t="shared" si="6"/>
        <v>0</v>
      </c>
      <c r="I123" s="1008"/>
      <c r="J123" s="1007" t="str">
        <f t="shared" si="3"/>
        <v>0</v>
      </c>
      <c r="K123" s="1008"/>
      <c r="L123" s="1007" t="str">
        <f t="shared" si="4"/>
        <v>0</v>
      </c>
      <c r="M123" s="1009"/>
      <c r="N123" s="1155"/>
    </row>
    <row r="124" spans="1:14" ht="16.5" customHeight="1">
      <c r="A124" s="1150"/>
      <c r="B124" s="518">
        <v>5</v>
      </c>
      <c r="C124" s="186" t="s">
        <v>100</v>
      </c>
      <c r="D124" s="1006" t="str">
        <f t="shared" si="5"/>
        <v>--</v>
      </c>
      <c r="E124" s="1006"/>
      <c r="F124" s="1006"/>
      <c r="G124" s="186" t="s">
        <v>127</v>
      </c>
      <c r="H124" s="1007" t="str">
        <f t="shared" si="6"/>
        <v>0</v>
      </c>
      <c r="I124" s="1008"/>
      <c r="J124" s="1007" t="str">
        <f t="shared" si="3"/>
        <v>0</v>
      </c>
      <c r="K124" s="1008"/>
      <c r="L124" s="1007" t="str">
        <f t="shared" si="4"/>
        <v>0</v>
      </c>
      <c r="M124" s="1009"/>
      <c r="N124" s="1155"/>
    </row>
    <row r="125" spans="1:14" ht="16.5" customHeight="1">
      <c r="A125" s="1150"/>
      <c r="B125" s="518">
        <v>6</v>
      </c>
      <c r="C125" s="186" t="s">
        <v>102</v>
      </c>
      <c r="D125" s="1006" t="str">
        <f t="shared" si="5"/>
        <v>--</v>
      </c>
      <c r="E125" s="1006"/>
      <c r="F125" s="1006"/>
      <c r="G125" s="186" t="s">
        <v>127</v>
      </c>
      <c r="H125" s="1007" t="str">
        <f t="shared" si="6"/>
        <v>0</v>
      </c>
      <c r="I125" s="1008"/>
      <c r="J125" s="1007" t="str">
        <f t="shared" si="3"/>
        <v>0</v>
      </c>
      <c r="K125" s="1008"/>
      <c r="L125" s="1007" t="str">
        <f t="shared" si="4"/>
        <v>0</v>
      </c>
      <c r="M125" s="1009"/>
      <c r="N125" s="1155"/>
    </row>
    <row r="126" spans="1:14">
      <c r="A126" s="1150"/>
      <c r="B126" s="1010" t="s">
        <v>367</v>
      </c>
      <c r="C126" s="1011"/>
      <c r="D126" s="1011"/>
      <c r="E126" s="1011"/>
      <c r="F126" s="1011"/>
      <c r="G126" s="1012"/>
      <c r="H126" s="438"/>
      <c r="I126" s="439"/>
      <c r="J126" s="435"/>
      <c r="K126" s="439"/>
      <c r="L126" s="209"/>
      <c r="M126" s="1013">
        <f>IF(SUM(L120:M125)&gt;150000,150000,SUM(L120:M125))</f>
        <v>0</v>
      </c>
      <c r="N126" s="1155"/>
    </row>
    <row r="127" spans="1:14" hidden="1">
      <c r="A127" s="1150"/>
      <c r="B127" s="1010"/>
      <c r="C127" s="1011"/>
      <c r="D127" s="1011"/>
      <c r="E127" s="1011"/>
      <c r="F127" s="1011"/>
      <c r="G127" s="1012"/>
      <c r="H127" s="438"/>
      <c r="I127" s="439"/>
      <c r="J127" s="435"/>
      <c r="K127" s="439"/>
      <c r="L127" s="209"/>
      <c r="M127" s="1013"/>
      <c r="N127" s="1155"/>
    </row>
    <row r="128" spans="1:14">
      <c r="A128" s="1150"/>
      <c r="B128" s="995" t="s">
        <v>366</v>
      </c>
      <c r="C128" s="996"/>
      <c r="D128" s="996"/>
      <c r="E128" s="996"/>
      <c r="F128" s="996"/>
      <c r="G128" s="997"/>
      <c r="H128" s="998"/>
      <c r="I128" s="997"/>
      <c r="J128" s="998"/>
      <c r="K128" s="997"/>
      <c r="L128" s="999">
        <f>M113+L116+M126</f>
        <v>0</v>
      </c>
      <c r="M128" s="1000">
        <f>SUM(K106:K113)</f>
        <v>0</v>
      </c>
      <c r="N128" s="1155"/>
    </row>
    <row r="129" spans="1:23">
      <c r="A129" s="1150"/>
      <c r="B129" s="497"/>
      <c r="C129" s="186"/>
      <c r="D129" s="186"/>
      <c r="E129" s="186"/>
      <c r="F129" s="186"/>
      <c r="G129" s="189"/>
      <c r="H129" s="187"/>
      <c r="I129" s="189"/>
      <c r="J129" s="187"/>
      <c r="K129" s="189"/>
      <c r="L129" s="1001"/>
      <c r="M129" s="1002"/>
      <c r="N129" s="1155"/>
    </row>
    <row r="130" spans="1:23" ht="22.5" customHeight="1">
      <c r="A130" s="1150"/>
      <c r="B130" s="1003" t="s">
        <v>369</v>
      </c>
      <c r="C130" s="1004"/>
      <c r="D130" s="1004"/>
      <c r="E130" s="1004"/>
      <c r="F130" s="1004"/>
      <c r="G130" s="1005"/>
      <c r="H130" s="187"/>
      <c r="I130" s="189"/>
      <c r="J130" s="187"/>
      <c r="K130" s="189"/>
      <c r="L130" s="186"/>
      <c r="M130" s="519">
        <f>'New Regime Calc. Report'!Q48</f>
        <v>1306270</v>
      </c>
      <c r="N130" s="1155"/>
    </row>
    <row r="131" spans="1:23" hidden="1">
      <c r="A131" s="1150"/>
      <c r="B131" s="497"/>
      <c r="C131" s="186"/>
      <c r="D131" s="186"/>
      <c r="E131" s="186"/>
      <c r="F131" s="186"/>
      <c r="G131" s="189"/>
      <c r="H131" s="187"/>
      <c r="I131" s="189"/>
      <c r="J131" s="187"/>
      <c r="K131" s="189"/>
      <c r="L131" s="186"/>
      <c r="M131" s="520"/>
      <c r="N131" s="1155"/>
    </row>
    <row r="132" spans="1:23">
      <c r="A132" s="1150"/>
      <c r="B132" s="497" t="s">
        <v>338</v>
      </c>
      <c r="C132" s="186"/>
      <c r="D132" s="186"/>
      <c r="E132" s="186"/>
      <c r="F132" s="186"/>
      <c r="G132" s="189"/>
      <c r="H132" s="187"/>
      <c r="I132" s="189"/>
      <c r="J132" s="187"/>
      <c r="K132" s="189"/>
      <c r="L132" s="186"/>
      <c r="M132" s="521">
        <f>'New Regime Calc. Report'!Q58</f>
        <v>101254</v>
      </c>
      <c r="N132" s="1155"/>
    </row>
    <row r="133" spans="1:23" ht="15.75">
      <c r="A133" s="1150"/>
      <c r="B133" s="522" t="s">
        <v>580</v>
      </c>
      <c r="C133" s="186"/>
      <c r="D133" s="186"/>
      <c r="E133" s="440"/>
      <c r="F133" s="440"/>
      <c r="G133" s="440"/>
      <c r="H133" s="215"/>
      <c r="I133" s="216"/>
      <c r="J133" s="186"/>
      <c r="K133" s="189"/>
      <c r="L133" s="186"/>
      <c r="M133" s="520">
        <f>'New Regime Calc. Report'!Q61</f>
        <v>0</v>
      </c>
      <c r="N133" s="1155"/>
      <c r="P133" s="433" t="s">
        <v>92</v>
      </c>
      <c r="Q133" s="100">
        <f>W133</f>
        <v>1</v>
      </c>
      <c r="R133" s="1" t="str">
        <f>VLOOKUP(P133,'Old Regime Calc. Report'!C23:I31,2,0)</f>
        <v>राज्य बीमा (SI)</v>
      </c>
      <c r="S133" s="1">
        <f>VLOOKUP(P133,'Old Regime Calc. Report'!C23:I31,7,0)</f>
        <v>60000</v>
      </c>
      <c r="U133" s="452">
        <f>IF(S133&gt;0,1,0)</f>
        <v>1</v>
      </c>
      <c r="V133" s="1">
        <f>U133</f>
        <v>1</v>
      </c>
      <c r="W133" s="1">
        <f>IF(V133&gt;V119,1,0)</f>
        <v>1</v>
      </c>
    </row>
    <row r="134" spans="1:23" ht="15.75">
      <c r="A134" s="1150"/>
      <c r="B134" s="497" t="s">
        <v>340</v>
      </c>
      <c r="C134" s="186"/>
      <c r="D134" s="186"/>
      <c r="E134" s="186"/>
      <c r="F134" s="186"/>
      <c r="G134" s="186"/>
      <c r="H134" s="187"/>
      <c r="I134" s="189"/>
      <c r="J134" s="186"/>
      <c r="K134" s="189"/>
      <c r="L134" s="186"/>
      <c r="M134" s="520">
        <f>IF((M132-M133)&gt;0,(M132-M133),0)</f>
        <v>101254</v>
      </c>
      <c r="N134" s="1155"/>
      <c r="P134" s="433" t="s">
        <v>94</v>
      </c>
      <c r="Q134" s="100">
        <f t="shared" ref="Q134:Q151" si="7">W134</f>
        <v>0</v>
      </c>
      <c r="R134" s="1" t="str">
        <f>VLOOKUP(P134,'Old Regime Calc. Report'!C24:I32,2,0)</f>
        <v>जीवन बीमा प्रीमियम (LIC)</v>
      </c>
      <c r="S134" s="1">
        <f>VLOOKUP(P134,'Old Regime Calc. Report'!C24:I32,7,0)</f>
        <v>0</v>
      </c>
      <c r="U134" s="452">
        <f t="shared" ref="U134:U151" si="8">IF(S134&gt;0,1,0)</f>
        <v>0</v>
      </c>
      <c r="V134" s="1">
        <f>U134+V133</f>
        <v>1</v>
      </c>
      <c r="W134" s="1">
        <f>IF(V134&gt;V133,1+V133,0)</f>
        <v>0</v>
      </c>
    </row>
    <row r="135" spans="1:23" ht="15.75">
      <c r="A135" s="1150"/>
      <c r="B135" s="497" t="s">
        <v>341</v>
      </c>
      <c r="C135" s="186"/>
      <c r="D135" s="186"/>
      <c r="E135" s="186"/>
      <c r="F135" s="186"/>
      <c r="G135" s="186"/>
      <c r="H135" s="187"/>
      <c r="I135" s="189"/>
      <c r="J135" s="186"/>
      <c r="K135" s="189"/>
      <c r="L135" s="186"/>
      <c r="M135" s="520">
        <f>ROUND(M134*4%,0)</f>
        <v>4050</v>
      </c>
      <c r="N135" s="1155"/>
      <c r="P135" s="433" t="s">
        <v>96</v>
      </c>
      <c r="Q135" s="100">
        <f t="shared" si="7"/>
        <v>0</v>
      </c>
      <c r="R135" s="1" t="str">
        <f>VLOOKUP(P135,'Old Regime Calc. Report'!C25:I33,2,0)</f>
        <v>राष्ट्रीय बचत पत्र (NSC)</v>
      </c>
      <c r="S135" s="1">
        <f>VLOOKUP(P135,'Old Regime Calc. Report'!C25:I33,7,0)</f>
        <v>0</v>
      </c>
      <c r="U135" s="452">
        <f t="shared" si="8"/>
        <v>0</v>
      </c>
      <c r="V135" s="1">
        <f>U135+V134</f>
        <v>1</v>
      </c>
      <c r="W135" s="1">
        <f t="shared" ref="W135:W151" si="9">IF(V135&gt;V134,1+V134,0)</f>
        <v>0</v>
      </c>
    </row>
    <row r="136" spans="1:23" ht="15.75">
      <c r="A136" s="1150"/>
      <c r="B136" s="497" t="s">
        <v>342</v>
      </c>
      <c r="C136" s="186"/>
      <c r="D136" s="186"/>
      <c r="E136" s="186"/>
      <c r="F136" s="186"/>
      <c r="G136" s="186"/>
      <c r="H136" s="187"/>
      <c r="I136" s="189"/>
      <c r="J136" s="186"/>
      <c r="K136" s="189"/>
      <c r="L136" s="186"/>
      <c r="M136" s="520">
        <f>M134+M135</f>
        <v>105304</v>
      </c>
      <c r="N136" s="1155"/>
      <c r="P136" s="433" t="s">
        <v>98</v>
      </c>
      <c r="Q136" s="100">
        <f t="shared" si="7"/>
        <v>0</v>
      </c>
      <c r="R136" s="1" t="str">
        <f>VLOOKUP(P136,'Old Regime Calc. Report'!C26:I34,2,0)</f>
        <v>लोक भविष्य निधि (PPF)</v>
      </c>
      <c r="S136" s="1">
        <f>VLOOKUP(P136,'Old Regime Calc. Report'!C26:I34,7,0)</f>
        <v>0</v>
      </c>
      <c r="U136" s="452">
        <f t="shared" si="8"/>
        <v>0</v>
      </c>
      <c r="V136" s="1">
        <f>U136+V135</f>
        <v>1</v>
      </c>
      <c r="W136" s="1">
        <f t="shared" si="9"/>
        <v>0</v>
      </c>
    </row>
    <row r="137" spans="1:23" ht="15.75">
      <c r="A137" s="1150"/>
      <c r="B137" s="497" t="s">
        <v>343</v>
      </c>
      <c r="C137" s="186"/>
      <c r="D137" s="186"/>
      <c r="E137" s="186"/>
      <c r="F137" s="186"/>
      <c r="G137" s="186"/>
      <c r="H137" s="187"/>
      <c r="I137" s="189"/>
      <c r="J137" s="186"/>
      <c r="K137" s="189"/>
      <c r="L137" s="186"/>
      <c r="M137" s="520">
        <f>'Old Regime Calc. Report'!Q64</f>
        <v>0</v>
      </c>
      <c r="N137" s="1155"/>
      <c r="P137" s="433" t="s">
        <v>100</v>
      </c>
      <c r="Q137" s="100">
        <f t="shared" si="7"/>
        <v>0</v>
      </c>
      <c r="R137" s="1" t="str">
        <f>VLOOKUP(P137,'Old Regime Calc. Report'!C27:I35,2,0)</f>
        <v>राष्ट्रीय बचत स्कीम  (NSS)</v>
      </c>
      <c r="S137" s="1">
        <f>VLOOKUP(P137,'Old Regime Calc. Report'!C27:I35,7,0)</f>
        <v>0</v>
      </c>
      <c r="U137" s="452">
        <f t="shared" si="8"/>
        <v>0</v>
      </c>
      <c r="V137" s="1">
        <f>U137+V136</f>
        <v>1</v>
      </c>
      <c r="W137" s="1">
        <f>IF(V137&gt;V136,1+V136,0)</f>
        <v>0</v>
      </c>
    </row>
    <row r="138" spans="1:23" ht="15.75">
      <c r="A138" s="1150"/>
      <c r="B138" s="982" t="s">
        <v>344</v>
      </c>
      <c r="C138" s="983"/>
      <c r="D138" s="983"/>
      <c r="E138" s="983"/>
      <c r="F138" s="983"/>
      <c r="G138" s="984"/>
      <c r="H138" s="215"/>
      <c r="I138" s="216"/>
      <c r="J138" s="186"/>
      <c r="K138" s="189"/>
      <c r="L138" s="186"/>
      <c r="M138" s="520">
        <f>M136-M137</f>
        <v>105304</v>
      </c>
      <c r="N138" s="1155"/>
      <c r="P138" s="433" t="s">
        <v>102</v>
      </c>
      <c r="Q138" s="100">
        <f t="shared" si="7"/>
        <v>2</v>
      </c>
      <c r="R138" s="1" t="str">
        <f>VLOOKUP(P138,'Old Regime Calc. Report'!C28:I36,2,0)</f>
        <v>GPF/GPF 2004</v>
      </c>
      <c r="S138" s="1">
        <f>VLOOKUP(P138,'Old Regime Calc. Report'!C28:I36,7,0)</f>
        <v>50006</v>
      </c>
      <c r="U138" s="452">
        <f t="shared" si="8"/>
        <v>1</v>
      </c>
      <c r="V138" s="1">
        <f>U138+V137</f>
        <v>2</v>
      </c>
      <c r="W138" s="1">
        <f t="shared" si="9"/>
        <v>2</v>
      </c>
    </row>
    <row r="139" spans="1:23" ht="15.75">
      <c r="A139" s="1150"/>
      <c r="B139" s="982"/>
      <c r="C139" s="983"/>
      <c r="D139" s="983"/>
      <c r="E139" s="983"/>
      <c r="F139" s="983"/>
      <c r="G139" s="984"/>
      <c r="H139" s="215"/>
      <c r="I139" s="216"/>
      <c r="J139" s="985" t="s">
        <v>370</v>
      </c>
      <c r="K139" s="986"/>
      <c r="L139" s="186"/>
      <c r="M139" s="523">
        <f>ROUND(M138,-1)</f>
        <v>105300</v>
      </c>
      <c r="N139" s="1155"/>
      <c r="P139" s="433"/>
      <c r="Q139" s="100"/>
      <c r="U139" s="452"/>
    </row>
    <row r="140" spans="1:23" ht="15.75">
      <c r="A140" s="1150"/>
      <c r="B140" s="497" t="s">
        <v>345</v>
      </c>
      <c r="C140" s="186"/>
      <c r="D140" s="186"/>
      <c r="E140" s="186"/>
      <c r="F140" s="186"/>
      <c r="G140" s="186"/>
      <c r="H140" s="187"/>
      <c r="I140" s="189"/>
      <c r="J140" s="186"/>
      <c r="K140" s="189"/>
      <c r="L140" s="186"/>
      <c r="M140" s="520">
        <f>'Old Regime Calc. Report'!Q68</f>
        <v>24000</v>
      </c>
      <c r="N140" s="1155"/>
      <c r="P140" s="433" t="s">
        <v>104</v>
      </c>
      <c r="Q140" s="100">
        <f t="shared" si="7"/>
        <v>3</v>
      </c>
      <c r="R140" s="1" t="str">
        <f>VLOOKUP(P140,'Old Regime Calc. Report'!C29:I37,2,0)</f>
        <v>सामूहिक दुर्घटना बीमा (GIS)</v>
      </c>
      <c r="S140" s="1">
        <f>VLOOKUP(P140,'Old Regime Calc. Report'!C29:I37,7,0)</f>
        <v>1400</v>
      </c>
      <c r="U140" s="452">
        <f t="shared" si="8"/>
        <v>1</v>
      </c>
      <c r="V140" s="1">
        <f>U140+V138</f>
        <v>3</v>
      </c>
      <c r="W140" s="1">
        <f>IF(V140&gt;V138,1+V138,0)</f>
        <v>3</v>
      </c>
    </row>
    <row r="141" spans="1:23" ht="15.75">
      <c r="A141" s="1150"/>
      <c r="B141" s="500" t="s">
        <v>346</v>
      </c>
      <c r="C141" s="196"/>
      <c r="D141" s="196"/>
      <c r="E141" s="196"/>
      <c r="F141" s="217"/>
      <c r="G141" s="217"/>
      <c r="H141" s="218"/>
      <c r="I141" s="219"/>
      <c r="J141" s="987" t="str">
        <f>IF(M141&gt;0,"(Payble)","Refundable")</f>
        <v>(Payble)</v>
      </c>
      <c r="K141" s="988"/>
      <c r="L141" s="220"/>
      <c r="M141" s="524">
        <f>M139-M140</f>
        <v>81300</v>
      </c>
      <c r="N141" s="1155"/>
      <c r="P141" s="433" t="s">
        <v>106</v>
      </c>
      <c r="Q141" s="100">
        <f t="shared" si="7"/>
        <v>0</v>
      </c>
      <c r="R141" s="1" t="str">
        <f>VLOOKUP(P141,'Old Regime Calc. Report'!C30:I38,2,0)</f>
        <v>UPLI/वार्षिक प्लान</v>
      </c>
      <c r="S141" s="1">
        <f>VLOOKUP(P141,'Old Regime Calc. Report'!C30:I38,7,0)</f>
        <v>0</v>
      </c>
      <c r="U141" s="452">
        <f t="shared" si="8"/>
        <v>0</v>
      </c>
      <c r="V141" s="1">
        <f t="shared" ref="V141:V151" si="10">U141+V140</f>
        <v>3</v>
      </c>
      <c r="W141" s="1">
        <f t="shared" si="9"/>
        <v>0</v>
      </c>
    </row>
    <row r="142" spans="1:23" ht="15.75">
      <c r="A142" s="1150"/>
      <c r="B142" s="989" t="s">
        <v>285</v>
      </c>
      <c r="C142" s="990"/>
      <c r="D142" s="990"/>
      <c r="E142" s="990"/>
      <c r="F142" s="990"/>
      <c r="G142" s="990"/>
      <c r="H142" s="990"/>
      <c r="I142" s="990"/>
      <c r="J142" s="990"/>
      <c r="K142" s="990"/>
      <c r="L142" s="990"/>
      <c r="M142" s="991"/>
      <c r="N142" s="1155"/>
      <c r="P142" s="433" t="s">
        <v>108</v>
      </c>
      <c r="Q142" s="100">
        <f t="shared" si="7"/>
        <v>0</v>
      </c>
      <c r="R142" s="1" t="str">
        <f>VLOOKUP(P142,'Old Regime Calc. Report'!C31:I39,2,0)</f>
        <v>गृह ऋण किश्त(HBA Premium)</v>
      </c>
      <c r="S142" s="1">
        <f>VLOOKUP(P142,'Old Regime Calc. Report'!C31:I39,7,0)</f>
        <v>0</v>
      </c>
      <c r="U142" s="452">
        <f t="shared" si="8"/>
        <v>0</v>
      </c>
      <c r="V142" s="1">
        <f>U142+V141</f>
        <v>3</v>
      </c>
      <c r="W142" s="1">
        <f>IF(V142&gt;V141,1+V141,0)</f>
        <v>0</v>
      </c>
    </row>
    <row r="143" spans="1:23" ht="15.75">
      <c r="A143" s="1150"/>
      <c r="B143" s="489" t="s">
        <v>286</v>
      </c>
      <c r="C143" s="992">
        <f>C57</f>
        <v>0</v>
      </c>
      <c r="D143" s="992"/>
      <c r="E143" s="992"/>
      <c r="F143" s="177" t="s">
        <v>287</v>
      </c>
      <c r="G143" s="178"/>
      <c r="H143" s="993">
        <f>H57</f>
        <v>0</v>
      </c>
      <c r="I143" s="994"/>
      <c r="J143" s="994"/>
      <c r="K143" s="177" t="s">
        <v>288</v>
      </c>
      <c r="L143" s="178"/>
      <c r="M143" s="490"/>
      <c r="N143" s="1155"/>
      <c r="P143" s="433" t="s">
        <v>93</v>
      </c>
      <c r="Q143" s="100">
        <f t="shared" si="7"/>
        <v>0</v>
      </c>
      <c r="R143" s="1" t="str">
        <f>VLOOKUP(P143,'Old Regime Calc. Report'!J23:O31,2,0)</f>
        <v>पेंशन प्लान हेतु अंशदान (धारा 80CCC)</v>
      </c>
      <c r="S143" s="1">
        <f>VLOOKUP(P143,'Old Regime Calc. Report'!J23:O31,6,0)</f>
        <v>0</v>
      </c>
      <c r="U143" s="452">
        <f t="shared" si="8"/>
        <v>0</v>
      </c>
      <c r="V143" s="1">
        <f t="shared" si="10"/>
        <v>3</v>
      </c>
      <c r="W143" s="1">
        <f t="shared" si="9"/>
        <v>0</v>
      </c>
    </row>
    <row r="144" spans="1:23" ht="15.75">
      <c r="A144" s="1150"/>
      <c r="B144" s="975" t="str">
        <f>B58</f>
        <v>DDO/Principal</v>
      </c>
      <c r="C144" s="976"/>
      <c r="D144" s="976"/>
      <c r="E144" s="179" t="s">
        <v>347</v>
      </c>
      <c r="F144" s="169"/>
      <c r="G144" s="180"/>
      <c r="H144" s="180"/>
      <c r="I144" s="180"/>
      <c r="J144" s="179"/>
      <c r="K144" s="181"/>
      <c r="L144" s="180"/>
      <c r="M144" s="525"/>
      <c r="N144" s="1155"/>
      <c r="P144" s="433" t="s">
        <v>95</v>
      </c>
      <c r="Q144" s="100">
        <f t="shared" si="7"/>
        <v>0</v>
      </c>
      <c r="R144" s="1" t="str">
        <f>VLOOKUP(P144,'Old Regime Calc. Report'!J24:O32,2,0)</f>
        <v>राष्ट्रीय बचत पत्र पर अदत ब्याज</v>
      </c>
      <c r="S144" s="1">
        <f>VLOOKUP(P144,'Old Regime Calc. Report'!J24:O32,6,0)</f>
        <v>0</v>
      </c>
      <c r="U144" s="452">
        <f t="shared" si="8"/>
        <v>0</v>
      </c>
      <c r="V144" s="1">
        <f t="shared" si="10"/>
        <v>3</v>
      </c>
      <c r="W144" s="1">
        <f t="shared" si="9"/>
        <v>0</v>
      </c>
    </row>
    <row r="145" spans="1:24" ht="15.75">
      <c r="A145" s="1150"/>
      <c r="B145" s="977" t="s">
        <v>348</v>
      </c>
      <c r="C145" s="978"/>
      <c r="D145" s="978"/>
      <c r="E145" s="978"/>
      <c r="F145" s="978"/>
      <c r="G145" s="978"/>
      <c r="H145" s="978"/>
      <c r="I145" s="978"/>
      <c r="J145" s="978"/>
      <c r="K145" s="978"/>
      <c r="L145" s="978"/>
      <c r="M145" s="979"/>
      <c r="N145" s="1155"/>
      <c r="P145" s="433" t="s">
        <v>97</v>
      </c>
      <c r="Q145" s="100">
        <f t="shared" si="7"/>
        <v>0</v>
      </c>
      <c r="R145" s="1" t="str">
        <f>VLOOKUP(P145,'Old Regime Calc. Report'!J25:O33,2,0)</f>
        <v>ट्यूशन फी</v>
      </c>
      <c r="S145" s="1">
        <f>VLOOKUP(P145,'Old Regime Calc. Report'!J25:O33,6,0)</f>
        <v>0</v>
      </c>
      <c r="U145" s="452">
        <f t="shared" si="8"/>
        <v>0</v>
      </c>
      <c r="V145" s="1">
        <f t="shared" si="10"/>
        <v>3</v>
      </c>
      <c r="W145" s="1">
        <f t="shared" si="9"/>
        <v>0</v>
      </c>
    </row>
    <row r="146" spans="1:24" ht="15.75">
      <c r="A146" s="1150"/>
      <c r="B146" s="526"/>
      <c r="C146" s="221"/>
      <c r="D146" s="221"/>
      <c r="E146" s="221"/>
      <c r="F146" s="221"/>
      <c r="G146" s="221"/>
      <c r="H146" s="221"/>
      <c r="I146" s="221"/>
      <c r="J146" s="221"/>
      <c r="K146" s="221"/>
      <c r="L146" s="221"/>
      <c r="M146" s="527"/>
      <c r="N146" s="1155"/>
      <c r="P146" s="433" t="s">
        <v>99</v>
      </c>
      <c r="Q146" s="100">
        <f t="shared" si="7"/>
        <v>0</v>
      </c>
      <c r="R146" s="1" t="str">
        <f>VLOOKUP(P146,'Old Regime Calc. Report'!J26:O34,2,0)</f>
        <v>इक्विटी लिंक सेविंग स्कीम</v>
      </c>
      <c r="S146" s="1">
        <f>VLOOKUP(P146,'Old Regime Calc. Report'!J26:O34,6,0)</f>
        <v>0</v>
      </c>
      <c r="U146" s="452">
        <f t="shared" si="8"/>
        <v>0</v>
      </c>
      <c r="V146" s="1">
        <f t="shared" si="10"/>
        <v>3</v>
      </c>
      <c r="W146" s="1">
        <f t="shared" si="9"/>
        <v>0</v>
      </c>
    </row>
    <row r="147" spans="1:24" ht="15.75">
      <c r="A147" s="1150"/>
      <c r="B147" s="499"/>
      <c r="C147" s="186"/>
      <c r="D147" s="186"/>
      <c r="E147" s="186"/>
      <c r="F147" s="186"/>
      <c r="G147" s="186"/>
      <c r="H147" s="186"/>
      <c r="I147" s="186"/>
      <c r="J147" s="186"/>
      <c r="K147" s="186"/>
      <c r="L147" s="186"/>
      <c r="M147" s="506"/>
      <c r="N147" s="1155"/>
      <c r="P147" s="433" t="s">
        <v>101</v>
      </c>
      <c r="Q147" s="100">
        <f t="shared" si="7"/>
        <v>0</v>
      </c>
      <c r="R147" s="1" t="str">
        <f>VLOOKUP(P147,'Old Regime Calc. Report'!J27:O35,2,0)</f>
        <v>स्थिगित वार्षिकी (Defferred Annuty)</v>
      </c>
      <c r="S147" s="1">
        <f>VLOOKUP(P147,'Old Regime Calc. Report'!J27:O35,6,0)</f>
        <v>0</v>
      </c>
      <c r="U147" s="452">
        <f t="shared" si="8"/>
        <v>0</v>
      </c>
      <c r="V147" s="1">
        <f t="shared" si="10"/>
        <v>3</v>
      </c>
      <c r="W147" s="1">
        <f t="shared" si="9"/>
        <v>0</v>
      </c>
    </row>
    <row r="148" spans="1:24" ht="15.75">
      <c r="A148" s="1150"/>
      <c r="B148" s="499"/>
      <c r="C148" s="186"/>
      <c r="D148" s="186"/>
      <c r="E148" s="186"/>
      <c r="F148" s="186"/>
      <c r="G148" s="186"/>
      <c r="H148" s="186"/>
      <c r="I148" s="186"/>
      <c r="J148" s="186"/>
      <c r="K148" s="186"/>
      <c r="L148" s="186"/>
      <c r="M148" s="506"/>
      <c r="N148" s="1155"/>
      <c r="P148" s="433" t="s">
        <v>103</v>
      </c>
      <c r="Q148" s="100">
        <f t="shared" si="7"/>
        <v>0</v>
      </c>
      <c r="R148" s="1" t="str">
        <f>VLOOKUP(P148,'Old Regime Calc. Report'!J28:O36,2,0)</f>
        <v>पी.एल.आई. (PLI)</v>
      </c>
      <c r="S148" s="1">
        <f>VLOOKUP(P148,'Old Regime Calc. Report'!J28:O36,6,0)</f>
        <v>0</v>
      </c>
      <c r="U148" s="452">
        <f t="shared" si="8"/>
        <v>0</v>
      </c>
      <c r="V148" s="1">
        <f t="shared" si="10"/>
        <v>3</v>
      </c>
      <c r="W148" s="1">
        <f t="shared" si="9"/>
        <v>0</v>
      </c>
    </row>
    <row r="149" spans="1:24" ht="15.75">
      <c r="A149" s="1150"/>
      <c r="B149" s="499"/>
      <c r="C149" s="186"/>
      <c r="D149" s="186"/>
      <c r="E149" s="186"/>
      <c r="F149" s="186"/>
      <c r="G149" s="186"/>
      <c r="H149" s="169"/>
      <c r="I149" s="169"/>
      <c r="J149" s="193"/>
      <c r="K149" s="186"/>
      <c r="L149" s="186"/>
      <c r="M149" s="506"/>
      <c r="N149" s="1155"/>
      <c r="P149" s="433" t="s">
        <v>105</v>
      </c>
      <c r="Q149" s="100">
        <f t="shared" si="7"/>
        <v>0</v>
      </c>
      <c r="R149" s="1" t="str">
        <f>VLOOKUP(P149,'Old Regime Calc. Report'!J29:O37,2,0)</f>
        <v>अन्य जमा राशी (80 C धारा के अंतर्गत)</v>
      </c>
      <c r="S149" s="1">
        <f>VLOOKUP(P149,'Old Regime Calc. Report'!J29:O37,6,0)</f>
        <v>0</v>
      </c>
      <c r="U149" s="452">
        <f t="shared" si="8"/>
        <v>0</v>
      </c>
      <c r="V149" s="1">
        <f t="shared" si="10"/>
        <v>3</v>
      </c>
      <c r="W149" s="1">
        <f t="shared" si="9"/>
        <v>0</v>
      </c>
    </row>
    <row r="150" spans="1:24" ht="15.75">
      <c r="A150" s="1150"/>
      <c r="B150" s="499"/>
      <c r="C150" s="186"/>
      <c r="D150" s="186"/>
      <c r="E150" s="186"/>
      <c r="F150" s="186"/>
      <c r="G150" s="970" t="s">
        <v>349</v>
      </c>
      <c r="H150" s="970"/>
      <c r="I150" s="970"/>
      <c r="J150" s="970"/>
      <c r="K150" s="970"/>
      <c r="L150" s="970"/>
      <c r="M150" s="980"/>
      <c r="N150" s="1155"/>
      <c r="P150" s="433" t="s">
        <v>107</v>
      </c>
      <c r="Q150" s="100">
        <f t="shared" si="7"/>
        <v>0</v>
      </c>
      <c r="R150" s="1" t="str">
        <f>VLOOKUP(P150,'Old Regime Calc. Report'!J30:O38,2,0)</f>
        <v>सुकन्या समृद्धि योजना में जमा राशि</v>
      </c>
      <c r="S150" s="1">
        <f>VLOOKUP(P150,'Old Regime Calc. Report'!J30:O38,6,0)</f>
        <v>0</v>
      </c>
      <c r="U150" s="452">
        <f t="shared" si="8"/>
        <v>0</v>
      </c>
      <c r="V150" s="1">
        <f t="shared" si="10"/>
        <v>3</v>
      </c>
      <c r="W150" s="1">
        <f t="shared" si="9"/>
        <v>0</v>
      </c>
    </row>
    <row r="151" spans="1:24" ht="15.75">
      <c r="A151" s="1150"/>
      <c r="B151" s="499"/>
      <c r="C151" s="186"/>
      <c r="D151" s="186"/>
      <c r="E151" s="186"/>
      <c r="F151" s="186"/>
      <c r="G151" s="970" t="s">
        <v>350</v>
      </c>
      <c r="H151" s="970"/>
      <c r="I151" s="970"/>
      <c r="J151" s="970"/>
      <c r="K151" s="970"/>
      <c r="L151" s="970"/>
      <c r="M151" s="980"/>
      <c r="N151" s="1155"/>
      <c r="P151" s="433" t="s">
        <v>109</v>
      </c>
      <c r="Q151" s="100">
        <f t="shared" si="7"/>
        <v>0</v>
      </c>
      <c r="R151" s="1">
        <f>VLOOKUP(P151,'Old Regime Calc. Report'!J31:O39,2,0)</f>
        <v>0</v>
      </c>
      <c r="S151" s="1">
        <f>VLOOKUP(P151,'Old Regime Calc. Report'!J31:O39,6,0)</f>
        <v>0</v>
      </c>
      <c r="U151" s="452">
        <f t="shared" si="8"/>
        <v>0</v>
      </c>
      <c r="V151" s="1">
        <f t="shared" si="10"/>
        <v>3</v>
      </c>
      <c r="W151" s="1">
        <f t="shared" si="9"/>
        <v>0</v>
      </c>
    </row>
    <row r="152" spans="1:24">
      <c r="A152" s="1150"/>
      <c r="B152" s="528" t="s">
        <v>351</v>
      </c>
      <c r="C152" s="981" t="str">
        <f>'Basic Data'!G5</f>
        <v>Govt. Sr. School Raimalwada</v>
      </c>
      <c r="D152" s="981"/>
      <c r="E152" s="981"/>
      <c r="F152" s="981"/>
      <c r="G152" s="440" t="s">
        <v>371</v>
      </c>
      <c r="H152" s="969" t="s">
        <v>372</v>
      </c>
      <c r="I152" s="969"/>
      <c r="J152" s="970">
        <f>C143</f>
        <v>0</v>
      </c>
      <c r="K152" s="970"/>
      <c r="L152" s="440"/>
      <c r="M152" s="529"/>
      <c r="N152" s="1155"/>
    </row>
    <row r="153" spans="1:24">
      <c r="A153" s="1150"/>
      <c r="B153" s="528" t="s">
        <v>352</v>
      </c>
      <c r="C153" s="968">
        <f ca="1">TODAY()</f>
        <v>45621</v>
      </c>
      <c r="D153" s="968"/>
      <c r="E153" s="968"/>
      <c r="F153" s="968"/>
      <c r="G153" s="186"/>
      <c r="H153" s="969" t="s">
        <v>373</v>
      </c>
      <c r="I153" s="969"/>
      <c r="J153" s="970">
        <f>C144</f>
        <v>0</v>
      </c>
      <c r="K153" s="970"/>
      <c r="L153" s="440"/>
      <c r="M153" s="529"/>
      <c r="N153" s="1155"/>
    </row>
    <row r="154" spans="1:24" ht="15.75" thickBot="1">
      <c r="A154" s="1150"/>
      <c r="B154" s="530"/>
      <c r="C154" s="531"/>
      <c r="D154" s="531"/>
      <c r="E154" s="531"/>
      <c r="F154" s="531"/>
      <c r="G154" s="531"/>
      <c r="H154" s="531"/>
      <c r="I154" s="531"/>
      <c r="J154" s="531"/>
      <c r="K154" s="532"/>
      <c r="L154" s="531"/>
      <c r="M154" s="533"/>
      <c r="N154" s="1155"/>
      <c r="Q154" s="452">
        <f>W154</f>
        <v>0</v>
      </c>
      <c r="R154" s="1" t="str">
        <f>'Old Regime Calc. Report'!C37</f>
        <v>1. धारा 80D - चिकित्सा बीमा प्रीमियम {स्वयं/पति/पत्नी  हेतु 25,000 माता/पिता हेतु 25,000, वरिष्ठ नागरिक 50,000}</v>
      </c>
      <c r="S154" s="198">
        <f>'Old Regime Calc. Report'!Q37</f>
        <v>0</v>
      </c>
      <c r="U154" s="452">
        <f>IF(S154&gt;0,1,0)</f>
        <v>0</v>
      </c>
      <c r="V154" s="1">
        <f>U154</f>
        <v>0</v>
      </c>
      <c r="W154" s="1">
        <f>IF(V154&gt;V153,1,0)</f>
        <v>0</v>
      </c>
      <c r="X154" s="1" t="s">
        <v>360</v>
      </c>
    </row>
    <row r="155" spans="1:24" ht="15.75" thickBot="1">
      <c r="A155" s="1151"/>
      <c r="B155" s="971"/>
      <c r="C155" s="971"/>
      <c r="D155" s="971"/>
      <c r="E155" s="971"/>
      <c r="F155" s="971"/>
      <c r="G155" s="971"/>
      <c r="H155" s="971"/>
      <c r="I155" s="971"/>
      <c r="J155" s="971"/>
      <c r="K155" s="971"/>
      <c r="L155" s="971"/>
      <c r="M155" s="971"/>
      <c r="N155" s="1156"/>
      <c r="Q155" s="452">
        <f t="shared" ref="Q155:Q161" si="11">W155</f>
        <v>0</v>
      </c>
      <c r="R155" s="1" t="str">
        <f>'Old Regime Calc. Report'!C38</f>
        <v>2. धारा 80DD - विकलांग आश्रितों का चिकित्सा उपचार (अधिकतम 75,000,  80% या अधिक विक्लांगता 1,25,000)</v>
      </c>
      <c r="S155" s="198">
        <f>'Old Regime Calc. Report'!Q38</f>
        <v>0</v>
      </c>
      <c r="U155" s="452">
        <f t="shared" ref="U155:U161" si="12">IF(S155&gt;0,1,0)</f>
        <v>0</v>
      </c>
      <c r="V155" s="1">
        <f>U155+V154</f>
        <v>0</v>
      </c>
      <c r="W155" s="1">
        <f>IF(V155&gt;V154,1+V154,0)</f>
        <v>0</v>
      </c>
      <c r="X155" s="1" t="s">
        <v>361</v>
      </c>
    </row>
    <row r="156" spans="1:24" hidden="1">
      <c r="Q156" s="452">
        <f t="shared" si="11"/>
        <v>0</v>
      </c>
      <c r="R156" s="1" t="str">
        <f>'Old Regime Calc. Report'!C39</f>
        <v>3. धारा 80DDB -विशिष्ठ रोगों के उपचार हेतु कटौती (सामान्य 40,000 एवं वरिष्ठ नागरिक 1 लाख)</v>
      </c>
      <c r="S156" s="198">
        <f>'Old Regime Calc. Report'!Q39</f>
        <v>0</v>
      </c>
      <c r="U156" s="452">
        <f t="shared" si="12"/>
        <v>0</v>
      </c>
      <c r="V156" s="1">
        <f>U156+V155</f>
        <v>0</v>
      </c>
      <c r="W156" s="1">
        <f t="shared" ref="W156:W161" si="13">IF(V156&gt;V155,1+V155,0)</f>
        <v>0</v>
      </c>
      <c r="X156" s="1" t="s">
        <v>362</v>
      </c>
    </row>
    <row r="157" spans="1:24" hidden="1">
      <c r="Q157" s="452">
        <f t="shared" si="11"/>
        <v>0</v>
      </c>
      <c r="R157" s="1" t="str">
        <f>'Old Regime Calc. Report'!C40</f>
        <v>4. धारा 80E - उच्च शिक्षा हेतु लिए ऋण पर ब्याज (धारा 80E)</v>
      </c>
      <c r="S157" s="198">
        <f>'Old Regime Calc. Report'!Q40</f>
        <v>0</v>
      </c>
      <c r="U157" s="452">
        <f t="shared" si="12"/>
        <v>0</v>
      </c>
      <c r="V157" s="1">
        <f>U157+V156</f>
        <v>0</v>
      </c>
      <c r="W157" s="1">
        <f t="shared" si="13"/>
        <v>0</v>
      </c>
      <c r="X157" s="1" t="s">
        <v>363</v>
      </c>
    </row>
    <row r="158" spans="1:24" hidden="1">
      <c r="Q158" s="452">
        <f t="shared" si="11"/>
        <v>0</v>
      </c>
      <c r="R158" s="1" t="str">
        <f>'Old Regime Calc. Report'!C41</f>
        <v xml:space="preserve">5. धारा 80G -धर्मार्थ संस्थाओं को दिए दान (श्रेणी 'क' 100% एवं श्रेणी 'ख' 50%) </v>
      </c>
      <c r="S158" s="198">
        <f>'Old Regime Calc. Report'!Q41</f>
        <v>0</v>
      </c>
      <c r="U158" s="452">
        <f t="shared" si="12"/>
        <v>0</v>
      </c>
      <c r="V158" s="1">
        <f>U158+V157</f>
        <v>0</v>
      </c>
      <c r="W158" s="1">
        <f t="shared" si="13"/>
        <v>0</v>
      </c>
      <c r="X158" s="1" t="s">
        <v>364</v>
      </c>
    </row>
    <row r="159" spans="1:24" hidden="1">
      <c r="Q159" s="452">
        <f t="shared" si="11"/>
        <v>0</v>
      </c>
      <c r="R159" s="1" t="str">
        <f>'Old Regime Calc. Report'!C42</f>
        <v>6. धारा 80U -स्थाई शारीरिक विक्लांगता की दशा में (अधिकतम 75,000 तथा अधिनियम 1995 के अनुसार 80% विक्लांगता 1,25,000)</v>
      </c>
      <c r="S159" s="198">
        <f>'Old Regime Calc. Report'!Q42</f>
        <v>0</v>
      </c>
      <c r="U159" s="452">
        <f t="shared" si="12"/>
        <v>0</v>
      </c>
      <c r="V159" s="1">
        <f>U159+V158</f>
        <v>0</v>
      </c>
      <c r="W159" s="1">
        <f t="shared" si="13"/>
        <v>0</v>
      </c>
      <c r="X159" s="1" t="s">
        <v>365</v>
      </c>
    </row>
    <row r="160" spans="1:24" hidden="1">
      <c r="Q160" s="452">
        <f t="shared" si="11"/>
        <v>0</v>
      </c>
      <c r="R160" s="1" t="str">
        <f>'Old Regime Calc. Report'!C43</f>
        <v>7. अधिनियम 1995 के अनुसार धारा 80 TTA के तहत बचत खाते की जमा राशी पर प्राप्त ब्याज में छूट 10000 (80 TTB-वरिष्ठ नागरिक अधिकतम 50,000)</v>
      </c>
      <c r="S160" s="198">
        <f>'Old Regime Calc. Report'!Q43</f>
        <v>0</v>
      </c>
      <c r="U160" s="452">
        <f t="shared" si="12"/>
        <v>0</v>
      </c>
      <c r="V160" s="1">
        <f t="shared" ref="V160:V161" si="14">U160+V159</f>
        <v>0</v>
      </c>
      <c r="W160" s="1">
        <f t="shared" si="13"/>
        <v>0</v>
      </c>
      <c r="X160" s="1" t="s">
        <v>358</v>
      </c>
    </row>
    <row r="161" spans="17:24" hidden="1">
      <c r="Q161" s="452">
        <f t="shared" si="11"/>
        <v>0</v>
      </c>
      <c r="R161" s="1" t="str">
        <f>'Old Regime Calc. Report'!C44</f>
        <v>8. धारा 80 GGA -अनुमोदित वैज्ञानिक,सामाजिक,ग्रामीण विकास आदि हेतु दिया गया दान</v>
      </c>
      <c r="S161" s="198">
        <f>'Old Regime Calc. Report'!Q44</f>
        <v>0</v>
      </c>
      <c r="U161" s="452">
        <f t="shared" si="12"/>
        <v>0</v>
      </c>
      <c r="V161" s="1">
        <f t="shared" si="14"/>
        <v>0</v>
      </c>
      <c r="W161" s="1">
        <f t="shared" si="13"/>
        <v>0</v>
      </c>
      <c r="X161" s="1" t="s">
        <v>359</v>
      </c>
    </row>
  </sheetData>
  <sheetProtection password="E8FA" sheet="1" objects="1" scenarios="1" formatCells="0" formatColumns="0" formatRows="0" selectLockedCells="1"/>
  <mergeCells count="266">
    <mergeCell ref="J9:K9"/>
    <mergeCell ref="B10:G10"/>
    <mergeCell ref="H10:M10"/>
    <mergeCell ref="B11:G14"/>
    <mergeCell ref="H11:M12"/>
    <mergeCell ref="H13:M14"/>
    <mergeCell ref="A1:N1"/>
    <mergeCell ref="A2:A155"/>
    <mergeCell ref="B2:M2"/>
    <mergeCell ref="N2:N155"/>
    <mergeCell ref="B4:M4"/>
    <mergeCell ref="B5:M5"/>
    <mergeCell ref="B6:M6"/>
    <mergeCell ref="B7:M7"/>
    <mergeCell ref="B8:M8"/>
    <mergeCell ref="B9:I9"/>
    <mergeCell ref="E17:G19"/>
    <mergeCell ref="H17:J17"/>
    <mergeCell ref="K17:M17"/>
    <mergeCell ref="H18:I18"/>
    <mergeCell ref="K18:M19"/>
    <mergeCell ref="H19:I19"/>
    <mergeCell ref="B15:D15"/>
    <mergeCell ref="E15:G15"/>
    <mergeCell ref="H15:M15"/>
    <mergeCell ref="B16:D16"/>
    <mergeCell ref="E16:G16"/>
    <mergeCell ref="H16:M16"/>
    <mergeCell ref="B21:C21"/>
    <mergeCell ref="D21:F21"/>
    <mergeCell ref="G21:H21"/>
    <mergeCell ref="I21:K21"/>
    <mergeCell ref="L21:M21"/>
    <mergeCell ref="B22:C22"/>
    <mergeCell ref="D22:F22"/>
    <mergeCell ref="G22:H22"/>
    <mergeCell ref="I22:K22"/>
    <mergeCell ref="L22:M22"/>
    <mergeCell ref="B23:C23"/>
    <mergeCell ref="D23:F23"/>
    <mergeCell ref="G23:H23"/>
    <mergeCell ref="I23:K23"/>
    <mergeCell ref="L23:M23"/>
    <mergeCell ref="B24:C24"/>
    <mergeCell ref="D24:F24"/>
    <mergeCell ref="G24:H24"/>
    <mergeCell ref="I24:K24"/>
    <mergeCell ref="L24:M24"/>
    <mergeCell ref="B25:C25"/>
    <mergeCell ref="D25:F25"/>
    <mergeCell ref="G25:H25"/>
    <mergeCell ref="I25:K25"/>
    <mergeCell ref="L25:M25"/>
    <mergeCell ref="B26:C26"/>
    <mergeCell ref="D26:F26"/>
    <mergeCell ref="G26:H26"/>
    <mergeCell ref="I26:K26"/>
    <mergeCell ref="L26:M26"/>
    <mergeCell ref="F30:G30"/>
    <mergeCell ref="H30:I30"/>
    <mergeCell ref="J30:K30"/>
    <mergeCell ref="L30:M30"/>
    <mergeCell ref="C31:E31"/>
    <mergeCell ref="H31:I31"/>
    <mergeCell ref="J31:K31"/>
    <mergeCell ref="B27:M27"/>
    <mergeCell ref="C28:E28"/>
    <mergeCell ref="F28:M28"/>
    <mergeCell ref="C29:E29"/>
    <mergeCell ref="F29:G29"/>
    <mergeCell ref="H29:I29"/>
    <mergeCell ref="J29:K29"/>
    <mergeCell ref="L29:M29"/>
    <mergeCell ref="C32:E32"/>
    <mergeCell ref="F32:G32"/>
    <mergeCell ref="H32:I32"/>
    <mergeCell ref="J32:K32"/>
    <mergeCell ref="L32:M32"/>
    <mergeCell ref="C33:E33"/>
    <mergeCell ref="F33:G33"/>
    <mergeCell ref="H33:I33"/>
    <mergeCell ref="J33:K33"/>
    <mergeCell ref="L33:M33"/>
    <mergeCell ref="C37:E37"/>
    <mergeCell ref="L37:M37"/>
    <mergeCell ref="C38:E38"/>
    <mergeCell ref="L38:M38"/>
    <mergeCell ref="C39:E39"/>
    <mergeCell ref="L39:M39"/>
    <mergeCell ref="C34:E34"/>
    <mergeCell ref="L34:M34"/>
    <mergeCell ref="C35:E35"/>
    <mergeCell ref="L35:M35"/>
    <mergeCell ref="C36:E36"/>
    <mergeCell ref="L36:M36"/>
    <mergeCell ref="C40:E40"/>
    <mergeCell ref="F40:G40"/>
    <mergeCell ref="H40:I40"/>
    <mergeCell ref="J40:K40"/>
    <mergeCell ref="L40:M40"/>
    <mergeCell ref="C41:E41"/>
    <mergeCell ref="F41:G41"/>
    <mergeCell ref="H41:I41"/>
    <mergeCell ref="J41:K41"/>
    <mergeCell ref="L41:M41"/>
    <mergeCell ref="C44:E44"/>
    <mergeCell ref="F44:G44"/>
    <mergeCell ref="H44:I44"/>
    <mergeCell ref="J44:K44"/>
    <mergeCell ref="L44:M44"/>
    <mergeCell ref="B46:M46"/>
    <mergeCell ref="C42:E42"/>
    <mergeCell ref="F42:G42"/>
    <mergeCell ref="H42:I42"/>
    <mergeCell ref="J42:K42"/>
    <mergeCell ref="L42:M42"/>
    <mergeCell ref="C43:E43"/>
    <mergeCell ref="F43:G43"/>
    <mergeCell ref="H43:I43"/>
    <mergeCell ref="J43:K43"/>
    <mergeCell ref="L43:M43"/>
    <mergeCell ref="F49:G49"/>
    <mergeCell ref="H49:I49"/>
    <mergeCell ref="J49:K49"/>
    <mergeCell ref="L49:M49"/>
    <mergeCell ref="C50:E50"/>
    <mergeCell ref="H50:I50"/>
    <mergeCell ref="J50:K50"/>
    <mergeCell ref="C47:E47"/>
    <mergeCell ref="F47:M47"/>
    <mergeCell ref="C48:E48"/>
    <mergeCell ref="F48:G48"/>
    <mergeCell ref="H48:I48"/>
    <mergeCell ref="J48:K48"/>
    <mergeCell ref="L48:M48"/>
    <mergeCell ref="C51:E51"/>
    <mergeCell ref="F51:G51"/>
    <mergeCell ref="H51:I51"/>
    <mergeCell ref="J51:K51"/>
    <mergeCell ref="L51:M51"/>
    <mergeCell ref="C52:E52"/>
    <mergeCell ref="F52:G52"/>
    <mergeCell ref="H52:I52"/>
    <mergeCell ref="J52:K52"/>
    <mergeCell ref="L52:M52"/>
    <mergeCell ref="C53:E53"/>
    <mergeCell ref="F53:G53"/>
    <mergeCell ref="H53:I53"/>
    <mergeCell ref="J53:K53"/>
    <mergeCell ref="L53:M53"/>
    <mergeCell ref="C54:E54"/>
    <mergeCell ref="F54:G54"/>
    <mergeCell ref="H54:I54"/>
    <mergeCell ref="J54:K54"/>
    <mergeCell ref="L54:M54"/>
    <mergeCell ref="B58:D58"/>
    <mergeCell ref="B59:F59"/>
    <mergeCell ref="B60:M61"/>
    <mergeCell ref="B62:C62"/>
    <mergeCell ref="B63:M63"/>
    <mergeCell ref="B64:M64"/>
    <mergeCell ref="C55:E55"/>
    <mergeCell ref="F55:G55"/>
    <mergeCell ref="H55:M55"/>
    <mergeCell ref="B56:M56"/>
    <mergeCell ref="C57:E57"/>
    <mergeCell ref="H57:J57"/>
    <mergeCell ref="B71:M71"/>
    <mergeCell ref="B72:M72"/>
    <mergeCell ref="B73:F73"/>
    <mergeCell ref="B76:M76"/>
    <mergeCell ref="B77:M77"/>
    <mergeCell ref="K84:L84"/>
    <mergeCell ref="B65:M65"/>
    <mergeCell ref="B66:M66"/>
    <mergeCell ref="B67:H67"/>
    <mergeCell ref="B68:M68"/>
    <mergeCell ref="B69:M69"/>
    <mergeCell ref="B70:M70"/>
    <mergeCell ref="D107:F107"/>
    <mergeCell ref="H107:I107"/>
    <mergeCell ref="J107:K107"/>
    <mergeCell ref="L107:M107"/>
    <mergeCell ref="D108:F108"/>
    <mergeCell ref="H108:I108"/>
    <mergeCell ref="J108:K108"/>
    <mergeCell ref="L108:M108"/>
    <mergeCell ref="B87:H87"/>
    <mergeCell ref="B88:H88"/>
    <mergeCell ref="K89:L89"/>
    <mergeCell ref="B104:E104"/>
    <mergeCell ref="J105:K105"/>
    <mergeCell ref="H106:I106"/>
    <mergeCell ref="J106:K106"/>
    <mergeCell ref="L106:M106"/>
    <mergeCell ref="D111:F111"/>
    <mergeCell ref="H111:I111"/>
    <mergeCell ref="J111:K111"/>
    <mergeCell ref="L111:M111"/>
    <mergeCell ref="D112:F112"/>
    <mergeCell ref="H112:I112"/>
    <mergeCell ref="J112:K112"/>
    <mergeCell ref="L112:M112"/>
    <mergeCell ref="D109:F109"/>
    <mergeCell ref="H109:I109"/>
    <mergeCell ref="J109:K109"/>
    <mergeCell ref="L109:M109"/>
    <mergeCell ref="D110:F110"/>
    <mergeCell ref="H110:I110"/>
    <mergeCell ref="J110:K110"/>
    <mergeCell ref="L110:M110"/>
    <mergeCell ref="D121:F121"/>
    <mergeCell ref="H121:I121"/>
    <mergeCell ref="J121:K121"/>
    <mergeCell ref="L121:M121"/>
    <mergeCell ref="D122:F122"/>
    <mergeCell ref="H122:I122"/>
    <mergeCell ref="J122:K122"/>
    <mergeCell ref="L122:M122"/>
    <mergeCell ref="B113:G113"/>
    <mergeCell ref="H116:I116"/>
    <mergeCell ref="J116:K116"/>
    <mergeCell ref="L116:M116"/>
    <mergeCell ref="J119:K119"/>
    <mergeCell ref="D120:F120"/>
    <mergeCell ref="H120:I120"/>
    <mergeCell ref="J120:K120"/>
    <mergeCell ref="L120:M120"/>
    <mergeCell ref="D125:F125"/>
    <mergeCell ref="H125:I125"/>
    <mergeCell ref="J125:K125"/>
    <mergeCell ref="L125:M125"/>
    <mergeCell ref="B126:G127"/>
    <mergeCell ref="M126:M127"/>
    <mergeCell ref="D123:F123"/>
    <mergeCell ref="H123:I123"/>
    <mergeCell ref="J123:K123"/>
    <mergeCell ref="L123:M123"/>
    <mergeCell ref="D124:F124"/>
    <mergeCell ref="H124:I124"/>
    <mergeCell ref="J124:K124"/>
    <mergeCell ref="L124:M124"/>
    <mergeCell ref="C153:F153"/>
    <mergeCell ref="H153:I153"/>
    <mergeCell ref="J153:K153"/>
    <mergeCell ref="B155:M155"/>
    <mergeCell ref="B3:M3"/>
    <mergeCell ref="B144:D144"/>
    <mergeCell ref="B145:M145"/>
    <mergeCell ref="G150:M150"/>
    <mergeCell ref="G151:M151"/>
    <mergeCell ref="C152:F152"/>
    <mergeCell ref="H152:I152"/>
    <mergeCell ref="J152:K152"/>
    <mergeCell ref="B138:G139"/>
    <mergeCell ref="J139:K139"/>
    <mergeCell ref="J141:K141"/>
    <mergeCell ref="B142:M142"/>
    <mergeCell ref="C143:E143"/>
    <mergeCell ref="H143:J143"/>
    <mergeCell ref="B128:G128"/>
    <mergeCell ref="H128:I128"/>
    <mergeCell ref="J128:K128"/>
    <mergeCell ref="L128:M128"/>
    <mergeCell ref="L129:M129"/>
    <mergeCell ref="B130:G130"/>
  </mergeCells>
  <conditionalFormatting sqref="C51:M54">
    <cfRule type="cellIs" dxfId="29" priority="5" operator="equal">
      <formula>0</formula>
    </cfRule>
  </conditionalFormatting>
  <conditionalFormatting sqref="J141:M141">
    <cfRule type="expression" dxfId="28" priority="3">
      <formula>$J141="Refundable)"</formula>
    </cfRule>
    <cfRule type="expression" dxfId="27" priority="4">
      <formula>$J141="(payble)"</formula>
    </cfRule>
  </conditionalFormatting>
  <conditionalFormatting sqref="M130:M141 L120:M128 L107:M116 M102 M99:M100 M97 K89:L89 J95 J87 H92:H93 J79:J80 J82 H116:K116 H120:K125 H107:K112">
    <cfRule type="cellIs" dxfId="26" priority="2" operator="equal">
      <formula>0</formula>
    </cfRule>
  </conditionalFormatting>
  <conditionalFormatting sqref="D22:M26 C32:M44 C51:M55 C57:E57 J58 H92:H94 H120:M125 H107:M112">
    <cfRule type="cellIs" dxfId="25" priority="1" operator="equal">
      <formula>0</formula>
    </cfRule>
  </conditionalFormatting>
  <pageMargins left="0.21" right="0.18" top="0.24" bottom="0.2" header="0.19" footer="0.2"/>
  <pageSetup paperSize="9" scale="75" orientation="portrait" r:id="rId1"/>
  <rowBreaks count="1" manualBreakCount="1">
    <brk id="75" max="16383" man="1"/>
  </rowBreaks>
  <colBreaks count="1" manualBreakCount="1">
    <brk id="14" max="1048575" man="1"/>
  </colBreaks>
</worksheet>
</file>

<file path=xl/worksheets/sheet8.xml><?xml version="1.0" encoding="utf-8"?>
<worksheet xmlns="http://schemas.openxmlformats.org/spreadsheetml/2006/main" xmlns:r="http://schemas.openxmlformats.org/officeDocument/2006/relationships">
  <sheetPr>
    <tabColor rgb="FFFFFF00"/>
  </sheetPr>
  <dimension ref="A1:XFC161"/>
  <sheetViews>
    <sheetView showGridLines="0" showRowColHeaders="0" workbookViewId="0">
      <selection activeCell="B16" sqref="B16:D16"/>
    </sheetView>
  </sheetViews>
  <sheetFormatPr defaultColWidth="0" defaultRowHeight="15" zeroHeight="1"/>
  <cols>
    <col min="1" max="1" width="2.7109375" style="1" customWidth="1"/>
    <col min="2" max="2" width="10.85546875" style="222" customWidth="1"/>
    <col min="3" max="3" width="3.85546875" style="222" customWidth="1"/>
    <col min="4" max="9" width="11.140625" style="222" customWidth="1"/>
    <col min="10" max="10" width="14.42578125" style="222" customWidth="1"/>
    <col min="11" max="11" width="14.28515625" style="222" customWidth="1"/>
    <col min="12" max="12" width="18.140625" style="222" hidden="1" customWidth="1"/>
    <col min="13" max="13" width="18.28515625" style="222" customWidth="1"/>
    <col min="14" max="14" width="2.140625" style="1" customWidth="1"/>
    <col min="15" max="16383" width="3.5703125" style="1" hidden="1"/>
    <col min="16384" max="16384" width="4.28515625" style="1" hidden="1"/>
  </cols>
  <sheetData>
    <row r="1" spans="1:18" ht="15.75" thickBot="1">
      <c r="A1" s="1147"/>
      <c r="B1" s="1148"/>
      <c r="C1" s="1148"/>
      <c r="D1" s="1148"/>
      <c r="E1" s="1148"/>
      <c r="F1" s="1148"/>
      <c r="G1" s="1148"/>
      <c r="H1" s="1148"/>
      <c r="I1" s="1148"/>
      <c r="J1" s="1148"/>
      <c r="K1" s="1148"/>
      <c r="L1" s="1148"/>
      <c r="M1" s="1148"/>
      <c r="N1" s="1149"/>
    </row>
    <row r="2" spans="1:18" ht="18">
      <c r="A2" s="1150"/>
      <c r="B2" s="1152" t="s">
        <v>237</v>
      </c>
      <c r="C2" s="1153"/>
      <c r="D2" s="1153"/>
      <c r="E2" s="1153"/>
      <c r="F2" s="1153"/>
      <c r="G2" s="1153"/>
      <c r="H2" s="1153"/>
      <c r="I2" s="1153"/>
      <c r="J2" s="1153"/>
      <c r="K2" s="1153"/>
      <c r="L2" s="1153"/>
      <c r="M2" s="1154"/>
      <c r="N2" s="1155"/>
    </row>
    <row r="3" spans="1:18" ht="12.75" customHeight="1">
      <c r="A3" s="1150"/>
      <c r="B3" s="972" t="s">
        <v>582</v>
      </c>
      <c r="C3" s="973"/>
      <c r="D3" s="973"/>
      <c r="E3" s="973"/>
      <c r="F3" s="973"/>
      <c r="G3" s="973"/>
      <c r="H3" s="973"/>
      <c r="I3" s="973"/>
      <c r="J3" s="973"/>
      <c r="K3" s="973"/>
      <c r="L3" s="973"/>
      <c r="M3" s="974"/>
      <c r="N3" s="1155"/>
    </row>
    <row r="4" spans="1:18">
      <c r="A4" s="1150"/>
      <c r="B4" s="1157" t="s">
        <v>238</v>
      </c>
      <c r="C4" s="1158"/>
      <c r="D4" s="1158"/>
      <c r="E4" s="1158"/>
      <c r="F4" s="1158"/>
      <c r="G4" s="1158"/>
      <c r="H4" s="1158"/>
      <c r="I4" s="1158"/>
      <c r="J4" s="1158"/>
      <c r="K4" s="1158"/>
      <c r="L4" s="1158"/>
      <c r="M4" s="1159"/>
      <c r="N4" s="1155"/>
    </row>
    <row r="5" spans="1:18">
      <c r="A5" s="1150"/>
      <c r="B5" s="1157" t="s">
        <v>239</v>
      </c>
      <c r="C5" s="1158"/>
      <c r="D5" s="1158"/>
      <c r="E5" s="1158"/>
      <c r="F5" s="1158"/>
      <c r="G5" s="1158"/>
      <c r="H5" s="1158"/>
      <c r="I5" s="1158"/>
      <c r="J5" s="1158"/>
      <c r="K5" s="1158"/>
      <c r="L5" s="1158"/>
      <c r="M5" s="1159"/>
      <c r="N5" s="1155"/>
    </row>
    <row r="6" spans="1:18">
      <c r="A6" s="1150"/>
      <c r="B6" s="1160" t="s">
        <v>240</v>
      </c>
      <c r="C6" s="1161"/>
      <c r="D6" s="1161"/>
      <c r="E6" s="1161"/>
      <c r="F6" s="1161"/>
      <c r="G6" s="1161"/>
      <c r="H6" s="1161"/>
      <c r="I6" s="1161"/>
      <c r="J6" s="1161"/>
      <c r="K6" s="1161"/>
      <c r="L6" s="1161"/>
      <c r="M6" s="1162"/>
      <c r="N6" s="1155"/>
    </row>
    <row r="7" spans="1:18">
      <c r="A7" s="1150"/>
      <c r="B7" s="1163" t="s">
        <v>241</v>
      </c>
      <c r="C7" s="1164"/>
      <c r="D7" s="1164"/>
      <c r="E7" s="1164"/>
      <c r="F7" s="1164"/>
      <c r="G7" s="1164"/>
      <c r="H7" s="1164"/>
      <c r="I7" s="1164"/>
      <c r="J7" s="1164"/>
      <c r="K7" s="1164"/>
      <c r="L7" s="1164"/>
      <c r="M7" s="1165"/>
      <c r="N7" s="1155"/>
    </row>
    <row r="8" spans="1:18" ht="18" customHeight="1" thickBot="1">
      <c r="A8" s="1150"/>
      <c r="B8" s="1166" t="str">
        <f>CONCATENATE("Calculation as per","  ",'Old Regime Calc. Report'!X16)</f>
        <v xml:space="preserve">Calculation as per  </v>
      </c>
      <c r="C8" s="1167"/>
      <c r="D8" s="1167"/>
      <c r="E8" s="1167"/>
      <c r="F8" s="1167"/>
      <c r="G8" s="1167"/>
      <c r="H8" s="1167"/>
      <c r="I8" s="1167"/>
      <c r="J8" s="1168"/>
      <c r="K8" s="1168"/>
      <c r="L8" s="1168"/>
      <c r="M8" s="1169"/>
      <c r="N8" s="1155"/>
    </row>
    <row r="9" spans="1:18" ht="17.25" customHeight="1" thickBot="1">
      <c r="A9" s="1150"/>
      <c r="B9" s="1166"/>
      <c r="C9" s="1167"/>
      <c r="D9" s="1167"/>
      <c r="E9" s="1167"/>
      <c r="F9" s="1167"/>
      <c r="G9" s="1167"/>
      <c r="H9" s="1167"/>
      <c r="I9" s="1167"/>
      <c r="J9" s="1122" t="s">
        <v>374</v>
      </c>
      <c r="K9" s="1123"/>
      <c r="L9" s="165"/>
      <c r="M9" s="477" t="str">
        <f>IF('Basic Data'!Q10="A","Under 60 Yrs.",IF('Basic Data'!Q10="B","Between 60&amp;80 Yrs.","Above 80 Yrs."))</f>
        <v>Under 60 Yrs.</v>
      </c>
      <c r="N9" s="1155"/>
    </row>
    <row r="10" spans="1:18">
      <c r="A10" s="1150"/>
      <c r="B10" s="1124" t="s">
        <v>242</v>
      </c>
      <c r="C10" s="1125"/>
      <c r="D10" s="1125"/>
      <c r="E10" s="1125"/>
      <c r="F10" s="1125"/>
      <c r="G10" s="1125"/>
      <c r="H10" s="1126" t="s">
        <v>243</v>
      </c>
      <c r="I10" s="1126"/>
      <c r="J10" s="1127"/>
      <c r="K10" s="1127"/>
      <c r="L10" s="1127"/>
      <c r="M10" s="1128"/>
      <c r="N10" s="1155"/>
    </row>
    <row r="11" spans="1:18" ht="15" customHeight="1">
      <c r="A11" s="1150"/>
      <c r="B11" s="1129" t="str">
        <f>CONCATENATE('Exemp.(HRA+Other) &amp; Other incom'!A1)</f>
        <v>Office: Govt. Sr. School Raimalwada (DDO Code :-12345)</v>
      </c>
      <c r="C11" s="1130"/>
      <c r="D11" s="1130"/>
      <c r="E11" s="1130"/>
      <c r="F11" s="1130"/>
      <c r="G11" s="1131"/>
      <c r="H11" s="1138" t="str">
        <f>CONCATENATE('Exemp.(HRA+Other) &amp; Other incom'!A4,"  ","(",'Exemp.(HRA+Other) &amp; Other incom'!C4,")")</f>
        <v>a  (Teacher)</v>
      </c>
      <c r="I11" s="1139"/>
      <c r="J11" s="1139"/>
      <c r="K11" s="1139"/>
      <c r="L11" s="1139"/>
      <c r="M11" s="1140"/>
      <c r="N11" s="1155"/>
    </row>
    <row r="12" spans="1:18" ht="9.75" customHeight="1">
      <c r="A12" s="1150"/>
      <c r="B12" s="1132"/>
      <c r="C12" s="1133"/>
      <c r="D12" s="1133"/>
      <c r="E12" s="1133"/>
      <c r="F12" s="1133"/>
      <c r="G12" s="1134"/>
      <c r="H12" s="1141"/>
      <c r="I12" s="1142"/>
      <c r="J12" s="1142"/>
      <c r="K12" s="1142"/>
      <c r="L12" s="1142"/>
      <c r="M12" s="1143"/>
      <c r="N12" s="1155"/>
    </row>
    <row r="13" spans="1:18" ht="15" customHeight="1">
      <c r="A13" s="1150"/>
      <c r="B13" s="1132"/>
      <c r="C13" s="1133"/>
      <c r="D13" s="1133"/>
      <c r="E13" s="1133"/>
      <c r="F13" s="1133"/>
      <c r="G13" s="1134"/>
      <c r="H13" s="1141" t="str">
        <f>'Exemp.(HRA+Other) &amp; Other incom'!D4</f>
        <v>Govt. Sr. School Raimalwada</v>
      </c>
      <c r="I13" s="1142"/>
      <c r="J13" s="1142"/>
      <c r="K13" s="1142"/>
      <c r="L13" s="1142"/>
      <c r="M13" s="1143"/>
      <c r="N13" s="1155"/>
    </row>
    <row r="14" spans="1:18" ht="4.5" customHeight="1">
      <c r="A14" s="1150"/>
      <c r="B14" s="1135"/>
      <c r="C14" s="1136"/>
      <c r="D14" s="1136"/>
      <c r="E14" s="1136"/>
      <c r="F14" s="1136"/>
      <c r="G14" s="1137"/>
      <c r="H14" s="1144"/>
      <c r="I14" s="1145"/>
      <c r="J14" s="1145"/>
      <c r="K14" s="1145"/>
      <c r="L14" s="1145"/>
      <c r="M14" s="1146"/>
      <c r="N14" s="1155"/>
    </row>
    <row r="15" spans="1:18">
      <c r="A15" s="1150"/>
      <c r="B15" s="1100" t="s">
        <v>244</v>
      </c>
      <c r="C15" s="993"/>
      <c r="D15" s="1049"/>
      <c r="E15" s="1048" t="s">
        <v>245</v>
      </c>
      <c r="F15" s="993"/>
      <c r="G15" s="1049"/>
      <c r="H15" s="1048" t="s">
        <v>246</v>
      </c>
      <c r="I15" s="993"/>
      <c r="J15" s="993"/>
      <c r="K15" s="993"/>
      <c r="L15" s="993"/>
      <c r="M15" s="1107"/>
      <c r="N15" s="1155"/>
      <c r="R15" s="166">
        <f>I26</f>
        <v>24000</v>
      </c>
    </row>
    <row r="16" spans="1:18" ht="18" customHeight="1">
      <c r="A16" s="1150"/>
      <c r="B16" s="1108"/>
      <c r="C16" s="1109"/>
      <c r="D16" s="1110"/>
      <c r="E16" s="1048" t="str">
        <f>'Basic Data'!K6</f>
        <v>JDHG09250D</v>
      </c>
      <c r="F16" s="993"/>
      <c r="G16" s="1049"/>
      <c r="H16" s="1111" t="str">
        <f>'Basic Data'!N10</f>
        <v>ABCDE1234F</v>
      </c>
      <c r="I16" s="1112"/>
      <c r="J16" s="1112"/>
      <c r="K16" s="1112"/>
      <c r="L16" s="1112"/>
      <c r="M16" s="1113"/>
      <c r="N16" s="1155"/>
      <c r="R16" s="166">
        <f>C44</f>
        <v>0</v>
      </c>
    </row>
    <row r="17" spans="1:18">
      <c r="A17" s="1150"/>
      <c r="B17" s="478" t="s">
        <v>247</v>
      </c>
      <c r="C17" s="167"/>
      <c r="D17" s="168"/>
      <c r="E17" s="1170"/>
      <c r="F17" s="1171"/>
      <c r="G17" s="1172"/>
      <c r="H17" s="993" t="s">
        <v>248</v>
      </c>
      <c r="I17" s="993"/>
      <c r="J17" s="993"/>
      <c r="K17" s="1048" t="s">
        <v>249</v>
      </c>
      <c r="L17" s="1179"/>
      <c r="M17" s="1180"/>
      <c r="N17" s="1155"/>
      <c r="R17" s="166">
        <f>C55</f>
        <v>0</v>
      </c>
    </row>
    <row r="18" spans="1:18">
      <c r="A18" s="1150"/>
      <c r="B18" s="479" t="s">
        <v>250</v>
      </c>
      <c r="C18" s="169"/>
      <c r="D18" s="170"/>
      <c r="E18" s="1173"/>
      <c r="F18" s="1174"/>
      <c r="G18" s="1175"/>
      <c r="H18" s="1048" t="s">
        <v>251</v>
      </c>
      <c r="I18" s="1049"/>
      <c r="J18" s="449" t="s">
        <v>252</v>
      </c>
      <c r="K18" s="1181" t="str">
        <f>'Old Regime Calc. Report'!AC4</f>
        <v>2025-26</v>
      </c>
      <c r="L18" s="1182"/>
      <c r="M18" s="1183"/>
      <c r="N18" s="1155"/>
      <c r="R18" s="166">
        <f>SUM(R15:R17)</f>
        <v>24000</v>
      </c>
    </row>
    <row r="19" spans="1:18">
      <c r="A19" s="1150"/>
      <c r="B19" s="480" t="s">
        <v>253</v>
      </c>
      <c r="C19" s="171"/>
      <c r="D19" s="172"/>
      <c r="E19" s="1176"/>
      <c r="F19" s="1177"/>
      <c r="G19" s="1178"/>
      <c r="H19" s="1187">
        <f>'GA-55'!C10</f>
        <v>45383</v>
      </c>
      <c r="I19" s="1188"/>
      <c r="J19" s="173">
        <f>EOMONTH('GA-55'!C20,0)+31</f>
        <v>45747</v>
      </c>
      <c r="K19" s="1184"/>
      <c r="L19" s="1185"/>
      <c r="M19" s="1186"/>
      <c r="N19" s="1155"/>
    </row>
    <row r="20" spans="1:18">
      <c r="A20" s="1150"/>
      <c r="B20" s="480" t="s">
        <v>254</v>
      </c>
      <c r="C20" s="171"/>
      <c r="D20" s="171"/>
      <c r="E20" s="174"/>
      <c r="F20" s="174"/>
      <c r="G20" s="174"/>
      <c r="H20" s="442"/>
      <c r="I20" s="442"/>
      <c r="J20" s="442"/>
      <c r="K20" s="442"/>
      <c r="L20" s="442"/>
      <c r="M20" s="481"/>
      <c r="N20" s="1155"/>
    </row>
    <row r="21" spans="1:18">
      <c r="A21" s="1150"/>
      <c r="B21" s="1114" t="s">
        <v>255</v>
      </c>
      <c r="C21" s="1115"/>
      <c r="D21" s="1116" t="s">
        <v>256</v>
      </c>
      <c r="E21" s="1116"/>
      <c r="F21" s="1116"/>
      <c r="G21" s="1117" t="s">
        <v>257</v>
      </c>
      <c r="H21" s="1117"/>
      <c r="I21" s="1118" t="s">
        <v>258</v>
      </c>
      <c r="J21" s="1119"/>
      <c r="K21" s="1120"/>
      <c r="L21" s="1116" t="s">
        <v>259</v>
      </c>
      <c r="M21" s="1121"/>
      <c r="N21" s="1155"/>
    </row>
    <row r="22" spans="1:18">
      <c r="A22" s="1150"/>
      <c r="B22" s="1104" t="s">
        <v>260</v>
      </c>
      <c r="C22" s="1058"/>
      <c r="D22" s="1091"/>
      <c r="E22" s="1092"/>
      <c r="F22" s="1093"/>
      <c r="G22" s="1094"/>
      <c r="H22" s="1095"/>
      <c r="I22" s="1091">
        <f>'Old Regime Calc. Report'!D68</f>
        <v>6000</v>
      </c>
      <c r="J22" s="1092"/>
      <c r="K22" s="1093"/>
      <c r="L22" s="1086">
        <f>I22</f>
        <v>6000</v>
      </c>
      <c r="M22" s="1106"/>
      <c r="N22" s="1155"/>
    </row>
    <row r="23" spans="1:18">
      <c r="A23" s="1150"/>
      <c r="B23" s="1104" t="s">
        <v>261</v>
      </c>
      <c r="C23" s="1058"/>
      <c r="D23" s="1091"/>
      <c r="E23" s="1092"/>
      <c r="F23" s="1093"/>
      <c r="G23" s="1094"/>
      <c r="H23" s="1095"/>
      <c r="I23" s="1091">
        <f>'Old Regime Calc. Report'!F68</f>
        <v>6000</v>
      </c>
      <c r="J23" s="1092"/>
      <c r="K23" s="1093"/>
      <c r="L23" s="1086">
        <f>I23</f>
        <v>6000</v>
      </c>
      <c r="M23" s="1106"/>
      <c r="N23" s="1155"/>
    </row>
    <row r="24" spans="1:18">
      <c r="A24" s="1150"/>
      <c r="B24" s="1104" t="s">
        <v>262</v>
      </c>
      <c r="C24" s="1058"/>
      <c r="D24" s="1091"/>
      <c r="E24" s="1092"/>
      <c r="F24" s="1093"/>
      <c r="G24" s="1094"/>
      <c r="H24" s="1095"/>
      <c r="I24" s="1091">
        <f>'Old Regime Calc. Report'!I68</f>
        <v>6000</v>
      </c>
      <c r="J24" s="1092"/>
      <c r="K24" s="1093"/>
      <c r="L24" s="1086">
        <f>I24</f>
        <v>6000</v>
      </c>
      <c r="M24" s="1105"/>
      <c r="N24" s="1155"/>
    </row>
    <row r="25" spans="1:18">
      <c r="A25" s="1150"/>
      <c r="B25" s="1104" t="s">
        <v>263</v>
      </c>
      <c r="C25" s="1058"/>
      <c r="D25" s="1091"/>
      <c r="E25" s="1092"/>
      <c r="F25" s="1093"/>
      <c r="G25" s="1094"/>
      <c r="H25" s="1095"/>
      <c r="I25" s="1091">
        <f>'Old Regime Calc. Report'!J68+'Old Regime Calc. Report'!K68+'Old Regime Calc. Report'!L68+'Old Regime Calc. Report'!M68</f>
        <v>6000</v>
      </c>
      <c r="J25" s="1092"/>
      <c r="K25" s="1093"/>
      <c r="L25" s="1086">
        <f>I25</f>
        <v>6000</v>
      </c>
      <c r="M25" s="1105"/>
      <c r="N25" s="1155"/>
    </row>
    <row r="26" spans="1:18">
      <c r="A26" s="1150"/>
      <c r="B26" s="1100" t="s">
        <v>8</v>
      </c>
      <c r="C26" s="1049"/>
      <c r="D26" s="1048"/>
      <c r="E26" s="993"/>
      <c r="F26" s="1049"/>
      <c r="G26" s="1101">
        <f>SUM(G22:H25)</f>
        <v>0</v>
      </c>
      <c r="H26" s="1102"/>
      <c r="I26" s="1048">
        <f>SUM(I22:K25)</f>
        <v>24000</v>
      </c>
      <c r="J26" s="993"/>
      <c r="K26" s="1049"/>
      <c r="L26" s="1101">
        <f>SUM(L22:M25)</f>
        <v>24000</v>
      </c>
      <c r="M26" s="1103"/>
      <c r="N26" s="1155"/>
    </row>
    <row r="27" spans="1:18">
      <c r="A27" s="1150"/>
      <c r="B27" s="1087" t="s">
        <v>264</v>
      </c>
      <c r="C27" s="1088"/>
      <c r="D27" s="1088"/>
      <c r="E27" s="1088"/>
      <c r="F27" s="1089"/>
      <c r="G27" s="1089"/>
      <c r="H27" s="1089"/>
      <c r="I27" s="1089"/>
      <c r="J27" s="1089"/>
      <c r="K27" s="1089"/>
      <c r="L27" s="1089"/>
      <c r="M27" s="1090"/>
      <c r="N27" s="1155"/>
    </row>
    <row r="28" spans="1:18">
      <c r="A28" s="1150"/>
      <c r="B28" s="482" t="s">
        <v>265</v>
      </c>
      <c r="C28" s="1074" t="s">
        <v>266</v>
      </c>
      <c r="D28" s="1074"/>
      <c r="E28" s="1075"/>
      <c r="F28" s="1076" t="s">
        <v>267</v>
      </c>
      <c r="G28" s="1077"/>
      <c r="H28" s="1077"/>
      <c r="I28" s="1077"/>
      <c r="J28" s="1078"/>
      <c r="K28" s="1078"/>
      <c r="L28" s="1077"/>
      <c r="M28" s="1079"/>
      <c r="N28" s="1155"/>
    </row>
    <row r="29" spans="1:18">
      <c r="A29" s="1150"/>
      <c r="B29" s="483"/>
      <c r="C29" s="1080" t="s">
        <v>268</v>
      </c>
      <c r="D29" s="1080"/>
      <c r="E29" s="1080"/>
      <c r="F29" s="1081" t="s">
        <v>269</v>
      </c>
      <c r="G29" s="1082"/>
      <c r="H29" s="1081" t="s">
        <v>270</v>
      </c>
      <c r="I29" s="1083"/>
      <c r="J29" s="1081" t="s">
        <v>271</v>
      </c>
      <c r="K29" s="1083"/>
      <c r="L29" s="1084" t="s">
        <v>272</v>
      </c>
      <c r="M29" s="1085"/>
      <c r="N29" s="1155"/>
    </row>
    <row r="30" spans="1:18">
      <c r="A30" s="1150"/>
      <c r="B30" s="483"/>
      <c r="C30" s="444"/>
      <c r="D30" s="444" t="s">
        <v>273</v>
      </c>
      <c r="E30" s="444"/>
      <c r="F30" s="1064" t="s">
        <v>274</v>
      </c>
      <c r="G30" s="1065"/>
      <c r="H30" s="1064" t="s">
        <v>274</v>
      </c>
      <c r="I30" s="1066"/>
      <c r="J30" s="1064" t="s">
        <v>274</v>
      </c>
      <c r="K30" s="1066"/>
      <c r="L30" s="1067" t="s">
        <v>275</v>
      </c>
      <c r="M30" s="1068"/>
      <c r="N30" s="1155"/>
    </row>
    <row r="31" spans="1:18">
      <c r="A31" s="1150"/>
      <c r="B31" s="484"/>
      <c r="C31" s="1069"/>
      <c r="D31" s="1069"/>
      <c r="E31" s="1069"/>
      <c r="F31" s="175"/>
      <c r="G31" s="176"/>
      <c r="H31" s="1070"/>
      <c r="I31" s="1071"/>
      <c r="J31" s="1072" t="s">
        <v>276</v>
      </c>
      <c r="K31" s="1073"/>
      <c r="L31" s="443"/>
      <c r="M31" s="485"/>
      <c r="N31" s="1155"/>
    </row>
    <row r="32" spans="1:18">
      <c r="A32" s="1150"/>
      <c r="B32" s="486">
        <v>1</v>
      </c>
      <c r="C32" s="1091"/>
      <c r="D32" s="1092"/>
      <c r="E32" s="1093"/>
      <c r="F32" s="1094"/>
      <c r="G32" s="1095"/>
      <c r="H32" s="1091"/>
      <c r="I32" s="1093"/>
      <c r="J32" s="1099"/>
      <c r="K32" s="1099"/>
      <c r="L32" s="1091"/>
      <c r="M32" s="1096"/>
      <c r="N32" s="1155"/>
    </row>
    <row r="33" spans="1:14">
      <c r="A33" s="1150"/>
      <c r="B33" s="487">
        <v>2</v>
      </c>
      <c r="C33" s="1091"/>
      <c r="D33" s="1092"/>
      <c r="E33" s="1093"/>
      <c r="F33" s="1094"/>
      <c r="G33" s="1095"/>
      <c r="H33" s="1091"/>
      <c r="I33" s="1093"/>
      <c r="J33" s="1099"/>
      <c r="K33" s="1099"/>
      <c r="L33" s="1091"/>
      <c r="M33" s="1096"/>
      <c r="N33" s="1155"/>
    </row>
    <row r="34" spans="1:14">
      <c r="A34" s="1150"/>
      <c r="B34" s="487">
        <v>3</v>
      </c>
      <c r="C34" s="1091"/>
      <c r="D34" s="1092"/>
      <c r="E34" s="1093"/>
      <c r="F34" s="447"/>
      <c r="G34" s="448"/>
      <c r="H34" s="436"/>
      <c r="I34" s="446"/>
      <c r="J34" s="98"/>
      <c r="K34" s="99"/>
      <c r="L34" s="1091"/>
      <c r="M34" s="1096"/>
      <c r="N34" s="1155"/>
    </row>
    <row r="35" spans="1:14">
      <c r="A35" s="1150"/>
      <c r="B35" s="487">
        <v>4</v>
      </c>
      <c r="C35" s="1091"/>
      <c r="D35" s="1092"/>
      <c r="E35" s="1093"/>
      <c r="F35" s="447"/>
      <c r="G35" s="448"/>
      <c r="H35" s="436"/>
      <c r="I35" s="446"/>
      <c r="J35" s="436"/>
      <c r="K35" s="446"/>
      <c r="L35" s="1091"/>
      <c r="M35" s="1096"/>
      <c r="N35" s="1155"/>
    </row>
    <row r="36" spans="1:14">
      <c r="A36" s="1150"/>
      <c r="B36" s="487">
        <v>5</v>
      </c>
      <c r="C36" s="1091"/>
      <c r="D36" s="1092"/>
      <c r="E36" s="1093"/>
      <c r="F36" s="447"/>
      <c r="G36" s="448"/>
      <c r="H36" s="436"/>
      <c r="I36" s="446"/>
      <c r="J36" s="436"/>
      <c r="K36" s="446"/>
      <c r="L36" s="1091"/>
      <c r="M36" s="1096"/>
      <c r="N36" s="1155"/>
    </row>
    <row r="37" spans="1:14">
      <c r="A37" s="1150"/>
      <c r="B37" s="487">
        <v>6</v>
      </c>
      <c r="C37" s="1091"/>
      <c r="D37" s="1092"/>
      <c r="E37" s="1093"/>
      <c r="F37" s="447"/>
      <c r="G37" s="448"/>
      <c r="H37" s="436"/>
      <c r="I37" s="446"/>
      <c r="J37" s="436"/>
      <c r="K37" s="446"/>
      <c r="L37" s="1091"/>
      <c r="M37" s="1096"/>
      <c r="N37" s="1155"/>
    </row>
    <row r="38" spans="1:14">
      <c r="A38" s="1150"/>
      <c r="B38" s="487">
        <v>7</v>
      </c>
      <c r="C38" s="1091"/>
      <c r="D38" s="1092"/>
      <c r="E38" s="1093"/>
      <c r="F38" s="447"/>
      <c r="G38" s="448"/>
      <c r="H38" s="436"/>
      <c r="I38" s="446"/>
      <c r="J38" s="436"/>
      <c r="K38" s="446"/>
      <c r="L38" s="1091"/>
      <c r="M38" s="1096"/>
      <c r="N38" s="1155"/>
    </row>
    <row r="39" spans="1:14">
      <c r="A39" s="1150"/>
      <c r="B39" s="487">
        <v>8</v>
      </c>
      <c r="C39" s="1091"/>
      <c r="D39" s="1092"/>
      <c r="E39" s="1093"/>
      <c r="F39" s="447"/>
      <c r="G39" s="448"/>
      <c r="H39" s="436"/>
      <c r="I39" s="446"/>
      <c r="J39" s="436"/>
      <c r="K39" s="446"/>
      <c r="L39" s="1091"/>
      <c r="M39" s="1096"/>
      <c r="N39" s="1155"/>
    </row>
    <row r="40" spans="1:14">
      <c r="A40" s="1150"/>
      <c r="B40" s="487">
        <v>9</v>
      </c>
      <c r="C40" s="1091"/>
      <c r="D40" s="1092"/>
      <c r="E40" s="1093"/>
      <c r="F40" s="1094"/>
      <c r="G40" s="1095"/>
      <c r="H40" s="1091"/>
      <c r="I40" s="1093"/>
      <c r="J40" s="1091"/>
      <c r="K40" s="1093"/>
      <c r="L40" s="1091"/>
      <c r="M40" s="1096"/>
      <c r="N40" s="1155"/>
    </row>
    <row r="41" spans="1:14">
      <c r="A41" s="1150"/>
      <c r="B41" s="487">
        <v>10</v>
      </c>
      <c r="C41" s="1091"/>
      <c r="D41" s="1092"/>
      <c r="E41" s="1093"/>
      <c r="F41" s="1094"/>
      <c r="G41" s="1095"/>
      <c r="H41" s="1091"/>
      <c r="I41" s="1093"/>
      <c r="J41" s="1091"/>
      <c r="K41" s="1093"/>
      <c r="L41" s="1091"/>
      <c r="M41" s="1096"/>
      <c r="N41" s="1155"/>
    </row>
    <row r="42" spans="1:14">
      <c r="A42" s="1150"/>
      <c r="B42" s="487">
        <v>11</v>
      </c>
      <c r="C42" s="1091"/>
      <c r="D42" s="1092"/>
      <c r="E42" s="1093"/>
      <c r="F42" s="1094"/>
      <c r="G42" s="1095"/>
      <c r="H42" s="1091"/>
      <c r="I42" s="1093"/>
      <c r="J42" s="1091"/>
      <c r="K42" s="1093"/>
      <c r="L42" s="1091"/>
      <c r="M42" s="1096"/>
      <c r="N42" s="1155"/>
    </row>
    <row r="43" spans="1:14">
      <c r="A43" s="1150"/>
      <c r="B43" s="487">
        <v>12</v>
      </c>
      <c r="C43" s="1091"/>
      <c r="D43" s="1092"/>
      <c r="E43" s="1093"/>
      <c r="F43" s="1094"/>
      <c r="G43" s="1095"/>
      <c r="H43" s="1091"/>
      <c r="I43" s="1093"/>
      <c r="J43" s="1097"/>
      <c r="K43" s="1098"/>
      <c r="L43" s="1091"/>
      <c r="M43" s="1096"/>
      <c r="N43" s="1155"/>
    </row>
    <row r="44" spans="1:14">
      <c r="A44" s="1150"/>
      <c r="B44" s="484" t="s">
        <v>277</v>
      </c>
      <c r="C44" s="1052">
        <f>SUM(C32:E43)</f>
        <v>0</v>
      </c>
      <c r="D44" s="1053"/>
      <c r="E44" s="1058"/>
      <c r="F44" s="1086"/>
      <c r="G44" s="1051"/>
      <c r="H44" s="1052"/>
      <c r="I44" s="1058"/>
      <c r="J44" s="1063"/>
      <c r="K44" s="1063"/>
      <c r="L44" s="1052"/>
      <c r="M44" s="1054"/>
      <c r="N44" s="1155"/>
    </row>
    <row r="45" spans="1:14" ht="11.25" customHeight="1">
      <c r="A45" s="1150"/>
      <c r="B45" s="480"/>
      <c r="C45" s="441"/>
      <c r="D45" s="441"/>
      <c r="E45" s="441"/>
      <c r="F45" s="445"/>
      <c r="G45" s="445"/>
      <c r="H45" s="441"/>
      <c r="I45" s="441"/>
      <c r="J45" s="442"/>
      <c r="K45" s="442"/>
      <c r="L45" s="442"/>
      <c r="M45" s="485"/>
      <c r="N45" s="1155"/>
    </row>
    <row r="46" spans="1:14">
      <c r="A46" s="1150"/>
      <c r="B46" s="1087" t="s">
        <v>354</v>
      </c>
      <c r="C46" s="1088"/>
      <c r="D46" s="1088"/>
      <c r="E46" s="1088"/>
      <c r="F46" s="1089"/>
      <c r="G46" s="1089"/>
      <c r="H46" s="1089"/>
      <c r="I46" s="1089"/>
      <c r="J46" s="1089"/>
      <c r="K46" s="1089"/>
      <c r="L46" s="1089"/>
      <c r="M46" s="1090"/>
      <c r="N46" s="1155"/>
    </row>
    <row r="47" spans="1:14">
      <c r="A47" s="1150"/>
      <c r="B47" s="482" t="s">
        <v>265</v>
      </c>
      <c r="C47" s="1074" t="s">
        <v>266</v>
      </c>
      <c r="D47" s="1074"/>
      <c r="E47" s="1075"/>
      <c r="F47" s="1076" t="s">
        <v>278</v>
      </c>
      <c r="G47" s="1077"/>
      <c r="H47" s="1077"/>
      <c r="I47" s="1077"/>
      <c r="J47" s="1078"/>
      <c r="K47" s="1078"/>
      <c r="L47" s="1077"/>
      <c r="M47" s="1079"/>
      <c r="N47" s="1155"/>
    </row>
    <row r="48" spans="1:14">
      <c r="A48" s="1150"/>
      <c r="B48" s="483"/>
      <c r="C48" s="1080" t="s">
        <v>268</v>
      </c>
      <c r="D48" s="1080"/>
      <c r="E48" s="1080"/>
      <c r="F48" s="1081" t="s">
        <v>279</v>
      </c>
      <c r="G48" s="1082"/>
      <c r="H48" s="1081" t="s">
        <v>280</v>
      </c>
      <c r="I48" s="1083"/>
      <c r="J48" s="1081" t="s">
        <v>281</v>
      </c>
      <c r="K48" s="1083"/>
      <c r="L48" s="1084" t="s">
        <v>272</v>
      </c>
      <c r="M48" s="1085"/>
      <c r="N48" s="1155"/>
    </row>
    <row r="49" spans="1:14">
      <c r="A49" s="1150"/>
      <c r="B49" s="483"/>
      <c r="C49" s="444"/>
      <c r="D49" s="444" t="s">
        <v>273</v>
      </c>
      <c r="E49" s="444"/>
      <c r="F49" s="1064" t="s">
        <v>282</v>
      </c>
      <c r="G49" s="1065"/>
      <c r="H49" s="1064" t="s">
        <v>283</v>
      </c>
      <c r="I49" s="1066"/>
      <c r="J49" s="1064" t="s">
        <v>284</v>
      </c>
      <c r="K49" s="1066"/>
      <c r="L49" s="1067" t="s">
        <v>275</v>
      </c>
      <c r="M49" s="1068"/>
      <c r="N49" s="1155"/>
    </row>
    <row r="50" spans="1:14">
      <c r="A50" s="1150"/>
      <c r="B50" s="484"/>
      <c r="C50" s="1069"/>
      <c r="D50" s="1069"/>
      <c r="E50" s="1069"/>
      <c r="F50" s="175"/>
      <c r="G50" s="176"/>
      <c r="H50" s="1070" t="s">
        <v>276</v>
      </c>
      <c r="I50" s="1071"/>
      <c r="J50" s="1072"/>
      <c r="K50" s="1073"/>
      <c r="L50" s="443"/>
      <c r="M50" s="485"/>
      <c r="N50" s="1155"/>
    </row>
    <row r="51" spans="1:14">
      <c r="A51" s="1150"/>
      <c r="B51" s="486">
        <v>1</v>
      </c>
      <c r="C51" s="1052">
        <f>'Exemp.(HRA+Other) &amp; Other incom'!Q7</f>
        <v>0</v>
      </c>
      <c r="D51" s="1053"/>
      <c r="E51" s="1058"/>
      <c r="F51" s="1050">
        <f>'Exemp.(HRA+Other) &amp; Other incom'!P7</f>
        <v>0</v>
      </c>
      <c r="G51" s="1059"/>
      <c r="H51" s="1060">
        <f>'Exemp.(HRA+Other) &amp; Other incom'!N7</f>
        <v>0</v>
      </c>
      <c r="I51" s="1061"/>
      <c r="J51" s="1062">
        <f>'Exemp.(HRA+Other) &amp; Other incom'!O7</f>
        <v>0</v>
      </c>
      <c r="K51" s="1063"/>
      <c r="L51" s="1052">
        <f>IF(C51&gt;0,"Matched",0)</f>
        <v>0</v>
      </c>
      <c r="M51" s="1054"/>
      <c r="N51" s="1155"/>
    </row>
    <row r="52" spans="1:14">
      <c r="A52" s="1150"/>
      <c r="B52" s="487">
        <v>2</v>
      </c>
      <c r="C52" s="1052">
        <f>'Exemp.(HRA+Other) &amp; Other incom'!Q8</f>
        <v>0</v>
      </c>
      <c r="D52" s="1053"/>
      <c r="E52" s="1058"/>
      <c r="F52" s="1050">
        <f>'Exemp.(HRA+Other) &amp; Other incom'!P8</f>
        <v>0</v>
      </c>
      <c r="G52" s="1059"/>
      <c r="H52" s="1060">
        <f>'Exemp.(HRA+Other) &amp; Other incom'!N8</f>
        <v>0</v>
      </c>
      <c r="I52" s="1061"/>
      <c r="J52" s="1062">
        <f>'Exemp.(HRA+Other) &amp; Other incom'!O8</f>
        <v>0</v>
      </c>
      <c r="K52" s="1063"/>
      <c r="L52" s="1052">
        <f t="shared" ref="L52:L54" si="0">IF(C52&gt;0,"Matched",0)</f>
        <v>0</v>
      </c>
      <c r="M52" s="1054"/>
      <c r="N52" s="1155"/>
    </row>
    <row r="53" spans="1:14">
      <c r="A53" s="1150"/>
      <c r="B53" s="487">
        <v>3</v>
      </c>
      <c r="C53" s="1052">
        <f>'Exemp.(HRA+Other) &amp; Other incom'!Q9</f>
        <v>0</v>
      </c>
      <c r="D53" s="1053"/>
      <c r="E53" s="1058"/>
      <c r="F53" s="1050">
        <f>'Exemp.(HRA+Other) &amp; Other incom'!P9</f>
        <v>0</v>
      </c>
      <c r="G53" s="1059"/>
      <c r="H53" s="1060">
        <f>'Exemp.(HRA+Other) &amp; Other incom'!N9</f>
        <v>0</v>
      </c>
      <c r="I53" s="1061"/>
      <c r="J53" s="1062">
        <f>'Exemp.(HRA+Other) &amp; Other incom'!O9</f>
        <v>0</v>
      </c>
      <c r="K53" s="1063"/>
      <c r="L53" s="1052">
        <f t="shared" si="0"/>
        <v>0</v>
      </c>
      <c r="M53" s="1054"/>
      <c r="N53" s="1155"/>
    </row>
    <row r="54" spans="1:14">
      <c r="A54" s="1150"/>
      <c r="B54" s="487">
        <v>4</v>
      </c>
      <c r="C54" s="1052">
        <f>'Exemp.(HRA+Other) &amp; Other incom'!Q10</f>
        <v>0</v>
      </c>
      <c r="D54" s="1053"/>
      <c r="E54" s="1058"/>
      <c r="F54" s="1050">
        <f>'Exemp.(HRA+Other) &amp; Other incom'!P10</f>
        <v>0</v>
      </c>
      <c r="G54" s="1059"/>
      <c r="H54" s="1060">
        <f>'Exemp.(HRA+Other) &amp; Other incom'!N10</f>
        <v>0</v>
      </c>
      <c r="I54" s="1061"/>
      <c r="J54" s="1062">
        <f>'Exemp.(HRA+Other) &amp; Other incom'!O10</f>
        <v>0</v>
      </c>
      <c r="K54" s="1063"/>
      <c r="L54" s="1052">
        <f t="shared" si="0"/>
        <v>0</v>
      </c>
      <c r="M54" s="1054"/>
      <c r="N54" s="1155"/>
    </row>
    <row r="55" spans="1:14">
      <c r="A55" s="1150"/>
      <c r="B55" s="488" t="s">
        <v>277</v>
      </c>
      <c r="C55" s="1048">
        <f>SUM(C51:E54)</f>
        <v>0</v>
      </c>
      <c r="D55" s="993"/>
      <c r="E55" s="1049"/>
      <c r="F55" s="1050"/>
      <c r="G55" s="1051"/>
      <c r="H55" s="1052"/>
      <c r="I55" s="1053"/>
      <c r="J55" s="1053"/>
      <c r="K55" s="1053"/>
      <c r="L55" s="1053"/>
      <c r="M55" s="1054"/>
      <c r="N55" s="1155"/>
    </row>
    <row r="56" spans="1:14">
      <c r="A56" s="1150"/>
      <c r="B56" s="989" t="s">
        <v>285</v>
      </c>
      <c r="C56" s="990"/>
      <c r="D56" s="990"/>
      <c r="E56" s="990"/>
      <c r="F56" s="990"/>
      <c r="G56" s="990"/>
      <c r="H56" s="990"/>
      <c r="I56" s="990"/>
      <c r="J56" s="990"/>
      <c r="K56" s="990"/>
      <c r="L56" s="990"/>
      <c r="M56" s="1055"/>
      <c r="N56" s="1155"/>
    </row>
    <row r="57" spans="1:14">
      <c r="A57" s="1150"/>
      <c r="B57" s="489" t="s">
        <v>286</v>
      </c>
      <c r="C57" s="992">
        <f>'Basic Data'!O6</f>
        <v>0</v>
      </c>
      <c r="D57" s="992"/>
      <c r="E57" s="992"/>
      <c r="F57" s="177" t="s">
        <v>287</v>
      </c>
      <c r="G57" s="178"/>
      <c r="H57" s="1056"/>
      <c r="I57" s="1057"/>
      <c r="J57" s="1057"/>
      <c r="K57" s="177" t="s">
        <v>288</v>
      </c>
      <c r="L57" s="178"/>
      <c r="M57" s="490"/>
      <c r="N57" s="1155"/>
    </row>
    <row r="58" spans="1:14">
      <c r="A58" s="1150"/>
      <c r="B58" s="1039" t="s">
        <v>355</v>
      </c>
      <c r="C58" s="1040"/>
      <c r="D58" s="1040"/>
      <c r="E58" s="179" t="s">
        <v>289</v>
      </c>
      <c r="F58" s="169"/>
      <c r="G58" s="180"/>
      <c r="H58" s="180"/>
      <c r="I58" s="180"/>
      <c r="J58" s="450">
        <f>'Old Regime Calc. Report'!Q68</f>
        <v>24000</v>
      </c>
      <c r="K58" s="181" t="s">
        <v>290</v>
      </c>
      <c r="L58" s="180"/>
      <c r="M58" s="491"/>
      <c r="N58" s="1155"/>
    </row>
    <row r="59" spans="1:14">
      <c r="A59" s="1150"/>
      <c r="B59" s="1041"/>
      <c r="C59" s="1042"/>
      <c r="D59" s="1042"/>
      <c r="E59" s="1042"/>
      <c r="F59" s="1042"/>
      <c r="G59" s="182" t="s">
        <v>291</v>
      </c>
      <c r="H59" s="183"/>
      <c r="I59" s="183"/>
      <c r="J59" s="183"/>
      <c r="K59" s="183"/>
      <c r="L59" s="183"/>
      <c r="M59" s="492"/>
      <c r="N59" s="1155"/>
    </row>
    <row r="60" spans="1:14">
      <c r="A60" s="1150"/>
      <c r="B60" s="977" t="s">
        <v>292</v>
      </c>
      <c r="C60" s="978"/>
      <c r="D60" s="978"/>
      <c r="E60" s="978"/>
      <c r="F60" s="978"/>
      <c r="G60" s="978"/>
      <c r="H60" s="978"/>
      <c r="I60" s="978"/>
      <c r="J60" s="978"/>
      <c r="K60" s="978"/>
      <c r="L60" s="978"/>
      <c r="M60" s="979"/>
      <c r="N60" s="1155"/>
    </row>
    <row r="61" spans="1:14">
      <c r="A61" s="1150"/>
      <c r="B61" s="1043"/>
      <c r="C61" s="1044"/>
      <c r="D61" s="1044"/>
      <c r="E61" s="1044"/>
      <c r="F61" s="1044"/>
      <c r="G61" s="1044"/>
      <c r="H61" s="1044"/>
      <c r="I61" s="1044"/>
      <c r="J61" s="1044"/>
      <c r="K61" s="1044"/>
      <c r="L61" s="1044"/>
      <c r="M61" s="1045"/>
      <c r="N61" s="1155"/>
    </row>
    <row r="62" spans="1:14">
      <c r="A62" s="1150"/>
      <c r="B62" s="1046" t="s">
        <v>293</v>
      </c>
      <c r="C62" s="1047"/>
      <c r="D62" s="184"/>
      <c r="E62" s="184"/>
      <c r="F62" s="184"/>
      <c r="G62" s="184"/>
      <c r="H62" s="184"/>
      <c r="I62" s="184"/>
      <c r="J62" s="184"/>
      <c r="K62" s="184"/>
      <c r="L62" s="184"/>
      <c r="M62" s="493"/>
      <c r="N62" s="1155"/>
    </row>
    <row r="63" spans="1:14">
      <c r="A63" s="1150"/>
      <c r="B63" s="1028" t="s">
        <v>294</v>
      </c>
      <c r="C63" s="1029"/>
      <c r="D63" s="1029"/>
      <c r="E63" s="1029"/>
      <c r="F63" s="1029"/>
      <c r="G63" s="1029"/>
      <c r="H63" s="1029"/>
      <c r="I63" s="1029"/>
      <c r="J63" s="1029"/>
      <c r="K63" s="1029"/>
      <c r="L63" s="1029"/>
      <c r="M63" s="1030"/>
      <c r="N63" s="1155"/>
    </row>
    <row r="64" spans="1:14">
      <c r="A64" s="1150"/>
      <c r="B64" s="1028" t="s">
        <v>295</v>
      </c>
      <c r="C64" s="1029"/>
      <c r="D64" s="1029"/>
      <c r="E64" s="1029"/>
      <c r="F64" s="1029"/>
      <c r="G64" s="1029"/>
      <c r="H64" s="1029"/>
      <c r="I64" s="1029"/>
      <c r="J64" s="1029"/>
      <c r="K64" s="1029"/>
      <c r="L64" s="1029"/>
      <c r="M64" s="1030"/>
      <c r="N64" s="1155"/>
    </row>
    <row r="65" spans="1:14">
      <c r="A65" s="1150"/>
      <c r="B65" s="1028" t="s">
        <v>296</v>
      </c>
      <c r="C65" s="1029"/>
      <c r="D65" s="1029"/>
      <c r="E65" s="1029"/>
      <c r="F65" s="1029"/>
      <c r="G65" s="1029"/>
      <c r="H65" s="1029"/>
      <c r="I65" s="1029"/>
      <c r="J65" s="1029"/>
      <c r="K65" s="1029"/>
      <c r="L65" s="1029"/>
      <c r="M65" s="1030"/>
      <c r="N65" s="1155"/>
    </row>
    <row r="66" spans="1:14">
      <c r="A66" s="1150"/>
      <c r="B66" s="1028" t="s">
        <v>297</v>
      </c>
      <c r="C66" s="1029"/>
      <c r="D66" s="1029"/>
      <c r="E66" s="1029"/>
      <c r="F66" s="1029"/>
      <c r="G66" s="1029"/>
      <c r="H66" s="1029"/>
      <c r="I66" s="1029"/>
      <c r="J66" s="1029"/>
      <c r="K66" s="1029"/>
      <c r="L66" s="1029"/>
      <c r="M66" s="1030"/>
      <c r="N66" s="1155"/>
    </row>
    <row r="67" spans="1:14">
      <c r="A67" s="1150"/>
      <c r="B67" s="1028" t="s">
        <v>298</v>
      </c>
      <c r="C67" s="1029"/>
      <c r="D67" s="1029"/>
      <c r="E67" s="1029"/>
      <c r="F67" s="1029"/>
      <c r="G67" s="1029"/>
      <c r="H67" s="1029"/>
      <c r="I67" s="437"/>
      <c r="J67" s="437"/>
      <c r="K67" s="437"/>
      <c r="L67" s="437"/>
      <c r="M67" s="494"/>
      <c r="N67" s="1155"/>
    </row>
    <row r="68" spans="1:14">
      <c r="A68" s="1150"/>
      <c r="B68" s="1028" t="s">
        <v>299</v>
      </c>
      <c r="C68" s="1029"/>
      <c r="D68" s="1029"/>
      <c r="E68" s="1029"/>
      <c r="F68" s="1029"/>
      <c r="G68" s="1029"/>
      <c r="H68" s="1029"/>
      <c r="I68" s="1029"/>
      <c r="J68" s="1029"/>
      <c r="K68" s="1029"/>
      <c r="L68" s="1029"/>
      <c r="M68" s="1030"/>
      <c r="N68" s="1155"/>
    </row>
    <row r="69" spans="1:14">
      <c r="A69" s="1150"/>
      <c r="B69" s="1028" t="s">
        <v>300</v>
      </c>
      <c r="C69" s="1029"/>
      <c r="D69" s="1029"/>
      <c r="E69" s="1029"/>
      <c r="F69" s="1029"/>
      <c r="G69" s="1029"/>
      <c r="H69" s="1029"/>
      <c r="I69" s="1029"/>
      <c r="J69" s="1029"/>
      <c r="K69" s="1029"/>
      <c r="L69" s="1029"/>
      <c r="M69" s="1030"/>
      <c r="N69" s="1155"/>
    </row>
    <row r="70" spans="1:14">
      <c r="A70" s="1150"/>
      <c r="B70" s="1028" t="s">
        <v>301</v>
      </c>
      <c r="C70" s="1029"/>
      <c r="D70" s="1029"/>
      <c r="E70" s="1029"/>
      <c r="F70" s="1029"/>
      <c r="G70" s="1029"/>
      <c r="H70" s="1029"/>
      <c r="I70" s="1029"/>
      <c r="J70" s="1029"/>
      <c r="K70" s="1029"/>
      <c r="L70" s="1029"/>
      <c r="M70" s="1030"/>
      <c r="N70" s="1155"/>
    </row>
    <row r="71" spans="1:14">
      <c r="A71" s="1150"/>
      <c r="B71" s="1028" t="s">
        <v>302</v>
      </c>
      <c r="C71" s="1029"/>
      <c r="D71" s="1029"/>
      <c r="E71" s="1029"/>
      <c r="F71" s="1029"/>
      <c r="G71" s="1029"/>
      <c r="H71" s="1029"/>
      <c r="I71" s="1029"/>
      <c r="J71" s="1029"/>
      <c r="K71" s="1029"/>
      <c r="L71" s="1029"/>
      <c r="M71" s="1030"/>
      <c r="N71" s="1155"/>
    </row>
    <row r="72" spans="1:14">
      <c r="A72" s="1150"/>
      <c r="B72" s="977" t="s">
        <v>303</v>
      </c>
      <c r="C72" s="978"/>
      <c r="D72" s="978"/>
      <c r="E72" s="978"/>
      <c r="F72" s="978"/>
      <c r="G72" s="978"/>
      <c r="H72" s="978"/>
      <c r="I72" s="978"/>
      <c r="J72" s="978"/>
      <c r="K72" s="978"/>
      <c r="L72" s="978"/>
      <c r="M72" s="979"/>
      <c r="N72" s="1155"/>
    </row>
    <row r="73" spans="1:14">
      <c r="A73" s="1150"/>
      <c r="B73" s="977" t="s">
        <v>304</v>
      </c>
      <c r="C73" s="978"/>
      <c r="D73" s="978"/>
      <c r="E73" s="978"/>
      <c r="F73" s="978"/>
      <c r="G73" s="169"/>
      <c r="H73" s="169"/>
      <c r="I73" s="169"/>
      <c r="J73" s="169"/>
      <c r="K73" s="169"/>
      <c r="L73" s="169"/>
      <c r="M73" s="495"/>
      <c r="N73" s="1155"/>
    </row>
    <row r="74" spans="1:14">
      <c r="A74" s="1150"/>
      <c r="B74" s="496" t="s">
        <v>305</v>
      </c>
      <c r="C74" s="169"/>
      <c r="D74" s="169"/>
      <c r="E74" s="169"/>
      <c r="F74" s="169"/>
      <c r="G74" s="437"/>
      <c r="H74" s="437"/>
      <c r="I74" s="437"/>
      <c r="J74" s="437"/>
      <c r="K74" s="437"/>
      <c r="L74" s="437"/>
      <c r="M74" s="494"/>
      <c r="N74" s="1155"/>
    </row>
    <row r="75" spans="1:14" ht="6.75" customHeight="1" thickBot="1">
      <c r="A75" s="1150"/>
      <c r="B75" s="534"/>
      <c r="C75" s="535"/>
      <c r="D75" s="535"/>
      <c r="E75" s="535"/>
      <c r="F75" s="535"/>
      <c r="G75" s="535"/>
      <c r="H75" s="535"/>
      <c r="I75" s="535"/>
      <c r="J75" s="535"/>
      <c r="K75" s="535"/>
      <c r="L75" s="535"/>
      <c r="M75" s="536"/>
      <c r="N75" s="1155"/>
    </row>
    <row r="76" spans="1:14">
      <c r="A76" s="1150"/>
      <c r="B76" s="1031" t="s">
        <v>306</v>
      </c>
      <c r="C76" s="1032"/>
      <c r="D76" s="1032"/>
      <c r="E76" s="1032"/>
      <c r="F76" s="1032"/>
      <c r="G76" s="1032"/>
      <c r="H76" s="1032"/>
      <c r="I76" s="1032"/>
      <c r="J76" s="1032"/>
      <c r="K76" s="1032"/>
      <c r="L76" s="1032"/>
      <c r="M76" s="1033"/>
      <c r="N76" s="1155"/>
    </row>
    <row r="77" spans="1:14" ht="15.75">
      <c r="A77" s="1150"/>
      <c r="B77" s="1034" t="s">
        <v>307</v>
      </c>
      <c r="C77" s="1035"/>
      <c r="D77" s="1035"/>
      <c r="E77" s="1035"/>
      <c r="F77" s="1035"/>
      <c r="G77" s="1035"/>
      <c r="H77" s="1035"/>
      <c r="I77" s="1035"/>
      <c r="J77" s="1035"/>
      <c r="K77" s="1035"/>
      <c r="L77" s="1035"/>
      <c r="M77" s="1036"/>
      <c r="N77" s="1155"/>
    </row>
    <row r="78" spans="1:14">
      <c r="A78" s="1150"/>
      <c r="B78" s="497" t="s">
        <v>308</v>
      </c>
      <c r="C78" s="185"/>
      <c r="D78" s="186"/>
      <c r="E78" s="186"/>
      <c r="F78" s="186"/>
      <c r="G78" s="186"/>
      <c r="H78" s="186"/>
      <c r="I78" s="186"/>
      <c r="J78" s="187"/>
      <c r="K78" s="188"/>
      <c r="L78" s="189"/>
      <c r="M78" s="498"/>
      <c r="N78" s="1155"/>
    </row>
    <row r="79" spans="1:14">
      <c r="A79" s="1150"/>
      <c r="B79" s="499"/>
      <c r="C79" s="190" t="s">
        <v>309</v>
      </c>
      <c r="D79" s="190"/>
      <c r="E79" s="190"/>
      <c r="F79" s="190"/>
      <c r="G79" s="190"/>
      <c r="H79" s="186"/>
      <c r="I79" s="186"/>
      <c r="J79" s="191">
        <f>'Old Regime Calc. Report'!Q4</f>
        <v>1381266</v>
      </c>
      <c r="K79" s="187"/>
      <c r="L79" s="189"/>
      <c r="M79" s="498"/>
      <c r="N79" s="1155"/>
    </row>
    <row r="80" spans="1:14">
      <c r="A80" s="1150"/>
      <c r="B80" s="499"/>
      <c r="C80" s="190" t="s">
        <v>310</v>
      </c>
      <c r="D80" s="190"/>
      <c r="E80" s="190"/>
      <c r="F80" s="190"/>
      <c r="G80" s="190"/>
      <c r="H80" s="186"/>
      <c r="I80" s="186"/>
      <c r="J80" s="191"/>
      <c r="K80" s="187"/>
      <c r="L80" s="189"/>
      <c r="M80" s="498"/>
      <c r="N80" s="1155"/>
    </row>
    <row r="81" spans="1:18">
      <c r="A81" s="1150"/>
      <c r="B81" s="499"/>
      <c r="C81" s="190" t="s">
        <v>311</v>
      </c>
      <c r="D81" s="190"/>
      <c r="E81" s="190"/>
      <c r="F81" s="190"/>
      <c r="G81" s="190"/>
      <c r="H81" s="186"/>
      <c r="I81" s="186"/>
      <c r="J81" s="187"/>
      <c r="K81" s="187"/>
      <c r="L81" s="189"/>
      <c r="M81" s="498"/>
      <c r="N81" s="1155"/>
    </row>
    <row r="82" spans="1:18">
      <c r="A82" s="1150"/>
      <c r="B82" s="499"/>
      <c r="C82" s="190" t="s">
        <v>312</v>
      </c>
      <c r="D82" s="190"/>
      <c r="E82" s="190"/>
      <c r="F82" s="190"/>
      <c r="G82" s="190"/>
      <c r="H82" s="186"/>
      <c r="I82" s="186"/>
      <c r="J82" s="191"/>
      <c r="K82" s="187"/>
      <c r="L82" s="189"/>
      <c r="M82" s="498"/>
      <c r="N82" s="1155"/>
    </row>
    <row r="83" spans="1:18">
      <c r="A83" s="1150"/>
      <c r="B83" s="499"/>
      <c r="C83" s="190" t="s">
        <v>311</v>
      </c>
      <c r="D83" s="190"/>
      <c r="E83" s="190"/>
      <c r="F83" s="190"/>
      <c r="G83" s="190"/>
      <c r="H83" s="186"/>
      <c r="I83" s="186"/>
      <c r="J83" s="187"/>
      <c r="K83" s="187"/>
      <c r="L83" s="189"/>
      <c r="M83" s="498"/>
      <c r="N83" s="1155"/>
    </row>
    <row r="84" spans="1:18">
      <c r="A84" s="1150"/>
      <c r="B84" s="497"/>
      <c r="C84" s="192" t="s">
        <v>313</v>
      </c>
      <c r="D84" s="192"/>
      <c r="E84" s="192"/>
      <c r="F84" s="192"/>
      <c r="G84" s="192"/>
      <c r="H84" s="193"/>
      <c r="I84" s="193"/>
      <c r="J84" s="194"/>
      <c r="K84" s="1037">
        <f>+J83+J81+J79</f>
        <v>1381266</v>
      </c>
      <c r="L84" s="1038"/>
      <c r="M84" s="498"/>
      <c r="N84" s="1155"/>
    </row>
    <row r="85" spans="1:18" hidden="1">
      <c r="A85" s="1150"/>
      <c r="B85" s="499"/>
      <c r="C85" s="186"/>
      <c r="D85" s="186"/>
      <c r="E85" s="186"/>
      <c r="F85" s="186"/>
      <c r="G85" s="186"/>
      <c r="H85" s="186"/>
      <c r="I85" s="186"/>
      <c r="J85" s="187"/>
      <c r="K85" s="187"/>
      <c r="L85" s="189"/>
      <c r="M85" s="498"/>
      <c r="N85" s="1155"/>
    </row>
    <row r="86" spans="1:18">
      <c r="A86" s="1150"/>
      <c r="B86" s="497" t="s">
        <v>314</v>
      </c>
      <c r="C86" s="186"/>
      <c r="D86" s="186"/>
      <c r="E86" s="186"/>
      <c r="F86" s="186"/>
      <c r="G86" s="186"/>
      <c r="H86" s="186"/>
      <c r="I86" s="186"/>
      <c r="J86" s="187"/>
      <c r="K86" s="187"/>
      <c r="L86" s="189"/>
      <c r="M86" s="498"/>
      <c r="N86" s="1155"/>
    </row>
    <row r="87" spans="1:18">
      <c r="A87" s="1150"/>
      <c r="B87" s="1021" t="s">
        <v>356</v>
      </c>
      <c r="C87" s="1022"/>
      <c r="D87" s="1022"/>
      <c r="E87" s="1022"/>
      <c r="F87" s="1022"/>
      <c r="G87" s="1022"/>
      <c r="H87" s="1022"/>
      <c r="I87" s="440"/>
      <c r="J87" s="191">
        <f>'Old Regime Calc. Report'!Q5</f>
        <v>0</v>
      </c>
      <c r="K87" s="187"/>
      <c r="L87" s="189"/>
      <c r="M87" s="498"/>
      <c r="N87" s="1155"/>
    </row>
    <row r="88" spans="1:18">
      <c r="A88" s="1150"/>
      <c r="B88" s="1021" t="s">
        <v>315</v>
      </c>
      <c r="C88" s="1022"/>
      <c r="D88" s="1022"/>
      <c r="E88" s="1022"/>
      <c r="F88" s="1022"/>
      <c r="G88" s="1022"/>
      <c r="H88" s="1022"/>
      <c r="I88" s="440"/>
      <c r="J88" s="195"/>
      <c r="K88" s="187"/>
      <c r="L88" s="189"/>
      <c r="M88" s="498"/>
      <c r="N88" s="1155"/>
    </row>
    <row r="89" spans="1:18">
      <c r="A89" s="1150"/>
      <c r="B89" s="500" t="s">
        <v>316</v>
      </c>
      <c r="C89" s="196"/>
      <c r="D89" s="196"/>
      <c r="E89" s="196"/>
      <c r="F89" s="196"/>
      <c r="G89" s="196"/>
      <c r="H89" s="196"/>
      <c r="I89" s="196"/>
      <c r="J89" s="197"/>
      <c r="K89" s="1023">
        <f>+K84-J86-J87-J88</f>
        <v>1381266</v>
      </c>
      <c r="L89" s="1024"/>
      <c r="M89" s="498"/>
      <c r="N89" s="1155"/>
    </row>
    <row r="90" spans="1:18" hidden="1">
      <c r="A90" s="1150"/>
      <c r="B90" s="499"/>
      <c r="C90" s="186"/>
      <c r="D90" s="186"/>
      <c r="E90" s="186"/>
      <c r="F90" s="186"/>
      <c r="G90" s="186"/>
      <c r="H90" s="186"/>
      <c r="I90" s="186"/>
      <c r="J90" s="187"/>
      <c r="K90" s="187"/>
      <c r="L90" s="189"/>
      <c r="M90" s="498"/>
      <c r="N90" s="1155"/>
    </row>
    <row r="91" spans="1:18">
      <c r="A91" s="1150"/>
      <c r="B91" s="497" t="s">
        <v>317</v>
      </c>
      <c r="C91" s="186"/>
      <c r="D91" s="186"/>
      <c r="E91" s="186"/>
      <c r="F91" s="186"/>
      <c r="G91" s="186"/>
      <c r="H91" s="186"/>
      <c r="I91" s="186"/>
      <c r="J91" s="187"/>
      <c r="K91" s="187"/>
      <c r="L91" s="189"/>
      <c r="M91" s="498"/>
      <c r="N91" s="1155"/>
      <c r="R91" s="198">
        <f>IF('Old Regime Calc. Report'!X16="New tax regime",0,'Old Regime Calc. Report'!Q9)</f>
        <v>50000</v>
      </c>
    </row>
    <row r="92" spans="1:18">
      <c r="A92" s="1150"/>
      <c r="B92" s="499"/>
      <c r="C92" s="190" t="s">
        <v>318</v>
      </c>
      <c r="D92" s="190"/>
      <c r="E92" s="190"/>
      <c r="F92" s="190"/>
      <c r="G92" s="190" t="s">
        <v>127</v>
      </c>
      <c r="H92" s="199">
        <f>'Old Regime Calc. Report'!M9</f>
        <v>50000</v>
      </c>
      <c r="I92" s="200"/>
      <c r="J92" s="187"/>
      <c r="K92" s="187"/>
      <c r="L92" s="189"/>
      <c r="M92" s="498"/>
      <c r="N92" s="1155"/>
      <c r="R92" s="198">
        <f>IF('Old Regime Calc. Report'!X16="New tax regime",0,'Old Regime Calc. Report'!M7+'Old Regime Calc. Report'!M8)</f>
        <v>0</v>
      </c>
    </row>
    <row r="93" spans="1:18">
      <c r="A93" s="1150"/>
      <c r="B93" s="499"/>
      <c r="C93" s="190" t="s">
        <v>319</v>
      </c>
      <c r="D93" s="190"/>
      <c r="E93" s="190"/>
      <c r="F93" s="190"/>
      <c r="G93" s="190" t="s">
        <v>127</v>
      </c>
      <c r="H93" s="201">
        <f>'Old Regime Calc. Report'!M7</f>
        <v>0</v>
      </c>
      <c r="I93" s="190"/>
      <c r="J93" s="187"/>
      <c r="K93" s="187"/>
      <c r="L93" s="189"/>
      <c r="M93" s="498"/>
      <c r="N93" s="1155"/>
    </row>
    <row r="94" spans="1:18">
      <c r="A94" s="1150"/>
      <c r="B94" s="499"/>
      <c r="C94" s="190" t="s">
        <v>320</v>
      </c>
      <c r="D94" s="190"/>
      <c r="E94" s="190"/>
      <c r="F94" s="190"/>
      <c r="G94" s="190" t="s">
        <v>127</v>
      </c>
      <c r="H94" s="190">
        <f>'Old Regime Calc. Report'!M8</f>
        <v>0</v>
      </c>
      <c r="I94" s="190"/>
      <c r="J94" s="187"/>
      <c r="K94" s="187"/>
      <c r="L94" s="189"/>
      <c r="M94" s="498"/>
      <c r="N94" s="1155"/>
    </row>
    <row r="95" spans="1:18">
      <c r="A95" s="1150"/>
      <c r="B95" s="497" t="s">
        <v>321</v>
      </c>
      <c r="C95" s="186"/>
      <c r="D95" s="186"/>
      <c r="E95" s="186"/>
      <c r="F95" s="186"/>
      <c r="G95" s="186"/>
      <c r="H95" s="186"/>
      <c r="I95" s="186"/>
      <c r="J95" s="202">
        <f>+H92+H93+H94</f>
        <v>50000</v>
      </c>
      <c r="K95" s="187"/>
      <c r="L95" s="189"/>
      <c r="M95" s="498"/>
      <c r="N95" s="1155"/>
    </row>
    <row r="96" spans="1:18" hidden="1">
      <c r="A96" s="1150"/>
      <c r="B96" s="499"/>
      <c r="C96" s="186"/>
      <c r="D96" s="186"/>
      <c r="E96" s="186"/>
      <c r="F96" s="186"/>
      <c r="G96" s="186"/>
      <c r="H96" s="186"/>
      <c r="I96" s="186"/>
      <c r="J96" s="187"/>
      <c r="K96" s="187"/>
      <c r="L96" s="189"/>
      <c r="M96" s="498"/>
      <c r="N96" s="1155"/>
    </row>
    <row r="97" spans="1:14">
      <c r="A97" s="1150"/>
      <c r="B97" s="497" t="s">
        <v>322</v>
      </c>
      <c r="C97" s="193"/>
      <c r="D97" s="193"/>
      <c r="E97" s="193"/>
      <c r="F97" s="193"/>
      <c r="G97" s="193"/>
      <c r="H97" s="193"/>
      <c r="I97" s="193"/>
      <c r="J97" s="194"/>
      <c r="K97" s="194"/>
      <c r="L97" s="203"/>
      <c r="M97" s="501">
        <f>IF(AND((K89&gt;50000)),(K89-J95),0)</f>
        <v>1331266</v>
      </c>
      <c r="N97" s="1155"/>
    </row>
    <row r="98" spans="1:14" hidden="1">
      <c r="A98" s="1150"/>
      <c r="B98" s="497"/>
      <c r="C98" s="186"/>
      <c r="D98" s="186"/>
      <c r="E98" s="186"/>
      <c r="F98" s="186"/>
      <c r="G98" s="186"/>
      <c r="H98" s="186"/>
      <c r="I98" s="186"/>
      <c r="J98" s="187"/>
      <c r="K98" s="187"/>
      <c r="L98" s="189"/>
      <c r="M98" s="502"/>
      <c r="N98" s="1155"/>
    </row>
    <row r="99" spans="1:14">
      <c r="A99" s="1150"/>
      <c r="B99" s="497" t="s">
        <v>323</v>
      </c>
      <c r="C99" s="186"/>
      <c r="D99" s="186"/>
      <c r="E99" s="186"/>
      <c r="F99" s="186"/>
      <c r="G99" s="186"/>
      <c r="H99" s="186"/>
      <c r="I99" s="186"/>
      <c r="J99" s="187"/>
      <c r="K99" s="187"/>
      <c r="L99" s="189"/>
      <c r="M99" s="503">
        <f>'Old Regime Calc. Report'!M11</f>
        <v>0</v>
      </c>
      <c r="N99" s="1155"/>
    </row>
    <row r="100" spans="1:14">
      <c r="A100" s="1150"/>
      <c r="B100" s="497"/>
      <c r="C100" s="186" t="s">
        <v>324</v>
      </c>
      <c r="D100" s="186"/>
      <c r="E100" s="186"/>
      <c r="F100" s="186"/>
      <c r="G100" s="186"/>
      <c r="H100" s="186"/>
      <c r="I100" s="186"/>
      <c r="J100" s="187"/>
      <c r="K100" s="187"/>
      <c r="L100" s="189"/>
      <c r="M100" s="503">
        <f>'Old Regime Calc. Report'!M13</f>
        <v>0</v>
      </c>
      <c r="N100" s="1155"/>
    </row>
    <row r="101" spans="1:14" hidden="1">
      <c r="A101" s="1150"/>
      <c r="B101" s="497"/>
      <c r="C101" s="186"/>
      <c r="D101" s="186"/>
      <c r="E101" s="186"/>
      <c r="F101" s="186"/>
      <c r="G101" s="186"/>
      <c r="H101" s="186"/>
      <c r="I101" s="186"/>
      <c r="J101" s="187"/>
      <c r="K101" s="187"/>
      <c r="L101" s="189"/>
      <c r="M101" s="502"/>
      <c r="N101" s="1155"/>
    </row>
    <row r="102" spans="1:14">
      <c r="A102" s="1150"/>
      <c r="B102" s="500" t="s">
        <v>325</v>
      </c>
      <c r="C102" s="196"/>
      <c r="D102" s="196"/>
      <c r="E102" s="196"/>
      <c r="F102" s="196"/>
      <c r="G102" s="196"/>
      <c r="H102" s="196"/>
      <c r="I102" s="196"/>
      <c r="J102" s="197"/>
      <c r="K102" s="204"/>
      <c r="L102" s="205"/>
      <c r="M102" s="504">
        <f>+M97+M99-M100</f>
        <v>1331266</v>
      </c>
      <c r="N102" s="1155"/>
    </row>
    <row r="103" spans="1:14" hidden="1">
      <c r="A103" s="1150"/>
      <c r="B103" s="505"/>
      <c r="C103" s="206"/>
      <c r="D103" s="206"/>
      <c r="E103" s="206"/>
      <c r="F103" s="206"/>
      <c r="G103" s="206"/>
      <c r="H103" s="207"/>
      <c r="I103" s="208"/>
      <c r="J103" s="206"/>
      <c r="K103" s="189"/>
      <c r="L103" s="186"/>
      <c r="M103" s="506"/>
      <c r="N103" s="1155"/>
    </row>
    <row r="104" spans="1:14">
      <c r="A104" s="1150"/>
      <c r="B104" s="1025" t="s">
        <v>326</v>
      </c>
      <c r="C104" s="1026"/>
      <c r="D104" s="1026"/>
      <c r="E104" s="1026"/>
      <c r="F104" s="186"/>
      <c r="G104" s="189"/>
      <c r="H104" s="187"/>
      <c r="I104" s="189"/>
      <c r="J104" s="186"/>
      <c r="K104" s="189"/>
      <c r="L104" s="186"/>
      <c r="M104" s="506"/>
      <c r="N104" s="1155"/>
    </row>
    <row r="105" spans="1:14">
      <c r="A105" s="1150"/>
      <c r="B105" s="507" t="s">
        <v>327</v>
      </c>
      <c r="C105" s="440" t="s">
        <v>328</v>
      </c>
      <c r="D105" s="440"/>
      <c r="E105" s="186"/>
      <c r="F105" s="186"/>
      <c r="G105" s="203"/>
      <c r="H105" s="194" t="s">
        <v>329</v>
      </c>
      <c r="I105" s="193"/>
      <c r="J105" s="985" t="s">
        <v>330</v>
      </c>
      <c r="K105" s="986"/>
      <c r="L105" s="194" t="s">
        <v>331</v>
      </c>
      <c r="M105" s="508" t="s">
        <v>332</v>
      </c>
      <c r="N105" s="1155"/>
    </row>
    <row r="106" spans="1:14">
      <c r="A106" s="1150"/>
      <c r="B106" s="509" t="s">
        <v>333</v>
      </c>
      <c r="C106" s="186" t="s">
        <v>357</v>
      </c>
      <c r="D106" s="186"/>
      <c r="E106" s="186"/>
      <c r="F106" s="186"/>
      <c r="G106" s="189"/>
      <c r="H106" s="1001"/>
      <c r="I106" s="1027"/>
      <c r="J106" s="1001"/>
      <c r="K106" s="1027"/>
      <c r="L106" s="1001"/>
      <c r="M106" s="1002"/>
      <c r="N106" s="1155"/>
    </row>
    <row r="107" spans="1:14">
      <c r="A107" s="1150"/>
      <c r="B107" s="510">
        <v>1</v>
      </c>
      <c r="C107" s="186" t="s">
        <v>92</v>
      </c>
      <c r="D107" s="1020" t="str">
        <f t="shared" ref="D107:D112" si="1">IFERROR(VLOOKUP(B107,$Q$133:$S$151,2,0),"--")</f>
        <v>राज्य बीमा (SI)</v>
      </c>
      <c r="E107" s="1020"/>
      <c r="F107" s="1020"/>
      <c r="G107" s="189" t="s">
        <v>127</v>
      </c>
      <c r="H107" s="1007">
        <f t="shared" ref="H107:H112" si="2">IFERROR(VLOOKUP(B107,$Q$133:$S$151,3,0),"0")</f>
        <v>60000</v>
      </c>
      <c r="I107" s="1008"/>
      <c r="J107" s="1007">
        <f t="shared" ref="J107:J112" si="3">+H107</f>
        <v>60000</v>
      </c>
      <c r="K107" s="1008"/>
      <c r="L107" s="1007">
        <f t="shared" ref="L107:L112" si="4">J107</f>
        <v>60000</v>
      </c>
      <c r="M107" s="1009"/>
      <c r="N107" s="1155"/>
    </row>
    <row r="108" spans="1:14">
      <c r="A108" s="1150"/>
      <c r="B108" s="510">
        <v>2</v>
      </c>
      <c r="C108" s="186" t="s">
        <v>94</v>
      </c>
      <c r="D108" s="1020" t="str">
        <f t="shared" si="1"/>
        <v>GPF/GPF 2004</v>
      </c>
      <c r="E108" s="1020"/>
      <c r="F108" s="1020"/>
      <c r="G108" s="189" t="s">
        <v>127</v>
      </c>
      <c r="H108" s="1007">
        <f t="shared" si="2"/>
        <v>50006</v>
      </c>
      <c r="I108" s="1008"/>
      <c r="J108" s="1007">
        <f t="shared" si="3"/>
        <v>50006</v>
      </c>
      <c r="K108" s="1008"/>
      <c r="L108" s="1007">
        <f t="shared" si="4"/>
        <v>50006</v>
      </c>
      <c r="M108" s="1009"/>
      <c r="N108" s="1155"/>
    </row>
    <row r="109" spans="1:14">
      <c r="A109" s="1150"/>
      <c r="B109" s="510">
        <v>3</v>
      </c>
      <c r="C109" s="186" t="s">
        <v>96</v>
      </c>
      <c r="D109" s="1020" t="str">
        <f t="shared" si="1"/>
        <v>सामूहिक दुर्घटना बीमा (GIS)</v>
      </c>
      <c r="E109" s="1020"/>
      <c r="F109" s="1020"/>
      <c r="G109" s="189" t="s">
        <v>127</v>
      </c>
      <c r="H109" s="1007">
        <f t="shared" si="2"/>
        <v>1400</v>
      </c>
      <c r="I109" s="1008"/>
      <c r="J109" s="1007">
        <f t="shared" si="3"/>
        <v>1400</v>
      </c>
      <c r="K109" s="1008"/>
      <c r="L109" s="1007">
        <f t="shared" si="4"/>
        <v>1400</v>
      </c>
      <c r="M109" s="1009"/>
      <c r="N109" s="1155"/>
    </row>
    <row r="110" spans="1:14">
      <c r="A110" s="1150"/>
      <c r="B110" s="510">
        <v>4</v>
      </c>
      <c r="C110" s="186" t="s">
        <v>98</v>
      </c>
      <c r="D110" s="1020" t="str">
        <f t="shared" si="1"/>
        <v>--</v>
      </c>
      <c r="E110" s="1020"/>
      <c r="F110" s="1020"/>
      <c r="G110" s="189" t="s">
        <v>127</v>
      </c>
      <c r="H110" s="1007" t="str">
        <f t="shared" si="2"/>
        <v>0</v>
      </c>
      <c r="I110" s="1008"/>
      <c r="J110" s="1007" t="str">
        <f t="shared" si="3"/>
        <v>0</v>
      </c>
      <c r="K110" s="1008"/>
      <c r="L110" s="1007" t="str">
        <f t="shared" si="4"/>
        <v>0</v>
      </c>
      <c r="M110" s="1009"/>
      <c r="N110" s="1155"/>
    </row>
    <row r="111" spans="1:14">
      <c r="A111" s="1150"/>
      <c r="B111" s="510">
        <v>5</v>
      </c>
      <c r="C111" s="186" t="s">
        <v>100</v>
      </c>
      <c r="D111" s="1020" t="str">
        <f t="shared" si="1"/>
        <v>--</v>
      </c>
      <c r="E111" s="1020"/>
      <c r="F111" s="1020"/>
      <c r="G111" s="189" t="s">
        <v>127</v>
      </c>
      <c r="H111" s="1007" t="str">
        <f t="shared" si="2"/>
        <v>0</v>
      </c>
      <c r="I111" s="1008"/>
      <c r="J111" s="1007" t="str">
        <f t="shared" si="3"/>
        <v>0</v>
      </c>
      <c r="K111" s="1008"/>
      <c r="L111" s="1007" t="str">
        <f t="shared" si="4"/>
        <v>0</v>
      </c>
      <c r="M111" s="1009"/>
      <c r="N111" s="1155"/>
    </row>
    <row r="112" spans="1:14">
      <c r="A112" s="1150"/>
      <c r="B112" s="510">
        <v>6</v>
      </c>
      <c r="C112" s="186" t="s">
        <v>102</v>
      </c>
      <c r="D112" s="1020" t="str">
        <f t="shared" si="1"/>
        <v>--</v>
      </c>
      <c r="E112" s="1020"/>
      <c r="F112" s="1020"/>
      <c r="G112" s="189" t="s">
        <v>127</v>
      </c>
      <c r="H112" s="1007" t="str">
        <f t="shared" si="2"/>
        <v>0</v>
      </c>
      <c r="I112" s="1008"/>
      <c r="J112" s="1007" t="str">
        <f t="shared" si="3"/>
        <v>0</v>
      </c>
      <c r="K112" s="1008"/>
      <c r="L112" s="1007" t="str">
        <f t="shared" si="4"/>
        <v>0</v>
      </c>
      <c r="M112" s="1009"/>
      <c r="N112" s="1155"/>
    </row>
    <row r="113" spans="1:14" ht="23.25" customHeight="1">
      <c r="A113" s="1150"/>
      <c r="B113" s="1014" t="s">
        <v>368</v>
      </c>
      <c r="C113" s="1015"/>
      <c r="D113" s="1015"/>
      <c r="E113" s="1015"/>
      <c r="F113" s="1015"/>
      <c r="G113" s="1016"/>
      <c r="H113" s="438"/>
      <c r="I113" s="439"/>
      <c r="J113" s="435"/>
      <c r="K113" s="439"/>
      <c r="L113" s="209"/>
      <c r="M113" s="511">
        <f>IF(SUM(L107:M112)&gt;150000,150000,SUM(L107:M112))</f>
        <v>111406</v>
      </c>
      <c r="N113" s="1155"/>
    </row>
    <row r="114" spans="1:14" hidden="1">
      <c r="A114" s="1150"/>
      <c r="B114" s="497"/>
      <c r="C114" s="186"/>
      <c r="D114" s="186"/>
      <c r="E114" s="186"/>
      <c r="F114" s="186"/>
      <c r="G114" s="189"/>
      <c r="H114" s="438"/>
      <c r="I114" s="439"/>
      <c r="J114" s="435"/>
      <c r="K114" s="439"/>
      <c r="L114" s="209"/>
      <c r="M114" s="512"/>
      <c r="N114" s="1155"/>
    </row>
    <row r="115" spans="1:14" hidden="1">
      <c r="A115" s="1150"/>
      <c r="B115" s="497"/>
      <c r="C115" s="186"/>
      <c r="D115" s="186"/>
      <c r="E115" s="186"/>
      <c r="F115" s="186"/>
      <c r="G115" s="189"/>
      <c r="H115" s="438"/>
      <c r="I115" s="439"/>
      <c r="J115" s="435"/>
      <c r="K115" s="439"/>
      <c r="L115" s="209"/>
      <c r="M115" s="512"/>
      <c r="N115" s="1155"/>
    </row>
    <row r="116" spans="1:14">
      <c r="A116" s="1150"/>
      <c r="B116" s="513" t="s">
        <v>334</v>
      </c>
      <c r="C116" s="210" t="s">
        <v>335</v>
      </c>
      <c r="D116" s="210"/>
      <c r="E116" s="210"/>
      <c r="F116" s="210"/>
      <c r="G116" s="211" t="s">
        <v>127</v>
      </c>
      <c r="H116" s="1007">
        <f>'Old Regime Calc. Report'!Q34</f>
        <v>0</v>
      </c>
      <c r="I116" s="1008"/>
      <c r="J116" s="1007">
        <f>+H116</f>
        <v>0</v>
      </c>
      <c r="K116" s="1008"/>
      <c r="L116" s="1017">
        <f>IF(J116&gt;50000,50000,J116)</f>
        <v>0</v>
      </c>
      <c r="M116" s="1018"/>
      <c r="N116" s="1155"/>
    </row>
    <row r="117" spans="1:14">
      <c r="A117" s="1150"/>
      <c r="B117" s="514"/>
      <c r="C117" s="212"/>
      <c r="D117" s="212"/>
      <c r="E117" s="212"/>
      <c r="F117" s="212"/>
      <c r="G117" s="212"/>
      <c r="H117" s="445"/>
      <c r="I117" s="445"/>
      <c r="J117" s="445"/>
      <c r="K117" s="445"/>
      <c r="L117" s="213"/>
      <c r="M117" s="515"/>
      <c r="N117" s="1155"/>
    </row>
    <row r="118" spans="1:14">
      <c r="A118" s="1150"/>
      <c r="B118" s="516" t="s">
        <v>336</v>
      </c>
      <c r="C118" s="186" t="s">
        <v>337</v>
      </c>
      <c r="D118" s="186"/>
      <c r="E118" s="186"/>
      <c r="F118" s="186"/>
      <c r="G118" s="186"/>
      <c r="H118" s="438"/>
      <c r="I118" s="435"/>
      <c r="J118" s="438"/>
      <c r="K118" s="214"/>
      <c r="L118" s="435"/>
      <c r="M118" s="517"/>
      <c r="N118" s="1155"/>
    </row>
    <row r="119" spans="1:14">
      <c r="A119" s="1150"/>
      <c r="B119" s="507"/>
      <c r="C119" s="186"/>
      <c r="D119" s="186"/>
      <c r="E119" s="186"/>
      <c r="F119" s="186"/>
      <c r="G119" s="186"/>
      <c r="H119" s="194" t="s">
        <v>329</v>
      </c>
      <c r="I119" s="193"/>
      <c r="J119" s="985" t="s">
        <v>330</v>
      </c>
      <c r="K119" s="986"/>
      <c r="L119" s="194" t="s">
        <v>331</v>
      </c>
      <c r="M119" s="508" t="s">
        <v>332</v>
      </c>
      <c r="N119" s="1155"/>
    </row>
    <row r="120" spans="1:14" ht="16.5" customHeight="1">
      <c r="A120" s="1150"/>
      <c r="B120" s="518">
        <v>1</v>
      </c>
      <c r="C120" s="186" t="s">
        <v>92</v>
      </c>
      <c r="D120" s="1006" t="str">
        <f>IFERROR(VLOOKUP(B107,$Q$154:$X$161,8,0),"--")</f>
        <v>--</v>
      </c>
      <c r="E120" s="1006"/>
      <c r="F120" s="1006"/>
      <c r="G120" s="186" t="s">
        <v>127</v>
      </c>
      <c r="H120" s="1007" t="str">
        <f>IFERROR(VLOOKUP(B107,$Q$154:$X$161,3,0),"0")</f>
        <v>0</v>
      </c>
      <c r="I120" s="1008"/>
      <c r="J120" s="1007" t="str">
        <f t="shared" ref="J120:J125" si="5">+H120</f>
        <v>0</v>
      </c>
      <c r="K120" s="1008"/>
      <c r="L120" s="1007" t="str">
        <f t="shared" ref="L120:L125" si="6">J120</f>
        <v>0</v>
      </c>
      <c r="M120" s="1009"/>
      <c r="N120" s="1155"/>
    </row>
    <row r="121" spans="1:14" ht="16.5" customHeight="1">
      <c r="A121" s="1150"/>
      <c r="B121" s="518">
        <v>2</v>
      </c>
      <c r="C121" s="186" t="s">
        <v>94</v>
      </c>
      <c r="D121" s="1006" t="str">
        <f t="shared" ref="D121:D125" si="7">IFERROR(VLOOKUP(B108,$Q$154:$X$161,8,0),"--")</f>
        <v>--</v>
      </c>
      <c r="E121" s="1006"/>
      <c r="F121" s="1006"/>
      <c r="G121" s="186" t="s">
        <v>127</v>
      </c>
      <c r="H121" s="1007" t="str">
        <f t="shared" ref="H121:H125" si="8">IFERROR(VLOOKUP(B108,$Q$154:$X$161,3,0),"0")</f>
        <v>0</v>
      </c>
      <c r="I121" s="1008"/>
      <c r="J121" s="1007" t="str">
        <f t="shared" si="5"/>
        <v>0</v>
      </c>
      <c r="K121" s="1008"/>
      <c r="L121" s="1007" t="str">
        <f t="shared" si="6"/>
        <v>0</v>
      </c>
      <c r="M121" s="1009"/>
      <c r="N121" s="1155"/>
    </row>
    <row r="122" spans="1:14" ht="16.5" customHeight="1">
      <c r="A122" s="1150"/>
      <c r="B122" s="518">
        <v>3</v>
      </c>
      <c r="C122" s="186" t="s">
        <v>96</v>
      </c>
      <c r="D122" s="1006" t="str">
        <f t="shared" si="7"/>
        <v>--</v>
      </c>
      <c r="E122" s="1006"/>
      <c r="F122" s="1006"/>
      <c r="G122" s="186" t="s">
        <v>127</v>
      </c>
      <c r="H122" s="1007" t="str">
        <f t="shared" si="8"/>
        <v>0</v>
      </c>
      <c r="I122" s="1008"/>
      <c r="J122" s="1007" t="str">
        <f t="shared" si="5"/>
        <v>0</v>
      </c>
      <c r="K122" s="1008"/>
      <c r="L122" s="1007" t="str">
        <f t="shared" si="6"/>
        <v>0</v>
      </c>
      <c r="M122" s="1009"/>
      <c r="N122" s="1155"/>
    </row>
    <row r="123" spans="1:14" ht="16.5" customHeight="1">
      <c r="A123" s="1150"/>
      <c r="B123" s="518">
        <v>4</v>
      </c>
      <c r="C123" s="186" t="s">
        <v>98</v>
      </c>
      <c r="D123" s="1006" t="str">
        <f t="shared" si="7"/>
        <v>--</v>
      </c>
      <c r="E123" s="1006"/>
      <c r="F123" s="1006"/>
      <c r="G123" s="186" t="s">
        <v>127</v>
      </c>
      <c r="H123" s="1007" t="str">
        <f t="shared" si="8"/>
        <v>0</v>
      </c>
      <c r="I123" s="1008"/>
      <c r="J123" s="1007" t="str">
        <f t="shared" si="5"/>
        <v>0</v>
      </c>
      <c r="K123" s="1008"/>
      <c r="L123" s="1007" t="str">
        <f t="shared" si="6"/>
        <v>0</v>
      </c>
      <c r="M123" s="1009"/>
      <c r="N123" s="1155"/>
    </row>
    <row r="124" spans="1:14" ht="16.5" customHeight="1">
      <c r="A124" s="1150"/>
      <c r="B124" s="518">
        <v>5</v>
      </c>
      <c r="C124" s="186" t="s">
        <v>100</v>
      </c>
      <c r="D124" s="1006" t="str">
        <f t="shared" si="7"/>
        <v>--</v>
      </c>
      <c r="E124" s="1006"/>
      <c r="F124" s="1006"/>
      <c r="G124" s="186" t="s">
        <v>127</v>
      </c>
      <c r="H124" s="1007" t="str">
        <f t="shared" si="8"/>
        <v>0</v>
      </c>
      <c r="I124" s="1008"/>
      <c r="J124" s="1007" t="str">
        <f t="shared" si="5"/>
        <v>0</v>
      </c>
      <c r="K124" s="1008"/>
      <c r="L124" s="1007" t="str">
        <f t="shared" si="6"/>
        <v>0</v>
      </c>
      <c r="M124" s="1009"/>
      <c r="N124" s="1155"/>
    </row>
    <row r="125" spans="1:14" ht="16.5" customHeight="1">
      <c r="A125" s="1150"/>
      <c r="B125" s="518">
        <v>6</v>
      </c>
      <c r="C125" s="186" t="s">
        <v>102</v>
      </c>
      <c r="D125" s="1006" t="str">
        <f t="shared" si="7"/>
        <v>--</v>
      </c>
      <c r="E125" s="1006"/>
      <c r="F125" s="1006"/>
      <c r="G125" s="186" t="s">
        <v>127</v>
      </c>
      <c r="H125" s="1007" t="str">
        <f t="shared" si="8"/>
        <v>0</v>
      </c>
      <c r="I125" s="1008"/>
      <c r="J125" s="1007" t="str">
        <f t="shared" si="5"/>
        <v>0</v>
      </c>
      <c r="K125" s="1008"/>
      <c r="L125" s="1007" t="str">
        <f t="shared" si="6"/>
        <v>0</v>
      </c>
      <c r="M125" s="1009"/>
      <c r="N125" s="1155"/>
    </row>
    <row r="126" spans="1:14">
      <c r="A126" s="1150"/>
      <c r="B126" s="1010" t="s">
        <v>367</v>
      </c>
      <c r="C126" s="1011"/>
      <c r="D126" s="1011"/>
      <c r="E126" s="1011"/>
      <c r="F126" s="1011"/>
      <c r="G126" s="1012"/>
      <c r="H126" s="438"/>
      <c r="I126" s="439"/>
      <c r="J126" s="435"/>
      <c r="K126" s="439"/>
      <c r="L126" s="209"/>
      <c r="M126" s="1013">
        <f>IF(SUM(L120:M125)&gt;150000,150000,SUM(L120:M125))</f>
        <v>0</v>
      </c>
      <c r="N126" s="1155"/>
    </row>
    <row r="127" spans="1:14" hidden="1">
      <c r="A127" s="1150"/>
      <c r="B127" s="1010"/>
      <c r="C127" s="1011"/>
      <c r="D127" s="1011"/>
      <c r="E127" s="1011"/>
      <c r="F127" s="1011"/>
      <c r="G127" s="1012"/>
      <c r="H127" s="438"/>
      <c r="I127" s="439"/>
      <c r="J127" s="435"/>
      <c r="K127" s="439"/>
      <c r="L127" s="209"/>
      <c r="M127" s="1013"/>
      <c r="N127" s="1155"/>
    </row>
    <row r="128" spans="1:14">
      <c r="A128" s="1150"/>
      <c r="B128" s="995" t="s">
        <v>366</v>
      </c>
      <c r="C128" s="996"/>
      <c r="D128" s="996"/>
      <c r="E128" s="996"/>
      <c r="F128" s="996"/>
      <c r="G128" s="997"/>
      <c r="H128" s="998"/>
      <c r="I128" s="997"/>
      <c r="J128" s="998"/>
      <c r="K128" s="997"/>
      <c r="L128" s="999">
        <f>M113+L116+M126</f>
        <v>111406</v>
      </c>
      <c r="M128" s="1000">
        <f>SUM(K106:K113)</f>
        <v>0</v>
      </c>
      <c r="N128" s="1155"/>
    </row>
    <row r="129" spans="1:23">
      <c r="A129" s="1150"/>
      <c r="B129" s="497"/>
      <c r="C129" s="186"/>
      <c r="D129" s="186"/>
      <c r="E129" s="186"/>
      <c r="F129" s="186"/>
      <c r="G129" s="189"/>
      <c r="H129" s="187"/>
      <c r="I129" s="189"/>
      <c r="J129" s="187"/>
      <c r="K129" s="189"/>
      <c r="L129" s="1001"/>
      <c r="M129" s="1002"/>
      <c r="N129" s="1155"/>
    </row>
    <row r="130" spans="1:23" ht="22.5" customHeight="1">
      <c r="A130" s="1150"/>
      <c r="B130" s="1003" t="s">
        <v>369</v>
      </c>
      <c r="C130" s="1004"/>
      <c r="D130" s="1004"/>
      <c r="E130" s="1004"/>
      <c r="F130" s="1004"/>
      <c r="G130" s="1005"/>
      <c r="H130" s="187"/>
      <c r="I130" s="189"/>
      <c r="J130" s="187"/>
      <c r="K130" s="189"/>
      <c r="L130" s="186"/>
      <c r="M130" s="519">
        <f>'Old Regime Calc. Report'!Q48</f>
        <v>1219860</v>
      </c>
      <c r="N130" s="1155"/>
    </row>
    <row r="131" spans="1:23" hidden="1">
      <c r="A131" s="1150"/>
      <c r="B131" s="497"/>
      <c r="C131" s="186"/>
      <c r="D131" s="186"/>
      <c r="E131" s="186"/>
      <c r="F131" s="186"/>
      <c r="G131" s="189"/>
      <c r="H131" s="187"/>
      <c r="I131" s="189"/>
      <c r="J131" s="187"/>
      <c r="K131" s="189"/>
      <c r="L131" s="186"/>
      <c r="M131" s="520"/>
      <c r="N131" s="1155"/>
    </row>
    <row r="132" spans="1:23">
      <c r="A132" s="1150"/>
      <c r="B132" s="497" t="s">
        <v>338</v>
      </c>
      <c r="C132" s="186"/>
      <c r="D132" s="186"/>
      <c r="E132" s="186"/>
      <c r="F132" s="186"/>
      <c r="G132" s="189"/>
      <c r="H132" s="187"/>
      <c r="I132" s="189"/>
      <c r="J132" s="187"/>
      <c r="K132" s="189"/>
      <c r="L132" s="186"/>
      <c r="M132" s="521">
        <f>'Old Regime Calc. Report'!Q57</f>
        <v>178458</v>
      </c>
      <c r="N132" s="1155"/>
    </row>
    <row r="133" spans="1:23" ht="15.75">
      <c r="A133" s="1150"/>
      <c r="B133" s="522" t="s">
        <v>339</v>
      </c>
      <c r="C133" s="186"/>
      <c r="D133" s="186"/>
      <c r="E133" s="440"/>
      <c r="F133" s="440"/>
      <c r="G133" s="440"/>
      <c r="H133" s="215"/>
      <c r="I133" s="216"/>
      <c r="J133" s="186"/>
      <c r="K133" s="189"/>
      <c r="L133" s="186"/>
      <c r="M133" s="520">
        <f>'Old Regime Calc. Report'!Q58</f>
        <v>0</v>
      </c>
      <c r="N133" s="1155"/>
      <c r="P133" s="109" t="s">
        <v>92</v>
      </c>
      <c r="Q133" s="100">
        <f>W133</f>
        <v>1</v>
      </c>
      <c r="R133" s="1" t="str">
        <f>VLOOKUP(P133,'Old Regime Calc. Report'!C23:I31,2,0)</f>
        <v>राज्य बीमा (SI)</v>
      </c>
      <c r="S133" s="1">
        <f>VLOOKUP(P133,'Old Regime Calc. Report'!C23:I31,7,0)</f>
        <v>60000</v>
      </c>
      <c r="U133" s="113">
        <f>IF(S133&gt;0,1,0)</f>
        <v>1</v>
      </c>
      <c r="V133" s="1">
        <f>U133</f>
        <v>1</v>
      </c>
      <c r="W133" s="1">
        <f>IF(V133&gt;V119,1,0)</f>
        <v>1</v>
      </c>
    </row>
    <row r="134" spans="1:23" ht="15.75">
      <c r="A134" s="1150"/>
      <c r="B134" s="497" t="s">
        <v>340</v>
      </c>
      <c r="C134" s="186"/>
      <c r="D134" s="186"/>
      <c r="E134" s="186"/>
      <c r="F134" s="186"/>
      <c r="G134" s="186"/>
      <c r="H134" s="187"/>
      <c r="I134" s="189"/>
      <c r="J134" s="186"/>
      <c r="K134" s="189"/>
      <c r="L134" s="186"/>
      <c r="M134" s="520">
        <f>IF((M132-M133)&gt;0,(M132-M133),0)</f>
        <v>178458</v>
      </c>
      <c r="N134" s="1155"/>
      <c r="P134" s="109" t="s">
        <v>94</v>
      </c>
      <c r="Q134" s="100">
        <f t="shared" ref="Q134:Q151" si="9">W134</f>
        <v>0</v>
      </c>
      <c r="R134" s="1" t="str">
        <f>VLOOKUP(P134,'Old Regime Calc. Report'!C24:I32,2,0)</f>
        <v>जीवन बीमा प्रीमियम (LIC)</v>
      </c>
      <c r="S134" s="1">
        <f>VLOOKUP(P134,'Old Regime Calc. Report'!C24:I32,7,0)</f>
        <v>0</v>
      </c>
      <c r="U134" s="113">
        <f t="shared" ref="U134:U151" si="10">IF(S134&gt;0,1,0)</f>
        <v>0</v>
      </c>
      <c r="V134" s="1">
        <f>U134+V133</f>
        <v>1</v>
      </c>
      <c r="W134" s="1">
        <f>IF(V134&gt;V133,1+V133,0)</f>
        <v>0</v>
      </c>
    </row>
    <row r="135" spans="1:23" ht="15.75">
      <c r="A135" s="1150"/>
      <c r="B135" s="497" t="s">
        <v>341</v>
      </c>
      <c r="C135" s="186"/>
      <c r="D135" s="186"/>
      <c r="E135" s="186"/>
      <c r="F135" s="186"/>
      <c r="G135" s="186"/>
      <c r="H135" s="187"/>
      <c r="I135" s="189"/>
      <c r="J135" s="186"/>
      <c r="K135" s="189"/>
      <c r="L135" s="186"/>
      <c r="M135" s="520">
        <f>ROUND(M134*4%,0)</f>
        <v>7138</v>
      </c>
      <c r="N135" s="1155"/>
      <c r="P135" s="109" t="s">
        <v>96</v>
      </c>
      <c r="Q135" s="100">
        <f t="shared" si="9"/>
        <v>0</v>
      </c>
      <c r="R135" s="1" t="str">
        <f>VLOOKUP(P135,'Old Regime Calc. Report'!C25:I33,2,0)</f>
        <v>राष्ट्रीय बचत पत्र (NSC)</v>
      </c>
      <c r="S135" s="1">
        <f>VLOOKUP(P135,'Old Regime Calc. Report'!C25:I33,7,0)</f>
        <v>0</v>
      </c>
      <c r="U135" s="113">
        <f t="shared" si="10"/>
        <v>0</v>
      </c>
      <c r="V135" s="1">
        <f>U135+V134</f>
        <v>1</v>
      </c>
      <c r="W135" s="1">
        <f t="shared" ref="W135:W151" si="11">IF(V135&gt;V134,1+V134,0)</f>
        <v>0</v>
      </c>
    </row>
    <row r="136" spans="1:23" ht="15.75">
      <c r="A136" s="1150"/>
      <c r="B136" s="497" t="s">
        <v>342</v>
      </c>
      <c r="C136" s="186"/>
      <c r="D136" s="186"/>
      <c r="E136" s="186"/>
      <c r="F136" s="186"/>
      <c r="G136" s="186"/>
      <c r="H136" s="187"/>
      <c r="I136" s="189"/>
      <c r="J136" s="186"/>
      <c r="K136" s="189"/>
      <c r="L136" s="186"/>
      <c r="M136" s="520">
        <f>M134+M135</f>
        <v>185596</v>
      </c>
      <c r="N136" s="1155"/>
      <c r="P136" s="109" t="s">
        <v>98</v>
      </c>
      <c r="Q136" s="100">
        <f t="shared" si="9"/>
        <v>0</v>
      </c>
      <c r="R136" s="1" t="str">
        <f>VLOOKUP(P136,'Old Regime Calc. Report'!C26:I34,2,0)</f>
        <v>लोक भविष्य निधि (PPF)</v>
      </c>
      <c r="S136" s="1">
        <f>VLOOKUP(P136,'Old Regime Calc. Report'!C26:I34,7,0)</f>
        <v>0</v>
      </c>
      <c r="U136" s="113">
        <f t="shared" si="10"/>
        <v>0</v>
      </c>
      <c r="V136" s="1">
        <f>U136+V135</f>
        <v>1</v>
      </c>
      <c r="W136" s="1">
        <f t="shared" si="11"/>
        <v>0</v>
      </c>
    </row>
    <row r="137" spans="1:23" ht="15.75">
      <c r="A137" s="1150"/>
      <c r="B137" s="497" t="s">
        <v>343</v>
      </c>
      <c r="C137" s="186"/>
      <c r="D137" s="186"/>
      <c r="E137" s="186"/>
      <c r="F137" s="186"/>
      <c r="G137" s="186"/>
      <c r="H137" s="187"/>
      <c r="I137" s="189"/>
      <c r="J137" s="186"/>
      <c r="K137" s="189"/>
      <c r="L137" s="186"/>
      <c r="M137" s="520">
        <f>'Old Regime Calc. Report'!Q64</f>
        <v>0</v>
      </c>
      <c r="N137" s="1155"/>
      <c r="P137" s="109" t="s">
        <v>100</v>
      </c>
      <c r="Q137" s="100">
        <f t="shared" si="9"/>
        <v>0</v>
      </c>
      <c r="R137" s="1" t="str">
        <f>VLOOKUP(P137,'Old Regime Calc. Report'!C27:I35,2,0)</f>
        <v>राष्ट्रीय बचत स्कीम  (NSS)</v>
      </c>
      <c r="S137" s="1">
        <f>VLOOKUP(P137,'Old Regime Calc. Report'!C27:I35,7,0)</f>
        <v>0</v>
      </c>
      <c r="U137" s="113">
        <f t="shared" si="10"/>
        <v>0</v>
      </c>
      <c r="V137" s="1">
        <f>U137+V136</f>
        <v>1</v>
      </c>
      <c r="W137" s="1">
        <f>IF(V137&gt;V136,1+V136,0)</f>
        <v>0</v>
      </c>
    </row>
    <row r="138" spans="1:23" ht="15.75">
      <c r="A138" s="1150"/>
      <c r="B138" s="982" t="s">
        <v>344</v>
      </c>
      <c r="C138" s="983"/>
      <c r="D138" s="983"/>
      <c r="E138" s="983"/>
      <c r="F138" s="983"/>
      <c r="G138" s="984"/>
      <c r="H138" s="215"/>
      <c r="I138" s="216"/>
      <c r="J138" s="186"/>
      <c r="K138" s="189"/>
      <c r="L138" s="186"/>
      <c r="M138" s="520">
        <f>M136-M137</f>
        <v>185596</v>
      </c>
      <c r="N138" s="1155"/>
      <c r="P138" s="109" t="s">
        <v>102</v>
      </c>
      <c r="Q138" s="100">
        <f t="shared" si="9"/>
        <v>2</v>
      </c>
      <c r="R138" s="1" t="str">
        <f>VLOOKUP(P138,'Old Regime Calc. Report'!C28:I36,2,0)</f>
        <v>GPF/GPF 2004</v>
      </c>
      <c r="S138" s="1">
        <f>VLOOKUP(P138,'Old Regime Calc. Report'!C28:I36,7,0)</f>
        <v>50006</v>
      </c>
      <c r="U138" s="113">
        <f t="shared" si="10"/>
        <v>1</v>
      </c>
      <c r="V138" s="1">
        <f>U138+V137</f>
        <v>2</v>
      </c>
      <c r="W138" s="1">
        <f t="shared" si="11"/>
        <v>2</v>
      </c>
    </row>
    <row r="139" spans="1:23" ht="15.75">
      <c r="A139" s="1150"/>
      <c r="B139" s="982"/>
      <c r="C139" s="983"/>
      <c r="D139" s="983"/>
      <c r="E139" s="983"/>
      <c r="F139" s="983"/>
      <c r="G139" s="984"/>
      <c r="H139" s="215"/>
      <c r="I139" s="216"/>
      <c r="J139" s="985" t="s">
        <v>370</v>
      </c>
      <c r="K139" s="986"/>
      <c r="L139" s="186"/>
      <c r="M139" s="523">
        <f>ROUND(M138,-1)</f>
        <v>185600</v>
      </c>
      <c r="N139" s="1155"/>
      <c r="P139" s="109"/>
      <c r="Q139" s="100"/>
      <c r="U139" s="113"/>
    </row>
    <row r="140" spans="1:23" ht="15.75">
      <c r="A140" s="1150"/>
      <c r="B140" s="497" t="s">
        <v>345</v>
      </c>
      <c r="C140" s="186"/>
      <c r="D140" s="186"/>
      <c r="E140" s="186"/>
      <c r="F140" s="186"/>
      <c r="G140" s="186"/>
      <c r="H140" s="187"/>
      <c r="I140" s="189"/>
      <c r="J140" s="186"/>
      <c r="K140" s="189"/>
      <c r="L140" s="186"/>
      <c r="M140" s="520">
        <f>'Old Regime Calc. Report'!Q68</f>
        <v>24000</v>
      </c>
      <c r="N140" s="1155"/>
      <c r="P140" s="109" t="s">
        <v>104</v>
      </c>
      <c r="Q140" s="100">
        <f t="shared" si="9"/>
        <v>3</v>
      </c>
      <c r="R140" s="1" t="str">
        <f>VLOOKUP(P140,'Old Regime Calc. Report'!C29:I37,2,0)</f>
        <v>सामूहिक दुर्घटना बीमा (GIS)</v>
      </c>
      <c r="S140" s="1">
        <f>VLOOKUP(P140,'Old Regime Calc. Report'!C29:I37,7,0)</f>
        <v>1400</v>
      </c>
      <c r="U140" s="113">
        <f t="shared" si="10"/>
        <v>1</v>
      </c>
      <c r="V140" s="1">
        <f>U140+V138</f>
        <v>3</v>
      </c>
      <c r="W140" s="1">
        <f>IF(V140&gt;V138,1+V138,0)</f>
        <v>3</v>
      </c>
    </row>
    <row r="141" spans="1:23" ht="15.75">
      <c r="A141" s="1150"/>
      <c r="B141" s="500" t="s">
        <v>346</v>
      </c>
      <c r="C141" s="196"/>
      <c r="D141" s="196"/>
      <c r="E141" s="196"/>
      <c r="F141" s="217"/>
      <c r="G141" s="217"/>
      <c r="H141" s="218"/>
      <c r="I141" s="219"/>
      <c r="J141" s="987" t="str">
        <f>IF(M141&gt;0,"(Payble)","Refundable")</f>
        <v>(Payble)</v>
      </c>
      <c r="K141" s="988"/>
      <c r="L141" s="220"/>
      <c r="M141" s="524">
        <f>M139-M140</f>
        <v>161600</v>
      </c>
      <c r="N141" s="1155"/>
      <c r="P141" s="109" t="s">
        <v>106</v>
      </c>
      <c r="Q141" s="100">
        <f t="shared" si="9"/>
        <v>0</v>
      </c>
      <c r="R141" s="1" t="str">
        <f>VLOOKUP(P141,'Old Regime Calc. Report'!C30:I38,2,0)</f>
        <v>UPLI/वार्षिक प्लान</v>
      </c>
      <c r="S141" s="1">
        <f>VLOOKUP(P141,'Old Regime Calc. Report'!C30:I38,7,0)</f>
        <v>0</v>
      </c>
      <c r="U141" s="113">
        <f t="shared" si="10"/>
        <v>0</v>
      </c>
      <c r="V141" s="1">
        <f t="shared" ref="V141:V151" si="12">U141+V140</f>
        <v>3</v>
      </c>
      <c r="W141" s="1">
        <f t="shared" si="11"/>
        <v>0</v>
      </c>
    </row>
    <row r="142" spans="1:23" ht="15.75">
      <c r="A142" s="1150"/>
      <c r="B142" s="989" t="s">
        <v>285</v>
      </c>
      <c r="C142" s="990"/>
      <c r="D142" s="990"/>
      <c r="E142" s="990"/>
      <c r="F142" s="990"/>
      <c r="G142" s="990"/>
      <c r="H142" s="990"/>
      <c r="I142" s="990"/>
      <c r="J142" s="990"/>
      <c r="K142" s="990"/>
      <c r="L142" s="990"/>
      <c r="M142" s="991"/>
      <c r="N142" s="1155"/>
      <c r="P142" s="109" t="s">
        <v>108</v>
      </c>
      <c r="Q142" s="100">
        <f t="shared" si="9"/>
        <v>0</v>
      </c>
      <c r="R142" s="1" t="str">
        <f>VLOOKUP(P142,'Old Regime Calc. Report'!C31:I39,2,0)</f>
        <v>गृह ऋण किश्त(HBA Premium)</v>
      </c>
      <c r="S142" s="1">
        <f>VLOOKUP(P142,'Old Regime Calc. Report'!C31:I39,7,0)</f>
        <v>0</v>
      </c>
      <c r="U142" s="113">
        <f t="shared" si="10"/>
        <v>0</v>
      </c>
      <c r="V142" s="1">
        <f>U142+V141</f>
        <v>3</v>
      </c>
      <c r="W142" s="1">
        <f>IF(V142&gt;V141,1+V141,0)</f>
        <v>0</v>
      </c>
    </row>
    <row r="143" spans="1:23" ht="15.75">
      <c r="A143" s="1150"/>
      <c r="B143" s="489" t="s">
        <v>286</v>
      </c>
      <c r="C143" s="992">
        <f>C57</f>
        <v>0</v>
      </c>
      <c r="D143" s="992"/>
      <c r="E143" s="992"/>
      <c r="F143" s="177" t="s">
        <v>287</v>
      </c>
      <c r="G143" s="178"/>
      <c r="H143" s="993">
        <f>H57</f>
        <v>0</v>
      </c>
      <c r="I143" s="994"/>
      <c r="J143" s="994"/>
      <c r="K143" s="177" t="s">
        <v>288</v>
      </c>
      <c r="L143" s="178"/>
      <c r="M143" s="490"/>
      <c r="N143" s="1155"/>
      <c r="P143" s="109" t="s">
        <v>93</v>
      </c>
      <c r="Q143" s="100">
        <f t="shared" si="9"/>
        <v>0</v>
      </c>
      <c r="R143" s="1" t="str">
        <f>VLOOKUP(P143,'Old Regime Calc. Report'!J23:O31,2,0)</f>
        <v>पेंशन प्लान हेतु अंशदान (धारा 80CCC)</v>
      </c>
      <c r="S143" s="1">
        <f>VLOOKUP(P143,'Old Regime Calc. Report'!J23:O31,6,0)</f>
        <v>0</v>
      </c>
      <c r="U143" s="113">
        <f t="shared" si="10"/>
        <v>0</v>
      </c>
      <c r="V143" s="1">
        <f t="shared" si="12"/>
        <v>3</v>
      </c>
      <c r="W143" s="1">
        <f t="shared" si="11"/>
        <v>0</v>
      </c>
    </row>
    <row r="144" spans="1:23" ht="15.75">
      <c r="A144" s="1150"/>
      <c r="B144" s="975" t="str">
        <f>B58</f>
        <v>DDO/Principal</v>
      </c>
      <c r="C144" s="976"/>
      <c r="D144" s="976"/>
      <c r="E144" s="179" t="s">
        <v>347</v>
      </c>
      <c r="F144" s="169"/>
      <c r="G144" s="180"/>
      <c r="H144" s="180"/>
      <c r="I144" s="180"/>
      <c r="J144" s="179"/>
      <c r="K144" s="181"/>
      <c r="L144" s="180"/>
      <c r="M144" s="525"/>
      <c r="N144" s="1155"/>
      <c r="P144" s="109" t="s">
        <v>95</v>
      </c>
      <c r="Q144" s="100">
        <f t="shared" si="9"/>
        <v>0</v>
      </c>
      <c r="R144" s="1" t="str">
        <f>VLOOKUP(P144,'Old Regime Calc. Report'!J24:O32,2,0)</f>
        <v>राष्ट्रीय बचत पत्र पर अदत ब्याज</v>
      </c>
      <c r="S144" s="1">
        <f>VLOOKUP(P144,'Old Regime Calc. Report'!J24:O32,6,0)</f>
        <v>0</v>
      </c>
      <c r="U144" s="113">
        <f t="shared" si="10"/>
        <v>0</v>
      </c>
      <c r="V144" s="1">
        <f t="shared" si="12"/>
        <v>3</v>
      </c>
      <c r="W144" s="1">
        <f t="shared" si="11"/>
        <v>0</v>
      </c>
    </row>
    <row r="145" spans="1:24" ht="15.75">
      <c r="A145" s="1150"/>
      <c r="B145" s="977" t="s">
        <v>348</v>
      </c>
      <c r="C145" s="978"/>
      <c r="D145" s="978"/>
      <c r="E145" s="978"/>
      <c r="F145" s="978"/>
      <c r="G145" s="978"/>
      <c r="H145" s="978"/>
      <c r="I145" s="978"/>
      <c r="J145" s="978"/>
      <c r="K145" s="978"/>
      <c r="L145" s="978"/>
      <c r="M145" s="979"/>
      <c r="N145" s="1155"/>
      <c r="P145" s="109" t="s">
        <v>97</v>
      </c>
      <c r="Q145" s="100">
        <f t="shared" si="9"/>
        <v>0</v>
      </c>
      <c r="R145" s="1" t="str">
        <f>VLOOKUP(P145,'Old Regime Calc. Report'!J25:O33,2,0)</f>
        <v>ट्यूशन फी</v>
      </c>
      <c r="S145" s="1">
        <f>VLOOKUP(P145,'Old Regime Calc. Report'!J25:O33,6,0)</f>
        <v>0</v>
      </c>
      <c r="U145" s="113">
        <f t="shared" si="10"/>
        <v>0</v>
      </c>
      <c r="V145" s="1">
        <f t="shared" si="12"/>
        <v>3</v>
      </c>
      <c r="W145" s="1">
        <f t="shared" si="11"/>
        <v>0</v>
      </c>
    </row>
    <row r="146" spans="1:24" ht="15.75">
      <c r="A146" s="1150"/>
      <c r="B146" s="526"/>
      <c r="C146" s="221"/>
      <c r="D146" s="221"/>
      <c r="E146" s="221"/>
      <c r="F146" s="221"/>
      <c r="G146" s="221"/>
      <c r="H146" s="221"/>
      <c r="I146" s="221"/>
      <c r="J146" s="221"/>
      <c r="K146" s="221"/>
      <c r="L146" s="221"/>
      <c r="M146" s="527"/>
      <c r="N146" s="1155"/>
      <c r="P146" s="109" t="s">
        <v>99</v>
      </c>
      <c r="Q146" s="100">
        <f t="shared" si="9"/>
        <v>0</v>
      </c>
      <c r="R146" s="1" t="str">
        <f>VLOOKUP(P146,'Old Regime Calc. Report'!J26:O34,2,0)</f>
        <v>इक्विटी लिंक सेविंग स्कीम</v>
      </c>
      <c r="S146" s="1">
        <f>VLOOKUP(P146,'Old Regime Calc. Report'!J26:O34,6,0)</f>
        <v>0</v>
      </c>
      <c r="U146" s="113">
        <f t="shared" si="10"/>
        <v>0</v>
      </c>
      <c r="V146" s="1">
        <f t="shared" si="12"/>
        <v>3</v>
      </c>
      <c r="W146" s="1">
        <f t="shared" si="11"/>
        <v>0</v>
      </c>
    </row>
    <row r="147" spans="1:24" ht="15.75">
      <c r="A147" s="1150"/>
      <c r="B147" s="499"/>
      <c r="C147" s="186"/>
      <c r="D147" s="186"/>
      <c r="E147" s="186"/>
      <c r="F147" s="186"/>
      <c r="G147" s="186"/>
      <c r="H147" s="186"/>
      <c r="I147" s="186"/>
      <c r="J147" s="186"/>
      <c r="K147" s="186"/>
      <c r="L147" s="186"/>
      <c r="M147" s="506"/>
      <c r="N147" s="1155"/>
      <c r="P147" s="109" t="s">
        <v>101</v>
      </c>
      <c r="Q147" s="100">
        <f t="shared" si="9"/>
        <v>0</v>
      </c>
      <c r="R147" s="1" t="str">
        <f>VLOOKUP(P147,'Old Regime Calc. Report'!J27:O35,2,0)</f>
        <v>स्थिगित वार्षिकी (Defferred Annuty)</v>
      </c>
      <c r="S147" s="1">
        <f>VLOOKUP(P147,'Old Regime Calc. Report'!J27:O35,6,0)</f>
        <v>0</v>
      </c>
      <c r="U147" s="113">
        <f t="shared" si="10"/>
        <v>0</v>
      </c>
      <c r="V147" s="1">
        <f t="shared" si="12"/>
        <v>3</v>
      </c>
      <c r="W147" s="1">
        <f t="shared" si="11"/>
        <v>0</v>
      </c>
    </row>
    <row r="148" spans="1:24" ht="15.75">
      <c r="A148" s="1150"/>
      <c r="B148" s="499"/>
      <c r="C148" s="186"/>
      <c r="D148" s="186"/>
      <c r="E148" s="186"/>
      <c r="F148" s="186"/>
      <c r="G148" s="186"/>
      <c r="H148" s="186"/>
      <c r="I148" s="186"/>
      <c r="J148" s="186"/>
      <c r="K148" s="186"/>
      <c r="L148" s="186"/>
      <c r="M148" s="506"/>
      <c r="N148" s="1155"/>
      <c r="P148" s="109" t="s">
        <v>103</v>
      </c>
      <c r="Q148" s="100">
        <f t="shared" si="9"/>
        <v>0</v>
      </c>
      <c r="R148" s="1" t="str">
        <f>VLOOKUP(P148,'Old Regime Calc. Report'!J28:O36,2,0)</f>
        <v>पी.एल.आई. (PLI)</v>
      </c>
      <c r="S148" s="1">
        <f>VLOOKUP(P148,'Old Regime Calc. Report'!J28:O36,6,0)</f>
        <v>0</v>
      </c>
      <c r="U148" s="113">
        <f t="shared" si="10"/>
        <v>0</v>
      </c>
      <c r="V148" s="1">
        <f t="shared" si="12"/>
        <v>3</v>
      </c>
      <c r="W148" s="1">
        <f t="shared" si="11"/>
        <v>0</v>
      </c>
    </row>
    <row r="149" spans="1:24" ht="15.75">
      <c r="A149" s="1150"/>
      <c r="B149" s="499"/>
      <c r="C149" s="186"/>
      <c r="D149" s="186"/>
      <c r="E149" s="186"/>
      <c r="F149" s="186"/>
      <c r="G149" s="186"/>
      <c r="H149" s="169"/>
      <c r="I149" s="169"/>
      <c r="J149" s="193"/>
      <c r="K149" s="186"/>
      <c r="L149" s="186"/>
      <c r="M149" s="506"/>
      <c r="N149" s="1155"/>
      <c r="P149" s="109" t="s">
        <v>105</v>
      </c>
      <c r="Q149" s="100">
        <f t="shared" si="9"/>
        <v>0</v>
      </c>
      <c r="R149" s="1" t="str">
        <f>VLOOKUP(P149,'Old Regime Calc. Report'!J29:O37,2,0)</f>
        <v>अन्य जमा राशी (80 C धारा के अंतर्गत)</v>
      </c>
      <c r="S149" s="1">
        <f>VLOOKUP(P149,'Old Regime Calc. Report'!J29:O37,6,0)</f>
        <v>0</v>
      </c>
      <c r="U149" s="113">
        <f t="shared" si="10"/>
        <v>0</v>
      </c>
      <c r="V149" s="1">
        <f t="shared" si="12"/>
        <v>3</v>
      </c>
      <c r="W149" s="1">
        <f t="shared" si="11"/>
        <v>0</v>
      </c>
    </row>
    <row r="150" spans="1:24" ht="15.75">
      <c r="A150" s="1150"/>
      <c r="B150" s="499"/>
      <c r="C150" s="186"/>
      <c r="D150" s="186"/>
      <c r="E150" s="186"/>
      <c r="F150" s="186"/>
      <c r="G150" s="970" t="s">
        <v>349</v>
      </c>
      <c r="H150" s="970"/>
      <c r="I150" s="970"/>
      <c r="J150" s="970"/>
      <c r="K150" s="970"/>
      <c r="L150" s="970"/>
      <c r="M150" s="980"/>
      <c r="N150" s="1155"/>
      <c r="P150" s="109" t="s">
        <v>107</v>
      </c>
      <c r="Q150" s="100">
        <f t="shared" si="9"/>
        <v>0</v>
      </c>
      <c r="R150" s="1" t="str">
        <f>VLOOKUP(P150,'Old Regime Calc. Report'!J30:O38,2,0)</f>
        <v>सुकन्या समृद्धि योजना में जमा राशि</v>
      </c>
      <c r="S150" s="1">
        <f>VLOOKUP(P150,'Old Regime Calc. Report'!J30:O38,6,0)</f>
        <v>0</v>
      </c>
      <c r="U150" s="113">
        <f t="shared" si="10"/>
        <v>0</v>
      </c>
      <c r="V150" s="1">
        <f t="shared" si="12"/>
        <v>3</v>
      </c>
      <c r="W150" s="1">
        <f t="shared" si="11"/>
        <v>0</v>
      </c>
    </row>
    <row r="151" spans="1:24" ht="15.75">
      <c r="A151" s="1150"/>
      <c r="B151" s="499"/>
      <c r="C151" s="186"/>
      <c r="D151" s="186"/>
      <c r="E151" s="186"/>
      <c r="F151" s="186"/>
      <c r="G151" s="970" t="s">
        <v>350</v>
      </c>
      <c r="H151" s="970"/>
      <c r="I151" s="970"/>
      <c r="J151" s="970"/>
      <c r="K151" s="970"/>
      <c r="L151" s="970"/>
      <c r="M151" s="980"/>
      <c r="N151" s="1155"/>
      <c r="P151" s="109" t="s">
        <v>109</v>
      </c>
      <c r="Q151" s="100">
        <f t="shared" si="9"/>
        <v>0</v>
      </c>
      <c r="R151" s="1">
        <f>VLOOKUP(P151,'Old Regime Calc. Report'!J31:O39,2,0)</f>
        <v>0</v>
      </c>
      <c r="S151" s="1">
        <f>VLOOKUP(P151,'Old Regime Calc. Report'!J31:O39,6,0)</f>
        <v>0</v>
      </c>
      <c r="U151" s="113">
        <f t="shared" si="10"/>
        <v>0</v>
      </c>
      <c r="V151" s="1">
        <f t="shared" si="12"/>
        <v>3</v>
      </c>
      <c r="W151" s="1">
        <f t="shared" si="11"/>
        <v>0</v>
      </c>
    </row>
    <row r="152" spans="1:24">
      <c r="A152" s="1150"/>
      <c r="B152" s="528" t="s">
        <v>351</v>
      </c>
      <c r="C152" s="981" t="str">
        <f>'Basic Data'!G5</f>
        <v>Govt. Sr. School Raimalwada</v>
      </c>
      <c r="D152" s="981"/>
      <c r="E152" s="981"/>
      <c r="F152" s="981"/>
      <c r="G152" s="440" t="s">
        <v>371</v>
      </c>
      <c r="H152" s="969" t="s">
        <v>372</v>
      </c>
      <c r="I152" s="969"/>
      <c r="J152" s="970">
        <f>C143</f>
        <v>0</v>
      </c>
      <c r="K152" s="970"/>
      <c r="L152" s="440"/>
      <c r="M152" s="529"/>
      <c r="N152" s="1155"/>
    </row>
    <row r="153" spans="1:24">
      <c r="A153" s="1150"/>
      <c r="B153" s="528" t="s">
        <v>352</v>
      </c>
      <c r="C153" s="968">
        <f ca="1">TODAY()</f>
        <v>45621</v>
      </c>
      <c r="D153" s="968"/>
      <c r="E153" s="968"/>
      <c r="F153" s="968"/>
      <c r="G153" s="186"/>
      <c r="H153" s="969" t="s">
        <v>373</v>
      </c>
      <c r="I153" s="969"/>
      <c r="J153" s="970">
        <f>C144</f>
        <v>0</v>
      </c>
      <c r="K153" s="970"/>
      <c r="L153" s="440"/>
      <c r="M153" s="529"/>
      <c r="N153" s="1155"/>
    </row>
    <row r="154" spans="1:24" ht="15.75" thickBot="1">
      <c r="A154" s="1150"/>
      <c r="B154" s="530"/>
      <c r="C154" s="531"/>
      <c r="D154" s="531"/>
      <c r="E154" s="531"/>
      <c r="F154" s="531"/>
      <c r="G154" s="531"/>
      <c r="H154" s="531"/>
      <c r="I154" s="531"/>
      <c r="J154" s="531"/>
      <c r="K154" s="532"/>
      <c r="L154" s="531"/>
      <c r="M154" s="533"/>
      <c r="N154" s="1155"/>
      <c r="Q154" s="113">
        <f>W154</f>
        <v>0</v>
      </c>
      <c r="R154" s="1" t="str">
        <f>'Old Regime Calc. Report'!C37</f>
        <v>1. धारा 80D - चिकित्सा बीमा प्रीमियम {स्वयं/पति/पत्नी  हेतु 25,000 माता/पिता हेतु 25,000, वरिष्ठ नागरिक 50,000}</v>
      </c>
      <c r="S154" s="198">
        <f>'Old Regime Calc. Report'!Q37</f>
        <v>0</v>
      </c>
      <c r="U154" s="113">
        <f>IF(S154&gt;0,1,0)</f>
        <v>0</v>
      </c>
      <c r="V154" s="1">
        <f>U154</f>
        <v>0</v>
      </c>
      <c r="W154" s="1">
        <f>IF(V154&gt;V153,1,0)</f>
        <v>0</v>
      </c>
      <c r="X154" s="1" t="s">
        <v>360</v>
      </c>
    </row>
    <row r="155" spans="1:24" ht="15.75" thickBot="1">
      <c r="A155" s="1151"/>
      <c r="B155" s="971"/>
      <c r="C155" s="971"/>
      <c r="D155" s="971"/>
      <c r="E155" s="971"/>
      <c r="F155" s="971"/>
      <c r="G155" s="971"/>
      <c r="H155" s="971"/>
      <c r="I155" s="971"/>
      <c r="J155" s="971"/>
      <c r="K155" s="971"/>
      <c r="L155" s="971"/>
      <c r="M155" s="971"/>
      <c r="N155" s="1156"/>
      <c r="Q155" s="113">
        <f t="shared" ref="Q155:Q161" si="13">W155</f>
        <v>0</v>
      </c>
      <c r="R155" s="1" t="str">
        <f>'Old Regime Calc. Report'!C38</f>
        <v>2. धारा 80DD - विकलांग आश्रितों का चिकित्सा उपचार (अधिकतम 75,000,  80% या अधिक विक्लांगता 1,25,000)</v>
      </c>
      <c r="S155" s="198">
        <f>'Old Regime Calc. Report'!Q38</f>
        <v>0</v>
      </c>
      <c r="U155" s="113">
        <f t="shared" ref="U155:U161" si="14">IF(S155&gt;0,1,0)</f>
        <v>0</v>
      </c>
      <c r="V155" s="1">
        <f>U155+V154</f>
        <v>0</v>
      </c>
      <c r="W155" s="1">
        <f>IF(V155&gt;V154,1+V154,0)</f>
        <v>0</v>
      </c>
      <c r="X155" s="1" t="s">
        <v>361</v>
      </c>
    </row>
    <row r="156" spans="1:24" hidden="1">
      <c r="Q156" s="113">
        <f t="shared" si="13"/>
        <v>0</v>
      </c>
      <c r="R156" s="1" t="str">
        <f>'Old Regime Calc. Report'!C39</f>
        <v>3. धारा 80DDB -विशिष्ठ रोगों के उपचार हेतु कटौती (सामान्य 40,000 एवं वरिष्ठ नागरिक 1 लाख)</v>
      </c>
      <c r="S156" s="198">
        <f>'Old Regime Calc. Report'!Q39</f>
        <v>0</v>
      </c>
      <c r="U156" s="113">
        <f t="shared" si="14"/>
        <v>0</v>
      </c>
      <c r="V156" s="1">
        <f>U156+V155</f>
        <v>0</v>
      </c>
      <c r="W156" s="1">
        <f t="shared" ref="W156:W161" si="15">IF(V156&gt;V155,1+V155,0)</f>
        <v>0</v>
      </c>
      <c r="X156" s="1" t="s">
        <v>362</v>
      </c>
    </row>
    <row r="157" spans="1:24" hidden="1">
      <c r="Q157" s="113">
        <f t="shared" si="13"/>
        <v>0</v>
      </c>
      <c r="R157" s="1" t="str">
        <f>'Old Regime Calc. Report'!C40</f>
        <v>4. धारा 80E - उच्च शिक्षा हेतु लिए ऋण पर ब्याज (धारा 80E)</v>
      </c>
      <c r="S157" s="198">
        <f>'Old Regime Calc. Report'!Q40</f>
        <v>0</v>
      </c>
      <c r="U157" s="113">
        <f t="shared" si="14"/>
        <v>0</v>
      </c>
      <c r="V157" s="1">
        <f>U157+V156</f>
        <v>0</v>
      </c>
      <c r="W157" s="1">
        <f t="shared" si="15"/>
        <v>0</v>
      </c>
      <c r="X157" s="1" t="s">
        <v>363</v>
      </c>
    </row>
    <row r="158" spans="1:24" hidden="1">
      <c r="Q158" s="113">
        <f t="shared" si="13"/>
        <v>0</v>
      </c>
      <c r="R158" s="1" t="str">
        <f>'Old Regime Calc. Report'!C41</f>
        <v xml:space="preserve">5. धारा 80G -धर्मार्थ संस्थाओं को दिए दान (श्रेणी 'क' 100% एवं श्रेणी 'ख' 50%) </v>
      </c>
      <c r="S158" s="198">
        <f>'Old Regime Calc. Report'!Q41</f>
        <v>0</v>
      </c>
      <c r="U158" s="113">
        <f t="shared" si="14"/>
        <v>0</v>
      </c>
      <c r="V158" s="1">
        <f>U158+V157</f>
        <v>0</v>
      </c>
      <c r="W158" s="1">
        <f t="shared" si="15"/>
        <v>0</v>
      </c>
      <c r="X158" s="1" t="s">
        <v>364</v>
      </c>
    </row>
    <row r="159" spans="1:24" hidden="1">
      <c r="Q159" s="113">
        <f t="shared" si="13"/>
        <v>0</v>
      </c>
      <c r="R159" s="1" t="str">
        <f>'Old Regime Calc. Report'!C42</f>
        <v>6. धारा 80U -स्थाई शारीरिक विक्लांगता की दशा में (अधिकतम 75,000 तथा अधिनियम 1995 के अनुसार 80% विक्लांगता 1,25,000)</v>
      </c>
      <c r="S159" s="198">
        <f>'Old Regime Calc. Report'!Q42</f>
        <v>0</v>
      </c>
      <c r="U159" s="113">
        <f t="shared" si="14"/>
        <v>0</v>
      </c>
      <c r="V159" s="1">
        <f>U159+V158</f>
        <v>0</v>
      </c>
      <c r="W159" s="1">
        <f t="shared" si="15"/>
        <v>0</v>
      </c>
      <c r="X159" s="1" t="s">
        <v>365</v>
      </c>
    </row>
    <row r="160" spans="1:24" hidden="1">
      <c r="Q160" s="113">
        <f t="shared" si="13"/>
        <v>0</v>
      </c>
      <c r="R160" s="1" t="str">
        <f>'Old Regime Calc. Report'!C43</f>
        <v>7. अधिनियम 1995 के अनुसार धारा 80 TTA के तहत बचत खाते की जमा राशी पर प्राप्त ब्याज में छूट 10000 (80 TTB-वरिष्ठ नागरिक अधिकतम 50,000)</v>
      </c>
      <c r="S160" s="198">
        <f>'Old Regime Calc. Report'!Q43</f>
        <v>0</v>
      </c>
      <c r="U160" s="113">
        <f t="shared" si="14"/>
        <v>0</v>
      </c>
      <c r="V160" s="1">
        <f t="shared" ref="V160:V161" si="16">U160+V159</f>
        <v>0</v>
      </c>
      <c r="W160" s="1">
        <f t="shared" si="15"/>
        <v>0</v>
      </c>
      <c r="X160" s="1" t="s">
        <v>358</v>
      </c>
    </row>
    <row r="161" spans="17:24" hidden="1">
      <c r="Q161" s="113">
        <f t="shared" si="13"/>
        <v>0</v>
      </c>
      <c r="R161" s="1" t="str">
        <f>'Old Regime Calc. Report'!C44</f>
        <v>8. धारा 80 GGA -अनुमोदित वैज्ञानिक,सामाजिक,ग्रामीण विकास आदि हेतु दिया गया दान</v>
      </c>
      <c r="S161" s="198">
        <f>'Old Regime Calc. Report'!Q44</f>
        <v>0</v>
      </c>
      <c r="U161" s="113">
        <f t="shared" si="14"/>
        <v>0</v>
      </c>
      <c r="V161" s="1">
        <f t="shared" si="16"/>
        <v>0</v>
      </c>
      <c r="W161" s="1">
        <f t="shared" si="15"/>
        <v>0</v>
      </c>
      <c r="X161" s="1" t="s">
        <v>359</v>
      </c>
    </row>
  </sheetData>
  <sheetProtection password="E8FA" sheet="1" objects="1" scenarios="1" formatCells="0" formatColumns="0" formatRows="0" selectLockedCells="1"/>
  <mergeCells count="266">
    <mergeCell ref="B10:G10"/>
    <mergeCell ref="H10:M10"/>
    <mergeCell ref="B11:G14"/>
    <mergeCell ref="B2:M2"/>
    <mergeCell ref="B4:M4"/>
    <mergeCell ref="B5:M5"/>
    <mergeCell ref="B6:M6"/>
    <mergeCell ref="B7:M7"/>
    <mergeCell ref="E17:G19"/>
    <mergeCell ref="H17:J17"/>
    <mergeCell ref="K17:M17"/>
    <mergeCell ref="H18:I18"/>
    <mergeCell ref="K18:M19"/>
    <mergeCell ref="H19:I19"/>
    <mergeCell ref="B15:D15"/>
    <mergeCell ref="E15:G15"/>
    <mergeCell ref="H15:M15"/>
    <mergeCell ref="B16:D16"/>
    <mergeCell ref="E16:G16"/>
    <mergeCell ref="H16:M16"/>
    <mergeCell ref="B3:M3"/>
    <mergeCell ref="B21:C21"/>
    <mergeCell ref="D21:F21"/>
    <mergeCell ref="G21:H21"/>
    <mergeCell ref="I21:K21"/>
    <mergeCell ref="L21:M21"/>
    <mergeCell ref="B22:C22"/>
    <mergeCell ref="D22:F22"/>
    <mergeCell ref="G22:H22"/>
    <mergeCell ref="I22:K22"/>
    <mergeCell ref="L22:M22"/>
    <mergeCell ref="B23:C23"/>
    <mergeCell ref="D23:F23"/>
    <mergeCell ref="G23:H23"/>
    <mergeCell ref="I23:K23"/>
    <mergeCell ref="L23:M23"/>
    <mergeCell ref="B24:C24"/>
    <mergeCell ref="D24:F24"/>
    <mergeCell ref="G24:H24"/>
    <mergeCell ref="I24:K24"/>
    <mergeCell ref="L24:M24"/>
    <mergeCell ref="B25:C25"/>
    <mergeCell ref="D25:F25"/>
    <mergeCell ref="G25:H25"/>
    <mergeCell ref="I25:K25"/>
    <mergeCell ref="L25:M25"/>
    <mergeCell ref="B26:C26"/>
    <mergeCell ref="D26:F26"/>
    <mergeCell ref="G26:H26"/>
    <mergeCell ref="I26:K26"/>
    <mergeCell ref="L26:M26"/>
    <mergeCell ref="L30:M30"/>
    <mergeCell ref="C31:E31"/>
    <mergeCell ref="H31:I31"/>
    <mergeCell ref="J31:K31"/>
    <mergeCell ref="B27:M27"/>
    <mergeCell ref="C28:E28"/>
    <mergeCell ref="F28:M28"/>
    <mergeCell ref="C29:E29"/>
    <mergeCell ref="F29:G29"/>
    <mergeCell ref="H29:I29"/>
    <mergeCell ref="J29:K29"/>
    <mergeCell ref="L29:M29"/>
    <mergeCell ref="C32:E32"/>
    <mergeCell ref="F32:G32"/>
    <mergeCell ref="H32:I32"/>
    <mergeCell ref="J32:K32"/>
    <mergeCell ref="C33:E33"/>
    <mergeCell ref="F33:G33"/>
    <mergeCell ref="H33:I33"/>
    <mergeCell ref="J33:K33"/>
    <mergeCell ref="F30:G30"/>
    <mergeCell ref="H30:I30"/>
    <mergeCell ref="J30:K30"/>
    <mergeCell ref="C40:E40"/>
    <mergeCell ref="F40:G40"/>
    <mergeCell ref="H40:I40"/>
    <mergeCell ref="J40:K40"/>
    <mergeCell ref="C41:E41"/>
    <mergeCell ref="F41:G41"/>
    <mergeCell ref="H41:I41"/>
    <mergeCell ref="J41:K41"/>
    <mergeCell ref="C34:E34"/>
    <mergeCell ref="C35:E35"/>
    <mergeCell ref="C36:E36"/>
    <mergeCell ref="C37:E37"/>
    <mergeCell ref="C38:E38"/>
    <mergeCell ref="C39:E39"/>
    <mergeCell ref="C44:E44"/>
    <mergeCell ref="F44:G44"/>
    <mergeCell ref="H44:I44"/>
    <mergeCell ref="J44:K44"/>
    <mergeCell ref="B46:M46"/>
    <mergeCell ref="C47:E47"/>
    <mergeCell ref="F47:M47"/>
    <mergeCell ref="L44:M44"/>
    <mergeCell ref="C42:E42"/>
    <mergeCell ref="F42:G42"/>
    <mergeCell ref="H42:I42"/>
    <mergeCell ref="J42:K42"/>
    <mergeCell ref="C43:E43"/>
    <mergeCell ref="F43:G43"/>
    <mergeCell ref="H43:I43"/>
    <mergeCell ref="J43:K43"/>
    <mergeCell ref="C50:E50"/>
    <mergeCell ref="H50:I50"/>
    <mergeCell ref="J50:K50"/>
    <mergeCell ref="C51:E51"/>
    <mergeCell ref="H51:I51"/>
    <mergeCell ref="J51:K51"/>
    <mergeCell ref="F51:G51"/>
    <mergeCell ref="C48:E48"/>
    <mergeCell ref="F48:G48"/>
    <mergeCell ref="H48:I48"/>
    <mergeCell ref="J48:K48"/>
    <mergeCell ref="F49:G49"/>
    <mergeCell ref="H49:I49"/>
    <mergeCell ref="J49:K49"/>
    <mergeCell ref="C55:E55"/>
    <mergeCell ref="F55:G55"/>
    <mergeCell ref="H55:M55"/>
    <mergeCell ref="C54:E54"/>
    <mergeCell ref="H54:I54"/>
    <mergeCell ref="J54:K54"/>
    <mergeCell ref="F54:G54"/>
    <mergeCell ref="C52:E52"/>
    <mergeCell ref="H52:I52"/>
    <mergeCell ref="J52:K52"/>
    <mergeCell ref="C53:E53"/>
    <mergeCell ref="H53:I53"/>
    <mergeCell ref="J53:K53"/>
    <mergeCell ref="F52:G52"/>
    <mergeCell ref="F53:G53"/>
    <mergeCell ref="B62:C62"/>
    <mergeCell ref="B63:M63"/>
    <mergeCell ref="B64:M64"/>
    <mergeCell ref="B65:M65"/>
    <mergeCell ref="B66:M66"/>
    <mergeCell ref="B67:H67"/>
    <mergeCell ref="B56:M56"/>
    <mergeCell ref="C57:E57"/>
    <mergeCell ref="H57:J57"/>
    <mergeCell ref="B58:D58"/>
    <mergeCell ref="B59:F59"/>
    <mergeCell ref="B60:M61"/>
    <mergeCell ref="B76:M76"/>
    <mergeCell ref="B77:M77"/>
    <mergeCell ref="K84:L84"/>
    <mergeCell ref="B87:H87"/>
    <mergeCell ref="B88:H88"/>
    <mergeCell ref="K89:L89"/>
    <mergeCell ref="B68:M68"/>
    <mergeCell ref="B69:M69"/>
    <mergeCell ref="B70:M70"/>
    <mergeCell ref="B71:M71"/>
    <mergeCell ref="B72:M72"/>
    <mergeCell ref="B73:F73"/>
    <mergeCell ref="D108:F108"/>
    <mergeCell ref="H108:I108"/>
    <mergeCell ref="J108:K108"/>
    <mergeCell ref="L108:M108"/>
    <mergeCell ref="D109:F109"/>
    <mergeCell ref="H109:I109"/>
    <mergeCell ref="J109:K109"/>
    <mergeCell ref="L109:M109"/>
    <mergeCell ref="B104:E104"/>
    <mergeCell ref="J105:K105"/>
    <mergeCell ref="H106:I106"/>
    <mergeCell ref="J106:K106"/>
    <mergeCell ref="L106:M106"/>
    <mergeCell ref="D107:F107"/>
    <mergeCell ref="H107:I107"/>
    <mergeCell ref="J107:K107"/>
    <mergeCell ref="L107:M107"/>
    <mergeCell ref="B128:G128"/>
    <mergeCell ref="J141:K141"/>
    <mergeCell ref="J121:K121"/>
    <mergeCell ref="L121:M121"/>
    <mergeCell ref="J122:K122"/>
    <mergeCell ref="L122:M122"/>
    <mergeCell ref="H116:I116"/>
    <mergeCell ref="J116:K116"/>
    <mergeCell ref="L116:M116"/>
    <mergeCell ref="J119:K119"/>
    <mergeCell ref="D120:F120"/>
    <mergeCell ref="H120:I120"/>
    <mergeCell ref="J120:K120"/>
    <mergeCell ref="L120:M120"/>
    <mergeCell ref="H125:I125"/>
    <mergeCell ref="J125:K125"/>
    <mergeCell ref="L125:M125"/>
    <mergeCell ref="L123:M123"/>
    <mergeCell ref="D121:F121"/>
    <mergeCell ref="H121:I121"/>
    <mergeCell ref="L32:M32"/>
    <mergeCell ref="L33:M33"/>
    <mergeCell ref="L34:M34"/>
    <mergeCell ref="L35:M35"/>
    <mergeCell ref="L36:M36"/>
    <mergeCell ref="L37:M37"/>
    <mergeCell ref="A1:N1"/>
    <mergeCell ref="A2:A155"/>
    <mergeCell ref="N2:N155"/>
    <mergeCell ref="B155:M155"/>
    <mergeCell ref="H11:M12"/>
    <mergeCell ref="H13:M14"/>
    <mergeCell ref="B144:D144"/>
    <mergeCell ref="B145:M145"/>
    <mergeCell ref="G150:M150"/>
    <mergeCell ref="G151:M151"/>
    <mergeCell ref="C152:F152"/>
    <mergeCell ref="H128:I128"/>
    <mergeCell ref="J128:K128"/>
    <mergeCell ref="L128:M128"/>
    <mergeCell ref="L129:M129"/>
    <mergeCell ref="B142:M142"/>
    <mergeCell ref="C143:E143"/>
    <mergeCell ref="H143:J143"/>
    <mergeCell ref="L51:M51"/>
    <mergeCell ref="L52:M52"/>
    <mergeCell ref="L53:M53"/>
    <mergeCell ref="L54:M54"/>
    <mergeCell ref="L38:M38"/>
    <mergeCell ref="L39:M39"/>
    <mergeCell ref="L40:M40"/>
    <mergeCell ref="L41:M41"/>
    <mergeCell ref="L42:M42"/>
    <mergeCell ref="L43:M43"/>
    <mergeCell ref="L48:M48"/>
    <mergeCell ref="L49:M49"/>
    <mergeCell ref="D112:F112"/>
    <mergeCell ref="H112:I112"/>
    <mergeCell ref="J112:K112"/>
    <mergeCell ref="L112:M112"/>
    <mergeCell ref="D110:F110"/>
    <mergeCell ref="H110:I110"/>
    <mergeCell ref="J110:K110"/>
    <mergeCell ref="L110:M110"/>
    <mergeCell ref="D111:F111"/>
    <mergeCell ref="H111:I111"/>
    <mergeCell ref="J111:K111"/>
    <mergeCell ref="L111:M111"/>
    <mergeCell ref="C153:F153"/>
    <mergeCell ref="H152:I152"/>
    <mergeCell ref="J152:K152"/>
    <mergeCell ref="H153:I153"/>
    <mergeCell ref="J153:K153"/>
    <mergeCell ref="B8:M8"/>
    <mergeCell ref="B9:I9"/>
    <mergeCell ref="J9:K9"/>
    <mergeCell ref="B113:G113"/>
    <mergeCell ref="M126:M127"/>
    <mergeCell ref="B130:G130"/>
    <mergeCell ref="B138:G139"/>
    <mergeCell ref="J139:K139"/>
    <mergeCell ref="D124:F124"/>
    <mergeCell ref="H124:I124"/>
    <mergeCell ref="J124:K124"/>
    <mergeCell ref="L124:M124"/>
    <mergeCell ref="D125:F125"/>
    <mergeCell ref="B126:G127"/>
    <mergeCell ref="D122:F122"/>
    <mergeCell ref="H122:I122"/>
    <mergeCell ref="D123:F123"/>
    <mergeCell ref="H123:I123"/>
    <mergeCell ref="J123:K123"/>
  </mergeCells>
  <conditionalFormatting sqref="C51:M54">
    <cfRule type="cellIs" dxfId="24" priority="5" operator="equal">
      <formula>0</formula>
    </cfRule>
  </conditionalFormatting>
  <conditionalFormatting sqref="J141:M141">
    <cfRule type="expression" dxfId="23" priority="3">
      <formula>$J141="Refundable)"</formula>
    </cfRule>
    <cfRule type="expression" dxfId="22" priority="4">
      <formula>$J141="(payble)"</formula>
    </cfRule>
  </conditionalFormatting>
  <conditionalFormatting sqref="M130:M141 L120:M128 L107:M116 M102 M99:M100 M97 K89:L89 J95 J87 H92:H93 J79:J80 J82 H107:K112 H116:K116 H120:K125">
    <cfRule type="cellIs" dxfId="21" priority="2" operator="equal">
      <formula>0</formula>
    </cfRule>
  </conditionalFormatting>
  <conditionalFormatting sqref="D22:M26 C32:M44 C51:M55 C57:E57 J58 H92:H94 H107:M112 H120:M125">
    <cfRule type="cellIs" dxfId="20" priority="1" operator="equal">
      <formula>0</formula>
    </cfRule>
  </conditionalFormatting>
  <pageMargins left="0.21" right="0.18" top="0.24" bottom="0.2" header="0.19" footer="0.2"/>
  <pageSetup paperSize="9" scale="75" orientation="portrait" r:id="rId1"/>
  <rowBreaks count="1" manualBreakCount="1">
    <brk id="75" max="16383" man="1"/>
  </rowBreaks>
  <colBreaks count="1" manualBreakCount="1">
    <brk id="14" max="1048575" man="1"/>
  </colBreaks>
</worksheet>
</file>

<file path=xl/worksheets/sheet9.xml><?xml version="1.0" encoding="utf-8"?>
<worksheet xmlns="http://schemas.openxmlformats.org/spreadsheetml/2006/main" xmlns:r="http://schemas.openxmlformats.org/officeDocument/2006/relationships">
  <sheetPr>
    <tabColor theme="8"/>
  </sheetPr>
  <dimension ref="A1:AA70"/>
  <sheetViews>
    <sheetView showGridLines="0" workbookViewId="0">
      <selection activeCell="O65" sqref="O65"/>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3" style="18" customWidth="1"/>
    <col min="17" max="17" width="11.42578125" style="18" customWidth="1"/>
    <col min="18" max="18" width="2.42578125" style="18" customWidth="1"/>
    <col min="19" max="19" width="1.5703125" style="1" hidden="1" customWidth="1"/>
    <col min="20" max="20" width="3.7109375" style="113" hidden="1" customWidth="1"/>
    <col min="21" max="21" width="3.42578125" style="131" hidden="1" customWidth="1"/>
    <col min="22" max="22" width="5.5703125" style="1" hidden="1" customWidth="1"/>
    <col min="23" max="25" width="14.7109375" style="131" hidden="1" customWidth="1"/>
    <col min="26" max="27" width="9" style="131" hidden="1" customWidth="1"/>
    <col min="28" max="16384" width="1.5703125" style="1" hidden="1"/>
  </cols>
  <sheetData>
    <row r="1" spans="1:27" ht="13.5" customHeight="1" thickBot="1">
      <c r="A1" s="782"/>
      <c r="B1" s="783" t="str">
        <f>'Exemp.(HRA+Other) &amp; Other incom'!A1</f>
        <v>Office: Govt. Sr. School Raimalwada (DDO Code :-12345)</v>
      </c>
      <c r="C1" s="784"/>
      <c r="D1" s="784"/>
      <c r="E1" s="784"/>
      <c r="F1" s="784"/>
      <c r="G1" s="784"/>
      <c r="H1" s="784"/>
      <c r="I1" s="784"/>
      <c r="J1" s="784"/>
      <c r="K1" s="784"/>
      <c r="L1" s="784"/>
      <c r="M1" s="784"/>
      <c r="N1" s="784"/>
      <c r="O1" s="784"/>
      <c r="P1" s="784"/>
      <c r="Q1" s="785"/>
      <c r="R1" s="807"/>
    </row>
    <row r="2" spans="1:27" ht="21" thickBot="1">
      <c r="A2" s="782"/>
      <c r="B2" s="808" t="s">
        <v>565</v>
      </c>
      <c r="C2" s="809"/>
      <c r="D2" s="809"/>
      <c r="E2" s="809"/>
      <c r="F2" s="809"/>
      <c r="G2" s="809"/>
      <c r="H2" s="809"/>
      <c r="I2" s="809"/>
      <c r="J2" s="809"/>
      <c r="K2" s="809"/>
      <c r="L2" s="809"/>
      <c r="M2" s="810"/>
      <c r="N2" s="811" t="s">
        <v>226</v>
      </c>
      <c r="O2" s="812"/>
      <c r="P2" s="812"/>
      <c r="Q2" s="813"/>
      <c r="R2" s="807"/>
    </row>
    <row r="3" spans="1:27" s="95" customFormat="1" ht="16.5" thickBot="1">
      <c r="A3" s="782"/>
      <c r="B3" s="89">
        <v>1</v>
      </c>
      <c r="C3" s="814" t="s">
        <v>157</v>
      </c>
      <c r="D3" s="814"/>
      <c r="E3" s="815" t="str">
        <f>'GA-55'!F3</f>
        <v>a</v>
      </c>
      <c r="F3" s="815"/>
      <c r="G3" s="815"/>
      <c r="H3" s="815"/>
      <c r="I3" s="815"/>
      <c r="J3" s="815"/>
      <c r="K3" s="90" t="s">
        <v>158</v>
      </c>
      <c r="L3" s="816" t="str">
        <f>'GA-55'!P3</f>
        <v>Teacher</v>
      </c>
      <c r="M3" s="816"/>
      <c r="N3" s="816"/>
      <c r="O3" s="91" t="s">
        <v>91</v>
      </c>
      <c r="P3" s="817" t="str">
        <f>'GA-55'!F5</f>
        <v>ABCDE1234F</v>
      </c>
      <c r="Q3" s="818"/>
      <c r="R3" s="807"/>
      <c r="T3" s="163"/>
      <c r="U3" s="94"/>
      <c r="W3" s="94"/>
      <c r="X3" s="94"/>
      <c r="Y3" s="94"/>
      <c r="Z3" s="94"/>
      <c r="AA3" s="94"/>
    </row>
    <row r="4" spans="1:27" ht="14.25" customHeight="1">
      <c r="A4" s="782"/>
      <c r="B4" s="103">
        <v>2</v>
      </c>
      <c r="C4" s="819" t="s">
        <v>566</v>
      </c>
      <c r="D4" s="819"/>
      <c r="E4" s="819"/>
      <c r="F4" s="819"/>
      <c r="G4" s="819"/>
      <c r="H4" s="819"/>
      <c r="I4" s="819"/>
      <c r="J4" s="819"/>
      <c r="K4" s="819"/>
      <c r="L4" s="819"/>
      <c r="M4" s="819"/>
      <c r="N4" s="819"/>
      <c r="O4" s="819"/>
      <c r="P4" s="64" t="s">
        <v>127</v>
      </c>
      <c r="Q4" s="88">
        <f>'GA-55'!O31</f>
        <v>1381266</v>
      </c>
      <c r="R4" s="807"/>
    </row>
    <row r="5" spans="1:27" ht="14.25" customHeight="1">
      <c r="A5" s="782"/>
      <c r="B5" s="104">
        <v>3</v>
      </c>
      <c r="C5" s="825" t="s">
        <v>166</v>
      </c>
      <c r="D5" s="825"/>
      <c r="E5" s="825"/>
      <c r="F5" s="825"/>
      <c r="G5" s="825"/>
      <c r="H5" s="825"/>
      <c r="I5" s="825"/>
      <c r="J5" s="825"/>
      <c r="K5" s="825"/>
      <c r="L5" s="825"/>
      <c r="M5" s="825"/>
      <c r="N5" s="825"/>
      <c r="O5" s="825"/>
      <c r="P5" s="56" t="s">
        <v>127</v>
      </c>
      <c r="Q5" s="76">
        <f>IF(N2="old tax regime",'Exemp.(HRA+Other) &amp; Other incom'!K4,0)</f>
        <v>0</v>
      </c>
      <c r="R5" s="807"/>
    </row>
    <row r="6" spans="1:27" ht="14.25" customHeight="1">
      <c r="A6" s="782"/>
      <c r="B6" s="104">
        <v>4</v>
      </c>
      <c r="C6" s="820" t="s">
        <v>160</v>
      </c>
      <c r="D6" s="820"/>
      <c r="E6" s="820"/>
      <c r="F6" s="820"/>
      <c r="G6" s="820"/>
      <c r="H6" s="820"/>
      <c r="I6" s="820"/>
      <c r="J6" s="820"/>
      <c r="K6" s="820"/>
      <c r="L6" s="820"/>
      <c r="M6" s="820"/>
      <c r="N6" s="820"/>
      <c r="O6" s="820"/>
      <c r="P6" s="56" t="s">
        <v>127</v>
      </c>
      <c r="Q6" s="81">
        <f>Q4-Q5</f>
        <v>1381266</v>
      </c>
      <c r="R6" s="807"/>
    </row>
    <row r="7" spans="1:27" ht="14.25" customHeight="1">
      <c r="A7" s="782"/>
      <c r="B7" s="821">
        <v>5</v>
      </c>
      <c r="C7" s="825" t="s">
        <v>162</v>
      </c>
      <c r="D7" s="825"/>
      <c r="E7" s="825"/>
      <c r="F7" s="825"/>
      <c r="G7" s="825"/>
      <c r="H7" s="825"/>
      <c r="I7" s="825"/>
      <c r="J7" s="825"/>
      <c r="K7" s="825"/>
      <c r="L7" s="825"/>
      <c r="M7" s="797">
        <f>'Exemp.(HRA+Other) &amp; Other incom'!L13</f>
        <v>0</v>
      </c>
      <c r="N7" s="797"/>
      <c r="O7" s="797"/>
      <c r="P7" s="823"/>
      <c r="Q7" s="824"/>
      <c r="R7" s="807"/>
    </row>
    <row r="8" spans="1:27" ht="14.25" customHeight="1">
      <c r="A8" s="782"/>
      <c r="B8" s="821"/>
      <c r="C8" s="825" t="s">
        <v>163</v>
      </c>
      <c r="D8" s="825"/>
      <c r="E8" s="825"/>
      <c r="F8" s="825"/>
      <c r="G8" s="825"/>
      <c r="H8" s="825"/>
      <c r="I8" s="825"/>
      <c r="J8" s="825"/>
      <c r="K8" s="825"/>
      <c r="L8" s="825"/>
      <c r="M8" s="797">
        <f>'Exemp.(HRA+Other) &amp; Other incom'!L14</f>
        <v>0</v>
      </c>
      <c r="N8" s="797"/>
      <c r="O8" s="797"/>
      <c r="P8" s="823"/>
      <c r="Q8" s="824"/>
      <c r="R8" s="807"/>
    </row>
    <row r="9" spans="1:27" ht="14.25" customHeight="1">
      <c r="A9" s="782"/>
      <c r="B9" s="821"/>
      <c r="C9" s="825" t="s">
        <v>164</v>
      </c>
      <c r="D9" s="825"/>
      <c r="E9" s="825"/>
      <c r="F9" s="825"/>
      <c r="G9" s="825"/>
      <c r="H9" s="825"/>
      <c r="I9" s="825"/>
      <c r="J9" s="825"/>
      <c r="K9" s="825"/>
      <c r="L9" s="825"/>
      <c r="M9" s="797">
        <v>50000</v>
      </c>
      <c r="N9" s="797"/>
      <c r="O9" s="797"/>
      <c r="P9" s="56" t="s">
        <v>127</v>
      </c>
      <c r="Q9" s="76">
        <f>IF(N2="old tax regime",M7+M8+M9,0)</f>
        <v>50000</v>
      </c>
      <c r="R9" s="807"/>
    </row>
    <row r="10" spans="1:27" ht="14.25" customHeight="1">
      <c r="A10" s="782"/>
      <c r="B10" s="104">
        <v>6</v>
      </c>
      <c r="C10" s="820" t="s">
        <v>165</v>
      </c>
      <c r="D10" s="820"/>
      <c r="E10" s="820"/>
      <c r="F10" s="820"/>
      <c r="G10" s="820"/>
      <c r="H10" s="820"/>
      <c r="I10" s="820"/>
      <c r="J10" s="820"/>
      <c r="K10" s="820"/>
      <c r="L10" s="820"/>
      <c r="M10" s="820"/>
      <c r="N10" s="820"/>
      <c r="O10" s="820"/>
      <c r="P10" s="56" t="s">
        <v>127</v>
      </c>
      <c r="Q10" s="81">
        <f>Q6-Q9</f>
        <v>1331266</v>
      </c>
      <c r="R10" s="807"/>
    </row>
    <row r="11" spans="1:27" ht="9" customHeight="1">
      <c r="A11" s="782"/>
      <c r="B11" s="821">
        <v>7</v>
      </c>
      <c r="C11" s="825" t="s">
        <v>167</v>
      </c>
      <c r="D11" s="825"/>
      <c r="E11" s="825"/>
      <c r="F11" s="825"/>
      <c r="G11" s="825"/>
      <c r="H11" s="825"/>
      <c r="I11" s="825"/>
      <c r="J11" s="825"/>
      <c r="K11" s="787" t="s">
        <v>168</v>
      </c>
      <c r="L11" s="787"/>
      <c r="M11" s="797">
        <f>'Exemp.(HRA+Other) &amp; Other incom'!L7</f>
        <v>0</v>
      </c>
      <c r="N11" s="797"/>
      <c r="O11" s="797"/>
      <c r="P11" s="787"/>
      <c r="Q11" s="826"/>
      <c r="R11" s="807"/>
    </row>
    <row r="12" spans="1:27" ht="22.5" customHeight="1">
      <c r="A12" s="782"/>
      <c r="B12" s="821"/>
      <c r="C12" s="786" t="s">
        <v>169</v>
      </c>
      <c r="D12" s="786"/>
      <c r="E12" s="787" t="s">
        <v>170</v>
      </c>
      <c r="F12" s="787"/>
      <c r="G12" s="787"/>
      <c r="H12" s="788" t="s">
        <v>171</v>
      </c>
      <c r="I12" s="788"/>
      <c r="J12" s="788"/>
      <c r="K12" s="787" t="s">
        <v>128</v>
      </c>
      <c r="L12" s="787"/>
      <c r="M12" s="796" t="s">
        <v>172</v>
      </c>
      <c r="N12" s="796"/>
      <c r="O12" s="796"/>
      <c r="P12" s="787"/>
      <c r="Q12" s="826"/>
      <c r="R12" s="807"/>
    </row>
    <row r="13" spans="1:27" ht="21.75" customHeight="1">
      <c r="A13" s="782"/>
      <c r="B13" s="821"/>
      <c r="C13" s="786"/>
      <c r="D13" s="786"/>
      <c r="E13" s="797">
        <f>IF(N2="old tax regime",ROUND(M11*0.3,0),0)</f>
        <v>0</v>
      </c>
      <c r="F13" s="797"/>
      <c r="G13" s="797"/>
      <c r="H13" s="797">
        <f>IF(N2="old tax regime",'Exemp.(HRA+Other) &amp; Other incom'!L17,0)</f>
        <v>0</v>
      </c>
      <c r="I13" s="797"/>
      <c r="J13" s="797"/>
      <c r="K13" s="797">
        <f>IF(N2="old tax regime",'Exemp.(HRA+Other) &amp; Other incom'!L15,0)</f>
        <v>0</v>
      </c>
      <c r="L13" s="797"/>
      <c r="M13" s="798">
        <f>E13+H13+K13</f>
        <v>0</v>
      </c>
      <c r="N13" s="798"/>
      <c r="O13" s="798"/>
      <c r="P13" s="787"/>
      <c r="Q13" s="826"/>
      <c r="R13" s="807"/>
    </row>
    <row r="14" spans="1:27" ht="21.75" customHeight="1">
      <c r="A14" s="782"/>
      <c r="B14" s="104"/>
      <c r="C14" s="799" t="s">
        <v>174</v>
      </c>
      <c r="D14" s="800"/>
      <c r="E14" s="800"/>
      <c r="F14" s="800"/>
      <c r="G14" s="800"/>
      <c r="H14" s="800"/>
      <c r="I14" s="800"/>
      <c r="J14" s="800"/>
      <c r="K14" s="800"/>
      <c r="L14" s="800"/>
      <c r="M14" s="800"/>
      <c r="N14" s="800"/>
      <c r="O14" s="801"/>
      <c r="P14" s="56" t="s">
        <v>127</v>
      </c>
      <c r="Q14" s="76">
        <f>M11-M13</f>
        <v>0</v>
      </c>
      <c r="R14" s="807"/>
    </row>
    <row r="15" spans="1:27" ht="21.75" customHeight="1">
      <c r="A15" s="782"/>
      <c r="B15" s="104">
        <v>8</v>
      </c>
      <c r="C15" s="789" t="s">
        <v>173</v>
      </c>
      <c r="D15" s="790"/>
      <c r="E15" s="790"/>
      <c r="F15" s="790"/>
      <c r="G15" s="790"/>
      <c r="H15" s="790"/>
      <c r="I15" s="790"/>
      <c r="J15" s="790"/>
      <c r="K15" s="790"/>
      <c r="L15" s="790"/>
      <c r="M15" s="790"/>
      <c r="N15" s="790"/>
      <c r="O15" s="791"/>
      <c r="P15" s="56" t="s">
        <v>127</v>
      </c>
      <c r="Q15" s="81">
        <f>Q10+Q14</f>
        <v>1331266</v>
      </c>
      <c r="R15" s="807"/>
    </row>
    <row r="16" spans="1:27" ht="21.75" customHeight="1">
      <c r="A16" s="782"/>
      <c r="B16" s="792">
        <v>9</v>
      </c>
      <c r="C16" s="961" t="s">
        <v>155</v>
      </c>
      <c r="D16" s="109" t="s">
        <v>119</v>
      </c>
      <c r="E16" s="962" t="str">
        <f>'Exemp.(HRA+Other) &amp; Other incom'!B8</f>
        <v>अन्य आय (बैंक/एफडी में जमा ब्याज/अन्य ब्याज आदि का योग</v>
      </c>
      <c r="F16" s="825"/>
      <c r="G16" s="825"/>
      <c r="H16" s="825"/>
      <c r="I16" s="825"/>
      <c r="J16" s="825"/>
      <c r="K16" s="825"/>
      <c r="L16" s="825"/>
      <c r="M16" s="825"/>
      <c r="N16" s="825"/>
      <c r="O16" s="825"/>
      <c r="P16" s="56" t="s">
        <v>127</v>
      </c>
      <c r="Q16" s="76">
        <f>'Exemp.(HRA+Other) &amp; Other incom'!L8</f>
        <v>0</v>
      </c>
      <c r="R16" s="807"/>
    </row>
    <row r="17" spans="1:18" ht="21.75" customHeight="1">
      <c r="A17" s="782"/>
      <c r="B17" s="792"/>
      <c r="C17" s="961"/>
      <c r="D17" s="109" t="s">
        <v>120</v>
      </c>
      <c r="E17" s="962" t="str">
        <f>'Exemp.(HRA+Other) &amp; Other incom'!C9</f>
        <v>(-----------------------------------------------------)</v>
      </c>
      <c r="F17" s="825"/>
      <c r="G17" s="825"/>
      <c r="H17" s="825"/>
      <c r="I17" s="825"/>
      <c r="J17" s="825"/>
      <c r="K17" s="825"/>
      <c r="L17" s="825"/>
      <c r="M17" s="825"/>
      <c r="N17" s="825"/>
      <c r="O17" s="825"/>
      <c r="P17" s="69"/>
      <c r="Q17" s="76">
        <f>'Exemp.(HRA+Other) &amp; Other incom'!L9</f>
        <v>0</v>
      </c>
      <c r="R17" s="807"/>
    </row>
    <row r="18" spans="1:18" ht="21.75" customHeight="1">
      <c r="A18" s="782"/>
      <c r="B18" s="792"/>
      <c r="C18" s="961"/>
      <c r="D18" s="109" t="s">
        <v>121</v>
      </c>
      <c r="E18" s="962" t="str">
        <f>'Exemp.(HRA+Other) &amp; Other incom'!C10</f>
        <v>(-----------------------------------------------------)</v>
      </c>
      <c r="F18" s="825"/>
      <c r="G18" s="825"/>
      <c r="H18" s="825"/>
      <c r="I18" s="825"/>
      <c r="J18" s="825"/>
      <c r="K18" s="825"/>
      <c r="L18" s="825"/>
      <c r="M18" s="825"/>
      <c r="N18" s="825"/>
      <c r="O18" s="825"/>
      <c r="P18" s="69"/>
      <c r="Q18" s="76">
        <f>'Exemp.(HRA+Other) &amp; Other incom'!L10</f>
        <v>0</v>
      </c>
      <c r="R18" s="807"/>
    </row>
    <row r="19" spans="1:18" ht="21.75" customHeight="1" thickBot="1">
      <c r="A19" s="782"/>
      <c r="B19" s="105"/>
      <c r="C19" s="828" t="s">
        <v>175</v>
      </c>
      <c r="D19" s="828"/>
      <c r="E19" s="828"/>
      <c r="F19" s="828"/>
      <c r="G19" s="828"/>
      <c r="H19" s="828"/>
      <c r="I19" s="828"/>
      <c r="J19" s="828"/>
      <c r="K19" s="828"/>
      <c r="L19" s="828"/>
      <c r="M19" s="828"/>
      <c r="N19" s="828"/>
      <c r="O19" s="828"/>
      <c r="P19" s="70"/>
      <c r="Q19" s="86">
        <f>Q16+Q17+Q18</f>
        <v>0</v>
      </c>
      <c r="R19" s="807"/>
    </row>
    <row r="20" spans="1:18" ht="21.75" customHeight="1" thickBot="1">
      <c r="A20" s="782"/>
      <c r="B20" s="66">
        <v>10</v>
      </c>
      <c r="C20" s="829" t="s">
        <v>176</v>
      </c>
      <c r="D20" s="829"/>
      <c r="E20" s="829"/>
      <c r="F20" s="829"/>
      <c r="G20" s="829"/>
      <c r="H20" s="829"/>
      <c r="I20" s="829"/>
      <c r="J20" s="829"/>
      <c r="K20" s="829"/>
      <c r="L20" s="829"/>
      <c r="M20" s="829"/>
      <c r="N20" s="829"/>
      <c r="O20" s="829"/>
      <c r="P20" s="63" t="s">
        <v>127</v>
      </c>
      <c r="Q20" s="87">
        <f>Q15+Q19</f>
        <v>1331266</v>
      </c>
      <c r="R20" s="807"/>
    </row>
    <row r="21" spans="1:18" ht="21.75" customHeight="1">
      <c r="A21" s="782"/>
      <c r="B21" s="830">
        <v>11</v>
      </c>
      <c r="C21" s="953" t="s">
        <v>177</v>
      </c>
      <c r="D21" s="953"/>
      <c r="E21" s="953"/>
      <c r="F21" s="953"/>
      <c r="G21" s="953"/>
      <c r="H21" s="953"/>
      <c r="I21" s="953"/>
      <c r="J21" s="953"/>
      <c r="K21" s="953"/>
      <c r="L21" s="953"/>
      <c r="M21" s="953"/>
      <c r="N21" s="953"/>
      <c r="O21" s="953"/>
      <c r="P21" s="953"/>
      <c r="Q21" s="954"/>
      <c r="R21" s="807"/>
    </row>
    <row r="22" spans="1:18" ht="14.25" customHeight="1">
      <c r="A22" s="782"/>
      <c r="B22" s="821"/>
      <c r="C22" s="950" t="s">
        <v>178</v>
      </c>
      <c r="D22" s="950"/>
      <c r="E22" s="950"/>
      <c r="F22" s="950"/>
      <c r="G22" s="950"/>
      <c r="H22" s="950"/>
      <c r="I22" s="950"/>
      <c r="J22" s="950"/>
      <c r="K22" s="950"/>
      <c r="L22" s="950"/>
      <c r="M22" s="950"/>
      <c r="N22" s="950"/>
      <c r="O22" s="950"/>
      <c r="P22" s="950"/>
      <c r="Q22" s="955"/>
      <c r="R22" s="807"/>
    </row>
    <row r="23" spans="1:18" ht="16.5" customHeight="1">
      <c r="A23" s="782"/>
      <c r="B23" s="821"/>
      <c r="C23" s="109" t="s">
        <v>92</v>
      </c>
      <c r="D23" s="825" t="s">
        <v>179</v>
      </c>
      <c r="E23" s="825"/>
      <c r="F23" s="825"/>
      <c r="G23" s="825"/>
      <c r="H23" s="58" t="s">
        <v>127</v>
      </c>
      <c r="I23" s="83">
        <f>IF(N2="old tax regime",'GA-55'!Q31,0)</f>
        <v>60000</v>
      </c>
      <c r="J23" s="109" t="s">
        <v>93</v>
      </c>
      <c r="K23" s="946" t="s">
        <v>184</v>
      </c>
      <c r="L23" s="947"/>
      <c r="M23" s="948"/>
      <c r="N23" s="58" t="s">
        <v>127</v>
      </c>
      <c r="O23" s="83">
        <f>IF(N2="old tax regime",'Exemp.(HRA+Other) &amp; Other incom'!Q15,0)</f>
        <v>0</v>
      </c>
      <c r="P23" s="956"/>
      <c r="Q23" s="957"/>
      <c r="R23" s="807"/>
    </row>
    <row r="24" spans="1:18" ht="16.5" customHeight="1">
      <c r="A24" s="782"/>
      <c r="B24" s="821"/>
      <c r="C24" s="109" t="s">
        <v>94</v>
      </c>
      <c r="D24" s="825" t="s">
        <v>180</v>
      </c>
      <c r="E24" s="825"/>
      <c r="F24" s="825"/>
      <c r="G24" s="825"/>
      <c r="H24" s="58" t="s">
        <v>127</v>
      </c>
      <c r="I24" s="83">
        <f>IF(N2="old tax regime",'GA-55'!T31+'Exemp.(HRA+Other) &amp; Other incom'!L18,0)</f>
        <v>0</v>
      </c>
      <c r="J24" s="109" t="s">
        <v>95</v>
      </c>
      <c r="K24" s="946" t="s">
        <v>136</v>
      </c>
      <c r="L24" s="947"/>
      <c r="M24" s="948"/>
      <c r="N24" s="58" t="s">
        <v>127</v>
      </c>
      <c r="O24" s="84">
        <f>IF(N2="old tax regime",'Exemp.(HRA+Other) &amp; Other incom'!L23,0)</f>
        <v>0</v>
      </c>
      <c r="P24" s="956"/>
      <c r="Q24" s="957"/>
      <c r="R24" s="807"/>
    </row>
    <row r="25" spans="1:18" ht="16.5" customHeight="1">
      <c r="A25" s="782"/>
      <c r="B25" s="821"/>
      <c r="C25" s="109" t="s">
        <v>96</v>
      </c>
      <c r="D25" s="825" t="s">
        <v>135</v>
      </c>
      <c r="E25" s="825"/>
      <c r="F25" s="825"/>
      <c r="G25" s="825"/>
      <c r="H25" s="58" t="s">
        <v>127</v>
      </c>
      <c r="I25" s="83">
        <f>IF(N2="old tax regime",'Exemp.(HRA+Other) &amp; Other incom'!L22,0)</f>
        <v>0</v>
      </c>
      <c r="J25" s="109" t="s">
        <v>97</v>
      </c>
      <c r="K25" s="946" t="s">
        <v>133</v>
      </c>
      <c r="L25" s="947"/>
      <c r="M25" s="948"/>
      <c r="N25" s="58" t="s">
        <v>127</v>
      </c>
      <c r="O25" s="84">
        <f>IF(N2="old tax regime",'Exemp.(HRA+Other) &amp; Other incom'!L20,0)</f>
        <v>0</v>
      </c>
      <c r="P25" s="956"/>
      <c r="Q25" s="957"/>
      <c r="R25" s="807"/>
    </row>
    <row r="26" spans="1:18" ht="16.5" customHeight="1">
      <c r="A26" s="782"/>
      <c r="B26" s="821"/>
      <c r="C26" s="109" t="s">
        <v>98</v>
      </c>
      <c r="D26" s="825" t="s">
        <v>137</v>
      </c>
      <c r="E26" s="825"/>
      <c r="F26" s="825"/>
      <c r="G26" s="825"/>
      <c r="H26" s="58" t="s">
        <v>127</v>
      </c>
      <c r="I26" s="83">
        <f>IF(N2="old tax regime",'Exemp.(HRA+Other) &amp; Other incom'!L24,0)</f>
        <v>0</v>
      </c>
      <c r="J26" s="109" t="s">
        <v>99</v>
      </c>
      <c r="K26" s="958" t="s">
        <v>150</v>
      </c>
      <c r="L26" s="958"/>
      <c r="M26" s="958"/>
      <c r="N26" s="58" t="s">
        <v>127</v>
      </c>
      <c r="O26" s="83">
        <f>IF(N2="old tax regime",'Exemp.(HRA+Other) &amp; Other incom'!Q24,0)</f>
        <v>0</v>
      </c>
      <c r="P26" s="956"/>
      <c r="Q26" s="957"/>
      <c r="R26" s="807"/>
    </row>
    <row r="27" spans="1:18" ht="16.5" customHeight="1">
      <c r="A27" s="782"/>
      <c r="B27" s="821"/>
      <c r="C27" s="109" t="s">
        <v>100</v>
      </c>
      <c r="D27" s="825" t="s">
        <v>181</v>
      </c>
      <c r="E27" s="825"/>
      <c r="F27" s="825"/>
      <c r="G27" s="825"/>
      <c r="H27" s="58" t="s">
        <v>127</v>
      </c>
      <c r="I27" s="83">
        <f>IF(N2="old tax regime",'Exemp.(HRA+Other) &amp; Other incom'!L25,0)</f>
        <v>0</v>
      </c>
      <c r="J27" s="109" t="s">
        <v>101</v>
      </c>
      <c r="K27" s="946" t="s">
        <v>187</v>
      </c>
      <c r="L27" s="947"/>
      <c r="M27" s="948"/>
      <c r="N27" s="58" t="s">
        <v>127</v>
      </c>
      <c r="O27" s="83">
        <f>IF(N2="old tax regime",'Exemp.(HRA+Other) &amp; Other incom'!Q25,0)</f>
        <v>0</v>
      </c>
      <c r="P27" s="956"/>
      <c r="Q27" s="957"/>
      <c r="R27" s="807"/>
    </row>
    <row r="28" spans="1:18" ht="16.5" customHeight="1">
      <c r="A28" s="782"/>
      <c r="B28" s="821"/>
      <c r="C28" s="109" t="s">
        <v>102</v>
      </c>
      <c r="D28" s="786" t="s">
        <v>122</v>
      </c>
      <c r="E28" s="786"/>
      <c r="F28" s="786"/>
      <c r="G28" s="786"/>
      <c r="H28" s="58" t="s">
        <v>127</v>
      </c>
      <c r="I28" s="83">
        <f>IF(N2="old tax regime",'GA-55'!P31,0)</f>
        <v>50006</v>
      </c>
      <c r="J28" s="109" t="s">
        <v>103</v>
      </c>
      <c r="K28" s="958" t="s">
        <v>186</v>
      </c>
      <c r="L28" s="958"/>
      <c r="M28" s="958"/>
      <c r="N28" s="58" t="s">
        <v>127</v>
      </c>
      <c r="O28" s="83">
        <f>IF(N2="old tax regime",'Exemp.(HRA+Other) &amp; Other incom'!L19,0)</f>
        <v>0</v>
      </c>
      <c r="P28" s="956"/>
      <c r="Q28" s="957"/>
      <c r="R28" s="807"/>
    </row>
    <row r="29" spans="1:18" ht="16.5" customHeight="1">
      <c r="A29" s="782"/>
      <c r="B29" s="821"/>
      <c r="C29" s="109" t="s">
        <v>104</v>
      </c>
      <c r="D29" s="825" t="s">
        <v>182</v>
      </c>
      <c r="E29" s="825"/>
      <c r="F29" s="825"/>
      <c r="G29" s="825"/>
      <c r="H29" s="58" t="s">
        <v>127</v>
      </c>
      <c r="I29" s="84">
        <f>IF(N2="old tax regime",'GA-55'!U31,0)</f>
        <v>1400</v>
      </c>
      <c r="J29" s="109" t="s">
        <v>105</v>
      </c>
      <c r="K29" s="946" t="s">
        <v>140</v>
      </c>
      <c r="L29" s="947"/>
      <c r="M29" s="948"/>
      <c r="N29" s="58" t="s">
        <v>127</v>
      </c>
      <c r="O29" s="83">
        <f>IF(N2="old tax regime",'Exemp.(HRA+Other) &amp; Other incom'!Q14,0)</f>
        <v>0</v>
      </c>
      <c r="P29" s="956"/>
      <c r="Q29" s="957"/>
      <c r="R29" s="807"/>
    </row>
    <row r="30" spans="1:18" ht="16.5" customHeight="1">
      <c r="A30" s="782"/>
      <c r="B30" s="821"/>
      <c r="C30" s="109" t="s">
        <v>106</v>
      </c>
      <c r="D30" s="825" t="s">
        <v>134</v>
      </c>
      <c r="E30" s="825"/>
      <c r="F30" s="825"/>
      <c r="G30" s="825"/>
      <c r="H30" s="58" t="s">
        <v>127</v>
      </c>
      <c r="I30" s="84">
        <f>IF(N2="old tax regime",'Exemp.(HRA+Other) &amp; Other incom'!L21,0)</f>
        <v>0</v>
      </c>
      <c r="J30" s="109" t="s">
        <v>107</v>
      </c>
      <c r="K30" s="958" t="s">
        <v>185</v>
      </c>
      <c r="L30" s="958"/>
      <c r="M30" s="958"/>
      <c r="N30" s="58" t="s">
        <v>127</v>
      </c>
      <c r="O30" s="83">
        <f>IF(N2="old tax regime",'Exemp.(HRA+Other) &amp; Other incom'!L26,0)</f>
        <v>0</v>
      </c>
      <c r="P30" s="956"/>
      <c r="Q30" s="957"/>
      <c r="R30" s="807"/>
    </row>
    <row r="31" spans="1:18" ht="16.5" customHeight="1">
      <c r="A31" s="782"/>
      <c r="B31" s="821"/>
      <c r="C31" s="109" t="s">
        <v>108</v>
      </c>
      <c r="D31" s="952" t="s">
        <v>183</v>
      </c>
      <c r="E31" s="952"/>
      <c r="F31" s="952"/>
      <c r="G31" s="952"/>
      <c r="H31" s="58" t="s">
        <v>127</v>
      </c>
      <c r="I31" s="83">
        <f>IF(N2="old tax regime",'Exemp.(HRA+Other) &amp; Other incom'!L16,0)</f>
        <v>0</v>
      </c>
      <c r="J31" s="109" t="s">
        <v>109</v>
      </c>
      <c r="K31" s="958"/>
      <c r="L31" s="958"/>
      <c r="M31" s="958"/>
      <c r="N31" s="58" t="s">
        <v>127</v>
      </c>
      <c r="O31" s="83"/>
      <c r="P31" s="956"/>
      <c r="Q31" s="957"/>
      <c r="R31" s="807"/>
    </row>
    <row r="32" spans="1:18" ht="16.5" customHeight="1">
      <c r="A32" s="782"/>
      <c r="B32" s="821"/>
      <c r="C32" s="960" t="s">
        <v>188</v>
      </c>
      <c r="D32" s="960"/>
      <c r="E32" s="960"/>
      <c r="F32" s="960"/>
      <c r="G32" s="960"/>
      <c r="H32" s="960"/>
      <c r="I32" s="960"/>
      <c r="J32" s="960"/>
      <c r="K32" s="960"/>
      <c r="L32" s="960"/>
      <c r="M32" s="960"/>
      <c r="N32" s="58" t="s">
        <v>127</v>
      </c>
      <c r="O32" s="85">
        <f>SUM(O23:O31,I23:I31)</f>
        <v>111406</v>
      </c>
      <c r="P32" s="956"/>
      <c r="Q32" s="957"/>
      <c r="R32" s="807"/>
    </row>
    <row r="33" spans="1:27" ht="15.75" customHeight="1">
      <c r="A33" s="782"/>
      <c r="B33" s="821"/>
      <c r="C33" s="960" t="s">
        <v>189</v>
      </c>
      <c r="D33" s="960"/>
      <c r="E33" s="960"/>
      <c r="F33" s="960"/>
      <c r="G33" s="960"/>
      <c r="H33" s="960"/>
      <c r="I33" s="960"/>
      <c r="J33" s="960"/>
      <c r="K33" s="960"/>
      <c r="L33" s="960"/>
      <c r="M33" s="960"/>
      <c r="N33" s="960"/>
      <c r="O33" s="960"/>
      <c r="P33" s="68" t="s">
        <v>127</v>
      </c>
      <c r="Q33" s="81">
        <f>IF(N2="new tax regime",0,IF(O32&gt;=150000,150000,O32))</f>
        <v>111406</v>
      </c>
      <c r="R33" s="807"/>
    </row>
    <row r="34" spans="1:27" ht="15.75" customHeight="1">
      <c r="A34" s="782"/>
      <c r="B34" s="821"/>
      <c r="C34" s="950" t="s">
        <v>190</v>
      </c>
      <c r="D34" s="950"/>
      <c r="E34" s="950"/>
      <c r="F34" s="950"/>
      <c r="G34" s="950"/>
      <c r="H34" s="950"/>
      <c r="I34" s="950"/>
      <c r="J34" s="950"/>
      <c r="K34" s="950"/>
      <c r="L34" s="950"/>
      <c r="M34" s="950"/>
      <c r="N34" s="950"/>
      <c r="O34" s="950"/>
      <c r="P34" s="56" t="s">
        <v>127</v>
      </c>
      <c r="Q34" s="81">
        <f>IF(N2="old tax regime",'Exemp.(HRA+Other) &amp; Other incom'!Q16,0)</f>
        <v>0</v>
      </c>
      <c r="R34" s="807"/>
    </row>
    <row r="35" spans="1:27" ht="15.75" customHeight="1">
      <c r="A35" s="782"/>
      <c r="B35" s="821"/>
      <c r="C35" s="839" t="s">
        <v>192</v>
      </c>
      <c r="D35" s="839"/>
      <c r="E35" s="839"/>
      <c r="F35" s="839"/>
      <c r="G35" s="839"/>
      <c r="H35" s="839"/>
      <c r="I35" s="839"/>
      <c r="J35" s="839"/>
      <c r="K35" s="839"/>
      <c r="L35" s="839"/>
      <c r="M35" s="839"/>
      <c r="N35" s="839"/>
      <c r="O35" s="839"/>
      <c r="P35" s="57" t="s">
        <v>127</v>
      </c>
      <c r="Q35" s="82">
        <f>Q33+Q34</f>
        <v>111406</v>
      </c>
      <c r="R35" s="807"/>
    </row>
    <row r="36" spans="1:27" ht="15.75" customHeight="1">
      <c r="A36" s="782"/>
      <c r="B36" s="821">
        <v>12</v>
      </c>
      <c r="C36" s="842" t="s">
        <v>191</v>
      </c>
      <c r="D36" s="842"/>
      <c r="E36" s="842"/>
      <c r="F36" s="842"/>
      <c r="G36" s="842"/>
      <c r="H36" s="842"/>
      <c r="I36" s="842"/>
      <c r="J36" s="842"/>
      <c r="K36" s="842"/>
      <c r="L36" s="842"/>
      <c r="M36" s="842"/>
      <c r="N36" s="842"/>
      <c r="O36" s="842"/>
      <c r="P36" s="842"/>
      <c r="Q36" s="843"/>
      <c r="R36" s="807"/>
    </row>
    <row r="37" spans="1:27" ht="15.75" customHeight="1">
      <c r="A37" s="782"/>
      <c r="B37" s="821"/>
      <c r="C37" s="951" t="s">
        <v>219</v>
      </c>
      <c r="D37" s="951"/>
      <c r="E37" s="951"/>
      <c r="F37" s="951"/>
      <c r="G37" s="951"/>
      <c r="H37" s="951"/>
      <c r="I37" s="951"/>
      <c r="J37" s="951"/>
      <c r="K37" s="951"/>
      <c r="L37" s="951"/>
      <c r="M37" s="951"/>
      <c r="N37" s="951"/>
      <c r="O37" s="951"/>
      <c r="P37" s="56" t="s">
        <v>127</v>
      </c>
      <c r="Q37" s="76">
        <f>IF(N2="old tax regime",'Exemp.(HRA+Other) &amp; Other incom'!Q17,0)</f>
        <v>0</v>
      </c>
      <c r="R37" s="807"/>
    </row>
    <row r="38" spans="1:27" ht="15.75" customHeight="1">
      <c r="A38" s="782"/>
      <c r="B38" s="821"/>
      <c r="C38" s="825" t="s">
        <v>196</v>
      </c>
      <c r="D38" s="825"/>
      <c r="E38" s="825"/>
      <c r="F38" s="825"/>
      <c r="G38" s="825"/>
      <c r="H38" s="825"/>
      <c r="I38" s="825"/>
      <c r="J38" s="825"/>
      <c r="K38" s="825"/>
      <c r="L38" s="825"/>
      <c r="M38" s="825"/>
      <c r="N38" s="825"/>
      <c r="O38" s="825"/>
      <c r="P38" s="56" t="s">
        <v>127</v>
      </c>
      <c r="Q38" s="76">
        <f>IF(N2="old tax regime",'Exemp.(HRA+Other) &amp; Other incom'!Q18,0)</f>
        <v>0</v>
      </c>
      <c r="R38" s="807"/>
    </row>
    <row r="39" spans="1:27" ht="15.75" customHeight="1">
      <c r="A39" s="782"/>
      <c r="B39" s="821"/>
      <c r="C39" s="825" t="s">
        <v>193</v>
      </c>
      <c r="D39" s="825"/>
      <c r="E39" s="825"/>
      <c r="F39" s="825"/>
      <c r="G39" s="825"/>
      <c r="H39" s="825"/>
      <c r="I39" s="825"/>
      <c r="J39" s="825"/>
      <c r="K39" s="825"/>
      <c r="L39" s="825"/>
      <c r="M39" s="825"/>
      <c r="N39" s="825"/>
      <c r="O39" s="825"/>
      <c r="P39" s="56" t="s">
        <v>127</v>
      </c>
      <c r="Q39" s="76">
        <f>IF(N2="old tax regime",'Exemp.(HRA+Other) &amp; Other incom'!Q19,0)</f>
        <v>0</v>
      </c>
      <c r="R39" s="807"/>
    </row>
    <row r="40" spans="1:27" ht="15.75" customHeight="1">
      <c r="A40" s="782"/>
      <c r="B40" s="821"/>
      <c r="C40" s="825" t="s">
        <v>194</v>
      </c>
      <c r="D40" s="825"/>
      <c r="E40" s="825"/>
      <c r="F40" s="825"/>
      <c r="G40" s="825"/>
      <c r="H40" s="825"/>
      <c r="I40" s="825"/>
      <c r="J40" s="825"/>
      <c r="K40" s="825"/>
      <c r="L40" s="825"/>
      <c r="M40" s="825"/>
      <c r="N40" s="825"/>
      <c r="O40" s="825"/>
      <c r="P40" s="56" t="s">
        <v>127</v>
      </c>
      <c r="Q40" s="76">
        <f>IF(N2="old tax regime",'Exemp.(HRA+Other) &amp; Other incom'!Q20,0)</f>
        <v>0</v>
      </c>
      <c r="R40" s="807"/>
    </row>
    <row r="41" spans="1:27" ht="15.75" customHeight="1">
      <c r="A41" s="782"/>
      <c r="B41" s="821"/>
      <c r="C41" s="825" t="s">
        <v>195</v>
      </c>
      <c r="D41" s="825"/>
      <c r="E41" s="825"/>
      <c r="F41" s="825"/>
      <c r="G41" s="825"/>
      <c r="H41" s="825"/>
      <c r="I41" s="825"/>
      <c r="J41" s="825"/>
      <c r="K41" s="825"/>
      <c r="L41" s="825"/>
      <c r="M41" s="825"/>
      <c r="N41" s="825"/>
      <c r="O41" s="825"/>
      <c r="P41" s="56" t="s">
        <v>127</v>
      </c>
      <c r="Q41" s="76">
        <f>IF(N2="old tax regime",'Exemp.(HRA+Other) &amp; Other incom'!Q21,0)</f>
        <v>0</v>
      </c>
      <c r="R41" s="807"/>
      <c r="T41" s="96"/>
      <c r="U41" s="96"/>
      <c r="V41" s="96"/>
      <c r="W41" s="96" t="s">
        <v>227</v>
      </c>
      <c r="X41" s="96" t="s">
        <v>228</v>
      </c>
      <c r="Y41" s="97" t="s">
        <v>229</v>
      </c>
      <c r="Z41" s="305" t="s">
        <v>230</v>
      </c>
      <c r="AA41" s="305"/>
    </row>
    <row r="42" spans="1:27" ht="15.75" customHeight="1">
      <c r="A42" s="782"/>
      <c r="B42" s="821"/>
      <c r="C42" s="951" t="s">
        <v>197</v>
      </c>
      <c r="D42" s="951"/>
      <c r="E42" s="951"/>
      <c r="F42" s="951"/>
      <c r="G42" s="951"/>
      <c r="H42" s="951"/>
      <c r="I42" s="951"/>
      <c r="J42" s="951"/>
      <c r="K42" s="951"/>
      <c r="L42" s="951"/>
      <c r="M42" s="951"/>
      <c r="N42" s="951"/>
      <c r="O42" s="951"/>
      <c r="P42" s="56" t="s">
        <v>127</v>
      </c>
      <c r="Q42" s="76">
        <f>IF(N2="old tax regime",'Exemp.(HRA+Other) &amp; Other incom'!Q22,0)</f>
        <v>0</v>
      </c>
      <c r="R42" s="807"/>
      <c r="T42" s="96"/>
      <c r="U42" s="96"/>
      <c r="V42" s="96"/>
      <c r="W42" s="96">
        <f>IF($Q$48&gt;1000000,1,IF($Q$48&gt;500000,2,IF($Q$48&gt;300000,3,IF($Q$48&gt;250000,4,0))))</f>
        <v>1</v>
      </c>
      <c r="X42" s="96">
        <f>IF($Q$48&gt;1000000,1,IF($Q$48&gt;500000,2,IF($Q$48&gt;300000,3,0)))</f>
        <v>1</v>
      </c>
      <c r="Y42" s="96">
        <f>IF($Q$48&gt;1000000,1,IF($Q$48&gt;500000,2,0))</f>
        <v>1</v>
      </c>
      <c r="Z42" s="305">
        <f>IF($Q$48&gt;1000000,1,0)</f>
        <v>1</v>
      </c>
      <c r="AA42" s="305"/>
    </row>
    <row r="43" spans="1:27" ht="15.75" customHeight="1">
      <c r="A43" s="782"/>
      <c r="B43" s="821"/>
      <c r="C43" s="952" t="s">
        <v>198</v>
      </c>
      <c r="D43" s="952"/>
      <c r="E43" s="952"/>
      <c r="F43" s="952"/>
      <c r="G43" s="952"/>
      <c r="H43" s="952"/>
      <c r="I43" s="952"/>
      <c r="J43" s="952"/>
      <c r="K43" s="952"/>
      <c r="L43" s="952"/>
      <c r="M43" s="952"/>
      <c r="N43" s="952"/>
      <c r="O43" s="952"/>
      <c r="P43" s="56" t="s">
        <v>127</v>
      </c>
      <c r="Q43" s="76">
        <f>IF(N2="old tax regime",'Exemp.(HRA+Other) &amp; Other incom'!Q13,0)</f>
        <v>0</v>
      </c>
      <c r="R43" s="807"/>
      <c r="T43" s="96"/>
      <c r="U43" s="96"/>
      <c r="V43" s="96" t="s">
        <v>224</v>
      </c>
      <c r="W43" s="96">
        <f>IF(W42&gt;=1,2500,0)</f>
        <v>2500</v>
      </c>
      <c r="X43" s="96">
        <f>IF(X42=3,ROUND((Q48-300000)*0.05,0),IF(X42=0,0,10000))</f>
        <v>10000</v>
      </c>
      <c r="Y43" s="96">
        <f>IF(Y42=2,($Q$48-500000)*0.2,IF(Y42=1,100000,0))</f>
        <v>100000</v>
      </c>
      <c r="Z43" s="305">
        <f>IF(Z42&gt;0,($Q$48-1000000)*0.3,0)</f>
        <v>65958</v>
      </c>
      <c r="AA43" s="305"/>
    </row>
    <row r="44" spans="1:27" ht="15.75" customHeight="1">
      <c r="A44" s="782"/>
      <c r="B44" s="821"/>
      <c r="C44" s="825" t="s">
        <v>199</v>
      </c>
      <c r="D44" s="825"/>
      <c r="E44" s="825"/>
      <c r="F44" s="825"/>
      <c r="G44" s="825"/>
      <c r="H44" s="825"/>
      <c r="I44" s="825"/>
      <c r="J44" s="825"/>
      <c r="K44" s="825"/>
      <c r="L44" s="825"/>
      <c r="M44" s="825"/>
      <c r="N44" s="825"/>
      <c r="O44" s="825"/>
      <c r="P44" s="56" t="s">
        <v>127</v>
      </c>
      <c r="Q44" s="76">
        <f>IF(N2="old tax regime",'Exemp.(HRA+Other) &amp; Other incom'!Q23,0)</f>
        <v>0</v>
      </c>
      <c r="R44" s="807"/>
      <c r="T44" s="96"/>
      <c r="U44" s="96"/>
      <c r="V44" s="96" t="s">
        <v>123</v>
      </c>
      <c r="W44" s="97">
        <v>0</v>
      </c>
      <c r="X44" s="96">
        <f>IF(X42=3,ROUND((Q48-300000)*0.05,0),IF(X42=0,0,10000))</f>
        <v>10000</v>
      </c>
      <c r="Y44" s="96">
        <f>IF(Y42=2,($Q$48-500000)*0.2,IF(Y42=1,100000,0))</f>
        <v>100000</v>
      </c>
      <c r="Z44" s="305">
        <f>IF(Z42&gt;0,($Q$48-1000000)*0.3,0)</f>
        <v>65958</v>
      </c>
      <c r="AA44" s="305"/>
    </row>
    <row r="45" spans="1:27" ht="15.75" customHeight="1" thickBot="1">
      <c r="A45" s="782"/>
      <c r="B45" s="841"/>
      <c r="C45" s="844" t="s">
        <v>200</v>
      </c>
      <c r="D45" s="844"/>
      <c r="E45" s="844"/>
      <c r="F45" s="844"/>
      <c r="G45" s="844"/>
      <c r="H45" s="844"/>
      <c r="I45" s="844"/>
      <c r="J45" s="844"/>
      <c r="K45" s="844"/>
      <c r="L45" s="844"/>
      <c r="M45" s="844"/>
      <c r="N45" s="844"/>
      <c r="O45" s="844"/>
      <c r="P45" s="59" t="s">
        <v>127</v>
      </c>
      <c r="Q45" s="77">
        <f>SUM(Q37:Q44)</f>
        <v>0</v>
      </c>
      <c r="R45" s="807"/>
      <c r="T45" s="96"/>
      <c r="U45" s="96"/>
      <c r="V45" s="96" t="s">
        <v>223</v>
      </c>
      <c r="W45" s="97">
        <v>0</v>
      </c>
      <c r="X45" s="97">
        <v>0</v>
      </c>
      <c r="Y45" s="96">
        <f>IF(Y42=2,($Q$48-500000)*0.2,IF(Y42=1,100000,0))</f>
        <v>100000</v>
      </c>
      <c r="Z45" s="305">
        <f>IF(Z42&gt;0,($Q$48-1000000)*0.3,0)</f>
        <v>65958</v>
      </c>
      <c r="AA45" s="305"/>
    </row>
    <row r="46" spans="1:27" ht="15.75" customHeight="1" thickBot="1">
      <c r="A46" s="782"/>
      <c r="B46" s="67">
        <v>13</v>
      </c>
      <c r="C46" s="865" t="s">
        <v>201</v>
      </c>
      <c r="D46" s="865"/>
      <c r="E46" s="865"/>
      <c r="F46" s="865"/>
      <c r="G46" s="865"/>
      <c r="H46" s="865"/>
      <c r="I46" s="865"/>
      <c r="J46" s="865"/>
      <c r="K46" s="865"/>
      <c r="L46" s="865"/>
      <c r="M46" s="865"/>
      <c r="N46" s="865"/>
      <c r="O46" s="865"/>
      <c r="P46" s="65" t="s">
        <v>127</v>
      </c>
      <c r="Q46" s="78">
        <f>Q35+Q45</f>
        <v>111406</v>
      </c>
      <c r="R46" s="807"/>
      <c r="T46" s="96"/>
      <c r="U46" s="96"/>
      <c r="V46" s="96"/>
      <c r="W46" s="96"/>
      <c r="X46" s="96"/>
      <c r="Y46" s="96"/>
      <c r="Z46" s="305"/>
      <c r="AA46" s="305"/>
    </row>
    <row r="47" spans="1:27" ht="22.5">
      <c r="A47" s="782"/>
      <c r="B47" s="103">
        <v>14</v>
      </c>
      <c r="C47" s="866" t="s">
        <v>202</v>
      </c>
      <c r="D47" s="866"/>
      <c r="E47" s="866"/>
      <c r="F47" s="866"/>
      <c r="G47" s="866"/>
      <c r="H47" s="866"/>
      <c r="I47" s="866"/>
      <c r="J47" s="866"/>
      <c r="K47" s="866"/>
      <c r="L47" s="866"/>
      <c r="M47" s="866"/>
      <c r="N47" s="866"/>
      <c r="O47" s="866"/>
      <c r="P47" s="61" t="s">
        <v>127</v>
      </c>
      <c r="Q47" s="79">
        <f>Q20-Q46</f>
        <v>1219860</v>
      </c>
      <c r="R47" s="807"/>
      <c r="T47" s="96"/>
      <c r="U47" s="96"/>
      <c r="V47" s="96"/>
      <c r="W47" s="96"/>
      <c r="X47" s="96"/>
      <c r="Y47" s="96"/>
      <c r="Z47" s="305"/>
      <c r="AA47" s="305"/>
    </row>
    <row r="48" spans="1:27" ht="15.75" customHeight="1" thickBot="1">
      <c r="A48" s="782"/>
      <c r="B48" s="105">
        <v>15</v>
      </c>
      <c r="C48" s="867" t="s">
        <v>203</v>
      </c>
      <c r="D48" s="867"/>
      <c r="E48" s="867"/>
      <c r="F48" s="867"/>
      <c r="G48" s="867"/>
      <c r="H48" s="867"/>
      <c r="I48" s="867"/>
      <c r="J48" s="867"/>
      <c r="K48" s="867"/>
      <c r="L48" s="867"/>
      <c r="M48" s="867"/>
      <c r="N48" s="867"/>
      <c r="O48" s="867"/>
      <c r="P48" s="62" t="s">
        <v>127</v>
      </c>
      <c r="Q48" s="80">
        <f>ROUND(Q47,-1)</f>
        <v>1219860</v>
      </c>
      <c r="R48" s="807"/>
      <c r="T48" s="96" t="str">
        <f>'Old Regime Calc. Report'!AF48</f>
        <v>A</v>
      </c>
      <c r="U48" s="96" t="str">
        <f>'Basic Data'!F10</f>
        <v>rjjo20212251115</v>
      </c>
      <c r="V48" s="96" t="str">
        <f>CONCATENATE(T48,U48)</f>
        <v>Arjjo20212251115</v>
      </c>
      <c r="W48" s="97"/>
      <c r="X48" s="97"/>
      <c r="Y48" s="97"/>
      <c r="Z48" s="305"/>
      <c r="AA48" s="305"/>
    </row>
    <row r="49" spans="1:27" ht="14.25" customHeight="1">
      <c r="A49" s="782"/>
      <c r="B49" s="830">
        <v>16</v>
      </c>
      <c r="C49" s="868" t="s">
        <v>204</v>
      </c>
      <c r="D49" s="868"/>
      <c r="E49" s="868"/>
      <c r="F49" s="868"/>
      <c r="G49" s="868"/>
      <c r="H49" s="868"/>
      <c r="I49" s="868"/>
      <c r="J49" s="868"/>
      <c r="K49" s="868"/>
      <c r="L49" s="868"/>
      <c r="M49" s="868"/>
      <c r="N49" s="868"/>
      <c r="O49" s="868"/>
      <c r="P49" s="868"/>
      <c r="Q49" s="869"/>
      <c r="R49" s="807"/>
      <c r="T49" s="96"/>
      <c r="U49" s="96"/>
      <c r="V49" s="96"/>
      <c r="W49" s="96"/>
      <c r="X49" s="96"/>
      <c r="Y49" s="96"/>
      <c r="Z49" s="305"/>
      <c r="AA49" s="305"/>
    </row>
    <row r="50" spans="1:27" ht="14.25" customHeight="1">
      <c r="A50" s="782"/>
      <c r="B50" s="821"/>
      <c r="C50" s="870" t="s">
        <v>469</v>
      </c>
      <c r="D50" s="871"/>
      <c r="E50" s="871"/>
      <c r="F50" s="871"/>
      <c r="G50" s="871"/>
      <c r="H50" s="872"/>
      <c r="I50" s="870" t="s">
        <v>205</v>
      </c>
      <c r="J50" s="871"/>
      <c r="K50" s="873" t="s">
        <v>206</v>
      </c>
      <c r="L50" s="874"/>
      <c r="M50" s="870" t="s">
        <v>468</v>
      </c>
      <c r="N50" s="871"/>
      <c r="O50" s="872"/>
      <c r="P50" s="108"/>
      <c r="Q50" s="71"/>
      <c r="R50" s="807"/>
      <c r="T50" s="96"/>
      <c r="U50" s="96"/>
      <c r="V50" s="96"/>
      <c r="W50" s="96"/>
      <c r="X50" s="96"/>
      <c r="Y50" s="96"/>
      <c r="Z50" s="305"/>
      <c r="AA50" s="305"/>
    </row>
    <row r="51" spans="1:27" ht="12" customHeight="1">
      <c r="A51" s="782"/>
      <c r="B51" s="821"/>
      <c r="C51" s="779" t="str">
        <f t="shared" ref="C51" si="0">IF($N$2="old tax regime","2,50,000 तक","3,00,000 तक")</f>
        <v>2,50,000 तक</v>
      </c>
      <c r="D51" s="781"/>
      <c r="E51" s="781"/>
      <c r="F51" s="781"/>
      <c r="G51" s="781"/>
      <c r="H51" s="780"/>
      <c r="I51" s="779" t="str">
        <f t="shared" ref="I51" si="1">IF($N$2="old tax regime","Nil","Nil")</f>
        <v>Nil</v>
      </c>
      <c r="J51" s="780"/>
      <c r="K51" s="779" t="str">
        <f t="shared" ref="K51" si="2">IF($N$2="old tax regime","Nil","Nil")</f>
        <v>Nil</v>
      </c>
      <c r="L51" s="780"/>
      <c r="M51" s="779" t="str">
        <f>IF($N$2="old tax regime","Nil","Nil")</f>
        <v>Nil</v>
      </c>
      <c r="N51" s="781"/>
      <c r="O51" s="780"/>
      <c r="P51" s="56" t="s">
        <v>127</v>
      </c>
      <c r="Q51" s="73">
        <v>0</v>
      </c>
      <c r="R51" s="807"/>
      <c r="T51" s="96"/>
      <c r="U51" s="96"/>
      <c r="V51" s="96"/>
      <c r="W51" s="96"/>
      <c r="X51" s="96"/>
      <c r="Y51" s="96"/>
      <c r="Z51" s="305"/>
      <c r="AA51" s="305"/>
    </row>
    <row r="52" spans="1:27" ht="12" customHeight="1">
      <c r="A52" s="782"/>
      <c r="B52" s="821"/>
      <c r="C52" s="779" t="str">
        <f>IF($N$2="old tax regime","2,50,001 से 3,00,000 तक","3,00,001 से 6,00,000 तक")</f>
        <v>2,50,001 से 3,00,000 तक</v>
      </c>
      <c r="D52" s="781"/>
      <c r="E52" s="781"/>
      <c r="F52" s="781"/>
      <c r="G52" s="781"/>
      <c r="H52" s="780"/>
      <c r="I52" s="880" t="str">
        <f t="shared" ref="I52" si="3">IF($N$2="old tax regime","5%","5% (With Tax Rebate Under Sec.87A)")</f>
        <v>5%</v>
      </c>
      <c r="J52" s="881"/>
      <c r="K52" s="880" t="str">
        <f>IF($N$2="old tax regime","Nil","5% (With Tax Rebate Under Sec.87A)")</f>
        <v>Nil</v>
      </c>
      <c r="L52" s="881"/>
      <c r="M52" s="880" t="str">
        <f>IF($N$2="old tax regime","Nil","5% (With Tax Rebate Under Sec.87A)")</f>
        <v>Nil</v>
      </c>
      <c r="N52" s="882"/>
      <c r="O52" s="881"/>
      <c r="P52" s="56" t="s">
        <v>127</v>
      </c>
      <c r="Q52" s="74">
        <f>IF(T48="a",W43,IF(T48="B",W44,W45))</f>
        <v>2500</v>
      </c>
      <c r="R52" s="807"/>
      <c r="T52" s="96"/>
      <c r="U52" s="96"/>
      <c r="V52" s="96"/>
      <c r="W52" s="96"/>
      <c r="X52" s="96"/>
      <c r="Y52" s="96"/>
      <c r="Z52" s="305"/>
      <c r="AA52" s="305"/>
    </row>
    <row r="53" spans="1:27" ht="12" customHeight="1">
      <c r="A53" s="782"/>
      <c r="B53" s="821"/>
      <c r="C53" s="779" t="str">
        <f>IF($N$2="old tax regime","3,00,001 से 5,00,000 तक","6,00,001 से 9,00,000 तक")</f>
        <v>3,00,001 से 5,00,000 तक</v>
      </c>
      <c r="D53" s="781"/>
      <c r="E53" s="781"/>
      <c r="F53" s="781"/>
      <c r="G53" s="781"/>
      <c r="H53" s="780"/>
      <c r="I53" s="880" t="str">
        <f>IF($N$2="old tax regime","5%","10% (With Tax Rebate Under Sec.87A Up to Rs. 7 Lakh.)")</f>
        <v>5%</v>
      </c>
      <c r="J53" s="881"/>
      <c r="K53" s="880" t="str">
        <f>IF($N$2="old tax regime","5%","10% (With Tax Rebate Under Sec.87A Up to Rs. 7 Lakh.)")</f>
        <v>5%</v>
      </c>
      <c r="L53" s="881"/>
      <c r="M53" s="880" t="str">
        <f>IF($N$2="old tax regime","Nil","10% (With Tax Rebate Under Sec.87A Up to Rs. 7 Lakh.)")</f>
        <v>Nil</v>
      </c>
      <c r="N53" s="882"/>
      <c r="O53" s="881"/>
      <c r="P53" s="56" t="s">
        <v>127</v>
      </c>
      <c r="Q53" s="74">
        <f>IF(T48="a",X43,IF(T48="B",X44,X45))</f>
        <v>10000</v>
      </c>
      <c r="R53" s="807"/>
      <c r="T53" s="96"/>
      <c r="U53" s="96"/>
    </row>
    <row r="54" spans="1:27" ht="12" customHeight="1">
      <c r="A54" s="782"/>
      <c r="B54" s="821"/>
      <c r="C54" s="779" t="str">
        <f>IF($N$2="old tax regime","5,00,001 से 10,00,000 तक","9,00,001 से 12,00,000 तक")</f>
        <v>5,00,001 से 10,00,000 तक</v>
      </c>
      <c r="D54" s="781"/>
      <c r="E54" s="781"/>
      <c r="F54" s="781"/>
      <c r="G54" s="781"/>
      <c r="H54" s="780"/>
      <c r="I54" s="779" t="str">
        <f t="shared" ref="I54" si="4">IF($N$2="old tax regime","20%","15%")</f>
        <v>20%</v>
      </c>
      <c r="J54" s="780"/>
      <c r="K54" s="779" t="str">
        <f>IF($N$2="old tax regime","20%","15%")</f>
        <v>20%</v>
      </c>
      <c r="L54" s="780"/>
      <c r="M54" s="779" t="str">
        <f>IF($N$2="old tax regime","20%","15%")</f>
        <v>20%</v>
      </c>
      <c r="N54" s="781"/>
      <c r="O54" s="780"/>
      <c r="P54" s="56" t="s">
        <v>127</v>
      </c>
      <c r="Q54" s="74">
        <f>IF(T48="a",Y43,IF(T48="B",Y44,Y45))</f>
        <v>100000</v>
      </c>
      <c r="R54" s="807"/>
      <c r="T54" s="96"/>
      <c r="U54" s="96"/>
    </row>
    <row r="55" spans="1:27" ht="12" customHeight="1">
      <c r="A55" s="782"/>
      <c r="B55" s="821"/>
      <c r="C55" s="779" t="str">
        <f>IF($N$2="old tax regime","10,00,001 अथवा इससे ऊपर","12,00,001 से 15,00,000 तक")</f>
        <v>10,00,001 अथवा इससे ऊपर</v>
      </c>
      <c r="D55" s="781"/>
      <c r="E55" s="781"/>
      <c r="F55" s="781"/>
      <c r="G55" s="781"/>
      <c r="H55" s="780"/>
      <c r="I55" s="779" t="str">
        <f>IF($N$2="old tax regime","30%","20%")</f>
        <v>30%</v>
      </c>
      <c r="J55" s="780"/>
      <c r="K55" s="779" t="str">
        <f>IF($N$2="old tax regime","30%","20%")</f>
        <v>30%</v>
      </c>
      <c r="L55" s="780"/>
      <c r="M55" s="779" t="str">
        <f>IF($N$2="old tax regime","30%","20%")</f>
        <v>30%</v>
      </c>
      <c r="N55" s="781"/>
      <c r="O55" s="780"/>
      <c r="P55" s="56" t="s">
        <v>127</v>
      </c>
      <c r="Q55" s="73">
        <f>IF(T48="a",Z43,IF(T48="B",Z44,Z45))</f>
        <v>65958</v>
      </c>
      <c r="R55" s="807"/>
      <c r="T55" s="96"/>
      <c r="U55" s="96"/>
    </row>
    <row r="56" spans="1:27" ht="12" customHeight="1">
      <c r="A56" s="782"/>
      <c r="B56" s="821"/>
      <c r="C56" s="779" t="str">
        <f t="shared" ref="C56" si="5">IF($N$2="old tax regime","----","15,00,001 अथवा इससे ऊपर")</f>
        <v>----</v>
      </c>
      <c r="D56" s="781"/>
      <c r="E56" s="781"/>
      <c r="F56" s="781"/>
      <c r="G56" s="781"/>
      <c r="H56" s="780"/>
      <c r="I56" s="779" t="str">
        <f t="shared" ref="I56" si="6">IF($N$2="old tax regime","----","30%")</f>
        <v>----</v>
      </c>
      <c r="J56" s="780"/>
      <c r="K56" s="779" t="str">
        <f>IF($N$2="old tax regime","----","30%")</f>
        <v>----</v>
      </c>
      <c r="L56" s="780"/>
      <c r="M56" s="779" t="str">
        <f>IF($N$2="old tax regime","----","30%")</f>
        <v>----</v>
      </c>
      <c r="N56" s="781"/>
      <c r="O56" s="780"/>
      <c r="P56" s="56" t="s">
        <v>127</v>
      </c>
      <c r="Q56" s="73">
        <v>0</v>
      </c>
      <c r="R56" s="807"/>
      <c r="T56" s="96"/>
      <c r="U56" s="96"/>
    </row>
    <row r="57" spans="1:27" ht="14.25" customHeight="1">
      <c r="A57" s="782"/>
      <c r="B57" s="821"/>
      <c r="C57" s="877" t="s">
        <v>207</v>
      </c>
      <c r="D57" s="877"/>
      <c r="E57" s="877"/>
      <c r="F57" s="877"/>
      <c r="G57" s="877"/>
      <c r="H57" s="877"/>
      <c r="I57" s="877"/>
      <c r="J57" s="877"/>
      <c r="K57" s="877"/>
      <c r="L57" s="877"/>
      <c r="M57" s="877"/>
      <c r="N57" s="877"/>
      <c r="O57" s="877"/>
      <c r="P57" s="56" t="s">
        <v>127</v>
      </c>
      <c r="Q57" s="75">
        <f>SUM(Q51:Q56)</f>
        <v>178458</v>
      </c>
      <c r="R57" s="807"/>
      <c r="W57" s="137"/>
      <c r="X57" s="137"/>
    </row>
    <row r="58" spans="1:27" ht="14.25" customHeight="1">
      <c r="A58" s="782"/>
      <c r="B58" s="821"/>
      <c r="C58" s="803" t="s">
        <v>208</v>
      </c>
      <c r="D58" s="803"/>
      <c r="E58" s="803"/>
      <c r="F58" s="803"/>
      <c r="G58" s="803"/>
      <c r="H58" s="803"/>
      <c r="I58" s="803"/>
      <c r="J58" s="803"/>
      <c r="K58" s="803"/>
      <c r="L58" s="803"/>
      <c r="M58" s="803"/>
      <c r="N58" s="803"/>
      <c r="O58" s="803"/>
      <c r="P58" s="56" t="s">
        <v>127</v>
      </c>
      <c r="Q58" s="74">
        <f>IF(Q57&lt;=12500,Q57,0)</f>
        <v>0</v>
      </c>
      <c r="R58" s="807"/>
    </row>
    <row r="59" spans="1:27" ht="14.25" customHeight="1">
      <c r="A59" s="782"/>
      <c r="B59" s="821"/>
      <c r="C59" s="877" t="s">
        <v>209</v>
      </c>
      <c r="D59" s="877"/>
      <c r="E59" s="877"/>
      <c r="F59" s="877"/>
      <c r="G59" s="877"/>
      <c r="H59" s="877"/>
      <c r="I59" s="877"/>
      <c r="J59" s="877"/>
      <c r="K59" s="877"/>
      <c r="L59" s="877"/>
      <c r="M59" s="877"/>
      <c r="N59" s="877"/>
      <c r="O59" s="877"/>
      <c r="P59" s="56" t="s">
        <v>127</v>
      </c>
      <c r="Q59" s="75">
        <f>Q57-Q58</f>
        <v>178458</v>
      </c>
      <c r="R59" s="807"/>
    </row>
    <row r="60" spans="1:27" ht="14.25" customHeight="1">
      <c r="A60" s="782"/>
      <c r="B60" s="821"/>
      <c r="C60" s="890" t="s">
        <v>210</v>
      </c>
      <c r="D60" s="890"/>
      <c r="E60" s="890"/>
      <c r="F60" s="890"/>
      <c r="G60" s="890"/>
      <c r="H60" s="890"/>
      <c r="I60" s="890"/>
      <c r="J60" s="890"/>
      <c r="K60" s="890"/>
      <c r="L60" s="890"/>
      <c r="M60" s="890"/>
      <c r="N60" s="890"/>
      <c r="O60" s="890"/>
      <c r="P60" s="56" t="s">
        <v>127</v>
      </c>
      <c r="Q60" s="74">
        <f>ROUND(Q59*0.04,0)</f>
        <v>7138</v>
      </c>
      <c r="R60" s="807"/>
    </row>
    <row r="61" spans="1:27" ht="12.75" customHeight="1">
      <c r="A61" s="782"/>
      <c r="B61" s="821"/>
      <c r="C61" s="891" t="s">
        <v>211</v>
      </c>
      <c r="D61" s="892"/>
      <c r="E61" s="892"/>
      <c r="F61" s="892"/>
      <c r="G61" s="892"/>
      <c r="H61" s="892"/>
      <c r="I61" s="892"/>
      <c r="J61" s="892"/>
      <c r="K61" s="892"/>
      <c r="L61" s="892"/>
      <c r="M61" s="892"/>
      <c r="N61" s="892"/>
      <c r="O61" s="893"/>
      <c r="P61" s="56" t="s">
        <v>127</v>
      </c>
      <c r="Q61" s="75">
        <f>Q59+Q60</f>
        <v>185596</v>
      </c>
      <c r="R61" s="807"/>
      <c r="W61" s="137"/>
      <c r="X61" s="137"/>
    </row>
    <row r="62" spans="1:27" ht="14.25" customHeight="1">
      <c r="A62" s="782"/>
      <c r="B62" s="104">
        <v>17</v>
      </c>
      <c r="C62" s="825" t="s">
        <v>212</v>
      </c>
      <c r="D62" s="825"/>
      <c r="E62" s="825"/>
      <c r="F62" s="825"/>
      <c r="G62" s="825"/>
      <c r="H62" s="825"/>
      <c r="I62" s="825"/>
      <c r="J62" s="825"/>
      <c r="K62" s="825"/>
      <c r="L62" s="825"/>
      <c r="M62" s="825"/>
      <c r="N62" s="825"/>
      <c r="O62" s="825"/>
      <c r="P62" s="56" t="s">
        <v>127</v>
      </c>
      <c r="Q62" s="74">
        <f>'Exemp.(HRA+Other) &amp; Other incom'!Q26</f>
        <v>0</v>
      </c>
      <c r="R62" s="807"/>
    </row>
    <row r="63" spans="1:27" ht="14.25" customHeight="1">
      <c r="A63" s="782"/>
      <c r="B63" s="792">
        <v>18</v>
      </c>
      <c r="C63" s="876" t="s">
        <v>213</v>
      </c>
      <c r="D63" s="876"/>
      <c r="E63" s="876"/>
      <c r="F63" s="876"/>
      <c r="G63" s="876"/>
      <c r="H63" s="876"/>
      <c r="I63" s="876"/>
      <c r="J63" s="876"/>
      <c r="K63" s="876"/>
      <c r="L63" s="876"/>
      <c r="M63" s="876"/>
      <c r="N63" s="876"/>
      <c r="O63" s="876"/>
      <c r="P63" s="56" t="s">
        <v>127</v>
      </c>
      <c r="Q63" s="75">
        <f>Q61-Q62</f>
        <v>185596</v>
      </c>
      <c r="R63" s="807"/>
    </row>
    <row r="64" spans="1:27" ht="14.25" customHeight="1" thickBot="1">
      <c r="A64" s="782"/>
      <c r="B64" s="875"/>
      <c r="C64" s="867" t="s">
        <v>214</v>
      </c>
      <c r="D64" s="867"/>
      <c r="E64" s="867"/>
      <c r="F64" s="867"/>
      <c r="G64" s="867"/>
      <c r="H64" s="867"/>
      <c r="I64" s="867"/>
      <c r="J64" s="867"/>
      <c r="K64" s="867"/>
      <c r="L64" s="867"/>
      <c r="M64" s="867"/>
      <c r="N64" s="867"/>
      <c r="O64" s="867"/>
      <c r="P64" s="60" t="s">
        <v>127</v>
      </c>
      <c r="Q64" s="72">
        <f>ROUND(Q63,-1)</f>
        <v>185600</v>
      </c>
      <c r="R64" s="807"/>
    </row>
    <row r="65" spans="1:27" ht="44.25" customHeight="1">
      <c r="A65" s="782"/>
      <c r="B65" s="917">
        <v>19</v>
      </c>
      <c r="C65" s="918" t="s">
        <v>159</v>
      </c>
      <c r="D65" s="921" t="s">
        <v>567</v>
      </c>
      <c r="E65" s="921"/>
      <c r="F65" s="921" t="s">
        <v>568</v>
      </c>
      <c r="G65" s="921"/>
      <c r="H65" s="921"/>
      <c r="I65" s="434" t="s">
        <v>569</v>
      </c>
      <c r="J65" s="434" t="s">
        <v>570</v>
      </c>
      <c r="K65" s="434" t="s">
        <v>571</v>
      </c>
      <c r="L65" s="434" t="s">
        <v>572</v>
      </c>
      <c r="M65" s="883" t="s">
        <v>215</v>
      </c>
      <c r="N65" s="883"/>
      <c r="O65" s="106" t="s">
        <v>216</v>
      </c>
      <c r="P65" s="884" t="s">
        <v>217</v>
      </c>
      <c r="Q65" s="885"/>
      <c r="R65" s="807"/>
    </row>
    <row r="66" spans="1:27" s="10" customFormat="1" ht="13.5" customHeight="1">
      <c r="A66" s="782"/>
      <c r="B66" s="792"/>
      <c r="C66" s="919"/>
      <c r="D66" s="886">
        <f>SUM('GA-55'!AA9:AA11)</f>
        <v>6000</v>
      </c>
      <c r="E66" s="886"/>
      <c r="F66" s="886">
        <f>SUM('GA-55'!AA12:AA14)</f>
        <v>6000</v>
      </c>
      <c r="G66" s="886"/>
      <c r="H66" s="886"/>
      <c r="I66" s="107">
        <f>SUM('GA-55'!AA15:AA17)</f>
        <v>6000</v>
      </c>
      <c r="J66" s="107">
        <f>'GA-55'!AA18</f>
        <v>2000</v>
      </c>
      <c r="K66" s="107">
        <f>'GA-55'!AA19</f>
        <v>2000</v>
      </c>
      <c r="L66" s="107">
        <f>'GA-55'!AA20</f>
        <v>2000</v>
      </c>
      <c r="M66" s="886">
        <f>SUM('GA-55'!AA21:AA30)</f>
        <v>0</v>
      </c>
      <c r="N66" s="887"/>
      <c r="O66" s="107">
        <f>'Basic Data'!N19</f>
        <v>0</v>
      </c>
      <c r="P66" s="92" t="s">
        <v>127</v>
      </c>
      <c r="Q66" s="93">
        <f>SUM(D66:O66)</f>
        <v>24000</v>
      </c>
      <c r="R66" s="807"/>
      <c r="T66" s="113"/>
      <c r="U66" s="113"/>
      <c r="W66" s="131"/>
      <c r="X66" s="131"/>
      <c r="Y66" s="131"/>
      <c r="Z66" s="131"/>
      <c r="AA66" s="131"/>
    </row>
    <row r="67" spans="1:27" ht="15.75" thickBot="1">
      <c r="A67" s="782"/>
      <c r="B67" s="875"/>
      <c r="C67" s="920"/>
      <c r="D67" s="889" t="s">
        <v>126</v>
      </c>
      <c r="E67" s="889"/>
      <c r="F67" s="889"/>
      <c r="G67" s="889"/>
      <c r="H67" s="889"/>
      <c r="I67" s="889"/>
      <c r="J67" s="889"/>
      <c r="K67" s="889"/>
      <c r="L67" s="914" t="str">
        <f>IF(Q66&gt;Q64,"(Refundable)","(Payble)")</f>
        <v>(Payble)</v>
      </c>
      <c r="M67" s="914"/>
      <c r="N67" s="914"/>
      <c r="O67" s="914"/>
      <c r="P67" s="60" t="s">
        <v>127</v>
      </c>
      <c r="Q67" s="72">
        <f>Q66-Q64</f>
        <v>-161600</v>
      </c>
      <c r="R67" s="807"/>
    </row>
    <row r="68" spans="1:27" ht="9.75" customHeight="1">
      <c r="A68" s="782"/>
      <c r="B68" s="915" t="str">
        <f>'GA-55'!B32</f>
        <v>Siganture of Employee(a)</v>
      </c>
      <c r="C68" s="915"/>
      <c r="D68" s="915"/>
      <c r="E68" s="915"/>
      <c r="F68" s="915"/>
      <c r="G68" s="915"/>
      <c r="H68" s="915"/>
      <c r="I68" s="915"/>
      <c r="J68" s="915"/>
      <c r="K68" s="915" t="str">
        <f>'GA-55'!P32</f>
        <v>Signature of DDO ()</v>
      </c>
      <c r="L68" s="915"/>
      <c r="M68" s="915"/>
      <c r="N68" s="915"/>
      <c r="O68" s="915"/>
      <c r="P68" s="915"/>
      <c r="Q68" s="915"/>
      <c r="R68" s="807"/>
    </row>
    <row r="69" spans="1:27" ht="15.75" customHeight="1">
      <c r="A69" s="782"/>
      <c r="B69" s="916"/>
      <c r="C69" s="916"/>
      <c r="D69" s="916"/>
      <c r="E69" s="916"/>
      <c r="F69" s="916"/>
      <c r="G69" s="916"/>
      <c r="H69" s="916"/>
      <c r="I69" s="916"/>
      <c r="J69" s="916"/>
      <c r="K69" s="916"/>
      <c r="L69" s="916"/>
      <c r="M69" s="916"/>
      <c r="N69" s="916"/>
      <c r="O69" s="916"/>
      <c r="P69" s="916"/>
      <c r="Q69" s="916"/>
      <c r="R69" s="807"/>
    </row>
    <row r="70" spans="1:27" ht="15" customHeight="1"/>
  </sheetData>
  <sheetProtection password="E8FA" sheet="1" objects="1" scenarios="1" formatCells="0" formatColumns="0" selectLockedCells="1"/>
  <mergeCells count="136">
    <mergeCell ref="L67:O67"/>
    <mergeCell ref="B68:J69"/>
    <mergeCell ref="K68:Q69"/>
    <mergeCell ref="B65:B67"/>
    <mergeCell ref="C65:C67"/>
    <mergeCell ref="D65:E65"/>
    <mergeCell ref="F65:H65"/>
    <mergeCell ref="M65:N65"/>
    <mergeCell ref="P65:Q65"/>
    <mergeCell ref="D66:E66"/>
    <mergeCell ref="F66:H66"/>
    <mergeCell ref="M66:N66"/>
    <mergeCell ref="D67:K67"/>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s>
  <conditionalFormatting sqref="L67:O67">
    <cfRule type="cellIs" dxfId="19" priority="4" operator="equal">
      <formula>"(Payble)"</formula>
    </cfRule>
    <cfRule type="cellIs" dxfId="18" priority="5" operator="equal">
      <formula>"(Refundable)"</formula>
    </cfRule>
  </conditionalFormatting>
  <conditionalFormatting sqref="Q67">
    <cfRule type="cellIs" dxfId="17" priority="2" operator="lessThan">
      <formula>0</formula>
    </cfRule>
    <cfRule type="cellIs" dxfId="16" priority="3" operator="greaterThan">
      <formula>0</formula>
    </cfRule>
  </conditionalFormatting>
  <conditionalFormatting sqref="P55:Q56">
    <cfRule type="expression" dxfId="15"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For Help</vt:lpstr>
      <vt:lpstr>Basic Data</vt:lpstr>
      <vt:lpstr>Exemp.(HRA+Other) &amp; Other incom</vt:lpstr>
      <vt:lpstr>GA-55</vt:lpstr>
      <vt:lpstr>New Regime Calc. Report</vt:lpstr>
      <vt:lpstr>Old Regime Calc. Report</vt:lpstr>
      <vt:lpstr>Form-16 As New Regime</vt:lpstr>
      <vt:lpstr>Form-16 As Old Regime</vt:lpstr>
      <vt:lpstr>OLD REGIME</vt:lpstr>
      <vt:lpstr>10 E Us 89(1) </vt:lpstr>
      <vt:lpstr>HRA Receipt</vt:lpstr>
      <vt:lpstr>HRA Calculator</vt:lpstr>
      <vt:lpstr>Itax Calculate For All Emp.</vt:lpstr>
      <vt:lpstr>'10 E Us 89(1) '!Print_Area</vt:lpstr>
      <vt:lpstr>'Exemp.(HRA+Other) &amp; Other incom'!Print_Area</vt:lpstr>
      <vt:lpstr>'GA-55'!Print_Area</vt:lpstr>
      <vt:lpstr>'HRA Receipt'!Print_Area</vt:lpstr>
      <vt:lpstr>'Itax Calculate For All Emp.'!Print_Area</vt:lpstr>
      <vt:lpstr>'New Regime Calc. Report'!Print_Area</vt:lpstr>
      <vt:lpstr>'Old Regime Calc. Report'!Print_Area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2024-11-25T12:42:55Z</cp:lastPrinted>
  <dcterms:created xsi:type="dcterms:W3CDTF">2022-11-02T01:51:38Z</dcterms:created>
  <dcterms:modified xsi:type="dcterms:W3CDTF">2024-11-25T12:51:56Z</dcterms:modified>
</cp:coreProperties>
</file>