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ata" sheetId="1" r:id="rId2"/>
    <sheet name="Exemp.(HRA+Other) &amp; Other incom" sheetId="6" r:id="rId3"/>
    <sheet name="GA-55" sheetId="2" r:id="rId4"/>
    <sheet name="New Regime Calc. Report" sheetId="12" r:id="rId5"/>
    <sheet name="Old Regime Calc. Report" sheetId="8" r:id="rId6"/>
    <sheet name="OLD REGIME" sheetId="13" state="hidden" r:id="rId7"/>
    <sheet name="HRA Receipt" sheetId="7" r:id="rId8"/>
  </sheets>
  <externalReferences>
    <externalReference r:id="rId9"/>
  </externalReferences>
  <definedNames>
    <definedName name="_xlnm.Print_Area" localSheetId="2">'Exemp.(HRA+Other) &amp; Other incom'!$R$1:$AB$28</definedName>
    <definedName name="_xlnm.Print_Area" localSheetId="3">'GA-55'!$B$1:$AC$32</definedName>
    <definedName name="_xlnm.Print_Area" localSheetId="7">'HRA Receipt'!$A$1:$AV$55,'HRA Receipt'!$A$56:$W$80</definedName>
    <definedName name="_xlnm.Print_Area" localSheetId="4">'New Regime Calc. Report'!$B$1:$R$75</definedName>
    <definedName name="_xlnm.Print_Area" localSheetId="5">'Old Regime Calc. Report'!$B$1:$Q$71</definedName>
    <definedName name="rstatus">[1]data!$N$4:$N$6</definedName>
    <definedName name="Yes">'[1]Annexure-I'!$I$23:$I$24</definedName>
  </definedNames>
  <calcPr calcId="124519"/>
</workbook>
</file>

<file path=xl/calcChain.xml><?xml version="1.0" encoding="utf-8"?>
<calcChain xmlns="http://schemas.openxmlformats.org/spreadsheetml/2006/main">
  <c r="H18" i="2"/>
  <c r="H19"/>
  <c r="H20"/>
  <c r="H17"/>
  <c r="K10"/>
  <c r="K9"/>
  <c r="H28"/>
  <c r="C54" i="12"/>
  <c r="C53"/>
  <c r="C52"/>
  <c r="G22" i="2" l="1"/>
  <c r="J9" l="1"/>
  <c r="N19" i="1" l="1"/>
  <c r="O66" i="13" s="1"/>
  <c r="B32" i="2"/>
  <c r="B70" i="8" s="1"/>
  <c r="U48" i="13"/>
  <c r="M56"/>
  <c r="K56"/>
  <c r="I56"/>
  <c r="C56"/>
  <c r="M55"/>
  <c r="K55"/>
  <c r="I55"/>
  <c r="C55"/>
  <c r="M54"/>
  <c r="K54"/>
  <c r="I54"/>
  <c r="C54"/>
  <c r="M53"/>
  <c r="K53"/>
  <c r="I53"/>
  <c r="C53"/>
  <c r="M52"/>
  <c r="K52"/>
  <c r="I52"/>
  <c r="C52"/>
  <c r="M51"/>
  <c r="K51"/>
  <c r="I51"/>
  <c r="C51"/>
  <c r="M56" i="12"/>
  <c r="K56"/>
  <c r="I56"/>
  <c r="C56"/>
  <c r="M55"/>
  <c r="K55"/>
  <c r="I55"/>
  <c r="C55"/>
  <c r="M54"/>
  <c r="K54"/>
  <c r="I54"/>
  <c r="M53"/>
  <c r="K53"/>
  <c r="I53"/>
  <c r="M52"/>
  <c r="K52"/>
  <c r="I52"/>
  <c r="M51"/>
  <c r="K51"/>
  <c r="I51"/>
  <c r="C51"/>
  <c r="AC30" i="2" l="1"/>
  <c r="AC29"/>
  <c r="AC26"/>
  <c r="AB30"/>
  <c r="AB29"/>
  <c r="AB28"/>
  <c r="AB26"/>
  <c r="AB24"/>
  <c r="O30"/>
  <c r="O29"/>
  <c r="O26"/>
  <c r="X18"/>
  <c r="O22"/>
  <c r="C15" i="1"/>
  <c r="N21" i="2" l="1"/>
  <c r="O21" s="1"/>
  <c r="I10" i="1"/>
  <c r="AC3" i="8"/>
  <c r="AD3" s="1"/>
  <c r="AC2"/>
  <c r="AD2" s="1"/>
  <c r="B2"/>
  <c r="AB2" i="2"/>
  <c r="AC4" i="8" l="1"/>
  <c r="C19" i="1"/>
  <c r="AA9" i="2"/>
  <c r="P63" i="7"/>
  <c r="Q66"/>
  <c r="D63"/>
  <c r="P32"/>
  <c r="D32"/>
  <c r="D8"/>
  <c r="R9" i="2"/>
  <c r="AF10"/>
  <c r="AF11"/>
  <c r="AF12"/>
  <c r="AF13"/>
  <c r="AJ13" s="1"/>
  <c r="AF14"/>
  <c r="AJ14" s="1"/>
  <c r="AF15"/>
  <c r="AF16"/>
  <c r="AJ16" s="1"/>
  <c r="AF17"/>
  <c r="AF18"/>
  <c r="AF19"/>
  <c r="AF20"/>
  <c r="AF9"/>
  <c r="F9"/>
  <c r="G9" s="1"/>
  <c r="Q43" i="13"/>
  <c r="B68"/>
  <c r="M66"/>
  <c r="Q44"/>
  <c r="Q42"/>
  <c r="Q41"/>
  <c r="Q39"/>
  <c r="Q38"/>
  <c r="Q37"/>
  <c r="Q34"/>
  <c r="I31"/>
  <c r="I30"/>
  <c r="O29"/>
  <c r="O28"/>
  <c r="I27"/>
  <c r="O26"/>
  <c r="I26"/>
  <c r="O25"/>
  <c r="I25"/>
  <c r="O24"/>
  <c r="O23"/>
  <c r="Q18"/>
  <c r="E18"/>
  <c r="Q17"/>
  <c r="E17"/>
  <c r="Q16"/>
  <c r="Q19" s="1"/>
  <c r="E16"/>
  <c r="K13"/>
  <c r="H13"/>
  <c r="M11"/>
  <c r="E13" s="1"/>
  <c r="M8"/>
  <c r="M7"/>
  <c r="B73" i="12"/>
  <c r="O71"/>
  <c r="M71"/>
  <c r="Q34"/>
  <c r="Q33"/>
  <c r="I31"/>
  <c r="O30"/>
  <c r="I30"/>
  <c r="O29"/>
  <c r="I29"/>
  <c r="O28"/>
  <c r="I28"/>
  <c r="O27"/>
  <c r="I27"/>
  <c r="O26"/>
  <c r="I26"/>
  <c r="O25"/>
  <c r="I25"/>
  <c r="O24"/>
  <c r="I24"/>
  <c r="O23"/>
  <c r="I23"/>
  <c r="Q18"/>
  <c r="E18"/>
  <c r="Q17"/>
  <c r="E17"/>
  <c r="Q16"/>
  <c r="E16"/>
  <c r="K13"/>
  <c r="H13"/>
  <c r="M11"/>
  <c r="E13" s="1"/>
  <c r="M8"/>
  <c r="M7"/>
  <c r="Q5"/>
  <c r="XFD9" i="6"/>
  <c r="XFD8"/>
  <c r="M11" i="8"/>
  <c r="Q35" i="12" l="1"/>
  <c r="Q9"/>
  <c r="AA10" i="2"/>
  <c r="D19" i="1"/>
  <c r="Q19" i="12"/>
  <c r="Q9" i="13"/>
  <c r="K2" i="8"/>
  <c r="P8" i="7"/>
  <c r="M13" i="12"/>
  <c r="Q14" s="1"/>
  <c r="O32"/>
  <c r="M13" i="13"/>
  <c r="Q14" s="1"/>
  <c r="XFD10" i="6"/>
  <c r="E19" i="1" l="1"/>
  <c r="AA11" i="2"/>
  <c r="Q45" i="12"/>
  <c r="Q46" s="1"/>
  <c r="F19" i="1" l="1"/>
  <c r="AA12" i="2"/>
  <c r="D71" i="12"/>
  <c r="D66" i="13"/>
  <c r="P32" i="2"/>
  <c r="O68" i="8"/>
  <c r="M68"/>
  <c r="AF48"/>
  <c r="T48" i="13" s="1"/>
  <c r="V48" s="1"/>
  <c r="U10" i="2"/>
  <c r="T9"/>
  <c r="S9"/>
  <c r="Q9"/>
  <c r="P9"/>
  <c r="K11"/>
  <c r="K12" s="1"/>
  <c r="K13" s="1"/>
  <c r="K14" s="1"/>
  <c r="K15" s="1"/>
  <c r="K16" s="1"/>
  <c r="K17" s="1"/>
  <c r="K18" s="1"/>
  <c r="K19" s="1"/>
  <c r="K20" s="1"/>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19" i="1" l="1"/>
  <c r="AA13" i="2"/>
  <c r="AB9"/>
  <c r="K68" i="13"/>
  <c r="K73" i="12"/>
  <c r="K70" i="8"/>
  <c r="Q19"/>
  <c r="H19" i="1" l="1"/>
  <c r="AA14" i="2"/>
  <c r="F66" i="13" s="1"/>
  <c r="M8" i="8"/>
  <c r="M7"/>
  <c r="V31" i="2" a="1"/>
  <c r="V31" s="1"/>
  <c r="W31" a="1"/>
  <c r="W31" s="1"/>
  <c r="X31" a="1"/>
  <c r="X31" s="1"/>
  <c r="Y31" a="1"/>
  <c r="Y31" s="1"/>
  <c r="K31" a="1"/>
  <c r="K31" s="1"/>
  <c r="L31" a="1"/>
  <c r="L31" s="1"/>
  <c r="M31" a="1"/>
  <c r="M31" s="1"/>
  <c r="F5"/>
  <c r="F3"/>
  <c r="F71" i="12" l="1"/>
  <c r="I19" i="1"/>
  <c r="AA15" i="2"/>
  <c r="Q9" i="8"/>
  <c r="P3"/>
  <c r="P3" i="13"/>
  <c r="P3" i="12"/>
  <c r="E3" i="8"/>
  <c r="E3" i="13"/>
  <c r="E3" i="12"/>
  <c r="S76" i="7"/>
  <c r="G76"/>
  <c r="P70"/>
  <c r="D70"/>
  <c r="P61"/>
  <c r="D61"/>
  <c r="I74" s="1"/>
  <c r="S45"/>
  <c r="P39"/>
  <c r="P30"/>
  <c r="U43" s="1"/>
  <c r="G45"/>
  <c r="D39"/>
  <c r="D30"/>
  <c r="I43" s="1"/>
  <c r="S21"/>
  <c r="P15"/>
  <c r="P6"/>
  <c r="D6"/>
  <c r="I19" s="1"/>
  <c r="G21"/>
  <c r="D15"/>
  <c r="J19" i="1" l="1"/>
  <c r="AA16" i="2"/>
  <c r="U19" i="7"/>
  <c r="U74"/>
  <c r="K19" i="1" l="1"/>
  <c r="AA17" i="2"/>
  <c r="I71" i="12" s="1"/>
  <c r="D4" i="6"/>
  <c r="C4"/>
  <c r="A4"/>
  <c r="B1" i="2"/>
  <c r="A1" i="6" s="1"/>
  <c r="I66" i="13" l="1"/>
  <c r="L19" i="1"/>
  <c r="AA18" i="2"/>
  <c r="B1" i="8"/>
  <c r="B1" i="12"/>
  <c r="B1" i="13"/>
  <c r="W62" i="7"/>
  <c r="W31"/>
  <c r="K7"/>
  <c r="K31"/>
  <c r="K62"/>
  <c r="W7"/>
  <c r="H31"/>
  <c r="H62"/>
  <c r="T7"/>
  <c r="T62"/>
  <c r="T31"/>
  <c r="H7"/>
  <c r="J71" i="12" l="1"/>
  <c r="J66" i="13"/>
  <c r="M19" i="1"/>
  <c r="AA20" i="2" s="1"/>
  <c r="AA19"/>
  <c r="AA5"/>
  <c r="P5"/>
  <c r="AA3"/>
  <c r="P3"/>
  <c r="AI10"/>
  <c r="AI11"/>
  <c r="AI12"/>
  <c r="AI17"/>
  <c r="AI19"/>
  <c r="AI20"/>
  <c r="L71" i="12" l="1"/>
  <c r="L66" i="13"/>
  <c r="K71" i="12"/>
  <c r="K66" i="13"/>
  <c r="L3" i="8"/>
  <c r="L3" i="12"/>
  <c r="L3" i="13"/>
  <c r="AG12" i="2"/>
  <c r="AI9"/>
  <c r="AG17"/>
  <c r="AH9"/>
  <c r="AH17"/>
  <c r="AG19"/>
  <c r="AG10"/>
  <c r="AH19"/>
  <c r="AH11"/>
  <c r="AG9"/>
  <c r="AH10"/>
  <c r="AG20"/>
  <c r="AG11"/>
  <c r="AH20"/>
  <c r="AH12"/>
  <c r="Q66" i="13" l="1"/>
  <c r="Q71" i="12"/>
  <c r="P22" i="2"/>
  <c r="AB22" s="1"/>
  <c r="AC22" s="1"/>
  <c r="Z10"/>
  <c r="Z11" s="1"/>
  <c r="U11"/>
  <c r="U12" s="1"/>
  <c r="U13" s="1"/>
  <c r="U14" s="1"/>
  <c r="U15" s="1"/>
  <c r="U16" s="1"/>
  <c r="U17" s="1"/>
  <c r="U18" s="1"/>
  <c r="U19" s="1"/>
  <c r="U20" s="1"/>
  <c r="L68" i="8"/>
  <c r="K68"/>
  <c r="J68"/>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T31" a="1"/>
  <c r="S31" a="1"/>
  <c r="Q31" a="1"/>
  <c r="N31" a="1"/>
  <c r="J31" a="1"/>
  <c r="J31" s="1"/>
  <c r="I31" a="1"/>
  <c r="I31" s="1"/>
  <c r="AB10" l="1"/>
  <c r="P11"/>
  <c r="AB11" s="1"/>
  <c r="D68" i="8"/>
  <c r="F68"/>
  <c r="I68"/>
  <c r="Z12" i="2"/>
  <c r="Z13" s="1"/>
  <c r="Z14" s="1"/>
  <c r="Z15" s="1"/>
  <c r="Z16" s="1"/>
  <c r="Z17" s="1"/>
  <c r="Z18" s="1"/>
  <c r="Z19" s="1"/>
  <c r="Z20" s="1"/>
  <c r="R31" a="1"/>
  <c r="N31"/>
  <c r="U31" a="1"/>
  <c r="U31" s="1"/>
  <c r="I29" i="13" s="1"/>
  <c r="H9" i="2"/>
  <c r="F10"/>
  <c r="G10" s="1"/>
  <c r="S31"/>
  <c r="Q31"/>
  <c r="I23" i="13" s="1"/>
  <c r="R31" i="2"/>
  <c r="T31"/>
  <c r="I24" i="13" s="1"/>
  <c r="AA31" i="2"/>
  <c r="P12" l="1"/>
  <c r="AB12" s="1"/>
  <c r="Q68" i="8"/>
  <c r="Z31" i="2" a="1"/>
  <c r="Z31" s="1"/>
  <c r="H10"/>
  <c r="O9"/>
  <c r="AC9" s="1"/>
  <c r="P21"/>
  <c r="AB21" s="1"/>
  <c r="AC21" s="1"/>
  <c r="F11"/>
  <c r="G11" s="1"/>
  <c r="O10" l="1"/>
  <c r="AC10" s="1"/>
  <c r="P13"/>
  <c r="AB13" s="1"/>
  <c r="F12"/>
  <c r="H11"/>
  <c r="O11" l="1"/>
  <c r="AC11" s="1"/>
  <c r="G12"/>
  <c r="P14"/>
  <c r="AB14" s="1"/>
  <c r="H12"/>
  <c r="F13"/>
  <c r="O28" l="1"/>
  <c r="AC28" s="1"/>
  <c r="G23"/>
  <c r="O23" s="1"/>
  <c r="O12"/>
  <c r="AC12" s="1"/>
  <c r="G13"/>
  <c r="P15"/>
  <c r="AB15" s="1"/>
  <c r="AG13"/>
  <c r="F14"/>
  <c r="AG14" s="1"/>
  <c r="H13"/>
  <c r="AH13"/>
  <c r="O13" l="1"/>
  <c r="AC13" s="1"/>
  <c r="G14"/>
  <c r="AH14" s="1"/>
  <c r="AK14" s="1"/>
  <c r="P16"/>
  <c r="AB16" s="1"/>
  <c r="AI13"/>
  <c r="AK13"/>
  <c r="P23"/>
  <c r="AB23" s="1"/>
  <c r="AC23" s="1"/>
  <c r="F15"/>
  <c r="AJ15" s="1"/>
  <c r="AI14"/>
  <c r="H14"/>
  <c r="AG15" l="1"/>
  <c r="O14"/>
  <c r="AC14" s="1"/>
  <c r="G15"/>
  <c r="AH15" s="1"/>
  <c r="AK15" s="1"/>
  <c r="P17"/>
  <c r="AB17" s="1"/>
  <c r="P31" a="1"/>
  <c r="H15"/>
  <c r="F16"/>
  <c r="AB31" a="1"/>
  <c r="G16" l="1"/>
  <c r="AH16" s="1"/>
  <c r="AK16" s="1"/>
  <c r="AK21" s="1"/>
  <c r="AJ21"/>
  <c r="G25" s="1"/>
  <c r="O25" s="1"/>
  <c r="AG16"/>
  <c r="G27"/>
  <c r="O27" s="1"/>
  <c r="P27" s="1"/>
  <c r="AB27" s="1"/>
  <c r="AC27" s="1"/>
  <c r="AI15"/>
  <c r="O15"/>
  <c r="AC15" s="1"/>
  <c r="P18"/>
  <c r="AB18" s="1"/>
  <c r="H16"/>
  <c r="F17"/>
  <c r="AI16" l="1"/>
  <c r="P25"/>
  <c r="AB25" s="1"/>
  <c r="AC25" s="1"/>
  <c r="O16"/>
  <c r="AC16" s="1"/>
  <c r="G17"/>
  <c r="P19"/>
  <c r="AB19" s="1"/>
  <c r="F18"/>
  <c r="O17" l="1"/>
  <c r="AC17" s="1"/>
  <c r="G18"/>
  <c r="P20"/>
  <c r="AB20" s="1"/>
  <c r="AG18"/>
  <c r="AG21" s="1"/>
  <c r="F24" s="1"/>
  <c r="F19"/>
  <c r="AH18"/>
  <c r="AH21" s="1"/>
  <c r="G24" s="1"/>
  <c r="O18" l="1"/>
  <c r="AC18" s="1"/>
  <c r="G19"/>
  <c r="O24"/>
  <c r="AC24" s="1"/>
  <c r="AB31"/>
  <c r="P31"/>
  <c r="I28" i="13" s="1"/>
  <c r="AI18" i="2"/>
  <c r="AI21" s="1"/>
  <c r="F20"/>
  <c r="O19" l="1"/>
  <c r="AC19" s="1"/>
  <c r="E4" i="6"/>
  <c r="G20" i="2"/>
  <c r="F4" i="6" s="1"/>
  <c r="F31" i="2" a="1"/>
  <c r="I4" i="6"/>
  <c r="F31" i="2"/>
  <c r="O20" l="1"/>
  <c r="AC20" s="1"/>
  <c r="G4" i="6"/>
  <c r="H4" s="1"/>
  <c r="H31" i="2" a="1"/>
  <c r="G31" a="1"/>
  <c r="G31" s="1"/>
  <c r="O31" a="1"/>
  <c r="H31"/>
  <c r="J4" i="6" l="1"/>
  <c r="M4" s="1"/>
  <c r="O31" i="2"/>
  <c r="Q4" i="8" s="1"/>
  <c r="Q4" i="12" l="1"/>
  <c r="Q4" i="13"/>
  <c r="AC31" i="2" a="1"/>
  <c r="AC31" s="1"/>
  <c r="Q6" i="12" l="1"/>
  <c r="Q10" s="1"/>
  <c r="Q15" s="1"/>
  <c r="Q20" s="1"/>
  <c r="Q47" s="1"/>
  <c r="Q48" s="1"/>
  <c r="Y62" l="1"/>
  <c r="AE55"/>
  <c r="Q63" s="1"/>
  <c r="X54"/>
  <c r="X55" s="1"/>
  <c r="Q52" s="1"/>
  <c r="Z54"/>
  <c r="Z55" s="1"/>
  <c r="Y54"/>
  <c r="Y42"/>
  <c r="Y43" s="1"/>
  <c r="C57"/>
  <c r="P57"/>
  <c r="Q57"/>
  <c r="AB42"/>
  <c r="AB43" s="1"/>
  <c r="AC54"/>
  <c r="AA42"/>
  <c r="AA43" s="1"/>
  <c r="AA54"/>
  <c r="AA55" s="1"/>
  <c r="Q55" s="1"/>
  <c r="AI53"/>
  <c r="AL53" s="1"/>
  <c r="AL55" s="1"/>
  <c r="X42"/>
  <c r="X43" s="1"/>
  <c r="Z42"/>
  <c r="Z43" s="1"/>
  <c r="AB54"/>
  <c r="AD54"/>
  <c r="AD55" s="1"/>
  <c r="Y55" l="1"/>
  <c r="Q53" s="1"/>
  <c r="Q54"/>
  <c r="AJ53"/>
  <c r="AC55"/>
  <c r="AK53"/>
  <c r="AK55" s="1"/>
  <c r="AB55"/>
  <c r="O27" i="13"/>
  <c r="Q56" i="12" l="1"/>
  <c r="Q59" s="1"/>
  <c r="AH55"/>
  <c r="AH56" s="1"/>
  <c r="Q40" i="13"/>
  <c r="Q45" s="1"/>
  <c r="Q58" i="12" l="1"/>
  <c r="AH58"/>
  <c r="AH59"/>
  <c r="O30" i="13"/>
  <c r="O32" s="1"/>
  <c r="Q33" s="1"/>
  <c r="Q35" s="1"/>
  <c r="Q46" s="1"/>
  <c r="AJ55" i="12" l="1"/>
  <c r="AJ58" s="1"/>
  <c r="J47" i="7"/>
  <c r="J78"/>
  <c r="V23"/>
  <c r="J23"/>
  <c r="V47"/>
  <c r="V78"/>
  <c r="S65" l="1"/>
  <c r="G10"/>
  <c r="G9" s="1"/>
  <c r="S10"/>
  <c r="N4" i="6"/>
  <c r="G65" i="7"/>
  <c r="G64" s="1"/>
  <c r="G34"/>
  <c r="G33" s="1"/>
  <c r="D37" s="1"/>
  <c r="S34"/>
  <c r="S33" s="1"/>
  <c r="P37" s="1"/>
  <c r="L4" i="6"/>
  <c r="T4" s="1"/>
  <c r="K4" l="1"/>
  <c r="Q5" i="8" s="1"/>
  <c r="S9" i="7"/>
  <c r="S64"/>
  <c r="P68"/>
  <c r="D68"/>
  <c r="P13"/>
  <c r="D13"/>
  <c r="Q5" i="13" l="1"/>
  <c r="Q6" s="1"/>
  <c r="Q10" s="1"/>
  <c r="Q15" s="1"/>
  <c r="Q20" s="1"/>
  <c r="Q47" s="1"/>
  <c r="Q48" s="1"/>
  <c r="Z42" l="1"/>
  <c r="W42"/>
  <c r="W43" s="1"/>
  <c r="Q52" s="1"/>
  <c r="Y42"/>
  <c r="X42"/>
  <c r="X43" l="1"/>
  <c r="Q53" s="1"/>
  <c r="X44"/>
  <c r="Z43"/>
  <c r="Q55" s="1"/>
  <c r="Z44"/>
  <c r="Z45"/>
  <c r="Y44"/>
  <c r="Y45"/>
  <c r="Y43"/>
  <c r="Q54" s="1"/>
  <c r="Q57" l="1"/>
  <c r="Q58" s="1"/>
  <c r="Q59" l="1"/>
  <c r="Q60" l="1"/>
  <c r="Q61" s="1"/>
  <c r="M51" i="8"/>
  <c r="C51"/>
  <c r="C55"/>
  <c r="H13"/>
  <c r="K52"/>
  <c r="C54"/>
  <c r="M56"/>
  <c r="M52"/>
  <c r="I51"/>
  <c r="I54"/>
  <c r="C56"/>
  <c r="C52"/>
  <c r="I56"/>
  <c r="I55"/>
  <c r="K56"/>
  <c r="K53"/>
  <c r="K51"/>
  <c r="K55"/>
  <c r="M55"/>
  <c r="I53"/>
  <c r="K54"/>
  <c r="K13"/>
  <c r="C53"/>
  <c r="M54"/>
  <c r="M53"/>
  <c r="I52"/>
  <c r="E13"/>
  <c r="Q34"/>
  <c r="I24"/>
  <c r="I25"/>
  <c r="Q38"/>
  <c r="I26"/>
  <c r="Q39"/>
  <c r="Q40"/>
  <c r="I27"/>
  <c r="Q41"/>
  <c r="I28"/>
  <c r="Q42"/>
  <c r="I29"/>
  <c r="Q43"/>
  <c r="I30"/>
  <c r="Q44"/>
  <c r="I31"/>
  <c r="O23"/>
  <c r="Q37"/>
  <c r="O24"/>
  <c r="O25"/>
  <c r="O26"/>
  <c r="O27"/>
  <c r="O28"/>
  <c r="O29"/>
  <c r="O30"/>
  <c r="I23"/>
  <c r="AE48"/>
  <c r="AG48" s="1"/>
  <c r="Q45" l="1"/>
  <c r="M13"/>
  <c r="O32"/>
  <c r="Q6"/>
  <c r="Q10" s="1"/>
  <c r="Q14" l="1"/>
  <c r="Q15" s="1"/>
  <c r="Q20" s="1"/>
  <c r="Q33"/>
  <c r="Q35" s="1"/>
  <c r="Q46" s="1"/>
  <c r="Q47" l="1"/>
  <c r="Q48" s="1"/>
  <c r="AJ54" s="1"/>
  <c r="AJ55" s="1"/>
  <c r="AI54" l="1"/>
  <c r="AI56" s="1"/>
  <c r="AH54"/>
  <c r="AH55" s="1"/>
  <c r="AM44"/>
  <c r="AK54"/>
  <c r="AK55" s="1"/>
  <c r="AH42"/>
  <c r="AH43" s="1"/>
  <c r="Q52" s="1"/>
  <c r="AI42"/>
  <c r="AI43" s="1"/>
  <c r="AJ42"/>
  <c r="AJ44" s="1"/>
  <c r="AM45"/>
  <c r="AM43"/>
  <c r="Q60" s="1"/>
  <c r="AL54"/>
  <c r="AL55" s="1"/>
  <c r="Q56" s="1"/>
  <c r="AK42"/>
  <c r="AK45" s="1"/>
  <c r="AJ56"/>
  <c r="AK44"/>
  <c r="AJ45"/>
  <c r="AL45" s="1"/>
  <c r="AK43" l="1"/>
  <c r="Q55" s="1"/>
  <c r="AI55"/>
  <c r="AJ43"/>
  <c r="Q54" s="1"/>
  <c r="AK56"/>
  <c r="Q53"/>
  <c r="AI44"/>
  <c r="AL44" s="1"/>
  <c r="AL56"/>
  <c r="Q57" l="1"/>
  <c r="Q58" s="1"/>
  <c r="AL43"/>
  <c r="Q62" i="13" l="1"/>
  <c r="Q63" s="1"/>
  <c r="Q64" s="1"/>
  <c r="Q59" i="8"/>
  <c r="Q62" l="1"/>
  <c r="Q61"/>
  <c r="Q64"/>
  <c r="Q67" i="12"/>
  <c r="X8" i="8"/>
  <c r="L67" i="13"/>
  <c r="Q67"/>
  <c r="Q63" i="8" l="1"/>
  <c r="Q65" s="1"/>
  <c r="Q66" s="1"/>
  <c r="Q69" l="1"/>
  <c r="U8" i="12"/>
  <c r="L69" i="8"/>
  <c r="Q60" i="12" l="1"/>
  <c r="Q61" s="1"/>
  <c r="Q62" l="1"/>
  <c r="Q64" s="1"/>
  <c r="Q65" l="1"/>
  <c r="Q66" s="1"/>
  <c r="Q68" s="1"/>
  <c r="Q69" s="1"/>
  <c r="U12" s="1"/>
  <c r="S12" l="1"/>
  <c r="S8"/>
  <c r="X12" i="8"/>
  <c r="L72" i="12"/>
  <c r="Q72"/>
  <c r="S8" i="8" l="1"/>
  <c r="S12"/>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sharedStrings.xml><?xml version="1.0" encoding="utf-8"?>
<sst xmlns="http://schemas.openxmlformats.org/spreadsheetml/2006/main" count="831" uniqueCount="320">
  <si>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</si>
  <si>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</si>
  <si>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</si>
  <si>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</si>
  <si>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</si>
  <si>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</si>
  <si>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</si>
  <si>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</si>
  <si>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</si>
  <si>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</si>
  <si>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</si>
  <si>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</si>
  <si>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</si>
  <si>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</si>
  <si>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</si>
  <si>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</si>
  <si>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</si>
  <si>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</si>
  <si>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</si>
  <si>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</si>
  <si>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</si>
  <si>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</si>
  <si>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</si>
  <si>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</si>
  <si>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</si>
  <si>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</si>
  <si>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</si>
  <si>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</si>
  <si>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</si>
  <si>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</si>
  <si>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</si>
  <si>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</si>
  <si>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</si>
  <si>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</si>
  <si>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</si>
  <si>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</si>
  <si>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</si>
  <si>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</si>
  <si>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</si>
  <si>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</si>
  <si>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</si>
  <si>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</si>
  <si>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</si>
  <si>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</si>
  <si>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</si>
  <si>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</si>
  <si>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</si>
  <si>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</si>
  <si>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</si>
  <si>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</si>
  <si>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</si>
  <si>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</si>
  <si>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</si>
  <si>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</si>
  <si>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</si>
  <si>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</si>
  <si>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</si>
  <si>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</si>
  <si>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</si>
  <si>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</si>
  <si>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</si>
  <si>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</si>
  <si>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</si>
  <si>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</si>
  <si>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</si>
  <si>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</si>
  <si>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</si>
  <si>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</si>
  <si>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</si>
  <si>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</si>
  <si>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</si>
  <si>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</si>
  <si>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</si>
  <si>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</si>
  <si>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</si>
  <si>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</si>
  <si>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</si>
  <si>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</si>
  <si>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</si>
  <si>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</si>
  <si>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</si>
  <si>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</si>
  <si>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</si>
  <si>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</si>
  <si>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</si>
  <si>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</si>
  <si>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</si>
  <si>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</si>
  <si>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</si>
  <si>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</si>
  <si>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</si>
  <si>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</si>
  <si>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</si>
  <si>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</si>
  <si>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</si>
  <si>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</si>
  <si>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</si>
  <si>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</si>
  <si>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</si>
  <si>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</si>
  <si>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</si>
  <si>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</si>
  <si>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</si>
  <si>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</si>
  <si>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</si>
  <si>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</si>
  <si>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</si>
  <si>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</si>
  <si>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</si>
  <si>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</si>
  <si>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</si>
  <si>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</si>
  <si>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</si>
  <si>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</si>
  <si>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</si>
  <si>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</si>
  <si>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HBA</t>
  </si>
  <si>
    <t>CmCorona Relief</t>
  </si>
  <si>
    <t>Hitkari Nidhi</t>
  </si>
  <si>
    <t>9(i)</t>
  </si>
  <si>
    <t>9(ii)</t>
  </si>
  <si>
    <t>9(iii)</t>
  </si>
  <si>
    <t>GPF/GPF 2004</t>
  </si>
  <si>
    <t>B</t>
  </si>
  <si>
    <t>Posting Place Name</t>
  </si>
  <si>
    <t>DDO Office Name :-</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</si>
  <si>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</si>
  <si>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</si>
  <si>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</si>
  <si>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</si>
  <si>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</si>
  <si>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</si>
  <si>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</si>
  <si>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</si>
  <si>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</si>
  <si>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</si>
  <si>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</si>
  <si>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</si>
  <si>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</si>
  <si>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</si>
  <si>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</si>
  <si>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</si>
  <si>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</si>
  <si>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</si>
  <si>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</si>
  <si>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</si>
  <si>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</si>
  <si>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</si>
  <si>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</si>
  <si>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</si>
  <si>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</si>
  <si>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</si>
  <si>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</si>
  <si>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</si>
  <si>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</si>
  <si>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</si>
  <si>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</si>
  <si>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</si>
  <si>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</si>
  <si>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</si>
  <si>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</si>
  <si>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</si>
  <si>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</si>
  <si>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</si>
  <si>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</si>
  <si>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</si>
  <si>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</si>
  <si>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</si>
  <si>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</si>
  <si>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</si>
  <si>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</si>
  <si>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</si>
  <si>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</si>
  <si>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</si>
  <si>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</si>
  <si>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</si>
  <si>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</si>
  <si>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</si>
  <si>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</si>
  <si>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</si>
  <si>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</si>
  <si>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</si>
  <si>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</si>
  <si>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</si>
  <si>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</si>
  <si>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</si>
  <si>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</si>
  <si>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</si>
  <si>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</si>
  <si>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</si>
  <si>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</si>
  <si>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</si>
  <si>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</si>
  <si>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</si>
  <si>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</si>
  <si>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</si>
  <si>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</si>
  <si>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</si>
  <si>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</si>
  <si>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</si>
  <si>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</si>
  <si>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</si>
  <si>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</si>
  <si>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</si>
  <si>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</si>
  <si>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</si>
  <si>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</si>
  <si>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</si>
  <si>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</si>
  <si>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</si>
  <si>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</si>
  <si>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</si>
  <si>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</si>
  <si>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</si>
  <si>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</si>
  <si>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</si>
  <si>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</si>
  <si>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</si>
  <si>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</si>
  <si>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</si>
  <si>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</si>
  <si>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</si>
  <si>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</si>
  <si>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</si>
  <si>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</si>
  <si>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</si>
  <si>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</si>
  <si>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</si>
  <si>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</si>
  <si>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</si>
  <si>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</si>
  <si>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</si>
  <si>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</si>
  <si>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</si>
  <si>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</si>
  <si>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</si>
  <si>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</si>
  <si>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</si>
  <si>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</si>
  <si>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</si>
  <si>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HRA  Receipt देखें</t>
  </si>
  <si>
    <t>Surrender Arrear</t>
  </si>
  <si>
    <t>JDHG09250D</t>
  </si>
  <si>
    <t>F.Y.</t>
  </si>
  <si>
    <t>Employee Age
(Less 60=A, Between 60&amp;80=B, Above 80=C)</t>
  </si>
  <si>
    <t xml:space="preserve">DA Paid </t>
  </si>
  <si>
    <t>DA Arear</t>
  </si>
  <si>
    <t>Employee Service Type</t>
  </si>
  <si>
    <t>Subordinate</t>
  </si>
  <si>
    <t xml:space="preserve">81 वर्ष या अधिक आयु </t>
  </si>
  <si>
    <t>Income Slab</t>
  </si>
  <si>
    <t>&gt;600000</t>
  </si>
  <si>
    <t>&gt;900000</t>
  </si>
  <si>
    <t>&gt;1200000</t>
  </si>
  <si>
    <r>
      <rPr>
        <b/>
        <sz val="8"/>
        <rFont val="Cambria"/>
        <family val="1"/>
        <scheme val="major"/>
      </rPr>
      <t>(2) छूट धारा 87 (A) (पुरानी स्लैब में 5 लाख की कर योग्य आय पर छुट अधिकतम रु. 12500/- व नई स्लैब में 7 लाख की कर योग्य आय पर 25000/- तक राहत)</t>
    </r>
    <r>
      <rPr>
        <sz val="10"/>
        <rFont val="Calibri"/>
        <family val="2"/>
        <scheme val="minor"/>
      </rPr>
      <t/>
    </r>
  </si>
  <si>
    <t>(2) छूट धारा 87 (A) (नई स्लैब में 7 लाख की कर योग्य आय पर 25000/- तक राहत)</t>
  </si>
  <si>
    <t>(GSSS RAIMALWADA, BAPINI-PHALODI)</t>
  </si>
  <si>
    <t>Email Id-ummedtrdedu@gmail.com</t>
  </si>
  <si>
    <t xml:space="preserve">Deducted Income Tax </t>
  </si>
  <si>
    <t>School's Detail</t>
  </si>
  <si>
    <t>GA55 देखें</t>
  </si>
  <si>
    <t>ABCDE1234F</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</si>
  <si>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</si>
  <si>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Click Here For Help Video</t>
  </si>
  <si>
    <t>&gt;5000000</t>
  </si>
  <si>
    <t>Surcharge</t>
  </si>
  <si>
    <t>&gt;10000000</t>
  </si>
  <si>
    <t>(3) छूट धारा 115 BAC  (Marginal Relief) (नई स्लैब में कर योग्य आय कर से न्यून होने की स्थिति में)</t>
  </si>
  <si>
    <r>
      <t xml:space="preserve">(2)  छूट धारा 87 (A) (नई स्लैब में 7 लाख की कर योग्य आय पर 25000/- तक राहत) 
     </t>
    </r>
    <r>
      <rPr>
        <b/>
        <sz val="9"/>
        <rFont val="Cambria"/>
        <family val="1"/>
        <scheme val="major"/>
      </rPr>
      <t xml:space="preserve">   Or 115 BAC  (Marginal Relief) (नई स्लैब में कर योग्य आय कर से न्यून होने की स्थिति में)</t>
    </r>
  </si>
  <si>
    <r>
      <t xml:space="preserve">(3) शेष आयकर (1-2) </t>
    </r>
    <r>
      <rPr>
        <b/>
        <sz val="10"/>
        <color rgb="FFFF0000"/>
        <rFont val="Cambria"/>
        <family val="1"/>
        <scheme val="major"/>
      </rPr>
      <t>{87 (A)  के तहत राहत अथवा Marginal Relief  के पश्चात}</t>
    </r>
  </si>
  <si>
    <t>(6) शिक्षा उपकर 2% एवं उच्च शिक्षा के लिए अधिभार 2% (योग 4%)</t>
  </si>
  <si>
    <t>कुल आयकर (5+6)</t>
  </si>
  <si>
    <t>(5) अधिभार (Surcharge) को मिलाकर आयकर (3+4)</t>
  </si>
  <si>
    <r>
      <rPr>
        <b/>
        <sz val="10"/>
        <color theme="1"/>
        <rFont val="Cambria"/>
        <family val="1"/>
        <scheme val="major"/>
      </rPr>
      <t xml:space="preserve">(4) अधिभार (Surcharge) </t>
    </r>
    <r>
      <rPr>
        <b/>
        <sz val="9"/>
        <color theme="1"/>
        <rFont val="Cambria"/>
        <family val="1"/>
        <scheme val="major"/>
      </rPr>
      <t xml:space="preserve"> </t>
    </r>
    <r>
      <rPr>
        <b/>
        <sz val="6"/>
        <color rgb="FFFF0000"/>
        <rFont val="Cambria"/>
        <family val="1"/>
        <scheme val="major"/>
      </rPr>
      <t>{50 लाख 1 रु.से 1 करोड़ तक आय के कर पर 10%,1 करोड़ 1 रु.से 2 करोड़ तक आय के कर पर 15% तथा 2 करोड़ से ऊपरी आय के कर पर 25% }</t>
    </r>
  </si>
  <si>
    <t>1. An employer's contribution to the NPS up to 10% (14% of Govt. employees) of an employer's basic pay plus DA is allowed 
                                                                                                                                                                                                      as U/s 80 CCD(2)</t>
  </si>
  <si>
    <t>2. Any amount paid or deposited to the Agniveer Corpus Fund under the newly proposed 
                                                                                                                                                                                                      as U/s 80 CCH</t>
  </si>
  <si>
    <t>कुल योग 12</t>
  </si>
  <si>
    <r>
      <t xml:space="preserve">Income Tax Refundable/Payble
</t>
    </r>
    <r>
      <rPr>
        <b/>
        <sz val="5"/>
        <rFont val="Cambria"/>
        <family val="1"/>
        <scheme val="major"/>
      </rPr>
      <t xml:space="preserve">Here Refundable figure Show Positive &amp; Green Color and Payble figure Show Negative &amp; Red Colour </t>
    </r>
  </si>
  <si>
    <r>
      <rPr>
        <b/>
        <sz val="10"/>
        <color theme="1"/>
        <rFont val="Cambria"/>
        <family val="1"/>
        <scheme val="major"/>
      </rPr>
      <t xml:space="preserve">(4) अधिभार (Surcharge) 
                     </t>
    </r>
    <r>
      <rPr>
        <b/>
        <sz val="6"/>
        <color rgb="FFFF0000"/>
        <rFont val="Cambria"/>
        <family val="1"/>
        <scheme val="major"/>
      </rPr>
      <t>{50 लाख 1 रु.से 1 करोड़ तक आय के कर पर 10%,1 करोड़ 1 रु.से 2 करोड़ तक आय के कर पर 15%,2करोड़ 1 रु.से 5 करोड़ तक आय के कर पर 25%,5 करोड़ से ऊपरी आय के कर पर 37% }</t>
    </r>
  </si>
  <si>
    <r>
      <t xml:space="preserve">Income Tax Refundable/Payble
</t>
    </r>
    <r>
      <rPr>
        <b/>
        <sz val="6"/>
        <rFont val="Cambria"/>
        <family val="1"/>
        <scheme val="major"/>
      </rPr>
      <t xml:space="preserve">Here Refundable figure Show Positive &amp; Green Color and Payble figure Show Negative &amp; Red Colour </t>
    </r>
  </si>
  <si>
    <t>From Jan-24</t>
  </si>
  <si>
    <t>From Jul-24</t>
  </si>
  <si>
    <t>Jan-24 to Feb-24</t>
  </si>
  <si>
    <t>Jul-24 to Oct-24</t>
  </si>
  <si>
    <t>2024-25</t>
  </si>
  <si>
    <t>Basic Pay (March-24)</t>
  </si>
  <si>
    <t>DA (Jan-24 to Feb-24)</t>
  </si>
  <si>
    <t>DA (Jul-24 to  Oct-24)</t>
  </si>
  <si>
    <t>ROP
(If any)</t>
  </si>
  <si>
    <t>Extra TDS Deposited 
(Via Challan etc)</t>
  </si>
  <si>
    <t>Income Tax Calculation F.Y. 2024-25 (A.Y.2025-26)</t>
  </si>
  <si>
    <t>आय:वर्ष 2024-25 में कुल प्राप्त वेतन (कर योग्य सुविधाओं के मूल्य सहित)</t>
  </si>
  <si>
    <t>Itax deducted Till Jun-2024 (First Quarter)</t>
  </si>
  <si>
    <t>Itax deducted  July-24 to Sep.-24      (Second Quarter)</t>
  </si>
  <si>
    <t>Itax deducted Oct-24 to Dec.-24 (Third Quarter)</t>
  </si>
  <si>
    <t>Itax Deducted/Dedctable by Dec.24 Salary</t>
  </si>
  <si>
    <t>Itax Deducted/Dedctable by Jan-25 Salary</t>
  </si>
  <si>
    <t>Itax Deducted/Dedctable by Feb-25 Salary</t>
  </si>
  <si>
    <t>Itax deducted Till Jun-24 (First Quarter)</t>
  </si>
  <si>
    <t>Itax deducted  July-24 to Sep-24
 (Second Quarter)</t>
  </si>
  <si>
    <t>Itax deducted Oct-24 to Dec-24
(Third Quarter)</t>
  </si>
  <si>
    <t>Itax Deducted/Dedctable by Dec-24 Salary</t>
  </si>
  <si>
    <t>(iii) स्टेंडर्ड डिडक्शन (Standard Deduction)-अधिकतम 75,000</t>
  </si>
  <si>
    <t>&gt;700000</t>
  </si>
  <si>
    <t>1 April, 2024 To 30 June, 2024</t>
  </si>
  <si>
    <t>1 July, 2024 To 30 Sep., 2024</t>
  </si>
  <si>
    <t>1 Oct., 2024 To 31 Dec., 2024</t>
  </si>
  <si>
    <t>1 Jan., 2025 To 31 March, 2025</t>
  </si>
  <si>
    <t xml:space="preserve">आवश्यक निर्देश :- </t>
  </si>
  <si>
    <t>→</t>
  </si>
  <si>
    <t>As New Regime</t>
  </si>
  <si>
    <t>As Old Regime</t>
  </si>
  <si>
    <t>Click Here</t>
  </si>
  <si>
    <r>
      <rPr>
        <b/>
        <sz val="16"/>
        <color theme="0"/>
        <rFont val="Cambria"/>
        <family val="1"/>
        <scheme val="major"/>
      </rPr>
      <t>Creator:-</t>
    </r>
    <r>
      <rPr>
        <b/>
        <sz val="22"/>
        <color theme="0"/>
        <rFont val="AlgerianD"/>
        <family val="5"/>
      </rPr>
      <t xml:space="preserve">
Ummed Tarad</t>
    </r>
  </si>
  <si>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HRA से जुडी आवश्यक रिसिप्ट तैयार है, प्रिंट ले सकते हैं.</t>
    </r>
    <r>
      <rPr>
        <b/>
        <sz val="10"/>
        <color rgb="FFC00000"/>
        <rFont val="Calibri"/>
        <family val="2"/>
        <scheme val="minor"/>
      </rPr>
      <t xml:space="preserve">
</t>
    </r>
  </si>
  <si>
    <t>Extra Deduction Sheet For Old Regime</t>
  </si>
  <si>
    <t>1 April, 2024 To 31 March, 2025</t>
  </si>
  <si>
    <t>&gt;100000</t>
  </si>
  <si>
    <t>Sal. Arrear-3</t>
  </si>
  <si>
    <t>Updated On 31-10-2024</t>
  </si>
</sst>
</file>

<file path=xl/styles.xml><?xml version="1.0" encoding="utf-8"?>
<styleSheet xmlns="http://schemas.openxmlformats.org/spreadsheetml/2006/main">
  <numFmts count="9">
    <numFmt numFmtId="6" formatCode="&quot;₹&quot;\ #,##0;[Red]&quot;₹&quot;\ \-#,##0"/>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s>
  <fonts count="128">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sz val="18"/>
      <color rgb="FF006600"/>
      <name val="Calibri"/>
      <family val="2"/>
      <scheme val="minor"/>
    </font>
    <font>
      <u/>
      <sz val="11"/>
      <color theme="1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12"/>
      <color rgb="FFFFFF00"/>
      <name val="Cambria"/>
      <family val="1"/>
      <scheme val="major"/>
    </font>
    <font>
      <sz val="18"/>
      <color theme="1"/>
      <name val="Calibri"/>
      <family val="2"/>
      <scheme val="minor"/>
    </font>
    <font>
      <b/>
      <sz val="10"/>
      <color rgb="FFC00000"/>
      <name val="Calibri"/>
      <family val="2"/>
      <scheme val="minor"/>
    </font>
    <font>
      <b/>
      <sz val="10"/>
      <color rgb="FF002060"/>
      <name val="Calibri"/>
      <family val="2"/>
      <scheme val="minor"/>
    </font>
    <font>
      <b/>
      <sz val="14"/>
      <color theme="1"/>
      <name val="Aldine721 BT"/>
      <family val="1"/>
    </font>
    <font>
      <b/>
      <sz val="7"/>
      <name val="Cambria"/>
      <family val="1"/>
      <scheme val="major"/>
    </font>
    <font>
      <b/>
      <sz val="16"/>
      <color theme="0"/>
      <name val="Cambria"/>
      <family val="1"/>
      <scheme val="major"/>
    </font>
    <font>
      <b/>
      <sz val="10"/>
      <color theme="0"/>
      <name val="Cambria"/>
      <family val="1"/>
      <scheme val="major"/>
    </font>
    <font>
      <sz val="10"/>
      <color theme="0"/>
      <name val="Cambria"/>
      <family val="1"/>
      <scheme val="major"/>
    </font>
    <font>
      <sz val="11"/>
      <color theme="0"/>
      <name val="Cambria"/>
      <family val="1"/>
      <scheme val="major"/>
    </font>
    <font>
      <b/>
      <sz val="6"/>
      <color rgb="FFFF0000"/>
      <name val="Cambria"/>
      <family val="1"/>
      <scheme val="major"/>
    </font>
    <font>
      <sz val="10"/>
      <color theme="0" tint="-0.249977111117893"/>
      <name val="Cambria"/>
      <family val="1"/>
      <scheme val="major"/>
    </font>
    <font>
      <sz val="11"/>
      <color theme="0" tint="-0.249977111117893"/>
      <name val="Cambria"/>
      <family val="1"/>
      <scheme val="major"/>
    </font>
    <font>
      <sz val="9"/>
      <color theme="0" tint="-0.249977111117893"/>
      <name val="Cambria"/>
      <family val="1"/>
      <scheme val="major"/>
    </font>
    <font>
      <sz val="12"/>
      <color theme="0" tint="-0.249977111117893"/>
      <name val="Cambria"/>
      <family val="1"/>
      <scheme val="major"/>
    </font>
    <font>
      <b/>
      <sz val="10"/>
      <color theme="0" tint="-0.249977111117893"/>
      <name val="Cambria"/>
      <family val="1"/>
      <scheme val="major"/>
    </font>
    <font>
      <i/>
      <sz val="9"/>
      <color theme="0" tint="-0.249977111117893"/>
      <name val="Cambria"/>
      <family val="1"/>
      <scheme val="major"/>
    </font>
    <font>
      <b/>
      <i/>
      <sz val="9"/>
      <color theme="0" tint="-0.249977111117893"/>
      <name val="Cambria"/>
      <family val="1"/>
      <scheme val="major"/>
    </font>
    <font>
      <b/>
      <sz val="11"/>
      <color theme="0" tint="-0.249977111117893"/>
      <name val="Cambria"/>
      <family val="1"/>
      <scheme val="major"/>
    </font>
    <font>
      <b/>
      <sz val="9"/>
      <color theme="0" tint="-0.249977111117893"/>
      <name val="Cambria"/>
      <family val="1"/>
      <scheme val="major"/>
    </font>
    <font>
      <b/>
      <sz val="5"/>
      <name val="Cambria"/>
      <family val="1"/>
      <scheme val="major"/>
    </font>
    <font>
      <b/>
      <sz val="6"/>
      <name val="Cambria"/>
      <family val="1"/>
      <scheme val="major"/>
    </font>
    <font>
      <b/>
      <sz val="11"/>
      <color theme="0"/>
      <name val="Calibri"/>
      <family val="2"/>
      <scheme val="minor"/>
    </font>
    <font>
      <b/>
      <sz val="18"/>
      <color theme="0"/>
      <name val="Americana XBd BT"/>
      <family val="1"/>
    </font>
    <font>
      <b/>
      <sz val="16"/>
      <color theme="0"/>
      <name val="Calibri"/>
      <family val="2"/>
      <scheme val="minor"/>
    </font>
    <font>
      <b/>
      <sz val="11"/>
      <color theme="1"/>
      <name val="Calibri"/>
      <family val="2"/>
    </font>
    <font>
      <b/>
      <sz val="11"/>
      <color rgb="FFFFFF00"/>
      <name val="Calibri"/>
      <family val="2"/>
      <scheme val="minor"/>
    </font>
    <font>
      <b/>
      <sz val="14"/>
      <color theme="0"/>
      <name val="BookmanITC Lt BT"/>
      <family val="1"/>
    </font>
    <font>
      <b/>
      <sz val="18"/>
      <color theme="0"/>
      <name val="BookmanITC Lt BT"/>
      <family val="1"/>
    </font>
    <font>
      <b/>
      <sz val="20"/>
      <color rgb="FFFFFF00"/>
      <name val="Aachen BT"/>
      <family val="1"/>
    </font>
    <font>
      <b/>
      <sz val="32"/>
      <color theme="0"/>
      <name val="BookmanITC Lt BT"/>
      <family val="1"/>
    </font>
  </fonts>
  <fills count="33">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0070C0"/>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
      <gradientFill type="path" left="0.5" right="0.5" top="0.5" bottom="0.5">
        <stop position="0">
          <color theme="1"/>
        </stop>
        <stop position="1">
          <color rgb="FFFF0000"/>
        </stop>
      </gradientFill>
    </fill>
  </fills>
  <borders count="166">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style="thin">
        <color indexed="64"/>
      </right>
      <top/>
      <bottom style="thin">
        <color indexed="64"/>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medium">
        <color rgb="FF7030A0"/>
      </right>
      <top/>
      <bottom style="thin">
        <color rgb="FF7030A0"/>
      </bottom>
      <diagonal/>
    </border>
    <border>
      <left style="medium">
        <color rgb="FFFF0000"/>
      </left>
      <right style="thin">
        <color rgb="FF002060"/>
      </right>
      <top style="medium">
        <color rgb="FFFF0000"/>
      </top>
      <bottom style="medium">
        <color rgb="FFFF0000"/>
      </bottom>
      <diagonal/>
    </border>
    <border>
      <left style="medium">
        <color rgb="FFFF0000"/>
      </left>
      <right style="thin">
        <color rgb="FF002060"/>
      </right>
      <top style="medium">
        <color rgb="FFFF0000"/>
      </top>
      <bottom/>
      <diagonal/>
    </border>
    <border>
      <left/>
      <right style="thin">
        <color indexed="64"/>
      </right>
      <top style="medium">
        <color rgb="FFFF0000"/>
      </top>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s>
  <cellStyleXfs count="6">
    <xf numFmtId="0" fontId="0" fillId="0" borderId="0"/>
    <xf numFmtId="0" fontId="52" fillId="0" borderId="0"/>
    <xf numFmtId="0" fontId="52" fillId="0" borderId="0"/>
    <xf numFmtId="0" fontId="52" fillId="0" borderId="0"/>
    <xf numFmtId="171" fontId="52" fillId="0" borderId="0" applyFont="0" applyFill="0" applyBorder="0" applyAlignment="0" applyProtection="0"/>
    <xf numFmtId="0" fontId="87" fillId="0" borderId="0" applyNumberFormat="0" applyFill="0" applyBorder="0" applyAlignment="0" applyProtection="0">
      <alignment vertical="top"/>
      <protection locked="0"/>
    </xf>
  </cellStyleXfs>
  <cellXfs count="773">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5" fillId="0" borderId="67" xfId="0" applyFont="1" applyBorder="1" applyAlignment="1" applyProtection="1">
      <alignment horizontal="center" vertical="center"/>
      <protection hidden="1"/>
    </xf>
    <xf numFmtId="14" fontId="31" fillId="0" borderId="71"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0" fontId="44" fillId="0" borderId="0" xfId="0" applyFont="1" applyProtection="1">
      <protection hidden="1"/>
    </xf>
    <xf numFmtId="0" fontId="50" fillId="13" borderId="92" xfId="0" applyFont="1" applyFill="1" applyBorder="1" applyAlignment="1" applyProtection="1">
      <alignment horizontal="center" vertical="center" wrapText="1"/>
      <protection locked="0"/>
    </xf>
    <xf numFmtId="0" fontId="50" fillId="13" borderId="93"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1" fontId="57" fillId="0" borderId="7" xfId="0" applyNumberFormat="1" applyFont="1" applyBorder="1" applyAlignment="1" applyProtection="1">
      <alignment horizontal="center" vertical="center" textRotation="90" wrapText="1"/>
      <protection hidden="1"/>
    </xf>
    <xf numFmtId="1" fontId="19" fillId="0" borderId="65" xfId="0" applyNumberFormat="1" applyFont="1" applyBorder="1" applyAlignment="1" applyProtection="1">
      <alignment horizontal="center" vertical="center" textRotation="90" wrapText="1"/>
      <protection hidden="1"/>
    </xf>
    <xf numFmtId="0" fontId="54"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8" xfId="0" applyFont="1" applyFill="1" applyBorder="1" applyAlignment="1" applyProtection="1">
      <alignment horizontal="center"/>
      <protection hidden="1"/>
    </xf>
    <xf numFmtId="0" fontId="6" fillId="4" borderId="48" xfId="0" applyFont="1" applyFill="1" applyBorder="1" applyAlignment="1" applyProtection="1">
      <alignment horizontal="center"/>
      <protection hidden="1"/>
    </xf>
    <xf numFmtId="0" fontId="5" fillId="0" borderId="48"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9" borderId="44" xfId="0" applyNumberFormat="1" applyFont="1" applyFill="1" applyBorder="1" applyAlignment="1" applyProtection="1">
      <alignment horizontal="center" vertical="center"/>
      <protection locked="0"/>
    </xf>
    <xf numFmtId="0" fontId="9" fillId="9" borderId="99" xfId="0" applyFont="1" applyFill="1" applyBorder="1" applyAlignment="1" applyProtection="1">
      <alignment horizontal="center" vertical="center" wrapText="1"/>
      <protection locked="0"/>
    </xf>
    <xf numFmtId="166" fontId="9" fillId="9" borderId="99"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9" fillId="9" borderId="44" xfId="0" applyFont="1" applyFill="1" applyBorder="1" applyAlignment="1" applyProtection="1">
      <alignment horizontal="center" vertical="center"/>
      <protection locked="0"/>
    </xf>
    <xf numFmtId="0" fontId="9" fillId="9" borderId="45" xfId="0" applyFont="1" applyFill="1" applyBorder="1" applyAlignment="1" applyProtection="1">
      <alignment horizontal="center" vertical="center"/>
      <protection locked="0"/>
    </xf>
    <xf numFmtId="17" fontId="9" fillId="9" borderId="44" xfId="0" applyNumberFormat="1" applyFont="1" applyFill="1" applyBorder="1" applyAlignment="1" applyProtection="1">
      <alignment horizontal="center" vertical="center"/>
      <protection locked="0"/>
    </xf>
    <xf numFmtId="6" fontId="11" fillId="9" borderId="104" xfId="0" applyNumberFormat="1" applyFont="1" applyFill="1" applyBorder="1" applyAlignment="1" applyProtection="1">
      <alignment horizontal="center" vertical="center"/>
      <protection locked="0"/>
    </xf>
    <xf numFmtId="6" fontId="11" fillId="9" borderId="45" xfId="0" applyNumberFormat="1" applyFont="1" applyFill="1" applyBorder="1" applyAlignment="1" applyProtection="1">
      <alignment horizontal="center" vertical="center"/>
      <protection locked="0"/>
    </xf>
    <xf numFmtId="6" fontId="11" fillId="9" borderId="105" xfId="0" applyNumberFormat="1" applyFont="1" applyFill="1" applyBorder="1" applyAlignment="1" applyProtection="1">
      <alignment horizontal="center" vertical="center"/>
      <protection locked="0"/>
    </xf>
    <xf numFmtId="0" fontId="61" fillId="0" borderId="24" xfId="1" applyFont="1" applyBorder="1" applyAlignment="1" applyProtection="1">
      <alignment vertical="center"/>
      <protection hidden="1"/>
    </xf>
    <xf numFmtId="0" fontId="63"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61" fillId="0" borderId="52" xfId="1" applyFont="1" applyBorder="1" applyAlignment="1" applyProtection="1">
      <alignment vertical="center"/>
      <protection hidden="1"/>
    </xf>
    <xf numFmtId="0" fontId="61" fillId="0" borderId="112" xfId="1" applyFont="1" applyBorder="1" applyAlignment="1" applyProtection="1">
      <alignment vertical="center"/>
      <protection hidden="1"/>
    </xf>
    <xf numFmtId="0" fontId="4" fillId="0" borderId="107" xfId="1" applyFont="1" applyBorder="1" applyAlignment="1" applyProtection="1">
      <alignment vertical="center"/>
      <protection hidden="1"/>
    </xf>
    <xf numFmtId="0" fontId="4" fillId="0" borderId="112" xfId="1" applyFont="1" applyBorder="1" applyAlignment="1" applyProtection="1">
      <alignment vertical="center"/>
      <protection hidden="1"/>
    </xf>
    <xf numFmtId="0" fontId="4" fillId="0" borderId="100" xfId="1" applyFont="1" applyBorder="1" applyAlignment="1" applyProtection="1">
      <alignment vertical="center"/>
      <protection hidden="1"/>
    </xf>
    <xf numFmtId="0" fontId="61" fillId="0" borderId="107" xfId="1" applyFont="1" applyBorder="1" applyAlignment="1" applyProtection="1">
      <alignment vertical="center"/>
      <protection hidden="1"/>
    </xf>
    <xf numFmtId="0" fontId="63" fillId="0" borderId="119" xfId="1" applyFont="1" applyBorder="1" applyAlignment="1" applyProtection="1">
      <alignment vertical="center"/>
      <protection hidden="1"/>
    </xf>
    <xf numFmtId="0" fontId="60" fillId="0" borderId="116" xfId="1" applyFont="1" applyBorder="1" applyAlignment="1" applyProtection="1">
      <alignment horizontal="center" vertical="center"/>
      <protection hidden="1"/>
    </xf>
    <xf numFmtId="0" fontId="60" fillId="0" borderId="118" xfId="1" applyFont="1" applyBorder="1" applyAlignment="1" applyProtection="1">
      <alignment horizontal="center" vertical="center"/>
      <protection hidden="1"/>
    </xf>
    <xf numFmtId="0" fontId="68" fillId="0" borderId="24" xfId="1" applyFont="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67" fillId="0" borderId="112" xfId="1" applyFont="1" applyBorder="1" applyAlignment="1" applyProtection="1">
      <alignment horizontal="right" vertical="center"/>
      <protection hidden="1"/>
    </xf>
    <xf numFmtId="0" fontId="67" fillId="0" borderId="110" xfId="1" applyFont="1" applyBorder="1" applyAlignment="1" applyProtection="1">
      <alignment vertical="center"/>
      <protection hidden="1"/>
    </xf>
    <xf numFmtId="2" fontId="69" fillId="0" borderId="113" xfId="1" applyNumberFormat="1" applyFont="1" applyBorder="1" applyAlignment="1" applyProtection="1">
      <alignment horizontal="right" vertical="center"/>
      <protection hidden="1"/>
    </xf>
    <xf numFmtId="2" fontId="48" fillId="0" borderId="110" xfId="1" applyNumberFormat="1" applyFont="1" applyBorder="1" applyAlignment="1" applyProtection="1">
      <alignment vertical="center"/>
      <protection hidden="1"/>
    </xf>
    <xf numFmtId="2" fontId="48" fillId="0" borderId="110" xfId="1" applyNumberFormat="1" applyFont="1" applyBorder="1" applyAlignment="1" applyProtection="1">
      <alignment horizontal="right" vertical="center"/>
      <protection hidden="1"/>
    </xf>
    <xf numFmtId="2" fontId="69" fillId="0" borderId="110" xfId="1" applyNumberFormat="1" applyFont="1" applyBorder="1" applyAlignment="1" applyProtection="1">
      <alignment horizontal="right" vertical="center"/>
      <protection hidden="1"/>
    </xf>
    <xf numFmtId="2" fontId="65" fillId="0" borderId="110" xfId="1" applyNumberFormat="1" applyFont="1" applyBorder="1" applyAlignment="1" applyProtection="1">
      <alignment horizontal="right" vertical="center"/>
      <protection hidden="1"/>
    </xf>
    <xf numFmtId="2" fontId="75" fillId="0" borderId="115" xfId="1" applyNumberFormat="1" applyFont="1" applyBorder="1" applyAlignment="1" applyProtection="1">
      <alignment horizontal="right" vertical="center"/>
      <protection hidden="1"/>
    </xf>
    <xf numFmtId="2" fontId="76" fillId="0" borderId="120" xfId="1" applyNumberFormat="1" applyFont="1" applyBorder="1" applyAlignment="1" applyProtection="1">
      <alignment horizontal="right" vertical="center"/>
      <protection hidden="1"/>
    </xf>
    <xf numFmtId="2" fontId="66" fillId="0" borderId="108" xfId="1" applyNumberFormat="1" applyFont="1" applyBorder="1" applyAlignment="1" applyProtection="1">
      <alignment horizontal="right" vertical="center"/>
      <protection hidden="1"/>
    </xf>
    <xf numFmtId="2" fontId="66" fillId="0" borderId="113" xfId="1" applyNumberFormat="1" applyFont="1" applyBorder="1" applyAlignment="1" applyProtection="1">
      <alignment horizontal="right" vertical="center"/>
      <protection hidden="1"/>
    </xf>
    <xf numFmtId="2" fontId="72" fillId="0" borderId="110" xfId="1" applyNumberFormat="1" applyFont="1" applyBorder="1" applyAlignment="1" applyProtection="1">
      <alignment horizontal="right" vertical="center"/>
      <protection hidden="1"/>
    </xf>
    <xf numFmtId="2" fontId="76" fillId="0" borderId="110" xfId="1" applyNumberFormat="1" applyFont="1" applyBorder="1" applyAlignment="1" applyProtection="1">
      <alignment horizontal="right" vertical="center"/>
      <protection hidden="1"/>
    </xf>
    <xf numFmtId="2" fontId="77" fillId="0" borderId="24" xfId="1" applyNumberFormat="1" applyFont="1" applyBorder="1" applyAlignment="1" applyProtection="1">
      <alignment horizontal="center" vertical="center"/>
      <protection hidden="1"/>
    </xf>
    <xf numFmtId="2" fontId="77" fillId="14" borderId="24" xfId="1" applyNumberFormat="1" applyFont="1" applyFill="1" applyBorder="1" applyAlignment="1" applyProtection="1">
      <alignment horizontal="center" vertical="center"/>
      <protection hidden="1"/>
    </xf>
    <xf numFmtId="2" fontId="75" fillId="0" borderId="24" xfId="1" applyNumberFormat="1" applyFont="1" applyBorder="1" applyAlignment="1" applyProtection="1">
      <alignment horizontal="center" vertical="center"/>
      <protection hidden="1"/>
    </xf>
    <xf numFmtId="2" fontId="72" fillId="0" borderId="113" xfId="1" applyNumberFormat="1" applyFont="1" applyBorder="1" applyAlignment="1" applyProtection="1">
      <alignment horizontal="right" vertical="center"/>
      <protection hidden="1"/>
    </xf>
    <xf numFmtId="2" fontId="66" fillId="0" borderId="117" xfId="1" applyNumberFormat="1" applyFont="1" applyBorder="1" applyAlignment="1" applyProtection="1">
      <alignment horizontal="right" vertical="center"/>
      <protection hidden="1"/>
    </xf>
    <xf numFmtId="2" fontId="72" fillId="0" borderId="108" xfId="1" applyNumberFormat="1" applyFont="1" applyBorder="1" applyAlignment="1" applyProtection="1">
      <alignment horizontal="right" vertical="center"/>
      <protection hidden="1"/>
    </xf>
    <xf numFmtId="0" fontId="11" fillId="0" borderId="116" xfId="1" applyFont="1" applyBorder="1" applyAlignment="1" applyProtection="1">
      <alignment horizontal="center" vertical="center"/>
      <protection hidden="1"/>
    </xf>
    <xf numFmtId="0" fontId="17" fillId="0" borderId="100" xfId="1" applyFont="1" applyBorder="1" applyAlignment="1" applyProtection="1">
      <alignment horizontal="right" vertical="center"/>
      <protection hidden="1"/>
    </xf>
    <xf numFmtId="0" fontId="11" fillId="0" borderId="100" xfId="1" applyFont="1" applyBorder="1" applyAlignment="1" applyProtection="1">
      <alignment horizontal="right" vertical="center"/>
      <protection hidden="1"/>
    </xf>
    <xf numFmtId="0" fontId="61" fillId="0" borderId="24" xfId="1" applyFont="1" applyBorder="1" applyAlignment="1" applyProtection="1">
      <protection hidden="1"/>
    </xf>
    <xf numFmtId="2" fontId="48" fillId="0" borderId="110" xfId="1" applyNumberFormat="1" applyFont="1" applyBorder="1" applyAlignment="1" applyProtection="1">
      <alignment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2" fillId="0" borderId="0" xfId="0" applyFont="1" applyAlignment="1" applyProtection="1">
      <alignment horizontal="center" vertical="center"/>
      <protection hidden="1"/>
    </xf>
    <xf numFmtId="2" fontId="82" fillId="0" borderId="0" xfId="0" applyNumberFormat="1" applyFont="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73" fillId="4" borderId="0" xfId="1" applyFont="1" applyFill="1" applyBorder="1" applyAlignment="1" applyProtection="1">
      <alignment horizontal="center" vertical="center"/>
      <protection hidden="1"/>
    </xf>
    <xf numFmtId="0" fontId="60" fillId="0" borderId="106" xfId="1" applyFont="1" applyBorder="1" applyAlignment="1" applyProtection="1">
      <alignment horizontal="center" vertical="center"/>
      <protection hidden="1"/>
    </xf>
    <xf numFmtId="0" fontId="60" fillId="0" borderId="109"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9" fillId="0" borderId="24" xfId="1" applyFont="1" applyBorder="1" applyAlignment="1" applyProtection="1">
      <alignment horizontal="right" vertical="center"/>
      <protection hidden="1"/>
    </xf>
    <xf numFmtId="0" fontId="60" fillId="0" borderId="24" xfId="1" applyFont="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2" fontId="77"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6"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57" fillId="0" borderId="27" xfId="0" applyNumberFormat="1" applyFont="1" applyBorder="1" applyAlignment="1" applyProtection="1">
      <alignment horizontal="center" vertical="center" textRotation="90" wrapText="1"/>
      <protection hidden="1"/>
    </xf>
    <xf numFmtId="1" fontId="57"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0"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5"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1" fontId="55"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43" fillId="11" borderId="91" xfId="0" applyFont="1" applyFill="1" applyBorder="1" applyAlignment="1" applyProtection="1">
      <alignment horizontal="center"/>
      <protection hidden="1"/>
    </xf>
    <xf numFmtId="0" fontId="43" fillId="12" borderId="13" xfId="0" applyFont="1" applyFill="1" applyBorder="1" applyAlignment="1" applyProtection="1">
      <alignment horizontal="center"/>
      <protection hidden="1"/>
    </xf>
    <xf numFmtId="0" fontId="43" fillId="11" borderId="13" xfId="0" applyFont="1" applyFill="1" applyBorder="1" applyAlignment="1" applyProtection="1">
      <alignment horizontal="center"/>
      <protection hidden="1"/>
    </xf>
    <xf numFmtId="2" fontId="4" fillId="11" borderId="63" xfId="0" applyNumberFormat="1" applyFont="1" applyFill="1" applyBorder="1" applyAlignment="1" applyProtection="1">
      <alignment horizontal="right" vertical="center"/>
      <protection hidden="1"/>
    </xf>
    <xf numFmtId="0" fontId="43" fillId="12" borderId="15" xfId="0" applyFont="1" applyFill="1" applyBorder="1" applyAlignment="1" applyProtection="1">
      <alignment horizontal="center"/>
      <protection hidden="1"/>
    </xf>
    <xf numFmtId="2" fontId="4" fillId="12" borderId="64" xfId="0" applyNumberFormat="1" applyFont="1" applyFill="1" applyBorder="1" applyAlignment="1" applyProtection="1">
      <alignment horizontal="right" vertical="center"/>
      <protection hidden="1"/>
    </xf>
    <xf numFmtId="0" fontId="64" fillId="12" borderId="91"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64"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64"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64" fillId="11" borderId="15" xfId="0" applyFont="1" applyFill="1" applyBorder="1" applyAlignment="1" applyProtection="1">
      <alignment horizontal="center"/>
      <protection hidden="1"/>
    </xf>
    <xf numFmtId="0" fontId="21" fillId="11" borderId="55" xfId="0" applyFont="1" applyFill="1" applyBorder="1" applyAlignment="1" applyProtection="1">
      <alignment horizontal="center" vertical="center"/>
      <protection hidden="1"/>
    </xf>
    <xf numFmtId="169" fontId="51" fillId="4" borderId="12"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169" fontId="51" fillId="4" borderId="33" xfId="0" applyNumberFormat="1" applyFont="1" applyFill="1" applyBorder="1" applyAlignment="1" applyProtection="1">
      <alignment horizontal="center" vertical="center"/>
      <protection locked="0"/>
    </xf>
    <xf numFmtId="14" fontId="16" fillId="4" borderId="91"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45" fillId="4" borderId="33" xfId="0" applyNumberFormat="1" applyFont="1" applyFill="1" applyBorder="1" applyAlignment="1" applyProtection="1">
      <alignment horizontal="center" vertical="center" wrapText="1"/>
      <protection locked="0"/>
    </xf>
    <xf numFmtId="0" fontId="16" fillId="9" borderId="104" xfId="0" applyFont="1" applyFill="1" applyBorder="1" applyAlignment="1" applyProtection="1">
      <alignment horizontal="center" vertical="center"/>
      <protection locked="0"/>
    </xf>
    <xf numFmtId="0" fontId="86"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55" fillId="0" borderId="22" xfId="0" applyFont="1" applyBorder="1" applyAlignment="1" applyProtection="1">
      <alignment horizontal="center" vertical="center" wrapText="1"/>
      <protection locked="0" hidden="1"/>
    </xf>
    <xf numFmtId="14" fontId="55" fillId="0" borderId="20" xfId="0" applyNumberFormat="1" applyFont="1" applyBorder="1" applyAlignment="1" applyProtection="1">
      <alignment horizontal="center" vertical="center" wrapText="1"/>
      <protection locked="0" hidden="1"/>
    </xf>
    <xf numFmtId="0" fontId="55" fillId="0" borderId="28" xfId="0" applyFont="1" applyBorder="1" applyAlignment="1" applyProtection="1">
      <alignment horizontal="center" vertical="center" wrapText="1"/>
      <protection locked="0" hidden="1"/>
    </xf>
    <xf numFmtId="14" fontId="55" fillId="0" borderId="63" xfId="0" applyNumberFormat="1" applyFont="1" applyBorder="1" applyAlignment="1" applyProtection="1">
      <alignment horizontal="center" vertical="center" wrapText="1"/>
      <protection locked="0" hidden="1"/>
    </xf>
    <xf numFmtId="0" fontId="55" fillId="0" borderId="55" xfId="0" applyFont="1" applyBorder="1" applyAlignment="1" applyProtection="1">
      <alignment horizontal="center" vertical="center" wrapText="1"/>
      <protection locked="0" hidden="1"/>
    </xf>
    <xf numFmtId="14" fontId="55" fillId="0" borderId="64" xfId="0" applyNumberFormat="1" applyFont="1" applyBorder="1" applyAlignment="1" applyProtection="1">
      <alignment horizontal="center" vertical="center" wrapText="1"/>
      <protection locked="0" hidden="1"/>
    </xf>
    <xf numFmtId="1" fontId="55" fillId="0" borderId="10" xfId="0" applyNumberFormat="1" applyFont="1" applyBorder="1" applyAlignment="1" applyProtection="1">
      <alignment horizontal="center" vertical="center" wrapText="1"/>
      <protection locked="0"/>
    </xf>
    <xf numFmtId="1" fontId="55" fillId="0" borderId="11"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5"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1" fontId="55"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0"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103" xfId="0" applyNumberFormat="1" applyFont="1" applyFill="1" applyBorder="1" applyAlignment="1" applyProtection="1">
      <alignment horizontal="center" vertical="center"/>
      <protection locked="0"/>
    </xf>
    <xf numFmtId="9" fontId="11" fillId="9" borderId="44" xfId="0" applyNumberFormat="1" applyFont="1" applyFill="1" applyBorder="1" applyAlignment="1" applyProtection="1">
      <alignment horizontal="center" vertical="center"/>
      <protection locked="0"/>
    </xf>
    <xf numFmtId="0" fontId="86"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19" borderId="0" xfId="0" applyFill="1" applyAlignment="1" applyProtection="1">
      <protection hidden="1"/>
    </xf>
    <xf numFmtId="0" fontId="94" fillId="23" borderId="131" xfId="0" applyFont="1" applyFill="1" applyBorder="1" applyAlignment="1" applyProtection="1">
      <alignment horizontal="center" vertical="center" wrapText="1"/>
      <protection hidden="1"/>
    </xf>
    <xf numFmtId="0" fontId="102" fillId="0" borderId="107" xfId="1" applyFont="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1" fontId="82" fillId="0" borderId="0" xfId="0" applyNumberFormat="1" applyFont="1" applyAlignment="1" applyProtection="1">
      <alignment horizontal="center" vertical="center"/>
      <protection hidden="1"/>
    </xf>
    <xf numFmtId="1" fontId="98" fillId="0" borderId="0" xfId="0" applyNumberFormat="1" applyFont="1" applyAlignment="1" applyProtection="1">
      <alignment horizontal="center" vertical="center"/>
      <protection hidden="1"/>
    </xf>
    <xf numFmtId="2" fontId="69" fillId="0" borderId="110" xfId="1" applyNumberFormat="1" applyFont="1" applyBorder="1" applyAlignment="1" applyProtection="1">
      <alignment vertical="center"/>
      <protection hidden="1"/>
    </xf>
    <xf numFmtId="0" fontId="8" fillId="29" borderId="102" xfId="0" applyFont="1" applyFill="1" applyBorder="1" applyAlignment="1" applyProtection="1">
      <alignment horizontal="center" vertical="center" wrapText="1"/>
      <protection hidden="1"/>
    </xf>
    <xf numFmtId="0" fontId="19" fillId="29" borderId="99" xfId="0" applyFont="1" applyFill="1" applyBorder="1" applyAlignment="1" applyProtection="1">
      <alignment horizontal="center" vertical="center" wrapText="1"/>
      <protection hidden="1"/>
    </xf>
    <xf numFmtId="0" fontId="22" fillId="29" borderId="99" xfId="0" applyFont="1" applyFill="1" applyBorder="1" applyAlignment="1" applyProtection="1">
      <alignment horizontal="center" vertical="center" wrapText="1"/>
      <protection hidden="1"/>
    </xf>
    <xf numFmtId="0" fontId="7" fillId="29" borderId="99" xfId="0" applyFont="1" applyFill="1" applyBorder="1" applyAlignment="1" applyProtection="1">
      <alignment horizontal="center" vertical="center" wrapText="1"/>
      <protection hidden="1"/>
    </xf>
    <xf numFmtId="0" fontId="42" fillId="29" borderId="4" xfId="0" applyFont="1" applyFill="1" applyBorder="1" applyAlignment="1" applyProtection="1">
      <alignment horizontal="center" vertical="center" wrapText="1"/>
      <protection hidden="1"/>
    </xf>
    <xf numFmtId="0" fontId="20" fillId="29" borderId="52" xfId="0" applyFont="1" applyFill="1" applyBorder="1" applyAlignment="1" applyProtection="1">
      <alignment horizontal="center" vertical="center" wrapText="1"/>
      <protection hidden="1"/>
    </xf>
    <xf numFmtId="0" fontId="22" fillId="29" borderId="45" xfId="0" applyFont="1" applyFill="1" applyBorder="1" applyAlignment="1" applyProtection="1">
      <alignment horizontal="center" vertical="center" wrapText="1"/>
      <protection locked="0"/>
    </xf>
    <xf numFmtId="0" fontId="22" fillId="29" borderId="94" xfId="0" applyFont="1" applyFill="1" applyBorder="1" applyAlignment="1" applyProtection="1">
      <alignment horizontal="center" vertical="center"/>
      <protection hidden="1"/>
    </xf>
    <xf numFmtId="0" fontId="21" fillId="29" borderId="94" xfId="0" applyFont="1" applyFill="1" applyBorder="1" applyAlignment="1" applyProtection="1">
      <alignment horizontal="center" vertical="center"/>
      <protection hidden="1"/>
    </xf>
    <xf numFmtId="0" fontId="6" fillId="28" borderId="18" xfId="0" applyFont="1" applyFill="1" applyBorder="1" applyAlignment="1" applyProtection="1">
      <alignment horizontal="center" vertical="center" wrapText="1"/>
      <protection hidden="1"/>
    </xf>
    <xf numFmtId="0" fontId="7" fillId="28" borderId="18" xfId="0" applyFont="1" applyFill="1" applyBorder="1" applyAlignment="1" applyProtection="1">
      <alignment horizontal="center" vertical="center" wrapText="1"/>
      <protection hidden="1"/>
    </xf>
    <xf numFmtId="1" fontId="6" fillId="28" borderId="18" xfId="0" applyNumberFormat="1" applyFont="1" applyFill="1" applyBorder="1" applyAlignment="1" applyProtection="1">
      <alignment horizontal="center" vertical="center" wrapText="1"/>
      <protection hidden="1"/>
    </xf>
    <xf numFmtId="1" fontId="7" fillId="28" borderId="18" xfId="0" applyNumberFormat="1" applyFont="1" applyFill="1" applyBorder="1" applyAlignment="1" applyProtection="1">
      <alignment horizontal="center" vertical="center" wrapText="1"/>
      <protection hidden="1"/>
    </xf>
    <xf numFmtId="0" fontId="28" fillId="28" borderId="18" xfId="0" applyFont="1" applyFill="1" applyBorder="1" applyAlignment="1" applyProtection="1">
      <alignment horizontal="center" vertical="center" wrapText="1"/>
      <protection hidden="1"/>
    </xf>
    <xf numFmtId="1" fontId="42" fillId="28" borderId="18" xfId="0" applyNumberFormat="1" applyFont="1" applyFill="1" applyBorder="1" applyAlignment="1" applyProtection="1">
      <alignment horizontal="center" vertical="center" textRotation="90" wrapText="1"/>
      <protection hidden="1"/>
    </xf>
    <xf numFmtId="0" fontId="35" fillId="28" borderId="19" xfId="0" applyFont="1" applyFill="1" applyBorder="1" applyAlignment="1" applyProtection="1">
      <alignment horizontal="center" vertical="center" wrapText="1"/>
      <protection hidden="1"/>
    </xf>
    <xf numFmtId="0" fontId="11" fillId="28" borderId="59" xfId="0" applyFont="1" applyFill="1" applyBorder="1" applyAlignment="1" applyProtection="1">
      <alignment horizontal="center" vertical="center" wrapText="1"/>
      <protection hidden="1"/>
    </xf>
    <xf numFmtId="0" fontId="28" fillId="28" borderId="92" xfId="0" applyFont="1" applyFill="1" applyBorder="1" applyAlignment="1" applyProtection="1">
      <alignment horizontal="center" vertical="center" wrapText="1"/>
      <protection hidden="1"/>
    </xf>
    <xf numFmtId="0" fontId="6" fillId="27" borderId="7" xfId="0" applyFont="1" applyFill="1" applyBorder="1" applyAlignment="1" applyProtection="1">
      <alignment horizontal="center" vertical="center" wrapText="1"/>
      <protection hidden="1"/>
    </xf>
    <xf numFmtId="9" fontId="6" fillId="27" borderId="7" xfId="0" applyNumberFormat="1" applyFont="1" applyFill="1" applyBorder="1" applyAlignment="1" applyProtection="1">
      <alignment horizontal="center" vertical="center" wrapText="1"/>
      <protection hidden="1"/>
    </xf>
    <xf numFmtId="0" fontId="7" fillId="27" borderId="8" xfId="0" applyFont="1" applyFill="1" applyBorder="1" applyAlignment="1" applyProtection="1">
      <alignment horizontal="center" vertical="center" wrapText="1"/>
      <protection hidden="1"/>
    </xf>
    <xf numFmtId="0" fontId="22" fillId="27" borderId="27" xfId="0" applyFont="1" applyFill="1" applyBorder="1" applyAlignment="1" applyProtection="1">
      <alignment horizontal="center" vertical="center" wrapText="1"/>
      <protection hidden="1"/>
    </xf>
    <xf numFmtId="0" fontId="22" fillId="27" borderId="7" xfId="0" applyFont="1" applyFill="1" applyBorder="1" applyAlignment="1" applyProtection="1">
      <alignment horizontal="center" vertical="center" wrapText="1"/>
      <protection hidden="1"/>
    </xf>
    <xf numFmtId="0" fontId="42" fillId="27" borderId="7" xfId="0" applyFont="1" applyFill="1" applyBorder="1" applyAlignment="1" applyProtection="1">
      <alignment horizontal="center" vertical="center" wrapText="1"/>
      <protection hidden="1"/>
    </xf>
    <xf numFmtId="0" fontId="20" fillId="27" borderId="7" xfId="0" applyFont="1" applyFill="1" applyBorder="1" applyAlignment="1" applyProtection="1">
      <alignment horizontal="center" vertical="center" wrapText="1"/>
      <protection hidden="1"/>
    </xf>
    <xf numFmtId="0" fontId="6" fillId="27" borderId="8" xfId="0" applyFont="1" applyFill="1" applyBorder="1" applyAlignment="1" applyProtection="1">
      <alignment horizontal="center" vertical="center" wrapText="1"/>
      <protection hidden="1"/>
    </xf>
    <xf numFmtId="0" fontId="19" fillId="27" borderId="6" xfId="0" applyFont="1" applyFill="1" applyBorder="1" applyAlignment="1" applyProtection="1">
      <alignment horizontal="center" vertical="center" wrapText="1"/>
      <protection hidden="1"/>
    </xf>
    <xf numFmtId="0" fontId="8" fillId="27" borderId="6" xfId="0" applyFont="1" applyFill="1" applyBorder="1" applyAlignment="1" applyProtection="1">
      <alignment horizontal="center" vertical="center" wrapText="1"/>
      <protection hidden="1"/>
    </xf>
    <xf numFmtId="0" fontId="8" fillId="27" borderId="7" xfId="0" applyFont="1" applyFill="1" applyBorder="1" applyAlignment="1" applyProtection="1">
      <alignment horizontal="center" vertical="center" wrapText="1"/>
      <protection hidden="1"/>
    </xf>
    <xf numFmtId="0" fontId="8" fillId="27" borderId="8" xfId="0" applyFont="1" applyFill="1" applyBorder="1" applyAlignment="1" applyProtection="1">
      <alignment horizontal="center" vertical="center" wrapText="1"/>
      <protection hidden="1"/>
    </xf>
    <xf numFmtId="0" fontId="11" fillId="27" borderId="6" xfId="0" applyFont="1" applyFill="1" applyBorder="1" applyAlignment="1" applyProtection="1">
      <alignment horizontal="center" vertical="center" wrapText="1"/>
      <protection hidden="1"/>
    </xf>
    <xf numFmtId="0" fontId="11" fillId="27" borderId="29" xfId="0" applyFont="1" applyFill="1" applyBorder="1" applyAlignment="1" applyProtection="1">
      <alignment horizontal="center" vertical="center" wrapText="1"/>
      <protection hidden="1"/>
    </xf>
    <xf numFmtId="0" fontId="11" fillId="27" borderId="54" xfId="0" applyFont="1" applyFill="1" applyBorder="1" applyAlignment="1" applyProtection="1">
      <alignment horizontal="center" vertical="center" wrapText="1"/>
      <protection hidden="1"/>
    </xf>
    <xf numFmtId="0" fontId="85"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83" fillId="4" borderId="0" xfId="0" applyFont="1" applyFill="1" applyBorder="1" applyAlignment="1" applyProtection="1">
      <alignment vertical="center"/>
      <protection hidden="1"/>
    </xf>
    <xf numFmtId="0" fontId="103" fillId="4" borderId="0" xfId="1" applyFont="1" applyFill="1" applyBorder="1" applyAlignment="1" applyProtection="1">
      <alignment horizontal="center" vertical="center"/>
      <protection hidden="1"/>
    </xf>
    <xf numFmtId="0" fontId="25" fillId="3" borderId="145" xfId="0" applyFont="1" applyFill="1" applyBorder="1" applyAlignment="1" applyProtection="1">
      <alignment horizontal="center" vertical="center"/>
      <protection hidden="1"/>
    </xf>
    <xf numFmtId="0" fontId="25" fillId="3" borderId="146" xfId="0" applyFont="1" applyFill="1" applyBorder="1" applyAlignment="1" applyProtection="1">
      <alignment horizontal="center" vertical="center"/>
      <protection hidden="1"/>
    </xf>
    <xf numFmtId="0" fontId="106" fillId="0" borderId="24" xfId="1" applyFont="1" applyBorder="1" applyAlignment="1" applyProtection="1">
      <alignment vertical="center"/>
      <protection hidden="1"/>
    </xf>
    <xf numFmtId="2" fontId="105" fillId="0" borderId="110" xfId="1" applyNumberFormat="1" applyFont="1" applyBorder="1" applyAlignment="1" applyProtection="1">
      <alignment horizontal="right" vertic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19" borderId="0" xfId="0" applyFill="1" applyAlignment="1" applyProtection="1">
      <alignment horizontal="center"/>
      <protection hidden="1"/>
    </xf>
    <xf numFmtId="6" fontId="11" fillId="9" borderId="4" xfId="0" applyNumberFormat="1" applyFont="1" applyFill="1" applyBorder="1" applyAlignment="1" applyProtection="1">
      <alignment horizontal="center" vertical="center"/>
      <protection locked="0" hidden="1"/>
    </xf>
    <xf numFmtId="0" fontId="71" fillId="0" borderId="107" xfId="1"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109" fillId="0" borderId="24" xfId="1" applyFont="1" applyBorder="1" applyAlignment="1" applyProtection="1">
      <alignment vertical="center"/>
      <protection hidden="1"/>
    </xf>
    <xf numFmtId="2" fontId="110" fillId="0" borderId="110" xfId="1" applyNumberFormat="1" applyFont="1" applyBorder="1" applyAlignment="1" applyProtection="1">
      <alignment horizontal="right" vertical="center"/>
      <protection hidden="1"/>
    </xf>
    <xf numFmtId="0" fontId="111" fillId="0" borderId="24" xfId="1" applyFont="1" applyBorder="1" applyAlignment="1" applyProtection="1">
      <alignment horizontal="center" vertical="center"/>
      <protection hidden="1"/>
    </xf>
    <xf numFmtId="0" fontId="111" fillId="0" borderId="24" xfId="1" applyFont="1" applyBorder="1" applyAlignment="1" applyProtection="1">
      <alignment horizontal="right" vertical="center"/>
      <protection hidden="1"/>
    </xf>
    <xf numFmtId="2" fontId="113" fillId="0" borderId="24" xfId="1" applyNumberFormat="1" applyFont="1" applyBorder="1" applyAlignment="1" applyProtection="1">
      <alignment horizontal="center" vertical="center"/>
      <protection hidden="1"/>
    </xf>
    <xf numFmtId="2" fontId="113" fillId="14" borderId="24" xfId="1" applyNumberFormat="1" applyFont="1" applyFill="1" applyBorder="1" applyAlignment="1" applyProtection="1">
      <alignment horizontal="center" vertical="center"/>
      <protection hidden="1"/>
    </xf>
    <xf numFmtId="2" fontId="114" fillId="0" borderId="24" xfId="1" applyNumberFormat="1" applyFont="1" applyBorder="1" applyAlignment="1" applyProtection="1">
      <alignment horizontal="center" vertical="center"/>
      <protection hidden="1"/>
    </xf>
    <xf numFmtId="0" fontId="115" fillId="0" borderId="24" xfId="1" applyFont="1" applyBorder="1" applyAlignment="1" applyProtection="1">
      <alignment vertical="center"/>
      <protection hidden="1"/>
    </xf>
    <xf numFmtId="2" fontId="116" fillId="0" borderId="110" xfId="1" applyNumberFormat="1" applyFont="1" applyBorder="1" applyAlignment="1" applyProtection="1">
      <alignment horizontal="right" vertical="center"/>
      <protection hidden="1"/>
    </xf>
    <xf numFmtId="0" fontId="0" fillId="19" borderId="0" xfId="0" applyFill="1" applyAlignment="1" applyProtection="1">
      <alignment vertical="center"/>
      <protection hidden="1"/>
    </xf>
    <xf numFmtId="0" fontId="16" fillId="9" borderId="102" xfId="0" applyFont="1" applyFill="1" applyBorder="1" applyAlignment="1" applyProtection="1">
      <alignment horizontal="center" vertical="center" wrapText="1"/>
      <protection locked="0"/>
    </xf>
    <xf numFmtId="17" fontId="11" fillId="9" borderId="44" xfId="0" applyNumberFormat="1" applyFont="1" applyFill="1" applyBorder="1" applyAlignment="1" applyProtection="1">
      <alignment horizontal="center" vertical="center"/>
      <protection locked="0"/>
    </xf>
    <xf numFmtId="17" fontId="21" fillId="29" borderId="162" xfId="0" applyNumberFormat="1" applyFont="1" applyFill="1" applyBorder="1" applyAlignment="1" applyProtection="1">
      <alignment horizontal="center" vertical="center"/>
      <protection hidden="1"/>
    </xf>
    <xf numFmtId="17" fontId="21" fillId="29" borderId="163" xfId="0" applyNumberFormat="1" applyFont="1" applyFill="1" applyBorder="1" applyAlignment="1" applyProtection="1">
      <alignment horizontal="center" vertical="center"/>
      <protection hidden="1"/>
    </xf>
    <xf numFmtId="17" fontId="21" fillId="29" borderId="164" xfId="0" applyNumberFormat="1" applyFont="1" applyFill="1" applyBorder="1" applyAlignment="1" applyProtection="1">
      <alignment horizontal="center" vertical="center"/>
      <protection hidden="1"/>
    </xf>
    <xf numFmtId="17" fontId="21" fillId="29" borderId="165" xfId="0" applyNumberFormat="1" applyFont="1" applyFill="1" applyBorder="1" applyAlignment="1" applyProtection="1">
      <alignment horizontal="center" vertical="center"/>
      <protection hidden="1"/>
    </xf>
    <xf numFmtId="6" fontId="11" fillId="9" borderId="161" xfId="0" applyNumberFormat="1" applyFont="1" applyFill="1" applyBorder="1" applyAlignment="1" applyProtection="1">
      <alignment horizontal="center" vertical="center"/>
      <protection locked="0" hidden="1"/>
    </xf>
    <xf numFmtId="6" fontId="11" fillId="9" borderId="103" xfId="0" applyNumberFormat="1" applyFont="1" applyFill="1" applyBorder="1" applyAlignment="1" applyProtection="1">
      <alignment horizontal="center" vertical="center"/>
      <protection locked="0" hidden="1"/>
    </xf>
    <xf numFmtId="2" fontId="65" fillId="0" borderId="110" xfId="1" applyNumberFormat="1" applyFont="1" applyBorder="1" applyAlignment="1" applyProtection="1">
      <alignment horizontal="right" vertical="center"/>
      <protection locked="0" hidden="1"/>
    </xf>
    <xf numFmtId="0" fontId="121" fillId="26" borderId="130" xfId="0" applyNumberFormat="1" applyFont="1" applyFill="1" applyBorder="1" applyAlignment="1" applyProtection="1">
      <alignment horizontal="center" vertical="center"/>
      <protection hidden="1"/>
    </xf>
    <xf numFmtId="0" fontId="122" fillId="19" borderId="0" xfId="0" applyFont="1" applyFill="1" applyAlignment="1">
      <alignment horizontal="center" vertical="center"/>
    </xf>
    <xf numFmtId="0" fontId="123" fillId="3" borderId="0" xfId="0" applyFont="1" applyFill="1" applyAlignment="1">
      <alignment horizontal="center" vertical="center"/>
    </xf>
    <xf numFmtId="0" fontId="124" fillId="32" borderId="0" xfId="5" applyFont="1" applyFill="1" applyAlignment="1" applyProtection="1">
      <alignment horizontal="center" vertical="center"/>
      <protection hidden="1"/>
    </xf>
    <xf numFmtId="0" fontId="125" fillId="32" borderId="0" xfId="5" applyFont="1" applyFill="1" applyAlignment="1" applyProtection="1">
      <alignment horizontal="center" vertical="center"/>
      <protection hidden="1"/>
    </xf>
    <xf numFmtId="2" fontId="6" fillId="0" borderId="71" xfId="0" applyNumberFormat="1" applyFont="1" applyBorder="1" applyAlignment="1" applyProtection="1">
      <alignment horizontal="left" vertical="center" wrapText="1"/>
      <protection hidden="1"/>
    </xf>
    <xf numFmtId="0" fontId="0" fillId="19" borderId="0" xfId="0" applyFill="1" applyAlignment="1" applyProtection="1">
      <alignment horizontal="center"/>
      <protection hidden="1"/>
    </xf>
    <xf numFmtId="0" fontId="101" fillId="24" borderId="0" xfId="0" applyFont="1" applyFill="1" applyAlignment="1" applyProtection="1">
      <alignment horizontal="center" vertical="center" wrapText="1"/>
      <protection hidden="1"/>
    </xf>
    <xf numFmtId="0" fontId="86" fillId="3" borderId="0" xfId="0" applyFont="1" applyFill="1" applyAlignment="1" applyProtection="1">
      <alignment horizontal="center"/>
      <protection hidden="1"/>
    </xf>
    <xf numFmtId="0" fontId="86" fillId="19" borderId="0" xfId="0" applyFont="1" applyFill="1" applyAlignment="1" applyProtection="1">
      <alignment horizontal="center"/>
      <protection hidden="1"/>
    </xf>
    <xf numFmtId="0" fontId="123" fillId="3" borderId="0" xfId="0" applyFont="1" applyFill="1" applyAlignment="1">
      <alignment horizontal="center" vertical="center"/>
    </xf>
    <xf numFmtId="0" fontId="127" fillId="22" borderId="0" xfId="5" applyFont="1" applyFill="1" applyAlignment="1" applyProtection="1">
      <alignment horizontal="center" vertical="center"/>
      <protection locked="0" hidden="1"/>
    </xf>
    <xf numFmtId="0" fontId="99" fillId="20" borderId="133" xfId="0" applyFont="1" applyFill="1" applyBorder="1" applyAlignment="1" applyProtection="1">
      <alignment horizontal="left" vertical="justify" wrapText="1"/>
      <protection hidden="1"/>
    </xf>
    <xf numFmtId="0" fontId="56" fillId="0" borderId="131" xfId="0" applyFont="1" applyBorder="1"/>
    <xf numFmtId="0" fontId="56" fillId="0" borderId="134" xfId="0" applyFont="1" applyBorder="1"/>
    <xf numFmtId="0" fontId="93" fillId="23" borderId="0" xfId="0" applyFont="1" applyFill="1" applyBorder="1" applyAlignment="1" applyProtection="1">
      <alignment horizontal="center" wrapText="1"/>
      <protection hidden="1"/>
    </xf>
    <xf numFmtId="0" fontId="123" fillId="3" borderId="0" xfId="0" applyFont="1" applyFill="1" applyAlignment="1">
      <alignment horizontal="center" vertical="center" wrapText="1"/>
    </xf>
    <xf numFmtId="0" fontId="126" fillId="3" borderId="0" xfId="0" applyFont="1" applyFill="1" applyAlignment="1" applyProtection="1">
      <alignment horizontal="center" vertical="center" wrapText="1"/>
      <protection hidden="1"/>
    </xf>
    <xf numFmtId="0" fontId="119" fillId="21" borderId="133" xfId="0" applyFont="1" applyFill="1" applyBorder="1" applyAlignment="1" applyProtection="1">
      <alignment horizontal="center" vertical="center" wrapText="1"/>
      <protection hidden="1"/>
    </xf>
    <xf numFmtId="0" fontId="119" fillId="21" borderId="132" xfId="0" applyFont="1" applyFill="1" applyBorder="1" applyAlignment="1" applyProtection="1">
      <alignment horizontal="center" vertical="center" wrapText="1"/>
      <protection hidden="1"/>
    </xf>
    <xf numFmtId="0" fontId="97" fillId="23" borderId="131" xfId="0" applyFont="1" applyFill="1" applyBorder="1" applyAlignment="1" applyProtection="1">
      <alignment horizontal="center" vertical="top" wrapText="1"/>
      <protection hidden="1"/>
    </xf>
    <xf numFmtId="0" fontId="97" fillId="23" borderId="132" xfId="0" applyFont="1" applyFill="1" applyBorder="1" applyAlignment="1" applyProtection="1">
      <alignment horizontal="center" vertical="top" wrapText="1"/>
      <protection hidden="1"/>
    </xf>
    <xf numFmtId="0" fontId="122" fillId="19" borderId="0" xfId="0" applyFont="1" applyFill="1" applyAlignment="1">
      <alignment horizontal="center" vertical="center"/>
    </xf>
    <xf numFmtId="0" fontId="125" fillId="32" borderId="0" xfId="5" applyFont="1" applyFill="1" applyAlignment="1" applyProtection="1">
      <alignment horizontal="center" vertical="center"/>
      <protection hidden="1"/>
    </xf>
    <xf numFmtId="6" fontId="11" fillId="9" borderId="2"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0" fillId="25" borderId="137" xfId="0" applyFont="1" applyFill="1" applyBorder="1" applyAlignment="1" applyProtection="1">
      <alignment horizontal="center" vertical="center"/>
      <protection hidden="1"/>
    </xf>
    <xf numFmtId="0" fontId="10" fillId="25" borderId="9" xfId="0" applyFont="1" applyFill="1" applyBorder="1" applyAlignment="1" applyProtection="1">
      <alignment horizontal="center" vertical="center"/>
      <protection hidden="1"/>
    </xf>
    <xf numFmtId="0" fontId="8" fillId="29" borderId="3" xfId="0" applyFont="1" applyFill="1" applyBorder="1" applyAlignment="1" applyProtection="1">
      <alignment horizontal="center" vertical="center" wrapText="1"/>
      <protection hidden="1"/>
    </xf>
    <xf numFmtId="0" fontId="8" fillId="29" borderId="103" xfId="0" applyFont="1" applyFill="1" applyBorder="1" applyAlignment="1" applyProtection="1">
      <alignment horizontal="center" vertical="center" wrapText="1"/>
      <protection hidden="1"/>
    </xf>
    <xf numFmtId="0" fontId="9" fillId="9" borderId="3" xfId="0" applyFont="1" applyFill="1" applyBorder="1" applyAlignment="1" applyProtection="1">
      <alignment horizontal="center" vertical="center" wrapText="1"/>
      <protection locked="0"/>
    </xf>
    <xf numFmtId="0" fontId="9" fillId="9" borderId="103" xfId="0" applyFont="1" applyFill="1" applyBorder="1" applyAlignment="1" applyProtection="1">
      <alignment horizontal="center" vertical="center" wrapText="1"/>
      <protection locked="0"/>
    </xf>
    <xf numFmtId="0" fontId="10" fillId="25" borderId="46" xfId="0" applyFont="1" applyFill="1" applyBorder="1" applyAlignment="1" applyProtection="1">
      <alignment horizontal="center" vertical="center"/>
      <protection hidden="1"/>
    </xf>
    <xf numFmtId="0" fontId="10" fillId="25" borderId="0" xfId="0" applyFont="1" applyFill="1" applyBorder="1" applyAlignment="1" applyProtection="1">
      <alignment horizontal="center" vertical="center"/>
      <protection hidden="1"/>
    </xf>
    <xf numFmtId="0" fontId="10" fillId="25" borderId="47" xfId="0" applyFont="1" applyFill="1" applyBorder="1" applyAlignment="1" applyProtection="1">
      <alignment horizontal="center" vertical="center"/>
      <protection hidden="1"/>
    </xf>
    <xf numFmtId="0" fontId="10" fillId="25" borderId="2" xfId="0" applyFont="1" applyFill="1" applyBorder="1" applyAlignment="1" applyProtection="1">
      <alignment horizontal="center" vertical="center"/>
      <protection hidden="1"/>
    </xf>
    <xf numFmtId="0" fontId="10" fillId="25" borderId="3" xfId="0" applyFont="1" applyFill="1" applyBorder="1" applyAlignment="1" applyProtection="1">
      <alignment horizontal="center" vertical="center"/>
      <protection hidden="1"/>
    </xf>
    <xf numFmtId="0" fontId="10" fillId="25" borderId="4" xfId="0" applyFont="1" applyFill="1" applyBorder="1" applyAlignment="1" applyProtection="1">
      <alignment horizontal="center" vertical="center"/>
      <protection hidden="1"/>
    </xf>
    <xf numFmtId="0" fontId="6" fillId="29" borderId="52" xfId="0" applyFont="1" applyFill="1" applyBorder="1" applyAlignment="1" applyProtection="1">
      <alignment horizontal="center" vertical="center" wrapText="1"/>
      <protection hidden="1"/>
    </xf>
    <xf numFmtId="0" fontId="6" fillId="29" borderId="45" xfId="0" applyFont="1" applyFill="1" applyBorder="1" applyAlignment="1" applyProtection="1">
      <alignment horizontal="center" vertical="center" wrapText="1"/>
      <protection hidden="1"/>
    </xf>
    <xf numFmtId="0" fontId="7" fillId="29" borderId="97" xfId="0" applyFont="1" applyFill="1" applyBorder="1" applyAlignment="1" applyProtection="1">
      <alignment horizontal="center" vertical="center" wrapText="1"/>
      <protection hidden="1"/>
    </xf>
    <xf numFmtId="0" fontId="7" fillId="29" borderId="104" xfId="0" applyFont="1" applyFill="1" applyBorder="1" applyAlignment="1" applyProtection="1">
      <alignment horizontal="center" vertical="center" wrapText="1"/>
      <protection hidden="1"/>
    </xf>
    <xf numFmtId="0" fontId="22" fillId="29" borderId="95" xfId="0" applyFont="1" applyFill="1" applyBorder="1" applyAlignment="1" applyProtection="1">
      <alignment horizontal="center" vertical="center" wrapText="1"/>
      <protection hidden="1"/>
    </xf>
    <xf numFmtId="0" fontId="22" fillId="29" borderId="96" xfId="0" applyFont="1" applyFill="1" applyBorder="1" applyAlignment="1" applyProtection="1">
      <alignment horizontal="center" vertical="center" wrapText="1"/>
      <protection hidden="1"/>
    </xf>
    <xf numFmtId="0" fontId="22" fillId="29" borderId="104" xfId="0" applyFont="1" applyFill="1" applyBorder="1" applyAlignment="1" applyProtection="1">
      <alignment horizontal="center" vertical="center" wrapText="1"/>
      <protection hidden="1"/>
    </xf>
    <xf numFmtId="0" fontId="7" fillId="29" borderId="51" xfId="0" applyFont="1" applyFill="1" applyBorder="1" applyAlignment="1" applyProtection="1">
      <alignment horizontal="center" vertical="center" wrapText="1"/>
      <protection hidden="1"/>
    </xf>
    <xf numFmtId="0" fontId="7" fillId="29" borderId="44" xfId="0" applyFont="1" applyFill="1" applyBorder="1" applyAlignment="1" applyProtection="1">
      <alignment horizontal="center" vertical="center" wrapText="1"/>
      <protection hidden="1"/>
    </xf>
    <xf numFmtId="0" fontId="6" fillId="29" borderId="25" xfId="0" applyFont="1" applyFill="1" applyBorder="1" applyAlignment="1" applyProtection="1">
      <alignment horizontal="center" vertical="center" wrapText="1"/>
      <protection hidden="1"/>
    </xf>
    <xf numFmtId="0" fontId="6" fillId="29" borderId="26" xfId="0" applyFont="1" applyFill="1" applyBorder="1" applyAlignment="1" applyProtection="1">
      <alignment horizontal="center" vertical="center" wrapText="1"/>
      <protection hidden="1"/>
    </xf>
    <xf numFmtId="0" fontId="19" fillId="29" borderId="98" xfId="0" applyFont="1" applyFill="1" applyBorder="1" applyAlignment="1" applyProtection="1">
      <alignment horizontal="center" vertical="center" wrapText="1"/>
      <protection hidden="1"/>
    </xf>
    <xf numFmtId="0" fontId="19" fillId="29" borderId="35" xfId="0" applyFont="1" applyFill="1" applyBorder="1" applyAlignment="1" applyProtection="1">
      <alignment horizontal="center" vertical="center" wrapText="1"/>
      <protection hidden="1"/>
    </xf>
    <xf numFmtId="0" fontId="20" fillId="29" borderId="39" xfId="0" applyFont="1" applyFill="1" applyBorder="1" applyAlignment="1" applyProtection="1">
      <alignment horizontal="center" vertical="center"/>
      <protection hidden="1"/>
    </xf>
    <xf numFmtId="0" fontId="20" fillId="29" borderId="40" xfId="0" applyFont="1" applyFill="1" applyBorder="1" applyAlignment="1" applyProtection="1">
      <alignment horizontal="center" vertical="center"/>
      <protection hidden="1"/>
    </xf>
    <xf numFmtId="0" fontId="20" fillId="29" borderId="43" xfId="0" applyFont="1" applyFill="1" applyBorder="1" applyAlignment="1" applyProtection="1">
      <alignment horizontal="center" vertical="center"/>
      <protection hidden="1"/>
    </xf>
    <xf numFmtId="0" fontId="20" fillId="29" borderId="41" xfId="0" applyFont="1" applyFill="1" applyBorder="1" applyAlignment="1" applyProtection="1">
      <alignment horizontal="center" vertical="center"/>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35" xfId="0" applyFont="1" applyFill="1" applyBorder="1" applyAlignment="1" applyProtection="1">
      <alignment horizontal="left" vertical="center"/>
      <protection locked="0"/>
    </xf>
    <xf numFmtId="0" fontId="3" fillId="9" borderId="51" xfId="0" applyFont="1" applyFill="1" applyBorder="1" applyAlignment="1" applyProtection="1">
      <alignment horizontal="left" vertical="center"/>
      <protection locked="0"/>
    </xf>
    <xf numFmtId="0" fontId="1" fillId="29" borderId="41" xfId="0" applyFont="1" applyFill="1" applyBorder="1" applyAlignment="1" applyProtection="1">
      <alignment horizontal="center" vertical="center"/>
      <protection hidden="1"/>
    </xf>
    <xf numFmtId="0" fontId="1" fillId="29" borderId="42" xfId="0" applyFont="1" applyFill="1" applyBorder="1" applyAlignment="1" applyProtection="1">
      <alignment horizontal="center" vertical="center"/>
      <protection hidden="1"/>
    </xf>
    <xf numFmtId="0" fontId="1" fillId="29" borderId="135" xfId="0" applyFont="1" applyFill="1" applyBorder="1" applyAlignment="1" applyProtection="1">
      <alignment horizontal="center" vertical="center"/>
      <protection hidden="1"/>
    </xf>
    <xf numFmtId="0" fontId="1" fillId="29" borderId="51" xfId="0" applyFont="1" applyFill="1" applyBorder="1" applyAlignment="1" applyProtection="1">
      <alignment horizontal="center" vertical="center"/>
      <protection hidden="1"/>
    </xf>
    <xf numFmtId="0" fontId="2" fillId="29" borderId="39" xfId="0" applyFont="1" applyFill="1" applyBorder="1" applyAlignment="1" applyProtection="1">
      <alignment horizontal="center" vertical="center"/>
      <protection hidden="1"/>
    </xf>
    <xf numFmtId="0" fontId="2" fillId="29" borderId="40" xfId="0" applyFont="1" applyFill="1" applyBorder="1" applyAlignment="1" applyProtection="1">
      <alignment horizontal="center" vertical="center"/>
      <protection hidden="1"/>
    </xf>
    <xf numFmtId="0" fontId="2" fillId="29" borderId="42" xfId="0" applyFont="1" applyFill="1" applyBorder="1" applyAlignment="1" applyProtection="1">
      <alignment horizontal="center" vertical="center"/>
      <protection hidden="1"/>
    </xf>
    <xf numFmtId="0" fontId="2" fillId="29" borderId="50" xfId="0" applyFont="1" applyFill="1" applyBorder="1" applyAlignment="1" applyProtection="1">
      <alignment horizontal="center" vertical="center"/>
      <protection hidden="1"/>
    </xf>
    <xf numFmtId="0" fontId="2" fillId="29" borderId="38" xfId="0" applyFont="1" applyFill="1" applyBorder="1" applyAlignment="1" applyProtection="1">
      <alignment horizontal="center" vertical="center"/>
      <protection hidden="1"/>
    </xf>
    <xf numFmtId="0" fontId="2" fillId="29" borderId="51" xfId="0" applyFont="1" applyFill="1" applyBorder="1" applyAlignment="1" applyProtection="1">
      <alignment horizontal="center" vertical="center"/>
      <protection hidden="1"/>
    </xf>
    <xf numFmtId="0" fontId="24" fillId="31" borderId="9" xfId="0" applyFont="1" applyFill="1" applyBorder="1" applyAlignment="1" applyProtection="1">
      <alignment horizontal="center" vertical="center"/>
      <protection hidden="1"/>
    </xf>
    <xf numFmtId="0" fontId="78" fillId="31" borderId="34" xfId="0" applyFont="1" applyFill="1" applyBorder="1" applyAlignment="1" applyProtection="1">
      <alignment horizontal="center"/>
      <protection hidden="1"/>
    </xf>
    <xf numFmtId="0" fontId="78" fillId="31" borderId="23" xfId="0" applyFont="1" applyFill="1" applyBorder="1" applyAlignment="1" applyProtection="1">
      <alignment horizontal="center"/>
      <protection hidden="1"/>
    </xf>
    <xf numFmtId="0" fontId="78" fillId="31" borderId="35" xfId="0" applyFont="1" applyFill="1" applyBorder="1" applyAlignment="1" applyProtection="1">
      <alignment horizontal="center"/>
      <protection hidden="1"/>
    </xf>
    <xf numFmtId="0" fontId="6" fillId="29" borderId="101" xfId="0" applyFont="1" applyFill="1" applyBorder="1" applyAlignment="1" applyProtection="1">
      <alignment horizontal="center" vertical="center" wrapText="1"/>
      <protection hidden="1"/>
    </xf>
    <xf numFmtId="0" fontId="6" fillId="29" borderId="105"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5" borderId="102" xfId="0" applyFont="1" applyFill="1" applyBorder="1" applyAlignment="1" applyProtection="1">
      <alignment horizontal="center" vertical="center"/>
      <protection hidden="1"/>
    </xf>
    <xf numFmtId="0" fontId="0" fillId="25" borderId="3" xfId="0" applyFill="1" applyBorder="1"/>
    <xf numFmtId="0" fontId="78" fillId="31" borderId="30" xfId="0" applyFont="1" applyFill="1" applyBorder="1" applyAlignment="1" applyProtection="1">
      <alignment horizontal="center"/>
      <protection hidden="1"/>
    </xf>
    <xf numFmtId="0" fontId="78" fillId="31" borderId="9" xfId="0" applyFont="1" applyFill="1" applyBorder="1" applyAlignment="1" applyProtection="1">
      <alignment horizontal="center"/>
      <protection hidden="1"/>
    </xf>
    <xf numFmtId="0" fontId="78" fillId="31" borderId="3" xfId="0" applyFont="1" applyFill="1" applyBorder="1" applyAlignment="1" applyProtection="1">
      <alignment horizontal="center"/>
      <protection hidden="1"/>
    </xf>
    <xf numFmtId="0" fontId="78" fillId="31" borderId="4" xfId="0" applyFont="1" applyFill="1" applyBorder="1" applyAlignment="1" applyProtection="1">
      <alignment horizontal="center"/>
      <protection hidden="1"/>
    </xf>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29" borderId="2" xfId="0" applyFont="1" applyFill="1" applyBorder="1" applyAlignment="1" applyProtection="1">
      <alignment horizontal="center" vertical="center" wrapText="1"/>
      <protection hidden="1"/>
    </xf>
    <xf numFmtId="0" fontId="8" fillId="29" borderId="102" xfId="0" applyFont="1" applyFill="1" applyBorder="1" applyAlignment="1" applyProtection="1">
      <alignment horizontal="center" vertical="center" wrapText="1"/>
      <protection hidden="1"/>
    </xf>
    <xf numFmtId="0" fontId="9" fillId="9" borderId="102" xfId="0" applyFont="1" applyFill="1" applyBorder="1" applyAlignment="1" applyProtection="1">
      <alignment horizontal="center" vertical="center" wrapText="1"/>
      <protection locked="0"/>
    </xf>
    <xf numFmtId="0" fontId="8" fillId="29" borderId="99" xfId="0" applyFont="1" applyFill="1" applyBorder="1" applyAlignment="1" applyProtection="1">
      <alignment horizontal="center" vertical="center" wrapText="1"/>
      <protection hidden="1"/>
    </xf>
    <xf numFmtId="0" fontId="3" fillId="9" borderId="135" xfId="0" applyFont="1" applyFill="1" applyBorder="1" applyAlignment="1" applyProtection="1">
      <alignment horizontal="left"/>
      <protection locked="0"/>
    </xf>
    <xf numFmtId="0" fontId="3" fillId="9" borderId="98" xfId="0" applyFont="1" applyFill="1" applyBorder="1" applyAlignment="1" applyProtection="1">
      <alignment horizontal="left"/>
      <protection locked="0"/>
    </xf>
    <xf numFmtId="0" fontId="1" fillId="29" borderId="135" xfId="0" applyFont="1" applyFill="1" applyBorder="1" applyAlignment="1" applyProtection="1">
      <alignment horizontal="right" vertical="center"/>
      <protection hidden="1"/>
    </xf>
    <xf numFmtId="0" fontId="1" fillId="29" borderId="51"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103"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102" xfId="0" applyFont="1" applyFill="1" applyBorder="1" applyAlignment="1" applyProtection="1">
      <alignment horizontal="center" vertical="center" wrapText="1"/>
      <protection locked="0" hidden="1"/>
    </xf>
    <xf numFmtId="0" fontId="11" fillId="9" borderId="3" xfId="0" applyFont="1" applyFill="1" applyBorder="1" applyAlignment="1" applyProtection="1">
      <alignment horizontal="center" vertical="center" wrapText="1"/>
      <protection locked="0" hidden="1"/>
    </xf>
    <xf numFmtId="0" fontId="11" fillId="9" borderId="103" xfId="0" applyFont="1" applyFill="1" applyBorder="1" applyAlignment="1" applyProtection="1">
      <alignment horizontal="center" vertical="center" wrapText="1"/>
      <protection locked="0" hidden="1"/>
    </xf>
    <xf numFmtId="0" fontId="19" fillId="29" borderId="52" xfId="0" applyFont="1" applyFill="1" applyBorder="1" applyAlignment="1" applyProtection="1">
      <alignment horizontal="center" vertical="center" wrapText="1"/>
      <protection hidden="1"/>
    </xf>
    <xf numFmtId="0" fontId="19" fillId="29" borderId="45" xfId="0" applyFont="1" applyFill="1" applyBorder="1" applyAlignment="1" applyProtection="1">
      <alignment horizontal="center" vertical="center" wrapText="1"/>
      <protection hidden="1"/>
    </xf>
    <xf numFmtId="17" fontId="7" fillId="29" borderId="2" xfId="0" applyNumberFormat="1" applyFont="1" applyFill="1" applyBorder="1" applyAlignment="1" applyProtection="1">
      <alignment horizontal="center" vertical="center" wrapText="1"/>
      <protection hidden="1"/>
    </xf>
    <xf numFmtId="17" fontId="7" fillId="29" borderId="3" xfId="0" applyNumberFormat="1" applyFont="1" applyFill="1" applyBorder="1" applyAlignment="1" applyProtection="1">
      <alignment horizontal="center" vertical="center" wrapText="1"/>
      <protection hidden="1"/>
    </xf>
    <xf numFmtId="17" fontId="7" fillId="29" borderId="4" xfId="0" applyNumberFormat="1" applyFont="1" applyFill="1" applyBorder="1" applyAlignment="1" applyProtection="1">
      <alignment horizontal="center" vertical="center" wrapText="1"/>
      <protection hidden="1"/>
    </xf>
    <xf numFmtId="169" fontId="51" fillId="4" borderId="64" xfId="0" applyNumberFormat="1" applyFont="1" applyFill="1" applyBorder="1" applyAlignment="1" applyProtection="1">
      <alignment horizontal="center" vertical="center"/>
      <protection locked="0"/>
    </xf>
    <xf numFmtId="169" fontId="51" fillId="4" borderId="61" xfId="0" applyNumberFormat="1" applyFont="1" applyFill="1" applyBorder="1" applyAlignment="1" applyProtection="1">
      <alignment horizontal="center" vertical="center"/>
      <protection locked="0"/>
    </xf>
    <xf numFmtId="0" fontId="41" fillId="30" borderId="2" xfId="0" applyFont="1" applyFill="1" applyBorder="1" applyAlignment="1" applyProtection="1">
      <alignment horizontal="center" vertical="center"/>
      <protection hidden="1"/>
    </xf>
    <xf numFmtId="0" fontId="41" fillId="30" borderId="3" xfId="0" applyFont="1" applyFill="1" applyBorder="1" applyAlignment="1" applyProtection="1">
      <alignment horizontal="center" vertical="center"/>
      <protection hidden="1"/>
    </xf>
    <xf numFmtId="0" fontId="41" fillId="30" borderId="4" xfId="0" applyFont="1" applyFill="1" applyBorder="1" applyAlignment="1" applyProtection="1">
      <alignment horizontal="center" vertical="center"/>
      <protection hidden="1"/>
    </xf>
    <xf numFmtId="169" fontId="51" fillId="4" borderId="63" xfId="0" applyNumberFormat="1" applyFont="1" applyFill="1" applyBorder="1" applyAlignment="1" applyProtection="1">
      <alignment horizontal="center" vertical="center"/>
      <protection locked="0"/>
    </xf>
    <xf numFmtId="169" fontId="51" fillId="4" borderId="60" xfId="0" applyNumberFormat="1" applyFont="1" applyFill="1" applyBorder="1" applyAlignment="1" applyProtection="1">
      <alignment horizontal="center" vertical="center"/>
      <protection locked="0"/>
    </xf>
    <xf numFmtId="169" fontId="51" fillId="4" borderId="1"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2" fontId="4" fillId="4" borderId="90" xfId="0" applyNumberFormat="1" applyFont="1" applyFill="1" applyBorder="1" applyAlignment="1" applyProtection="1">
      <alignment horizontal="left" vertical="center"/>
      <protection locked="0"/>
    </xf>
    <xf numFmtId="2" fontId="4" fillId="4" borderId="55" xfId="0" applyNumberFormat="1" applyFont="1" applyFill="1" applyBorder="1" applyAlignment="1" applyProtection="1">
      <alignment horizontal="left" vertical="center"/>
      <protection locked="0"/>
    </xf>
    <xf numFmtId="0" fontId="8" fillId="27" borderId="65" xfId="0" applyFont="1" applyFill="1" applyBorder="1" applyAlignment="1" applyProtection="1">
      <alignment horizontal="center" vertical="center" wrapText="1"/>
      <protection hidden="1"/>
    </xf>
    <xf numFmtId="0" fontId="8" fillId="27" borderId="3" xfId="0" applyFont="1" applyFill="1" applyBorder="1" applyAlignment="1" applyProtection="1">
      <alignment horizontal="center" vertical="center" wrapText="1"/>
      <protection hidden="1"/>
    </xf>
    <xf numFmtId="0" fontId="8" fillId="27" borderId="27" xfId="0" applyFont="1" applyFill="1" applyBorder="1" applyAlignment="1" applyProtection="1">
      <alignment horizontal="center" vertical="center" wrapText="1"/>
      <protection hidden="1"/>
    </xf>
    <xf numFmtId="0" fontId="8" fillId="27" borderId="4" xfId="0" applyFont="1" applyFill="1" applyBorder="1" applyAlignment="1" applyProtection="1">
      <alignment horizontal="center" vertical="center" wrapText="1"/>
      <protection hidden="1"/>
    </xf>
    <xf numFmtId="1" fontId="45" fillId="4" borderId="20" xfId="0" applyNumberFormat="1" applyFont="1" applyFill="1" applyBorder="1" applyAlignment="1" applyProtection="1">
      <alignment horizontal="center" vertical="center"/>
      <protection locked="0"/>
    </xf>
    <xf numFmtId="1" fontId="45" fillId="4" borderId="32" xfId="0" applyNumberFormat="1" applyFont="1" applyFill="1" applyBorder="1" applyAlignment="1" applyProtection="1">
      <alignment horizontal="center" vertical="center"/>
      <protection locked="0"/>
    </xf>
    <xf numFmtId="0" fontId="40" fillId="30"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1" fillId="12" borderId="1" xfId="0" applyNumberFormat="1" applyFont="1" applyFill="1" applyBorder="1" applyAlignment="1" applyProtection="1">
      <alignment horizontal="center" vertical="center"/>
      <protection hidden="1"/>
    </xf>
    <xf numFmtId="2" fontId="61" fillId="11" borderId="1" xfId="0" applyNumberFormat="1" applyFont="1" applyFill="1" applyBorder="1" applyAlignment="1" applyProtection="1">
      <alignment horizontal="center" vertical="center"/>
      <protection hidden="1"/>
    </xf>
    <xf numFmtId="2" fontId="65" fillId="11" borderId="63" xfId="0" applyNumberFormat="1" applyFont="1" applyFill="1" applyBorder="1" applyAlignment="1" applyProtection="1">
      <alignment horizontal="center" vertical="center"/>
      <protection hidden="1"/>
    </xf>
    <xf numFmtId="2" fontId="65" fillId="11" borderId="28" xfId="0" applyNumberFormat="1" applyFont="1" applyFill="1" applyBorder="1" applyAlignment="1" applyProtection="1">
      <alignment horizontal="center" vertical="center"/>
      <protection hidden="1"/>
    </xf>
    <xf numFmtId="2" fontId="48" fillId="11" borderId="63" xfId="0" applyNumberFormat="1" applyFont="1" applyFill="1" applyBorder="1" applyAlignment="1" applyProtection="1">
      <alignment horizontal="center" vertical="center"/>
      <protection hidden="1"/>
    </xf>
    <xf numFmtId="2" fontId="48" fillId="11" borderId="28" xfId="0" applyNumberFormat="1" applyFont="1" applyFill="1" applyBorder="1" applyAlignment="1" applyProtection="1">
      <alignment horizontal="center" vertical="center"/>
      <protection hidden="1"/>
    </xf>
    <xf numFmtId="2" fontId="48" fillId="12" borderId="63" xfId="0" applyNumberFormat="1" applyFont="1" applyFill="1" applyBorder="1" applyAlignment="1" applyProtection="1">
      <alignment horizontal="center" vertical="center"/>
      <protection hidden="1"/>
    </xf>
    <xf numFmtId="2" fontId="48" fillId="12" borderId="28" xfId="0" applyNumberFormat="1" applyFont="1" applyFill="1" applyBorder="1" applyAlignment="1" applyProtection="1">
      <alignment horizontal="center" vertical="center"/>
      <protection hidden="1"/>
    </xf>
    <xf numFmtId="2" fontId="65" fillId="11" borderId="63" xfId="0" applyNumberFormat="1" applyFont="1" applyFill="1" applyBorder="1" applyAlignment="1" applyProtection="1">
      <alignment horizontal="center" vertical="center" wrapText="1"/>
      <protection hidden="1"/>
    </xf>
    <xf numFmtId="2" fontId="65" fillId="11" borderId="28" xfId="0" applyNumberFormat="1" applyFont="1" applyFill="1" applyBorder="1" applyAlignment="1" applyProtection="1">
      <alignment horizontal="center" vertical="center" wrapText="1"/>
      <protection hidden="1"/>
    </xf>
    <xf numFmtId="2" fontId="61" fillId="12" borderId="5" xfId="0" applyNumberFormat="1" applyFont="1" applyFill="1" applyBorder="1" applyAlignment="1" applyProtection="1">
      <alignment horizontal="center" vertical="center" wrapText="1"/>
      <protection hidden="1"/>
    </xf>
    <xf numFmtId="2" fontId="80" fillId="12" borderId="20" xfId="0" applyNumberFormat="1" applyFont="1" applyFill="1" applyBorder="1" applyAlignment="1" applyProtection="1">
      <alignment horizontal="center" vertical="center"/>
      <protection hidden="1"/>
    </xf>
    <xf numFmtId="2" fontId="81" fillId="12" borderId="22" xfId="0" applyNumberFormat="1" applyFont="1" applyFill="1" applyBorder="1" applyAlignment="1" applyProtection="1">
      <alignment horizontal="center" vertical="center"/>
      <protection hidden="1"/>
    </xf>
    <xf numFmtId="0" fontId="49" fillId="28" borderId="6" xfId="0" applyFont="1" applyFill="1" applyBorder="1" applyAlignment="1" applyProtection="1">
      <alignment horizontal="center" vertical="center" wrapText="1"/>
      <protection hidden="1"/>
    </xf>
    <xf numFmtId="0" fontId="49" fillId="28" borderId="7" xfId="0" applyFont="1" applyFill="1" applyBorder="1" applyAlignment="1" applyProtection="1">
      <alignment horizontal="center" vertical="center" wrapText="1"/>
      <protection hidden="1"/>
    </xf>
    <xf numFmtId="0" fontId="49" fillId="28" borderId="8" xfId="0" applyFont="1" applyFill="1" applyBorder="1" applyAlignment="1" applyProtection="1">
      <alignment horizontal="center" vertical="center" wrapText="1"/>
      <protection hidden="1"/>
    </xf>
    <xf numFmtId="2" fontId="46" fillId="12" borderId="1" xfId="0" applyNumberFormat="1" applyFont="1" applyFill="1" applyBorder="1" applyAlignment="1" applyProtection="1">
      <alignment horizontal="center" vertical="center"/>
      <protection hidden="1"/>
    </xf>
    <xf numFmtId="2" fontId="61" fillId="11" borderId="16" xfId="0" applyNumberFormat="1" applyFont="1" applyFill="1" applyBorder="1" applyAlignment="1" applyProtection="1">
      <alignment horizontal="center" vertical="center"/>
      <protection hidden="1"/>
    </xf>
    <xf numFmtId="2" fontId="48" fillId="11" borderId="64" xfId="0" applyNumberFormat="1" applyFont="1" applyFill="1" applyBorder="1" applyAlignment="1" applyProtection="1">
      <alignment horizontal="center" vertical="center"/>
      <protection hidden="1"/>
    </xf>
    <xf numFmtId="2" fontId="48" fillId="11" borderId="55" xfId="0" applyNumberFormat="1" applyFont="1" applyFill="1" applyBorder="1" applyAlignment="1" applyProtection="1">
      <alignment horizontal="center" vertical="center"/>
      <protection hidden="1"/>
    </xf>
    <xf numFmtId="0" fontId="19" fillId="27" borderId="2" xfId="0" applyFont="1" applyFill="1" applyBorder="1" applyAlignment="1" applyProtection="1">
      <alignment horizontal="center" vertical="center" wrapText="1"/>
      <protection hidden="1"/>
    </xf>
    <xf numFmtId="0" fontId="19" fillId="27" borderId="27" xfId="0" applyFont="1" applyFill="1" applyBorder="1" applyAlignment="1" applyProtection="1">
      <alignment horizontal="center" vertical="center" wrapText="1"/>
      <protection hidden="1"/>
    </xf>
    <xf numFmtId="0" fontId="8" fillId="28" borderId="2" xfId="0" applyFont="1" applyFill="1" applyBorder="1" applyAlignment="1" applyProtection="1">
      <alignment horizontal="center" vertical="center" wrapText="1"/>
      <protection hidden="1"/>
    </xf>
    <xf numFmtId="0" fontId="8" fillId="28" borderId="27" xfId="0" applyFont="1" applyFill="1" applyBorder="1" applyAlignment="1" applyProtection="1">
      <alignment horizontal="center" vertical="center" wrapText="1"/>
      <protection hidden="1"/>
    </xf>
    <xf numFmtId="0" fontId="11" fillId="27" borderId="65" xfId="0" applyFont="1" applyFill="1" applyBorder="1" applyAlignment="1" applyProtection="1">
      <alignment horizontal="center" vertical="center" wrapText="1"/>
      <protection hidden="1"/>
    </xf>
    <xf numFmtId="0" fontId="11" fillId="27" borderId="3" xfId="0" applyFont="1" applyFill="1" applyBorder="1" applyAlignment="1" applyProtection="1">
      <alignment horizontal="center" vertical="center" wrapText="1"/>
      <protection hidden="1"/>
    </xf>
    <xf numFmtId="0" fontId="11" fillId="27" borderId="27" xfId="0" applyFont="1" applyFill="1" applyBorder="1" applyAlignment="1" applyProtection="1">
      <alignment horizontal="center" vertical="center" wrapText="1"/>
      <protection hidden="1"/>
    </xf>
    <xf numFmtId="0" fontId="11" fillId="27" borderId="53" xfId="0" applyFont="1" applyFill="1" applyBorder="1" applyAlignment="1" applyProtection="1">
      <alignment horizontal="center" vertical="center" wrapText="1"/>
      <protection hidden="1"/>
    </xf>
    <xf numFmtId="0" fontId="11" fillId="27" borderId="29" xfId="0" applyFont="1" applyFill="1" applyBorder="1" applyAlignment="1" applyProtection="1">
      <alignment horizontal="center" vertical="center" wrapText="1"/>
      <protection hidden="1"/>
    </xf>
    <xf numFmtId="1" fontId="45" fillId="4" borderId="64" xfId="0" applyNumberFormat="1" applyFont="1" applyFill="1" applyBorder="1" applyAlignment="1" applyProtection="1">
      <alignment horizontal="center" vertical="center"/>
      <protection locked="0"/>
    </xf>
    <xf numFmtId="1" fontId="45" fillId="4" borderId="61" xfId="0" applyNumberFormat="1" applyFont="1" applyFill="1" applyBorder="1" applyAlignment="1" applyProtection="1">
      <alignment horizontal="center" vertical="center"/>
      <protection locked="0"/>
    </xf>
    <xf numFmtId="0" fontId="11" fillId="27"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7" xfId="0" applyNumberFormat="1" applyFont="1" applyFill="1" applyBorder="1" applyAlignment="1" applyProtection="1">
      <alignment horizontal="center" vertical="center"/>
      <protection locked="0"/>
    </xf>
    <xf numFmtId="2" fontId="65" fillId="12" borderId="63" xfId="0" applyNumberFormat="1" applyFont="1" applyFill="1" applyBorder="1" applyAlignment="1" applyProtection="1">
      <alignment horizontal="center" vertical="center"/>
      <protection hidden="1"/>
    </xf>
    <xf numFmtId="2" fontId="65" fillId="12" borderId="28" xfId="0" applyNumberFormat="1" applyFont="1" applyFill="1" applyBorder="1" applyAlignment="1" applyProtection="1">
      <alignment horizontal="center" vertical="center"/>
      <protection hidden="1"/>
    </xf>
    <xf numFmtId="0" fontId="41" fillId="30" borderId="6" xfId="0" applyFont="1" applyFill="1" applyBorder="1" applyAlignment="1" applyProtection="1">
      <alignment horizontal="center" vertical="center"/>
      <protection hidden="1"/>
    </xf>
    <xf numFmtId="0" fontId="41" fillId="30" borderId="7" xfId="0" applyFont="1" applyFill="1" applyBorder="1" applyAlignment="1" applyProtection="1">
      <alignment horizontal="center" vertical="center"/>
      <protection hidden="1"/>
    </xf>
    <xf numFmtId="0" fontId="41" fillId="30"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89"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45" fillId="4" borderId="63" xfId="0" applyNumberFormat="1" applyFont="1" applyFill="1" applyBorder="1" applyAlignment="1" applyProtection="1">
      <alignment horizontal="center" vertical="center"/>
      <protection locked="0"/>
    </xf>
    <xf numFmtId="1" fontId="45" fillId="4" borderId="60"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left" wrapText="1"/>
      <protection hidden="1"/>
    </xf>
    <xf numFmtId="0" fontId="20" fillId="4" borderId="48"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8"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23"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21" fillId="0" borderId="57" xfId="0" applyFont="1" applyBorder="1" applyAlignment="1" applyProtection="1">
      <alignment horizontal="center" vertical="center" wrapText="1"/>
      <protection hidden="1"/>
    </xf>
    <xf numFmtId="0" fontId="21" fillId="0" borderId="60" xfId="0" applyFont="1" applyBorder="1" applyAlignment="1" applyProtection="1">
      <alignment horizontal="center" vertical="center" wrapText="1"/>
      <protection hidden="1"/>
    </xf>
    <xf numFmtId="0" fontId="58" fillId="0" borderId="57" xfId="0" applyFont="1" applyBorder="1" applyAlignment="1" applyProtection="1">
      <alignment horizontal="center" vertical="center" wrapText="1"/>
      <protection hidden="1"/>
    </xf>
    <xf numFmtId="0" fontId="58" fillId="0" borderId="60"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54" fillId="0" borderId="29" xfId="0" applyFont="1" applyBorder="1" applyAlignment="1" applyProtection="1">
      <alignment horizontal="center" vertical="center" wrapText="1"/>
      <protection hidden="1"/>
    </xf>
    <xf numFmtId="0" fontId="54" fillId="0" borderId="59" xfId="0" applyFont="1" applyBorder="1" applyAlignment="1" applyProtection="1">
      <alignment horizontal="center" vertical="center" wrapText="1"/>
      <protection hidden="1"/>
    </xf>
    <xf numFmtId="0" fontId="10" fillId="0" borderId="53" xfId="0" applyFont="1" applyBorder="1" applyAlignment="1" applyProtection="1">
      <alignment horizontal="center" vertical="center" wrapText="1"/>
      <protection hidden="1"/>
    </xf>
    <xf numFmtId="0" fontId="10" fillId="0" borderId="62" xfId="0" applyFont="1" applyBorder="1" applyAlignment="1" applyProtection="1">
      <alignment horizontal="center" vertical="center" wrapText="1"/>
      <protection hidden="1"/>
    </xf>
    <xf numFmtId="0" fontId="17" fillId="0" borderId="56"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55" fillId="0" borderId="57" xfId="0" applyFont="1" applyBorder="1" applyAlignment="1" applyProtection="1">
      <alignment horizontal="center" vertical="center" wrapText="1"/>
      <protection hidden="1"/>
    </xf>
    <xf numFmtId="0" fontId="55" fillId="0" borderId="60"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59" xfId="0" applyFont="1" applyBorder="1" applyAlignment="1" applyProtection="1">
      <alignment horizontal="center" wrapText="1"/>
      <protection hidden="1"/>
    </xf>
    <xf numFmtId="0" fontId="26" fillId="0" borderId="62"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left" vertical="center" wrapText="1"/>
      <protection hidden="1"/>
    </xf>
    <xf numFmtId="0" fontId="8" fillId="4" borderId="48"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49"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49" xfId="0" applyFont="1" applyFill="1" applyBorder="1" applyAlignment="1" applyProtection="1">
      <alignment horizontal="left" wrapText="1"/>
      <protection locked="0"/>
    </xf>
    <xf numFmtId="0" fontId="21" fillId="0" borderId="57" xfId="0" applyFont="1" applyBorder="1" applyAlignment="1" applyProtection="1">
      <alignment horizontal="center" vertical="center" wrapText="1"/>
      <protection locked="0"/>
    </xf>
    <xf numFmtId="0" fontId="21" fillId="0" borderId="60" xfId="0" applyFont="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29" fillId="19" borderId="0" xfId="0" applyFont="1" applyFill="1" applyBorder="1" applyAlignment="1" applyProtection="1">
      <alignment horizontal="center" vertical="center" wrapText="1"/>
      <protection hidden="1"/>
    </xf>
    <xf numFmtId="2" fontId="17" fillId="0" borderId="24" xfId="0" applyNumberFormat="1" applyFont="1" applyBorder="1" applyAlignment="1" applyProtection="1">
      <alignment horizontal="left" vertical="center"/>
      <protection hidden="1"/>
    </xf>
    <xf numFmtId="2" fontId="7" fillId="0" borderId="24" xfId="0" applyNumberFormat="1" applyFont="1" applyBorder="1" applyAlignment="1" applyProtection="1">
      <alignment horizontal="left" vertical="center"/>
      <protection hidden="1"/>
    </xf>
    <xf numFmtId="2" fontId="104" fillId="0" borderId="24" xfId="0" applyNumberFormat="1" applyFont="1" applyBorder="1" applyAlignment="1" applyProtection="1">
      <alignment horizontal="left" vertical="center"/>
      <protection hidden="1"/>
    </xf>
    <xf numFmtId="2" fontId="105" fillId="0" borderId="24" xfId="0" applyNumberFormat="1" applyFont="1" applyBorder="1" applyAlignment="1" applyProtection="1">
      <alignment horizontal="left" vertical="center"/>
      <protection hidden="1"/>
    </xf>
    <xf numFmtId="0" fontId="69" fillId="0" borderId="25" xfId="1" applyFont="1" applyBorder="1" applyAlignment="1" applyProtection="1">
      <alignment horizontal="right" vertical="center"/>
      <protection hidden="1"/>
    </xf>
    <xf numFmtId="0" fontId="48" fillId="0" borderId="122" xfId="1" applyFont="1" applyBorder="1" applyAlignment="1" applyProtection="1">
      <alignment horizontal="right" vertical="center"/>
      <protection hidden="1"/>
    </xf>
    <xf numFmtId="0" fontId="48" fillId="0" borderId="26" xfId="1" applyFont="1" applyBorder="1" applyAlignment="1" applyProtection="1">
      <alignment horizontal="right" vertical="center"/>
      <protection hidden="1"/>
    </xf>
    <xf numFmtId="170" fontId="84" fillId="4" borderId="0" xfId="0" applyNumberFormat="1" applyFont="1" applyFill="1" applyBorder="1" applyAlignment="1" applyProtection="1">
      <alignment horizontal="center" vertical="center"/>
      <protection hidden="1"/>
    </xf>
    <xf numFmtId="0" fontId="120" fillId="18" borderId="138" xfId="0" applyFont="1" applyFill="1" applyBorder="1" applyAlignment="1" applyProtection="1">
      <alignment horizontal="center" vertical="center" wrapText="1"/>
      <protection hidden="1"/>
    </xf>
    <xf numFmtId="0" fontId="120" fillId="18" borderId="139" xfId="0" applyFont="1" applyFill="1" applyBorder="1" applyAlignment="1" applyProtection="1">
      <alignment horizontal="center" vertical="center" wrapText="1"/>
      <protection hidden="1"/>
    </xf>
    <xf numFmtId="0" fontId="120" fillId="18" borderId="136" xfId="0" applyFont="1" applyFill="1" applyBorder="1" applyAlignment="1" applyProtection="1">
      <alignment horizontal="center" vertical="center" wrapText="1"/>
      <protection hidden="1"/>
    </xf>
    <xf numFmtId="0" fontId="120" fillId="18" borderId="140" xfId="0" applyFont="1" applyFill="1" applyBorder="1" applyAlignment="1" applyProtection="1">
      <alignment horizontal="center" vertical="center" wrapText="1"/>
      <protection hidden="1"/>
    </xf>
    <xf numFmtId="0" fontId="120" fillId="18" borderId="141" xfId="0" applyFont="1" applyFill="1" applyBorder="1" applyAlignment="1" applyProtection="1">
      <alignment horizontal="center" vertical="center" wrapText="1"/>
      <protection hidden="1"/>
    </xf>
    <xf numFmtId="0" fontId="120" fillId="18" borderId="142" xfId="0" applyFont="1" applyFill="1" applyBorder="1" applyAlignment="1" applyProtection="1">
      <alignment horizontal="center" vertical="center" wrapText="1"/>
      <protection hidden="1"/>
    </xf>
    <xf numFmtId="0" fontId="8" fillId="0" borderId="143" xfId="0" applyFont="1" applyBorder="1" applyAlignment="1" applyProtection="1">
      <alignment horizontal="center" vertical="center" wrapText="1"/>
      <protection hidden="1"/>
    </xf>
    <xf numFmtId="0" fontId="8" fillId="0" borderId="145" xfId="0" applyFont="1" applyBorder="1" applyAlignment="1" applyProtection="1">
      <alignment horizontal="center" vertical="center" wrapText="1"/>
      <protection hidden="1"/>
    </xf>
    <xf numFmtId="0" fontId="8" fillId="0" borderId="147" xfId="0" applyFont="1" applyBorder="1" applyAlignment="1" applyProtection="1">
      <alignment horizontal="center" vertical="center" wrapText="1"/>
      <protection hidden="1"/>
    </xf>
    <xf numFmtId="2" fontId="8" fillId="0" borderId="144" xfId="0" applyNumberFormat="1" applyFont="1" applyBorder="1" applyAlignment="1" applyProtection="1">
      <alignment horizontal="center" vertical="center" wrapText="1"/>
      <protection hidden="1"/>
    </xf>
    <xf numFmtId="0" fontId="8" fillId="0" borderId="146" xfId="0" applyFont="1" applyBorder="1" applyAlignment="1" applyProtection="1">
      <alignment horizontal="center" vertical="center" wrapText="1"/>
      <protection hidden="1"/>
    </xf>
    <xf numFmtId="2" fontId="8" fillId="0" borderId="146" xfId="0" applyNumberFormat="1" applyFont="1" applyBorder="1" applyAlignment="1" applyProtection="1">
      <alignment horizontal="center" vertical="center" wrapText="1"/>
      <protection hidden="1"/>
    </xf>
    <xf numFmtId="0" fontId="8" fillId="0" borderId="148" xfId="0" applyFont="1" applyBorder="1" applyAlignment="1" applyProtection="1">
      <alignment horizontal="center" vertical="center" wrapText="1"/>
      <protection hidden="1"/>
    </xf>
    <xf numFmtId="2" fontId="103" fillId="4" borderId="0" xfId="1" applyNumberFormat="1" applyFont="1" applyFill="1" applyBorder="1" applyAlignment="1" applyProtection="1">
      <alignment horizontal="center" vertical="center"/>
      <protection hidden="1"/>
    </xf>
    <xf numFmtId="0" fontId="103" fillId="4" borderId="0" xfId="1" applyFont="1" applyFill="1" applyBorder="1" applyAlignment="1" applyProtection="1">
      <alignment horizontal="center" vertical="center"/>
      <protection hidden="1"/>
    </xf>
    <xf numFmtId="0" fontId="83" fillId="3" borderId="149" xfId="0" applyFont="1" applyFill="1" applyBorder="1" applyAlignment="1" applyProtection="1">
      <alignment horizontal="center" vertical="center"/>
      <protection hidden="1"/>
    </xf>
    <xf numFmtId="0" fontId="83" fillId="3" borderId="150" xfId="0" applyFont="1" applyFill="1" applyBorder="1" applyAlignment="1" applyProtection="1">
      <alignment horizontal="center" vertical="center"/>
      <protection hidden="1"/>
    </xf>
    <xf numFmtId="0" fontId="69" fillId="0" borderId="112" xfId="1" applyFont="1" applyBorder="1" applyAlignment="1" applyProtection="1">
      <alignment horizontal="right" vertical="center"/>
      <protection hidden="1"/>
    </xf>
    <xf numFmtId="0" fontId="62" fillId="0" borderId="121"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60" fillId="0" borderId="106" xfId="1" applyFont="1" applyBorder="1" applyAlignment="1" applyProtection="1">
      <alignment horizontal="center" vertical="center"/>
      <protection hidden="1"/>
    </xf>
    <xf numFmtId="0" fontId="60" fillId="0" borderId="109"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17" fillId="0" borderId="107"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112" xfId="1" applyFont="1" applyBorder="1" applyAlignment="1" applyProtection="1">
      <alignment horizontal="center" vertical="center" textRotation="90" wrapText="1"/>
      <protection hidden="1"/>
    </xf>
    <xf numFmtId="0" fontId="71" fillId="0" borderId="107" xfId="1" applyFont="1" applyBorder="1" applyAlignment="1" applyProtection="1">
      <alignment horizontal="center" vertical="center" wrapText="1"/>
      <protection hidden="1"/>
    </xf>
    <xf numFmtId="0" fontId="72" fillId="0" borderId="107" xfId="1" applyFont="1" applyBorder="1" applyAlignment="1" applyProtection="1">
      <alignment horizontal="center" vertical="center" wrapText="1"/>
      <protection hidden="1"/>
    </xf>
    <xf numFmtId="0" fontId="69" fillId="0" borderId="107" xfId="1" applyFont="1" applyBorder="1" applyAlignment="1" applyProtection="1">
      <alignment horizontal="center" vertical="center" wrapText="1"/>
      <protection hidden="1"/>
    </xf>
    <xf numFmtId="0" fontId="69" fillId="0" borderId="108"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center" wrapText="1"/>
      <protection hidden="1"/>
    </xf>
    <xf numFmtId="0" fontId="72" fillId="0" borderId="112" xfId="1" applyFont="1" applyBorder="1" applyAlignment="1" applyProtection="1">
      <alignment horizontal="right" vertical="center" wrapText="1"/>
      <protection hidden="1"/>
    </xf>
    <xf numFmtId="0" fontId="72" fillId="0" borderId="112"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22"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48" fillId="0" borderId="24" xfId="1" applyFont="1" applyBorder="1" applyAlignment="1" applyProtection="1">
      <alignment horizontal="left" vertical="center"/>
      <protection hidden="1"/>
    </xf>
    <xf numFmtId="0" fontId="17" fillId="0" borderId="24" xfId="1" applyFont="1" applyBorder="1" applyAlignment="1" applyProtection="1">
      <alignment horizontal="left" vertical="center"/>
      <protection hidden="1"/>
    </xf>
    <xf numFmtId="0" fontId="17" fillId="0" borderId="112" xfId="1" applyFont="1" applyBorder="1" applyAlignment="1" applyProtection="1">
      <alignment horizontal="left" vertical="center"/>
      <protection hidden="1"/>
    </xf>
    <xf numFmtId="0" fontId="60" fillId="0" borderId="106" xfId="1" applyFont="1" applyBorder="1" applyAlignment="1" applyProtection="1">
      <alignment horizontal="center" vertical="top"/>
      <protection hidden="1"/>
    </xf>
    <xf numFmtId="0" fontId="60" fillId="0" borderId="109" xfId="1" applyFont="1" applyBorder="1" applyAlignment="1" applyProtection="1">
      <alignment horizontal="center" vertical="top"/>
      <protection hidden="1"/>
    </xf>
    <xf numFmtId="0" fontId="48" fillId="0" borderId="25" xfId="1" applyFont="1" applyBorder="1" applyAlignment="1" applyProtection="1">
      <alignment horizontal="center" vertical="center"/>
      <protection hidden="1"/>
    </xf>
    <xf numFmtId="0" fontId="48" fillId="0" borderId="122" xfId="1" applyFont="1" applyBorder="1" applyAlignment="1" applyProtection="1">
      <alignment horizontal="center" vertical="center"/>
      <protection hidden="1"/>
    </xf>
    <xf numFmtId="0" fontId="48" fillId="0" borderId="26" xfId="1" applyFont="1" applyBorder="1" applyAlignment="1" applyProtection="1">
      <alignment horizontal="center" vertical="center"/>
      <protection hidden="1"/>
    </xf>
    <xf numFmtId="0" fontId="80" fillId="0" borderId="25" xfId="1" applyFont="1" applyBorder="1" applyAlignment="1" applyProtection="1">
      <alignment horizontal="center" vertical="center" wrapText="1"/>
      <protection hidden="1"/>
    </xf>
    <xf numFmtId="0" fontId="80" fillId="0" borderId="26" xfId="1" applyFont="1" applyBorder="1" applyAlignment="1" applyProtection="1">
      <alignment horizontal="center" vertical="center" wrapText="1"/>
      <protection hidden="1"/>
    </xf>
    <xf numFmtId="0" fontId="80" fillId="0" borderId="122" xfId="1" applyFont="1" applyBorder="1" applyAlignment="1" applyProtection="1">
      <alignment horizontal="center" vertical="center" wrapText="1"/>
      <protection hidden="1"/>
    </xf>
    <xf numFmtId="0" fontId="62" fillId="0" borderId="119" xfId="1" applyFont="1" applyBorder="1" applyAlignment="1" applyProtection="1">
      <alignment horizontal="left" vertical="center"/>
      <protection hidden="1"/>
    </xf>
    <xf numFmtId="0" fontId="17" fillId="0" borderId="107" xfId="1" applyFont="1" applyBorder="1" applyAlignment="1" applyProtection="1">
      <alignment horizontal="left" vertical="center"/>
      <protection hidden="1"/>
    </xf>
    <xf numFmtId="0" fontId="69" fillId="0" borderId="107" xfId="1" applyFont="1" applyBorder="1" applyAlignment="1" applyProtection="1">
      <alignment horizontal="left" vertical="center"/>
      <protection hidden="1"/>
    </xf>
    <xf numFmtId="0" fontId="69" fillId="0" borderId="108" xfId="1" applyFont="1" applyBorder="1" applyAlignment="1" applyProtection="1">
      <alignment horizontal="left" vertical="center"/>
      <protection hidden="1"/>
    </xf>
    <xf numFmtId="0" fontId="69" fillId="0" borderId="25" xfId="1" applyFont="1" applyBorder="1" applyAlignment="1" applyProtection="1">
      <alignment horizontal="center" vertical="center"/>
      <protection hidden="1"/>
    </xf>
    <xf numFmtId="0" fontId="69" fillId="0" borderId="122" xfId="1" applyFont="1" applyBorder="1" applyAlignment="1" applyProtection="1">
      <alignment horizontal="center" vertical="center"/>
      <protection hidden="1"/>
    </xf>
    <xf numFmtId="0" fontId="69" fillId="0" borderId="26" xfId="1" applyFont="1" applyBorder="1" applyAlignment="1" applyProtection="1">
      <alignment horizontal="center" vertical="center"/>
      <protection hidden="1"/>
    </xf>
    <xf numFmtId="0" fontId="71" fillId="0" borderId="25" xfId="1" applyFont="1" applyBorder="1" applyAlignment="1" applyProtection="1">
      <alignment horizontal="center" vertical="center"/>
      <protection hidden="1"/>
    </xf>
    <xf numFmtId="0" fontId="71" fillId="0" borderId="122" xfId="1" applyFont="1" applyBorder="1" applyAlignment="1" applyProtection="1">
      <alignment horizontal="center" vertical="center"/>
      <protection hidden="1"/>
    </xf>
    <xf numFmtId="0" fontId="108" fillId="0" borderId="24" xfId="1" applyFont="1" applyFill="1" applyBorder="1" applyAlignment="1" applyProtection="1">
      <alignment vertical="center"/>
      <protection hidden="1"/>
    </xf>
    <xf numFmtId="0" fontId="60" fillId="0" borderId="114" xfId="1" applyFont="1" applyBorder="1" applyAlignment="1" applyProtection="1">
      <alignment horizontal="center" vertical="top"/>
      <protection hidden="1"/>
    </xf>
    <xf numFmtId="0" fontId="70" fillId="0" borderId="24" xfId="1" applyFont="1" applyBorder="1" applyAlignment="1" applyProtection="1">
      <alignment horizontal="left" vertical="center"/>
      <protection hidden="1"/>
    </xf>
    <xf numFmtId="0" fontId="70" fillId="0" borderId="110" xfId="1" applyFont="1" applyBorder="1" applyAlignment="1" applyProtection="1">
      <alignment horizontal="left" vertical="center"/>
      <protection hidden="1"/>
    </xf>
    <xf numFmtId="0" fontId="69" fillId="0" borderId="52" xfId="1" applyFont="1" applyBorder="1" applyAlignment="1" applyProtection="1">
      <alignment horizontal="right" vertical="center"/>
      <protection hidden="1"/>
    </xf>
    <xf numFmtId="0" fontId="48" fillId="0" borderId="135" xfId="1" applyFont="1" applyBorder="1" applyAlignment="1" applyProtection="1">
      <alignment horizontal="left" vertical="top" wrapText="1"/>
      <protection hidden="1"/>
    </xf>
    <xf numFmtId="0" fontId="48" fillId="0" borderId="38" xfId="1" applyFont="1" applyBorder="1" applyAlignment="1" applyProtection="1">
      <alignment horizontal="left" vertical="top"/>
      <protection hidden="1"/>
    </xf>
    <xf numFmtId="0" fontId="48" fillId="0" borderId="51" xfId="1" applyFont="1" applyBorder="1" applyAlignment="1" applyProtection="1">
      <alignment horizontal="left" vertical="top"/>
      <protection hidden="1"/>
    </xf>
    <xf numFmtId="0" fontId="48" fillId="0" borderId="156" xfId="1" applyFont="1" applyBorder="1" applyAlignment="1" applyProtection="1">
      <alignment horizontal="left" vertical="top"/>
      <protection hidden="1"/>
    </xf>
    <xf numFmtId="0" fontId="48" fillId="0" borderId="157" xfId="1" applyFont="1" applyBorder="1" applyAlignment="1" applyProtection="1">
      <alignment horizontal="left" vertical="top"/>
      <protection hidden="1"/>
    </xf>
    <xf numFmtId="0" fontId="48" fillId="0" borderId="158" xfId="1" applyFont="1" applyBorder="1" applyAlignment="1" applyProtection="1">
      <alignment horizontal="left" vertical="top"/>
      <protection hidden="1"/>
    </xf>
    <xf numFmtId="0" fontId="61" fillId="0" borderId="52" xfId="1" applyFont="1" applyBorder="1" applyAlignment="1" applyProtection="1">
      <alignment horizontal="center" vertical="center"/>
      <protection hidden="1"/>
    </xf>
    <xf numFmtId="0" fontId="61" fillId="0" borderId="159" xfId="1" applyFont="1" applyBorder="1" applyAlignment="1" applyProtection="1">
      <alignment horizontal="center" vertical="center"/>
      <protection hidden="1"/>
    </xf>
    <xf numFmtId="2" fontId="65" fillId="11" borderId="115" xfId="1" applyNumberFormat="1" applyFont="1" applyFill="1" applyBorder="1" applyAlignment="1" applyProtection="1">
      <alignment horizontal="right" vertical="center"/>
      <protection locked="0" hidden="1"/>
    </xf>
    <xf numFmtId="2" fontId="65" fillId="11" borderId="160" xfId="1" applyNumberFormat="1" applyFont="1" applyFill="1" applyBorder="1" applyAlignment="1" applyProtection="1">
      <alignment horizontal="right" vertical="center"/>
      <protection locked="0" hidden="1"/>
    </xf>
    <xf numFmtId="0" fontId="48" fillId="0" borderId="135" xfId="1" applyFont="1" applyBorder="1" applyAlignment="1" applyProtection="1">
      <alignment horizontal="left" vertical="top" wrapText="1"/>
      <protection locked="0"/>
    </xf>
    <xf numFmtId="0" fontId="48" fillId="0" borderId="38" xfId="1" applyFont="1" applyBorder="1" applyAlignment="1" applyProtection="1">
      <alignment horizontal="left" vertical="top"/>
      <protection locked="0"/>
    </xf>
    <xf numFmtId="0" fontId="48" fillId="0" borderId="51" xfId="1" applyFont="1" applyBorder="1" applyAlignment="1" applyProtection="1">
      <alignment horizontal="left" vertical="top"/>
      <protection locked="0"/>
    </xf>
    <xf numFmtId="0" fontId="48" fillId="0" borderId="156" xfId="1" applyFont="1" applyBorder="1" applyAlignment="1" applyProtection="1">
      <alignment horizontal="left" vertical="top"/>
      <protection locked="0"/>
    </xf>
    <xf numFmtId="0" fontId="48" fillId="0" borderId="157" xfId="1" applyFont="1" applyBorder="1" applyAlignment="1" applyProtection="1">
      <alignment horizontal="left" vertical="top"/>
      <protection locked="0"/>
    </xf>
    <xf numFmtId="0" fontId="48" fillId="0" borderId="158" xfId="1" applyFont="1" applyBorder="1" applyAlignment="1" applyProtection="1">
      <alignment horizontal="left" vertical="top"/>
      <protection locked="0"/>
    </xf>
    <xf numFmtId="0" fontId="61" fillId="0" borderId="52" xfId="1" applyFont="1" applyBorder="1" applyAlignment="1" applyProtection="1">
      <alignment horizontal="center" vertical="center"/>
      <protection locked="0"/>
    </xf>
    <xf numFmtId="0" fontId="61" fillId="0" borderId="159" xfId="1" applyFont="1" applyBorder="1" applyAlignment="1" applyProtection="1">
      <alignment horizontal="center" vertical="center"/>
      <protection locked="0"/>
    </xf>
    <xf numFmtId="2" fontId="65" fillId="4" borderId="115" xfId="1" applyNumberFormat="1" applyFont="1" applyFill="1" applyBorder="1" applyAlignment="1" applyProtection="1">
      <alignment horizontal="right" vertical="center"/>
      <protection locked="0"/>
    </xf>
    <xf numFmtId="2" fontId="65" fillId="4" borderId="160" xfId="1" applyNumberFormat="1" applyFont="1" applyFill="1" applyBorder="1" applyAlignment="1" applyProtection="1">
      <alignment horizontal="right" vertical="center"/>
      <protection locked="0"/>
    </xf>
    <xf numFmtId="0" fontId="108" fillId="0" borderId="24" xfId="1" applyFont="1" applyBorder="1" applyAlignment="1" applyProtection="1">
      <alignment horizontal="left" vertical="center"/>
      <protection hidden="1"/>
    </xf>
    <xf numFmtId="0" fontId="108" fillId="0" borderId="25" xfId="1" applyFont="1" applyFill="1" applyBorder="1" applyAlignment="1" applyProtection="1">
      <alignment vertical="center"/>
      <protection hidden="1"/>
    </xf>
    <xf numFmtId="0" fontId="108" fillId="0" borderId="122" xfId="1" applyFont="1" applyFill="1" applyBorder="1" applyAlignment="1" applyProtection="1">
      <alignment vertical="center"/>
      <protection hidden="1"/>
    </xf>
    <xf numFmtId="0" fontId="108" fillId="0" borderId="26" xfId="1" applyFont="1" applyFill="1" applyBorder="1" applyAlignment="1" applyProtection="1">
      <alignment vertical="center"/>
      <protection hidden="1"/>
    </xf>
    <xf numFmtId="0" fontId="69" fillId="0" borderId="112" xfId="1" applyFont="1" applyBorder="1" applyAlignment="1" applyProtection="1">
      <alignment horizontal="right" vertical="center" wrapText="1"/>
      <protection hidden="1"/>
    </xf>
    <xf numFmtId="0" fontId="17" fillId="0" borderId="100" xfId="1" applyFont="1" applyBorder="1" applyAlignment="1" applyProtection="1">
      <alignment horizontal="left" vertical="center"/>
      <protection hidden="1"/>
    </xf>
    <xf numFmtId="0" fontId="112" fillId="0" borderId="107" xfId="1" applyFont="1" applyBorder="1" applyAlignment="1" applyProtection="1">
      <alignment horizontal="left" vertical="center"/>
      <protection hidden="1"/>
    </xf>
    <xf numFmtId="0" fontId="112" fillId="0" borderId="108" xfId="1" applyFont="1" applyBorder="1" applyAlignment="1" applyProtection="1">
      <alignment horizontal="left" vertical="center"/>
      <protection hidden="1"/>
    </xf>
    <xf numFmtId="0" fontId="112" fillId="0" borderId="24" xfId="1" applyFont="1" applyBorder="1" applyAlignment="1" applyProtection="1">
      <alignment horizontal="left" vertical="center"/>
      <protection hidden="1"/>
    </xf>
    <xf numFmtId="0" fontId="112" fillId="0" borderId="110" xfId="1" applyFont="1" applyBorder="1" applyAlignment="1" applyProtection="1">
      <alignment horizontal="left" vertical="center"/>
      <protection hidden="1"/>
    </xf>
    <xf numFmtId="0" fontId="111" fillId="16" borderId="24" xfId="1" applyFont="1" applyFill="1" applyBorder="1" applyAlignment="1" applyProtection="1">
      <alignment horizontal="center" vertical="center"/>
      <protection hidden="1"/>
    </xf>
    <xf numFmtId="0" fontId="111" fillId="16" borderId="110" xfId="1" applyFont="1" applyFill="1" applyBorder="1" applyAlignment="1" applyProtection="1">
      <alignment horizontal="center" vertical="center"/>
      <protection hidden="1"/>
    </xf>
    <xf numFmtId="0" fontId="110" fillId="0" borderId="24" xfId="1" applyFont="1" applyBorder="1" applyAlignment="1" applyProtection="1">
      <alignment horizontal="left" vertical="center"/>
      <protection hidden="1"/>
    </xf>
    <xf numFmtId="0" fontId="112"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108" fillId="0" borderId="24" xfId="1" applyFont="1" applyBorder="1" applyAlignment="1" applyProtection="1">
      <alignment horizontal="left" vertical="center" wrapText="1"/>
      <protection hidden="1"/>
    </xf>
    <xf numFmtId="0" fontId="73" fillId="4" borderId="0" xfId="1" applyFont="1" applyFill="1" applyBorder="1" applyAlignment="1" applyProtection="1">
      <alignment horizontal="center" vertical="center"/>
      <protection hidden="1"/>
    </xf>
    <xf numFmtId="0" fontId="74" fillId="0" borderId="126" xfId="1" applyFont="1" applyBorder="1" applyAlignment="1" applyProtection="1">
      <alignment horizontal="right" vertical="center"/>
      <protection hidden="1"/>
    </xf>
    <xf numFmtId="0" fontId="74" fillId="0" borderId="127" xfId="1" applyFont="1" applyBorder="1" applyAlignment="1" applyProtection="1">
      <alignment horizontal="right" vertical="center"/>
      <protection hidden="1"/>
    </xf>
    <xf numFmtId="0" fontId="74" fillId="0" borderId="128" xfId="1" applyFont="1" applyBorder="1" applyAlignment="1" applyProtection="1">
      <alignment horizontal="right" vertical="center"/>
      <protection hidden="1"/>
    </xf>
    <xf numFmtId="0" fontId="79" fillId="10" borderId="126" xfId="1" applyFont="1" applyFill="1" applyBorder="1" applyAlignment="1" applyProtection="1">
      <alignment horizontal="left" vertical="center" indent="5"/>
      <protection hidden="1"/>
    </xf>
    <xf numFmtId="0" fontId="79" fillId="10" borderId="127" xfId="1" applyFont="1" applyFill="1" applyBorder="1" applyAlignment="1" applyProtection="1">
      <alignment horizontal="left" vertical="center" indent="5"/>
      <protection hidden="1"/>
    </xf>
    <xf numFmtId="0" fontId="79" fillId="10" borderId="128" xfId="1" applyFont="1" applyFill="1" applyBorder="1" applyAlignment="1" applyProtection="1">
      <alignment horizontal="left" vertical="center" indent="5"/>
      <protection hidden="1"/>
    </xf>
    <xf numFmtId="0" fontId="66" fillId="0" borderId="100" xfId="1" applyFont="1" applyBorder="1" applyAlignment="1" applyProtection="1">
      <alignment horizontal="left" vertical="center"/>
      <protection hidden="1"/>
    </xf>
    <xf numFmtId="0" fontId="11" fillId="0" borderId="100" xfId="2" applyFont="1" applyFill="1" applyBorder="1" applyAlignment="1" applyProtection="1">
      <alignment horizontal="left" vertical="center"/>
      <protection hidden="1"/>
    </xf>
    <xf numFmtId="0" fontId="11" fillId="0" borderId="100" xfId="1" applyFont="1" applyFill="1" applyBorder="1" applyAlignment="1" applyProtection="1">
      <alignment horizontal="left" vertical="center"/>
      <protection hidden="1"/>
    </xf>
    <xf numFmtId="0" fontId="11" fillId="0" borderId="100" xfId="1" applyFont="1" applyFill="1" applyBorder="1" applyAlignment="1" applyProtection="1">
      <alignment horizontal="center" vertical="center"/>
      <protection hidden="1"/>
    </xf>
    <xf numFmtId="0" fontId="11" fillId="0" borderId="117" xfId="1" applyFont="1" applyFill="1" applyBorder="1" applyAlignment="1" applyProtection="1">
      <alignment horizontal="center" vertical="center"/>
      <protection hidden="1"/>
    </xf>
    <xf numFmtId="0" fontId="48" fillId="0" borderId="107" xfId="1" applyFont="1" applyBorder="1" applyAlignment="1" applyProtection="1">
      <alignment horizontal="left" vertical="center"/>
      <protection hidden="1"/>
    </xf>
    <xf numFmtId="0" fontId="68" fillId="0" borderId="24" xfId="1" applyFont="1" applyBorder="1" applyAlignment="1" applyProtection="1">
      <alignment horizontal="right" vertical="center"/>
      <protection hidden="1"/>
    </xf>
    <xf numFmtId="2" fontId="111" fillId="0" borderId="24" xfId="1" applyNumberFormat="1" applyFont="1" applyBorder="1" applyAlignment="1" applyProtection="1">
      <alignment horizontal="center" vertical="center"/>
      <protection hidden="1"/>
    </xf>
    <xf numFmtId="0" fontId="60" fillId="0" borderId="24" xfId="1" applyFont="1" applyBorder="1" applyAlignment="1" applyProtection="1">
      <alignment horizontal="center" vertical="center"/>
      <protection hidden="1"/>
    </xf>
    <xf numFmtId="0" fontId="60" fillId="0" borderId="110" xfId="1" applyFont="1" applyBorder="1" applyAlignment="1" applyProtection="1">
      <alignment horizontal="center" vertical="center"/>
      <protection hidden="1"/>
    </xf>
    <xf numFmtId="2" fontId="60" fillId="0" borderId="24" xfId="1" applyNumberFormat="1" applyFont="1" applyBorder="1" applyAlignment="1" applyProtection="1">
      <alignment horizontal="center" vertical="center"/>
      <protection hidden="1"/>
    </xf>
    <xf numFmtId="0" fontId="48" fillId="0" borderId="24" xfId="1" applyFont="1" applyBorder="1" applyAlignment="1" applyProtection="1">
      <alignment horizontal="center" vertical="center"/>
      <protection hidden="1"/>
    </xf>
    <xf numFmtId="0" fontId="48" fillId="0" borderId="110"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73" fillId="15" borderId="123" xfId="1" applyFont="1" applyFill="1" applyBorder="1" applyAlignment="1" applyProtection="1">
      <alignment horizontal="center" vertical="center"/>
      <protection hidden="1"/>
    </xf>
    <xf numFmtId="0" fontId="73" fillId="15" borderId="124" xfId="1" applyFont="1" applyFill="1" applyBorder="1" applyAlignment="1" applyProtection="1">
      <alignment horizontal="center" vertical="center"/>
      <protection hidden="1"/>
    </xf>
    <xf numFmtId="0" fontId="73" fillId="15" borderId="125" xfId="1" applyFont="1" applyFill="1" applyBorder="1" applyAlignment="1" applyProtection="1">
      <alignment horizontal="center" vertical="center"/>
      <protection hidden="1"/>
    </xf>
    <xf numFmtId="0" fontId="48" fillId="0" borderId="24" xfId="1" applyFont="1" applyBorder="1" applyAlignment="1" applyProtection="1">
      <alignment horizontal="left" vertical="center" wrapText="1"/>
      <protection hidden="1"/>
    </xf>
    <xf numFmtId="0" fontId="48" fillId="0" borderId="24" xfId="1" applyFont="1" applyBorder="1" applyAlignment="1" applyProtection="1">
      <alignment horizontal="center" vertical="top"/>
      <protection hidden="1"/>
    </xf>
    <xf numFmtId="0" fontId="69" fillId="0" borderId="122" xfId="1" applyFont="1" applyBorder="1" applyAlignment="1" applyProtection="1">
      <alignment horizontal="right" vertical="center"/>
      <protection hidden="1"/>
    </xf>
    <xf numFmtId="0" fontId="69" fillId="0" borderId="26" xfId="1" applyFont="1" applyBorder="1" applyAlignment="1" applyProtection="1">
      <alignment horizontal="right" vertical="center"/>
      <protection hidden="1"/>
    </xf>
    <xf numFmtId="0" fontId="109" fillId="0" borderId="24" xfId="1" applyFont="1" applyBorder="1" applyAlignment="1" applyProtection="1">
      <alignment horizontal="center" vertical="center" wrapText="1"/>
      <protection hidden="1"/>
    </xf>
    <xf numFmtId="2" fontId="108" fillId="0" borderId="24" xfId="1" applyNumberFormat="1" applyFont="1" applyBorder="1" applyAlignment="1" applyProtection="1">
      <alignment horizontal="left" vertical="center"/>
      <protection hidden="1"/>
    </xf>
    <xf numFmtId="0" fontId="69" fillId="0" borderId="24" xfId="1" applyFont="1" applyBorder="1" applyAlignment="1" applyProtection="1">
      <alignment horizontal="center" vertical="center"/>
      <protection hidden="1"/>
    </xf>
    <xf numFmtId="2" fontId="67" fillId="0" borderId="24" xfId="1" applyNumberFormat="1" applyFont="1" applyBorder="1" applyAlignment="1" applyProtection="1">
      <alignment horizontal="center" vertical="center"/>
      <protection hidden="1"/>
    </xf>
    <xf numFmtId="0" fontId="48" fillId="0" borderId="25"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wrapText="1"/>
      <protection hidden="1"/>
    </xf>
    <xf numFmtId="2" fontId="48" fillId="0" borderId="24" xfId="0" applyNumberFormat="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wrapText="1"/>
      <protection hidden="1"/>
    </xf>
    <xf numFmtId="0" fontId="74" fillId="0" borderId="123" xfId="1" applyFont="1" applyBorder="1" applyAlignment="1" applyProtection="1">
      <alignment horizontal="right" vertical="center"/>
      <protection hidden="1"/>
    </xf>
    <xf numFmtId="0" fontId="74" fillId="0" borderId="124" xfId="1" applyFont="1" applyBorder="1" applyAlignment="1" applyProtection="1">
      <alignment horizontal="right" vertical="center"/>
      <protection hidden="1"/>
    </xf>
    <xf numFmtId="0" fontId="74" fillId="0" borderId="124" xfId="1" applyFont="1" applyBorder="1" applyAlignment="1" applyProtection="1">
      <alignment horizontal="left" vertical="center"/>
      <protection hidden="1"/>
    </xf>
    <xf numFmtId="0" fontId="74" fillId="0" borderId="125" xfId="1" applyFont="1" applyBorder="1" applyAlignment="1" applyProtection="1">
      <alignment horizontal="left" vertical="center"/>
      <protection hidden="1"/>
    </xf>
    <xf numFmtId="0" fontId="61" fillId="0" borderId="24" xfId="1" applyFont="1" applyBorder="1" applyAlignment="1" applyProtection="1">
      <alignment horizontal="center" vertical="center" wrapText="1"/>
      <protection hidden="1"/>
    </xf>
    <xf numFmtId="2" fontId="48" fillId="0" borderId="24" xfId="1" applyNumberFormat="1" applyFont="1" applyBorder="1" applyAlignment="1" applyProtection="1">
      <alignment horizontal="left" vertical="center"/>
      <protection hidden="1"/>
    </xf>
    <xf numFmtId="0" fontId="70" fillId="0" borderId="107" xfId="1" applyFont="1" applyBorder="1" applyAlignment="1" applyProtection="1">
      <alignment horizontal="left" vertical="center"/>
      <protection hidden="1"/>
    </xf>
    <xf numFmtId="0" fontId="70" fillId="0" borderId="108" xfId="1" applyFont="1" applyBorder="1" applyAlignment="1" applyProtection="1">
      <alignment horizontal="left" vertical="center"/>
      <protection hidden="1"/>
    </xf>
    <xf numFmtId="0" fontId="69" fillId="0" borderId="24" xfId="1" applyFont="1" applyBorder="1" applyAlignment="1" applyProtection="1">
      <alignment horizontal="left" vertical="center"/>
      <protection hidden="1"/>
    </xf>
    <xf numFmtId="0" fontId="69" fillId="0" borderId="110" xfId="1" applyFont="1" applyBorder="1" applyAlignment="1" applyProtection="1">
      <alignment horizontal="left" vertical="center"/>
      <protection hidden="1"/>
    </xf>
    <xf numFmtId="0" fontId="60" fillId="16" borderId="24" xfId="1" applyFont="1" applyFill="1" applyBorder="1" applyAlignment="1" applyProtection="1">
      <alignment horizontal="center" vertical="center"/>
      <protection hidden="1"/>
    </xf>
    <xf numFmtId="0" fontId="60" fillId="16" borderId="110" xfId="1" applyFont="1" applyFill="1" applyBorder="1" applyAlignment="1" applyProtection="1">
      <alignment horizontal="center" vertical="center"/>
      <protection hidden="1"/>
    </xf>
    <xf numFmtId="0" fontId="48" fillId="0" borderId="25" xfId="1" applyFont="1" applyFill="1" applyBorder="1" applyAlignment="1" applyProtection="1">
      <alignment vertical="center"/>
      <protection hidden="1"/>
    </xf>
    <xf numFmtId="0" fontId="48" fillId="0" borderId="122" xfId="1" applyFont="1" applyFill="1" applyBorder="1" applyAlignment="1" applyProtection="1">
      <alignment vertical="center"/>
      <protection hidden="1"/>
    </xf>
    <xf numFmtId="0" fontId="48" fillId="0" borderId="26" xfId="1" applyFont="1" applyFill="1" applyBorder="1" applyAlignment="1" applyProtection="1">
      <alignment vertical="center"/>
      <protection hidden="1"/>
    </xf>
    <xf numFmtId="0" fontId="48" fillId="0" borderId="24" xfId="1" applyFont="1" applyFill="1" applyBorder="1" applyAlignment="1" applyProtection="1">
      <alignment vertical="center"/>
      <protection hidden="1"/>
    </xf>
    <xf numFmtId="0" fontId="65" fillId="0" borderId="24" xfId="1" applyFont="1" applyBorder="1" applyAlignment="1" applyProtection="1">
      <alignment horizontal="left" vertical="center"/>
      <protection hidden="1"/>
    </xf>
    <xf numFmtId="0" fontId="48" fillId="11" borderId="24" xfId="1" applyFont="1" applyFill="1" applyBorder="1" applyAlignment="1" applyProtection="1">
      <alignment vertical="center"/>
      <protection locked="0"/>
    </xf>
    <xf numFmtId="0" fontId="69" fillId="0" borderId="24" xfId="1" applyFont="1" applyBorder="1" applyAlignment="1" applyProtection="1">
      <alignment horizontal="right" vertical="center"/>
      <protection hidden="1"/>
    </xf>
    <xf numFmtId="0" fontId="48" fillId="0" borderId="24" xfId="1" applyFont="1" applyBorder="1" applyAlignment="1" applyProtection="1">
      <alignment horizontal="left" vertical="top"/>
      <protection hidden="1"/>
    </xf>
    <xf numFmtId="2" fontId="80" fillId="0" borderId="24" xfId="0" applyNumberFormat="1" applyFont="1" applyBorder="1" applyAlignment="1" applyProtection="1">
      <alignment horizontal="left" vertical="center"/>
      <protection hidden="1"/>
    </xf>
    <xf numFmtId="2" fontId="73" fillId="4" borderId="0" xfId="1" applyNumberFormat="1" applyFont="1" applyFill="1" applyBorder="1" applyAlignment="1" applyProtection="1">
      <alignment horizontal="center" vertical="center"/>
      <protection hidden="1"/>
    </xf>
    <xf numFmtId="0" fontId="8" fillId="0" borderId="129" xfId="0" applyFont="1" applyBorder="1" applyAlignment="1" applyProtection="1">
      <alignment horizontal="center" vertical="center" wrapText="1"/>
      <protection hidden="1"/>
    </xf>
    <xf numFmtId="0" fontId="8" fillId="0" borderId="75" xfId="0" applyFont="1" applyBorder="1" applyAlignment="1" applyProtection="1">
      <alignment horizontal="center" vertical="center" wrapText="1"/>
      <protection hidden="1"/>
    </xf>
    <xf numFmtId="170" fontId="84" fillId="0" borderId="129" xfId="0" applyNumberFormat="1" applyFont="1" applyBorder="1" applyAlignment="1" applyProtection="1">
      <alignment horizontal="center" vertical="center"/>
      <protection hidden="1"/>
    </xf>
    <xf numFmtId="170" fontId="84" fillId="0" borderId="144" xfId="0" applyNumberFormat="1" applyFont="1" applyBorder="1" applyAlignment="1" applyProtection="1">
      <alignment horizontal="center" vertical="center"/>
      <protection hidden="1"/>
    </xf>
    <xf numFmtId="170" fontId="84" fillId="0" borderId="75" xfId="0" applyNumberFormat="1" applyFont="1" applyBorder="1" applyAlignment="1" applyProtection="1">
      <alignment horizontal="center" vertical="center"/>
      <protection hidden="1"/>
    </xf>
    <xf numFmtId="170" fontId="84" fillId="0" borderId="146" xfId="0" applyNumberFormat="1" applyFont="1" applyBorder="1" applyAlignment="1" applyProtection="1">
      <alignment horizontal="center" vertical="center"/>
      <protection hidden="1"/>
    </xf>
    <xf numFmtId="0" fontId="25" fillId="3" borderId="145" xfId="0" applyFont="1" applyFill="1" applyBorder="1" applyAlignment="1" applyProtection="1">
      <alignment horizontal="center" vertical="center"/>
      <protection hidden="1"/>
    </xf>
    <xf numFmtId="0" fontId="25" fillId="3" borderId="75" xfId="0" applyFont="1" applyFill="1" applyBorder="1" applyAlignment="1" applyProtection="1">
      <alignment horizontal="center" vertical="center"/>
      <protection hidden="1"/>
    </xf>
    <xf numFmtId="0" fontId="25" fillId="3" borderId="146"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83" fillId="3" borderId="152" xfId="0" applyFont="1" applyFill="1" applyBorder="1" applyAlignment="1" applyProtection="1">
      <alignment horizontal="center" vertical="center"/>
      <protection hidden="1"/>
    </xf>
    <xf numFmtId="0" fontId="83" fillId="3" borderId="153" xfId="0" applyFont="1" applyFill="1" applyBorder="1" applyAlignment="1" applyProtection="1">
      <alignment horizontal="center" vertical="center"/>
      <protection hidden="1"/>
    </xf>
    <xf numFmtId="0" fontId="83" fillId="3" borderId="154" xfId="0" applyFont="1" applyFill="1" applyBorder="1" applyAlignment="1" applyProtection="1">
      <alignment horizontal="center" vertical="center"/>
      <protection hidden="1"/>
    </xf>
    <xf numFmtId="0" fontId="85" fillId="18" borderId="138" xfId="0" applyFont="1" applyFill="1" applyBorder="1" applyAlignment="1" applyProtection="1">
      <alignment horizontal="center" vertical="center" wrapText="1"/>
      <protection hidden="1"/>
    </xf>
    <xf numFmtId="0" fontId="85" fillId="18" borderId="151" xfId="0" applyFont="1" applyFill="1" applyBorder="1" applyAlignment="1" applyProtection="1">
      <alignment horizontal="center" vertical="center" wrapText="1"/>
      <protection hidden="1"/>
    </xf>
    <xf numFmtId="0" fontId="85" fillId="18" borderId="139" xfId="0" applyFont="1" applyFill="1" applyBorder="1" applyAlignment="1" applyProtection="1">
      <alignment horizontal="center" vertical="center" wrapText="1"/>
      <protection hidden="1"/>
    </xf>
    <xf numFmtId="0" fontId="85" fillId="18" borderId="136" xfId="0" applyFont="1" applyFill="1" applyBorder="1" applyAlignment="1" applyProtection="1">
      <alignment horizontal="center" vertical="center" wrapText="1"/>
      <protection hidden="1"/>
    </xf>
    <xf numFmtId="0" fontId="85" fillId="18" borderId="0" xfId="0" applyFont="1" applyFill="1" applyBorder="1" applyAlignment="1" applyProtection="1">
      <alignment horizontal="center" vertical="center" wrapText="1"/>
      <protection hidden="1"/>
    </xf>
    <xf numFmtId="0" fontId="85" fillId="18" borderId="140" xfId="0" applyFont="1" applyFill="1" applyBorder="1" applyAlignment="1" applyProtection="1">
      <alignment horizontal="center" vertical="center" wrapText="1"/>
      <protection hidden="1"/>
    </xf>
    <xf numFmtId="0" fontId="85" fillId="18" borderId="141" xfId="0" applyFont="1" applyFill="1" applyBorder="1" applyAlignment="1" applyProtection="1">
      <alignment horizontal="center" vertical="center" wrapText="1"/>
      <protection hidden="1"/>
    </xf>
    <xf numFmtId="0" fontId="85" fillId="18" borderId="155" xfId="0" applyFont="1" applyFill="1" applyBorder="1" applyAlignment="1" applyProtection="1">
      <alignment horizontal="center" vertical="center" wrapText="1"/>
      <protection hidden="1"/>
    </xf>
    <xf numFmtId="0" fontId="85" fillId="18" borderId="142"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protection hidden="1"/>
    </xf>
    <xf numFmtId="0" fontId="39" fillId="0" borderId="68" xfId="0" applyFont="1" applyBorder="1" applyAlignment="1" applyProtection="1">
      <alignment horizontal="center" vertical="center"/>
      <protection hidden="1"/>
    </xf>
    <xf numFmtId="0" fontId="39" fillId="0" borderId="69" xfId="0" applyFont="1" applyBorder="1" applyAlignment="1" applyProtection="1">
      <alignment horizontal="center" vertical="center"/>
      <protection hidden="1"/>
    </xf>
    <xf numFmtId="0" fontId="20" fillId="0" borderId="0" xfId="0" applyFont="1" applyBorder="1" applyAlignment="1" applyProtection="1">
      <alignment horizontal="left" vertical="center"/>
      <protection hidden="1"/>
    </xf>
    <xf numFmtId="0" fontId="20" fillId="0" borderId="71" xfId="0" applyFont="1" applyBorder="1" applyAlignment="1" applyProtection="1">
      <alignment horizontal="left"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1" fillId="0" borderId="68" xfId="0" applyFont="1" applyBorder="1" applyAlignment="1" applyProtection="1">
      <alignment horizontal="right" vertical="center"/>
      <protection hidden="1"/>
    </xf>
    <xf numFmtId="0" fontId="5" fillId="0" borderId="67" xfId="0" applyFont="1" applyBorder="1" applyAlignment="1" applyProtection="1">
      <alignment horizontal="center"/>
      <protection hidden="1"/>
    </xf>
    <xf numFmtId="0" fontId="5" fillId="0" borderId="68" xfId="0" applyFont="1" applyBorder="1" applyAlignment="1" applyProtection="1">
      <alignment horizontal="center"/>
      <protection hidden="1"/>
    </xf>
    <xf numFmtId="0" fontId="5" fillId="0" borderId="70" xfId="0" applyFont="1" applyBorder="1" applyAlignment="1" applyProtection="1">
      <alignment horizontal="center" vertical="center"/>
      <protection hidden="1"/>
    </xf>
    <xf numFmtId="0" fontId="5" fillId="0" borderId="72"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1" xfId="0" applyFont="1" applyBorder="1" applyAlignment="1" applyProtection="1">
      <alignment horizontal="center" vertical="center"/>
      <protection hidden="1"/>
    </xf>
    <xf numFmtId="0" fontId="21" fillId="0" borderId="87" xfId="0" applyFont="1" applyBorder="1" applyAlignment="1" applyProtection="1">
      <alignment horizontal="center" vertical="center"/>
      <protection hidden="1"/>
    </xf>
    <xf numFmtId="0" fontId="21" fillId="0" borderId="73" xfId="0" applyFont="1" applyBorder="1" applyAlignment="1" applyProtection="1">
      <alignment horizontal="center"/>
      <protection hidden="1"/>
    </xf>
    <xf numFmtId="0" fontId="21" fillId="0" borderId="74" xfId="0" applyFont="1" applyBorder="1" applyAlignment="1" applyProtection="1">
      <alignment horizontal="center"/>
      <protection hidden="1"/>
    </xf>
    <xf numFmtId="0" fontId="21" fillId="0" borderId="80" xfId="0" applyFont="1" applyBorder="1" applyAlignment="1" applyProtection="1">
      <alignment horizontal="center" vertical="center"/>
      <protection hidden="1"/>
    </xf>
    <xf numFmtId="0" fontId="21" fillId="0" borderId="75" xfId="0" applyFont="1" applyBorder="1" applyAlignment="1" applyProtection="1">
      <alignment horizontal="center" vertical="center"/>
      <protection hidden="1"/>
    </xf>
    <xf numFmtId="0" fontId="34" fillId="0" borderId="75" xfId="0" applyFont="1" applyBorder="1" applyAlignment="1" applyProtection="1">
      <alignment horizontal="center" vertical="center"/>
      <protection hidden="1"/>
    </xf>
    <xf numFmtId="0" fontId="34" fillId="0" borderId="76" xfId="0" applyFont="1" applyBorder="1" applyAlignment="1" applyProtection="1">
      <alignment horizontal="center" vertical="center"/>
      <protection hidden="1"/>
    </xf>
    <xf numFmtId="0" fontId="31" fillId="0" borderId="80" xfId="0" applyFont="1" applyBorder="1" applyAlignment="1" applyProtection="1">
      <alignment horizontal="center" vertical="center"/>
      <protection hidden="1"/>
    </xf>
    <xf numFmtId="0" fontId="31" fillId="0" borderId="75" xfId="0" applyFont="1" applyBorder="1" applyAlignment="1" applyProtection="1">
      <alignment horizontal="center" vertical="center"/>
      <protection hidden="1"/>
    </xf>
    <xf numFmtId="0" fontId="31" fillId="0" borderId="76" xfId="0" applyFont="1" applyBorder="1" applyAlignment="1" applyProtection="1">
      <alignment horizontal="center" vertical="center"/>
      <protection hidden="1"/>
    </xf>
    <xf numFmtId="0" fontId="37" fillId="0" borderId="70"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21" fillId="0" borderId="0" xfId="0" applyFont="1" applyBorder="1" applyAlignment="1" applyProtection="1">
      <alignment horizontal="center"/>
      <protection hidden="1"/>
    </xf>
    <xf numFmtId="0" fontId="21" fillId="0" borderId="71" xfId="0" applyFont="1" applyBorder="1" applyAlignment="1" applyProtection="1">
      <alignment horizontal="center"/>
      <protection hidden="1"/>
    </xf>
    <xf numFmtId="0" fontId="21" fillId="0" borderId="80" xfId="0" applyFont="1" applyBorder="1" applyAlignment="1" applyProtection="1">
      <alignment horizontal="center" vertical="center" wrapText="1"/>
      <protection hidden="1"/>
    </xf>
    <xf numFmtId="0" fontId="21" fillId="0" borderId="75" xfId="0" applyFont="1" applyBorder="1" applyAlignment="1" applyProtection="1">
      <alignment horizontal="center" vertical="center" wrapText="1"/>
      <protection hidden="1"/>
    </xf>
    <xf numFmtId="0" fontId="21" fillId="0" borderId="76" xfId="0" applyFont="1" applyBorder="1" applyAlignment="1" applyProtection="1">
      <alignment horizontal="center" vertical="center" wrapText="1"/>
      <protection hidden="1"/>
    </xf>
    <xf numFmtId="0" fontId="34" fillId="0" borderId="81" xfId="0" applyFont="1" applyBorder="1" applyAlignment="1" applyProtection="1">
      <alignment horizontal="center"/>
      <protection hidden="1"/>
    </xf>
    <xf numFmtId="0" fontId="34" fillId="0" borderId="82" xfId="0" applyFont="1" applyBorder="1" applyAlignment="1" applyProtection="1">
      <alignment horizontal="center"/>
      <protection hidden="1"/>
    </xf>
    <xf numFmtId="0" fontId="31" fillId="0" borderId="77" xfId="0" applyFont="1" applyBorder="1" applyAlignment="1" applyProtection="1">
      <alignment horizontal="center" vertic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3" fillId="0" borderId="75" xfId="0" applyFont="1" applyBorder="1" applyAlignment="1" applyProtection="1">
      <alignment horizontal="left" vertical="center"/>
      <protection hidden="1"/>
    </xf>
    <xf numFmtId="168" fontId="32" fillId="0" borderId="75" xfId="0" applyNumberFormat="1" applyFont="1" applyBorder="1" applyAlignment="1" applyProtection="1">
      <alignment horizontal="center" vertical="center"/>
      <protection hidden="1"/>
    </xf>
    <xf numFmtId="168" fontId="32" fillId="0" borderId="76" xfId="0" applyNumberFormat="1" applyFont="1" applyBorder="1" applyAlignment="1" applyProtection="1">
      <alignment horizontal="center" vertical="center"/>
      <protection hidden="1"/>
    </xf>
    <xf numFmtId="0" fontId="19" fillId="0" borderId="85" xfId="0" applyFont="1" applyBorder="1" applyAlignment="1" applyProtection="1">
      <alignment horizontal="left" vertical="center"/>
      <protection hidden="1"/>
    </xf>
    <xf numFmtId="0" fontId="19" fillId="0" borderId="86" xfId="0" applyFont="1" applyBorder="1" applyAlignment="1" applyProtection="1">
      <alignment horizontal="left" vertical="center"/>
      <protection hidden="1"/>
    </xf>
    <xf numFmtId="0" fontId="21" fillId="0" borderId="75" xfId="0" applyFont="1" applyBorder="1" applyAlignment="1" applyProtection="1">
      <alignment horizontal="left" vertical="center"/>
      <protection hidden="1"/>
    </xf>
    <xf numFmtId="0" fontId="0" fillId="0" borderId="0" xfId="0" applyAlignment="1" applyProtection="1">
      <alignment horizontal="center"/>
      <protection hidden="1"/>
    </xf>
    <xf numFmtId="0" fontId="34" fillId="0" borderId="80" xfId="0" applyFont="1" applyBorder="1" applyAlignment="1" applyProtection="1">
      <alignment horizontal="center" vertical="center" wrapText="1"/>
      <protection hidden="1"/>
    </xf>
    <xf numFmtId="0" fontId="34" fillId="0" borderId="75" xfId="0" applyFont="1" applyBorder="1" applyAlignment="1" applyProtection="1">
      <alignment horizontal="center" vertical="center" wrapText="1"/>
      <protection hidden="1"/>
    </xf>
    <xf numFmtId="0" fontId="34" fillId="0" borderId="76" xfId="0" applyFont="1" applyBorder="1" applyAlignment="1" applyProtection="1">
      <alignment horizontal="center" vertical="center" wrapText="1"/>
      <protection hidden="1"/>
    </xf>
    <xf numFmtId="167" fontId="20" fillId="0" borderId="75" xfId="0" applyNumberFormat="1" applyFont="1" applyBorder="1" applyAlignment="1" applyProtection="1">
      <alignment horizontal="center" vertical="center"/>
      <protection hidden="1"/>
    </xf>
    <xf numFmtId="0" fontId="30" fillId="0" borderId="72" xfId="0" applyFont="1" applyBorder="1" applyAlignment="1" applyProtection="1">
      <alignment horizontal="center" vertical="center"/>
      <protection hidden="1"/>
    </xf>
    <xf numFmtId="0" fontId="30" fillId="0" borderId="73" xfId="0" applyFont="1" applyBorder="1" applyAlignment="1" applyProtection="1">
      <alignment horizontal="center" vertical="center"/>
      <protection hidden="1"/>
    </xf>
    <xf numFmtId="0" fontId="30" fillId="0" borderId="74" xfId="0" applyFont="1" applyBorder="1" applyAlignment="1" applyProtection="1">
      <alignment horizontal="center" vertical="center"/>
      <protection hidden="1"/>
    </xf>
    <xf numFmtId="0" fontId="20" fillId="0" borderId="82" xfId="0" applyFont="1" applyBorder="1" applyAlignment="1" applyProtection="1">
      <alignment horizontal="center" vertical="center"/>
      <protection hidden="1"/>
    </xf>
    <xf numFmtId="0" fontId="20" fillId="0" borderId="83" xfId="0" applyFont="1" applyBorder="1" applyAlignment="1" applyProtection="1">
      <alignment horizontal="center" vertical="center"/>
      <protection hidden="1"/>
    </xf>
    <xf numFmtId="0" fontId="0" fillId="0" borderId="84" xfId="0" applyBorder="1" applyAlignment="1" applyProtection="1">
      <alignment horizontal="center"/>
      <protection hidden="1"/>
    </xf>
    <xf numFmtId="0" fontId="5" fillId="0" borderId="88" xfId="0" applyFont="1" applyBorder="1" applyAlignment="1" applyProtection="1">
      <alignment horizontal="center"/>
      <protection hidden="1"/>
    </xf>
    <xf numFmtId="14" fontId="21" fillId="0" borderId="87"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1" xfId="0" applyNumberFormat="1"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0" fontId="38" fillId="0" borderId="68" xfId="0" applyFont="1" applyBorder="1" applyAlignment="1" applyProtection="1">
      <alignment horizontal="center" vertical="center"/>
      <protection hidden="1"/>
    </xf>
    <xf numFmtId="0" fontId="38" fillId="0" borderId="69" xfId="0" applyFont="1" applyBorder="1" applyAlignment="1" applyProtection="1">
      <alignment horizontal="center" vertical="center"/>
      <protection hidden="1"/>
    </xf>
    <xf numFmtId="0" fontId="26" fillId="0" borderId="75" xfId="0" applyFont="1" applyBorder="1" applyAlignment="1" applyProtection="1">
      <alignment horizontal="left" vertical="center"/>
      <protection hidden="1"/>
    </xf>
    <xf numFmtId="168" fontId="36" fillId="0" borderId="75" xfId="0" applyNumberFormat="1" applyFont="1" applyBorder="1" applyAlignment="1" applyProtection="1">
      <alignment horizontal="center" vertical="center"/>
      <protection hidden="1"/>
    </xf>
    <xf numFmtId="168" fontId="36" fillId="0" borderId="76" xfId="0" applyNumberFormat="1" applyFont="1" applyBorder="1" applyAlignment="1" applyProtection="1">
      <alignment horizontal="center" vertical="center"/>
      <protection hidden="1"/>
    </xf>
    <xf numFmtId="0" fontId="5" fillId="10" borderId="0" xfId="0" applyFont="1" applyFill="1" applyAlignment="1" applyProtection="1">
      <alignment horizontal="center"/>
      <protection hidden="1"/>
    </xf>
  </cellXfs>
  <cellStyles count="6">
    <cellStyle name="Comma 2" xfId="4"/>
    <cellStyle name="Hyperlink" xfId="5" builtinId="8"/>
    <cellStyle name="Normal" xfId="0" builtinId="0"/>
    <cellStyle name="Normal 2" xfId="1"/>
    <cellStyle name="Normal 3" xfId="3"/>
    <cellStyle name="Normal_pay 2008-09" xfId="2"/>
  </cellStyles>
  <dxfs count="26">
    <dxf>
      <font>
        <color theme="0"/>
      </font>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28576</xdr:colOff>
      <xdr:row>3</xdr:row>
      <xdr:rowOff>28576</xdr:rowOff>
    </xdr:from>
    <xdr:to>
      <xdr:col>7</xdr:col>
      <xdr:colOff>2171699</xdr:colOff>
      <xdr:row>9</xdr:row>
      <xdr:rowOff>95250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934576" y="971551"/>
          <a:ext cx="2143123" cy="2009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xdr:colOff>
      <xdr:row>0</xdr:row>
      <xdr:rowOff>0</xdr:rowOff>
    </xdr:from>
    <xdr:to>
      <xdr:col>46</xdr:col>
      <xdr:colOff>554182</xdr:colOff>
      <xdr:row>54</xdr:row>
      <xdr:rowOff>69273</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443365" y="0"/>
          <a:ext cx="13542817" cy="22825364"/>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SNSOAifNWq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006600"/>
  </sheetPr>
  <dimension ref="A1:I15"/>
  <sheetViews>
    <sheetView showGridLines="0" showRowColHeaders="0" tabSelected="1" workbookViewId="0">
      <selection activeCell="D2" sqref="D2:H2"/>
    </sheetView>
  </sheetViews>
  <sheetFormatPr defaultColWidth="0" defaultRowHeight="15" zeroHeight="1"/>
  <cols>
    <col min="1" max="1" width="2.28515625" style="1" customWidth="1"/>
    <col min="2" max="2" width="92" style="111" customWidth="1"/>
    <col min="3" max="3" width="2.28515625" style="111" customWidth="1"/>
    <col min="4" max="4" width="22" style="111" customWidth="1"/>
    <col min="5" max="5" width="5.140625" style="259" customWidth="1"/>
    <col min="6" max="6" width="21.140625" style="1" customWidth="1"/>
    <col min="7" max="7" width="3.7109375" style="1" customWidth="1"/>
    <col min="8" max="8" width="33" style="1" customWidth="1"/>
    <col min="9" max="9" width="3.140625" style="1" customWidth="1"/>
    <col min="10" max="16384" width="9.140625" style="1" hidden="1"/>
  </cols>
  <sheetData>
    <row r="1" spans="1:9" ht="6" customHeight="1">
      <c r="A1" s="285"/>
      <c r="B1" s="285"/>
      <c r="C1" s="285"/>
      <c r="D1" s="285"/>
      <c r="E1" s="285"/>
      <c r="F1" s="285"/>
      <c r="G1" s="285"/>
      <c r="H1" s="285"/>
      <c r="I1" s="285"/>
    </row>
    <row r="2" spans="1:9" ht="62.25" customHeight="1">
      <c r="A2" s="200"/>
      <c r="B2" s="286" t="s">
        <v>262</v>
      </c>
      <c r="C2" s="286"/>
      <c r="D2" s="290" t="s">
        <v>263</v>
      </c>
      <c r="E2" s="290"/>
      <c r="F2" s="290"/>
      <c r="G2" s="290"/>
      <c r="H2" s="290"/>
      <c r="I2" s="200"/>
    </row>
    <row r="3" spans="1:9" ht="6" customHeight="1" thickBot="1">
      <c r="A3" s="200"/>
      <c r="B3" s="200"/>
      <c r="C3" s="201"/>
      <c r="D3" s="200"/>
      <c r="E3" s="256"/>
      <c r="F3" s="200"/>
      <c r="G3" s="285"/>
      <c r="H3" s="200"/>
      <c r="I3" s="200"/>
    </row>
    <row r="4" spans="1:9" s="168" customFormat="1" ht="25.5" customHeight="1">
      <c r="A4" s="285"/>
      <c r="B4" s="279" t="s">
        <v>308</v>
      </c>
      <c r="C4" s="201"/>
      <c r="D4" s="289" t="s">
        <v>239</v>
      </c>
      <c r="E4" s="280" t="s">
        <v>309</v>
      </c>
      <c r="F4" s="282" t="s">
        <v>310</v>
      </c>
      <c r="G4" s="285"/>
      <c r="H4" s="287"/>
      <c r="I4" s="288"/>
    </row>
    <row r="5" spans="1:9" s="6" customFormat="1" ht="25.5" customHeight="1">
      <c r="A5" s="285"/>
      <c r="B5" s="291" t="s">
        <v>314</v>
      </c>
      <c r="C5" s="201"/>
      <c r="D5" s="289"/>
      <c r="E5" s="280" t="s">
        <v>309</v>
      </c>
      <c r="F5" s="282" t="s">
        <v>311</v>
      </c>
      <c r="G5" s="285"/>
      <c r="H5" s="287"/>
      <c r="I5" s="288"/>
    </row>
    <row r="6" spans="1:9" s="6" customFormat="1" ht="23.25" customHeight="1">
      <c r="A6" s="285"/>
      <c r="B6" s="292"/>
      <c r="C6" s="201"/>
      <c r="D6" s="169"/>
      <c r="E6" s="169"/>
      <c r="F6" s="201"/>
      <c r="G6" s="285"/>
      <c r="H6" s="287"/>
      <c r="I6" s="288"/>
    </row>
    <row r="7" spans="1:9" s="6" customFormat="1" ht="34.5" customHeight="1">
      <c r="A7" s="285"/>
      <c r="B7" s="292"/>
      <c r="C7" s="201"/>
      <c r="D7" s="281" t="s">
        <v>260</v>
      </c>
      <c r="E7" s="280" t="s">
        <v>309</v>
      </c>
      <c r="F7" s="283" t="s">
        <v>312</v>
      </c>
      <c r="G7" s="285"/>
      <c r="H7" s="287"/>
      <c r="I7" s="288"/>
    </row>
    <row r="8" spans="1:9" s="6" customFormat="1" ht="17.25" customHeight="1">
      <c r="A8" s="285"/>
      <c r="B8" s="292"/>
      <c r="C8" s="201"/>
      <c r="D8" s="169"/>
      <c r="E8" s="169"/>
      <c r="F8" s="201"/>
      <c r="G8" s="285"/>
      <c r="H8" s="199"/>
      <c r="I8" s="288"/>
    </row>
    <row r="9" spans="1:9" s="6" customFormat="1" ht="27" customHeight="1">
      <c r="A9" s="285"/>
      <c r="B9" s="292"/>
      <c r="C9" s="201"/>
      <c r="D9" s="295" t="s">
        <v>315</v>
      </c>
      <c r="E9" s="301" t="s">
        <v>309</v>
      </c>
      <c r="F9" s="302" t="s">
        <v>312</v>
      </c>
      <c r="G9" s="285"/>
      <c r="H9" s="294" t="s">
        <v>313</v>
      </c>
      <c r="I9" s="288"/>
    </row>
    <row r="10" spans="1:9" s="6" customFormat="1" ht="27" customHeight="1">
      <c r="A10" s="285"/>
      <c r="B10" s="292"/>
      <c r="C10" s="201"/>
      <c r="D10" s="295"/>
      <c r="E10" s="301"/>
      <c r="F10" s="302"/>
      <c r="G10" s="285"/>
      <c r="H10" s="294"/>
      <c r="I10" s="288"/>
    </row>
    <row r="11" spans="1:9" s="6" customFormat="1" ht="29.25" customHeight="1">
      <c r="A11" s="285"/>
      <c r="B11" s="292"/>
      <c r="C11" s="201"/>
      <c r="D11" s="169"/>
      <c r="E11" s="169"/>
      <c r="F11" s="201"/>
      <c r="G11" s="285"/>
      <c r="H11" s="294"/>
      <c r="I11" s="288"/>
    </row>
    <row r="12" spans="1:9" s="6" customFormat="1" ht="30.75" customHeight="1">
      <c r="A12" s="285"/>
      <c r="B12" s="293"/>
      <c r="C12" s="201"/>
      <c r="D12" s="281" t="s">
        <v>240</v>
      </c>
      <c r="E12" s="280" t="s">
        <v>309</v>
      </c>
      <c r="F12" s="283" t="s">
        <v>312</v>
      </c>
      <c r="G12" s="285"/>
      <c r="H12" s="202" t="s">
        <v>256</v>
      </c>
      <c r="I12" s="288"/>
    </row>
    <row r="13" spans="1:9" s="6" customFormat="1" ht="16.5" customHeight="1">
      <c r="A13" s="285"/>
      <c r="B13" s="297" t="s">
        <v>238</v>
      </c>
      <c r="C13" s="201"/>
      <c r="D13" s="201"/>
      <c r="E13" s="201"/>
      <c r="F13" s="201"/>
      <c r="G13" s="285"/>
      <c r="H13" s="299" t="s">
        <v>257</v>
      </c>
      <c r="I13" s="288"/>
    </row>
    <row r="14" spans="1:9" s="6" customFormat="1" ht="36.75" customHeight="1" thickBot="1">
      <c r="A14" s="285"/>
      <c r="B14" s="298"/>
      <c r="C14" s="201"/>
      <c r="D14" s="296" t="s">
        <v>319</v>
      </c>
      <c r="E14" s="296"/>
      <c r="F14" s="296"/>
      <c r="G14" s="285"/>
      <c r="H14" s="300"/>
      <c r="I14" s="288"/>
    </row>
    <row r="15" spans="1:9" s="6" customFormat="1" ht="8.25" customHeight="1">
      <c r="A15" s="285"/>
      <c r="B15" s="170"/>
      <c r="C15" s="201"/>
      <c r="D15" s="169"/>
      <c r="E15" s="169"/>
      <c r="F15" s="201"/>
      <c r="G15" s="285"/>
      <c r="H15" s="171"/>
      <c r="I15" s="288"/>
    </row>
  </sheetData>
  <sheetProtection password="E8FA" sheet="1" objects="1" scenarios="1" formatCells="0" formatColumns="0" selectLockedCells="1"/>
  <mergeCells count="16">
    <mergeCell ref="A1:I1"/>
    <mergeCell ref="G3:G15"/>
    <mergeCell ref="B2:C2"/>
    <mergeCell ref="H4:H7"/>
    <mergeCell ref="I4:I15"/>
    <mergeCell ref="A4:A15"/>
    <mergeCell ref="D4:D5"/>
    <mergeCell ref="D2:H2"/>
    <mergeCell ref="B5:B12"/>
    <mergeCell ref="H9:H11"/>
    <mergeCell ref="D9:D10"/>
    <mergeCell ref="D14:F14"/>
    <mergeCell ref="B13:B14"/>
    <mergeCell ref="H13:H14"/>
    <mergeCell ref="E9:E10"/>
    <mergeCell ref="F9:F10"/>
  </mergeCells>
  <hyperlinks>
    <hyperlink ref="D2:H2" r:id="rId1" display="Click Here For Help Video"/>
    <hyperlink ref="F4" location="'New Regime Calc. Report'!A1" display="'New Regime Calc. Report'!A1"/>
    <hyperlink ref="F5" location="'Old Regime Calc. Report'!A1" display="As New Regime"/>
    <hyperlink ref="F7" location="'GA-55'!A1" display="Click Here"/>
    <hyperlink ref="F12" location="'HRA Receipt'!A1" display="As New Regime"/>
    <hyperlink ref="F9" location="'GA-55'!A1" display="Click Here"/>
    <hyperlink ref="F9:F10" location="'Exemp.(HRA+Other) &amp; Other incom'!A1" display="Click Here"/>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rgb="FFFF0000"/>
  </sheetPr>
  <dimension ref="A1:R34"/>
  <sheetViews>
    <sheetView showGridLines="0" showRowColHeaders="0" topLeftCell="A4" zoomScaleSheetLayoutView="106" workbookViewId="0">
      <selection activeCell="B19" sqref="B19"/>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5" style="1" customWidth="1"/>
    <col min="9" max="9" width="10.140625" style="1" customWidth="1"/>
    <col min="10" max="10" width="10.28515625" style="1" customWidth="1"/>
    <col min="11" max="11" width="9.42578125" style="1" customWidth="1"/>
    <col min="12" max="12" width="11.42578125" style="1" customWidth="1"/>
    <col min="13" max="13" width="11.140625" style="1" customWidth="1"/>
    <col min="14" max="14" width="14.28515625" style="1" customWidth="1"/>
    <col min="15" max="15" width="9.42578125" style="1" customWidth="1"/>
    <col min="16" max="16" width="11" style="1" customWidth="1"/>
    <col min="17" max="17" width="13" style="1" customWidth="1"/>
    <col min="18" max="18" width="2.42578125" style="1" customWidth="1"/>
    <col min="19" max="16384" width="6.85546875" style="1" hidden="1"/>
  </cols>
  <sheetData>
    <row r="1" spans="1:18" ht="21.75" hidden="1" customHeight="1" thickBot="1">
      <c r="A1" s="343"/>
      <c r="B1" s="335" t="s">
        <v>0</v>
      </c>
      <c r="C1" s="336"/>
      <c r="D1" s="336"/>
      <c r="E1" s="336"/>
      <c r="F1" s="336"/>
      <c r="G1" s="336"/>
      <c r="H1" s="336"/>
      <c r="I1" s="336"/>
      <c r="J1" s="336"/>
      <c r="K1" s="336"/>
      <c r="L1" s="336"/>
      <c r="M1" s="336"/>
      <c r="N1" s="336"/>
      <c r="O1" s="336"/>
      <c r="P1" s="336"/>
      <c r="Q1" s="336"/>
      <c r="R1" s="341"/>
    </row>
    <row r="2" spans="1:18" ht="19.5" hidden="1" customHeight="1" thickBot="1">
      <c r="A2" s="344"/>
      <c r="B2" s="337" t="s">
        <v>3</v>
      </c>
      <c r="C2" s="338"/>
      <c r="D2" s="338"/>
      <c r="E2" s="338"/>
      <c r="F2" s="338"/>
      <c r="G2" s="338"/>
      <c r="H2" s="338"/>
      <c r="I2" s="338"/>
      <c r="J2" s="338"/>
      <c r="K2" s="338"/>
      <c r="L2" s="338"/>
      <c r="M2" s="338"/>
      <c r="N2" s="338"/>
      <c r="O2" s="338"/>
      <c r="P2" s="338"/>
      <c r="Q2" s="338"/>
      <c r="R2" s="342"/>
    </row>
    <row r="3" spans="1:18" ht="23.25" hidden="1" customHeight="1" thickBot="1">
      <c r="A3" s="344"/>
      <c r="B3" s="339" t="s">
        <v>13</v>
      </c>
      <c r="C3" s="340"/>
      <c r="D3" s="340"/>
      <c r="E3" s="340"/>
      <c r="F3" s="340"/>
      <c r="G3" s="340"/>
      <c r="H3" s="340"/>
      <c r="I3" s="340"/>
      <c r="J3" s="340"/>
      <c r="K3" s="340"/>
      <c r="L3" s="340"/>
      <c r="M3" s="340"/>
      <c r="N3" s="340"/>
      <c r="O3" s="340"/>
      <c r="P3" s="340"/>
      <c r="Q3" s="340"/>
      <c r="R3" s="342"/>
    </row>
    <row r="4" spans="1:18" s="2" customFormat="1" ht="22.5" customHeight="1" thickBot="1">
      <c r="A4" s="344"/>
      <c r="B4" s="357" t="s">
        <v>259</v>
      </c>
      <c r="C4" s="357"/>
      <c r="D4" s="357"/>
      <c r="E4" s="357"/>
      <c r="F4" s="357"/>
      <c r="G4" s="357"/>
      <c r="H4" s="357"/>
      <c r="I4" s="357"/>
      <c r="J4" s="357"/>
      <c r="K4" s="357"/>
      <c r="L4" s="357"/>
      <c r="M4" s="357"/>
      <c r="N4" s="357"/>
      <c r="O4" s="357"/>
      <c r="P4" s="357"/>
      <c r="Q4" s="357"/>
      <c r="R4" s="342"/>
    </row>
    <row r="5" spans="1:18" s="108" customFormat="1" ht="21.75" customHeight="1" thickBot="1">
      <c r="A5" s="344"/>
      <c r="B5" s="351" t="s">
        <v>125</v>
      </c>
      <c r="C5" s="352"/>
      <c r="D5" s="352"/>
      <c r="E5" s="352"/>
      <c r="F5" s="353"/>
      <c r="G5" s="371" t="s">
        <v>1</v>
      </c>
      <c r="H5" s="372"/>
      <c r="I5" s="372"/>
      <c r="J5" s="372"/>
      <c r="K5" s="372"/>
      <c r="L5" s="373"/>
      <c r="M5" s="347" t="s">
        <v>28</v>
      </c>
      <c r="N5" s="348"/>
      <c r="O5" s="363">
        <v>12345</v>
      </c>
      <c r="P5" s="364"/>
      <c r="Q5" s="212" t="s">
        <v>243</v>
      </c>
      <c r="R5" s="342"/>
    </row>
    <row r="6" spans="1:18" s="108" customFormat="1" ht="20.25" customHeight="1" thickBot="1">
      <c r="A6" s="344"/>
      <c r="B6" s="354" t="s">
        <v>30</v>
      </c>
      <c r="C6" s="355"/>
      <c r="D6" s="355"/>
      <c r="E6" s="355"/>
      <c r="F6" s="356"/>
      <c r="G6" s="345" t="s">
        <v>2</v>
      </c>
      <c r="H6" s="346"/>
      <c r="I6" s="380" t="s">
        <v>27</v>
      </c>
      <c r="J6" s="381"/>
      <c r="K6" s="345" t="s">
        <v>242</v>
      </c>
      <c r="L6" s="346"/>
      <c r="M6" s="349" t="s">
        <v>29</v>
      </c>
      <c r="N6" s="350"/>
      <c r="O6" s="378"/>
      <c r="P6" s="379"/>
      <c r="Q6" s="192" t="s">
        <v>284</v>
      </c>
      <c r="R6" s="342"/>
    </row>
    <row r="7" spans="1:18" s="108" customFormat="1" ht="6.75" customHeight="1" thickBot="1">
      <c r="A7" s="344"/>
      <c r="B7" s="315"/>
      <c r="C7" s="316"/>
      <c r="D7" s="316"/>
      <c r="E7" s="316"/>
      <c r="F7" s="316"/>
      <c r="G7" s="316"/>
      <c r="H7" s="316"/>
      <c r="I7" s="316"/>
      <c r="J7" s="316"/>
      <c r="K7" s="316"/>
      <c r="L7" s="316"/>
      <c r="M7" s="316"/>
      <c r="N7" s="316"/>
      <c r="O7" s="316"/>
      <c r="P7" s="316"/>
      <c r="Q7" s="317"/>
      <c r="R7" s="342"/>
    </row>
    <row r="8" spans="1:18" s="108" customFormat="1" ht="21" customHeight="1" thickBot="1">
      <c r="A8" s="344"/>
      <c r="B8" s="358" t="s">
        <v>221</v>
      </c>
      <c r="C8" s="359"/>
      <c r="D8" s="359"/>
      <c r="E8" s="359"/>
      <c r="F8" s="359"/>
      <c r="G8" s="359"/>
      <c r="H8" s="359"/>
      <c r="I8" s="359"/>
      <c r="J8" s="359"/>
      <c r="K8" s="359"/>
      <c r="L8" s="359"/>
      <c r="M8" s="359"/>
      <c r="N8" s="359"/>
      <c r="O8" s="359"/>
      <c r="P8" s="359"/>
      <c r="Q8" s="360"/>
      <c r="R8" s="342"/>
    </row>
    <row r="9" spans="1:18" s="5" customFormat="1" ht="54" customHeight="1" thickBot="1">
      <c r="A9" s="344"/>
      <c r="B9" s="374" t="s">
        <v>9</v>
      </c>
      <c r="C9" s="309"/>
      <c r="D9" s="308" t="s">
        <v>247</v>
      </c>
      <c r="E9" s="309"/>
      <c r="F9" s="308" t="s">
        <v>10</v>
      </c>
      <c r="G9" s="308"/>
      <c r="H9" s="213" t="s">
        <v>11</v>
      </c>
      <c r="I9" s="377" t="s">
        <v>124</v>
      </c>
      <c r="J9" s="377"/>
      <c r="K9" s="377"/>
      <c r="L9" s="214" t="s">
        <v>12</v>
      </c>
      <c r="M9" s="215" t="s">
        <v>285</v>
      </c>
      <c r="N9" s="212" t="s">
        <v>55</v>
      </c>
      <c r="O9" s="375" t="s">
        <v>7</v>
      </c>
      <c r="P9" s="309"/>
      <c r="Q9" s="216" t="s">
        <v>244</v>
      </c>
      <c r="R9" s="342"/>
    </row>
    <row r="10" spans="1:18" s="108" customFormat="1" ht="44.25" customHeight="1" thickBot="1">
      <c r="A10" s="344"/>
      <c r="B10" s="382"/>
      <c r="C10" s="383"/>
      <c r="D10" s="310" t="s">
        <v>248</v>
      </c>
      <c r="E10" s="311"/>
      <c r="F10" s="384"/>
      <c r="G10" s="384"/>
      <c r="H10" s="47"/>
      <c r="I10" s="385" t="str">
        <f>G5</f>
        <v>Govt. Sr. School Raimalwada</v>
      </c>
      <c r="J10" s="386"/>
      <c r="K10" s="387"/>
      <c r="L10" s="48">
        <v>11</v>
      </c>
      <c r="M10" s="197">
        <v>69300</v>
      </c>
      <c r="N10" s="270" t="s">
        <v>261</v>
      </c>
      <c r="O10" s="376"/>
      <c r="P10" s="311"/>
      <c r="Q10" s="49" t="s">
        <v>224</v>
      </c>
      <c r="R10" s="342"/>
    </row>
    <row r="11" spans="1:18" s="108" customFormat="1" ht="7.5" customHeight="1" thickBot="1">
      <c r="A11" s="344"/>
      <c r="B11" s="312"/>
      <c r="C11" s="313"/>
      <c r="D11" s="313"/>
      <c r="E11" s="313"/>
      <c r="F11" s="313"/>
      <c r="G11" s="313"/>
      <c r="H11" s="313"/>
      <c r="I11" s="313"/>
      <c r="J11" s="313"/>
      <c r="K11" s="313"/>
      <c r="L11" s="313"/>
      <c r="M11" s="313"/>
      <c r="N11" s="313"/>
      <c r="O11" s="313"/>
      <c r="P11" s="314"/>
      <c r="Q11" s="98"/>
      <c r="R11" s="342"/>
    </row>
    <row r="12" spans="1:18" s="108" customFormat="1" ht="14.25" customHeight="1">
      <c r="A12" s="344"/>
      <c r="B12" s="322" t="s">
        <v>220</v>
      </c>
      <c r="C12" s="334" t="s">
        <v>17</v>
      </c>
      <c r="D12" s="332"/>
      <c r="E12" s="332"/>
      <c r="F12" s="332"/>
      <c r="G12" s="332"/>
      <c r="H12" s="332"/>
      <c r="I12" s="332"/>
      <c r="J12" s="332"/>
      <c r="K12" s="333"/>
      <c r="L12" s="331" t="s">
        <v>16</v>
      </c>
      <c r="M12" s="332"/>
      <c r="N12" s="332"/>
      <c r="O12" s="332"/>
      <c r="P12" s="332"/>
      <c r="Q12" s="333"/>
      <c r="R12" s="342"/>
    </row>
    <row r="13" spans="1:18" s="11" customFormat="1" ht="17.25" customHeight="1">
      <c r="A13" s="344"/>
      <c r="B13" s="323"/>
      <c r="C13" s="388" t="s">
        <v>24</v>
      </c>
      <c r="D13" s="217" t="s">
        <v>245</v>
      </c>
      <c r="E13" s="217" t="s">
        <v>245</v>
      </c>
      <c r="F13" s="217" t="s">
        <v>246</v>
      </c>
      <c r="G13" s="217" t="s">
        <v>246</v>
      </c>
      <c r="H13" s="327" t="s">
        <v>14</v>
      </c>
      <c r="I13" s="328"/>
      <c r="J13" s="325" t="s">
        <v>114</v>
      </c>
      <c r="K13" s="329" t="s">
        <v>115</v>
      </c>
      <c r="L13" s="320" t="s">
        <v>19</v>
      </c>
      <c r="M13" s="318" t="s">
        <v>20</v>
      </c>
      <c r="N13" s="318" t="s">
        <v>21</v>
      </c>
      <c r="O13" s="318" t="s">
        <v>22</v>
      </c>
      <c r="P13" s="318" t="s">
        <v>23</v>
      </c>
      <c r="Q13" s="361" t="s">
        <v>111</v>
      </c>
      <c r="R13" s="342"/>
    </row>
    <row r="14" spans="1:18" s="108" customFormat="1" ht="15.75" customHeight="1" thickBot="1">
      <c r="A14" s="344"/>
      <c r="B14" s="324"/>
      <c r="C14" s="389"/>
      <c r="D14" s="218" t="s">
        <v>280</v>
      </c>
      <c r="E14" s="218" t="s">
        <v>281</v>
      </c>
      <c r="F14" s="218" t="s">
        <v>282</v>
      </c>
      <c r="G14" s="218" t="s">
        <v>283</v>
      </c>
      <c r="H14" s="219" t="s">
        <v>15</v>
      </c>
      <c r="I14" s="220" t="s">
        <v>6</v>
      </c>
      <c r="J14" s="326"/>
      <c r="K14" s="330"/>
      <c r="L14" s="321"/>
      <c r="M14" s="319"/>
      <c r="N14" s="319"/>
      <c r="O14" s="319"/>
      <c r="P14" s="319"/>
      <c r="Q14" s="362"/>
      <c r="R14" s="342"/>
    </row>
    <row r="15" spans="1:18" s="108" customFormat="1" ht="26.25" customHeight="1" thickBot="1">
      <c r="A15" s="344"/>
      <c r="B15" s="167" t="s">
        <v>25</v>
      </c>
      <c r="C15" s="46">
        <f>IF(OR(B15="Probation",D10="state Service",L10&gt;=13),0,6774)</f>
        <v>6774</v>
      </c>
      <c r="D15" s="198">
        <v>0.5</v>
      </c>
      <c r="E15" s="198">
        <v>0.53</v>
      </c>
      <c r="F15" s="50" t="s">
        <v>26</v>
      </c>
      <c r="G15" s="50" t="s">
        <v>26</v>
      </c>
      <c r="H15" s="51" t="s">
        <v>232</v>
      </c>
      <c r="I15" s="271">
        <v>45536</v>
      </c>
      <c r="J15" s="52" t="s">
        <v>232</v>
      </c>
      <c r="K15" s="52" t="s">
        <v>232</v>
      </c>
      <c r="L15" s="53">
        <v>2850</v>
      </c>
      <c r="M15" s="46">
        <v>5000</v>
      </c>
      <c r="N15" s="46">
        <v>0</v>
      </c>
      <c r="O15" s="46">
        <v>0</v>
      </c>
      <c r="P15" s="54">
        <v>850</v>
      </c>
      <c r="Q15" s="55">
        <v>1400</v>
      </c>
      <c r="R15" s="342"/>
    </row>
    <row r="16" spans="1:18" s="3" customFormat="1" ht="7.5" customHeight="1" thickBot="1">
      <c r="A16" s="344"/>
      <c r="B16" s="365"/>
      <c r="C16" s="366"/>
      <c r="D16" s="366"/>
      <c r="E16" s="366"/>
      <c r="F16" s="366"/>
      <c r="G16" s="366"/>
      <c r="H16" s="366"/>
      <c r="I16" s="366"/>
      <c r="J16" s="366"/>
      <c r="K16" s="366"/>
      <c r="L16" s="366"/>
      <c r="M16" s="366"/>
      <c r="N16" s="366"/>
      <c r="O16" s="366"/>
      <c r="P16" s="366"/>
      <c r="Q16" s="366"/>
      <c r="R16" s="342"/>
    </row>
    <row r="17" spans="1:18" s="11" customFormat="1" ht="20.25" customHeight="1" thickBot="1">
      <c r="A17" s="344"/>
      <c r="B17" s="367" t="s">
        <v>258</v>
      </c>
      <c r="C17" s="368"/>
      <c r="D17" s="368"/>
      <c r="E17" s="368"/>
      <c r="F17" s="368"/>
      <c r="G17" s="368"/>
      <c r="H17" s="368"/>
      <c r="I17" s="368"/>
      <c r="J17" s="368"/>
      <c r="K17" s="368"/>
      <c r="L17" s="368"/>
      <c r="M17" s="368"/>
      <c r="N17" s="369"/>
      <c r="O17" s="369"/>
      <c r="P17" s="369"/>
      <c r="Q17" s="370"/>
      <c r="R17" s="342"/>
    </row>
    <row r="18" spans="1:18" s="108" customFormat="1" ht="25.5" customHeight="1" thickBot="1">
      <c r="A18" s="344"/>
      <c r="B18" s="272">
        <v>45352</v>
      </c>
      <c r="C18" s="273">
        <v>45383</v>
      </c>
      <c r="D18" s="274">
        <v>45413</v>
      </c>
      <c r="E18" s="274">
        <v>45444</v>
      </c>
      <c r="F18" s="274">
        <v>45474</v>
      </c>
      <c r="G18" s="274">
        <v>45505</v>
      </c>
      <c r="H18" s="274">
        <v>45536</v>
      </c>
      <c r="I18" s="274">
        <v>45566</v>
      </c>
      <c r="J18" s="274">
        <v>45597</v>
      </c>
      <c r="K18" s="274">
        <v>45627</v>
      </c>
      <c r="L18" s="274">
        <v>45658</v>
      </c>
      <c r="M18" s="275">
        <v>45689</v>
      </c>
      <c r="N18" s="390" t="s">
        <v>289</v>
      </c>
      <c r="O18" s="391"/>
      <c r="P18" s="391"/>
      <c r="Q18" s="392"/>
      <c r="R18" s="342"/>
    </row>
    <row r="19" spans="1:18" s="108" customFormat="1" ht="25.5" customHeight="1" thickBot="1">
      <c r="A19" s="344"/>
      <c r="B19" s="276">
        <v>0</v>
      </c>
      <c r="C19" s="277">
        <f t="shared" ref="C19:M19" si="0">B19</f>
        <v>0</v>
      </c>
      <c r="D19" s="277">
        <f t="shared" si="0"/>
        <v>0</v>
      </c>
      <c r="E19" s="277">
        <f t="shared" si="0"/>
        <v>0</v>
      </c>
      <c r="F19" s="277">
        <f t="shared" si="0"/>
        <v>0</v>
      </c>
      <c r="G19" s="277">
        <f t="shared" si="0"/>
        <v>0</v>
      </c>
      <c r="H19" s="277">
        <f t="shared" si="0"/>
        <v>0</v>
      </c>
      <c r="I19" s="277">
        <f t="shared" si="0"/>
        <v>0</v>
      </c>
      <c r="J19" s="277">
        <f t="shared" si="0"/>
        <v>0</v>
      </c>
      <c r="K19" s="277">
        <f t="shared" si="0"/>
        <v>0</v>
      </c>
      <c r="L19" s="277">
        <f t="shared" si="0"/>
        <v>0</v>
      </c>
      <c r="M19" s="257">
        <f t="shared" si="0"/>
        <v>0</v>
      </c>
      <c r="N19" s="303">
        <f>SUM('Exemp.(HRA+Other) &amp; Other incom'!Q7:Q10)</f>
        <v>0</v>
      </c>
      <c r="O19" s="304"/>
      <c r="P19" s="304"/>
      <c r="Q19" s="305"/>
      <c r="R19" s="342"/>
    </row>
    <row r="20" spans="1:18" ht="9" customHeight="1">
      <c r="A20" s="344"/>
      <c r="B20" s="306"/>
      <c r="C20" s="307"/>
      <c r="D20" s="307"/>
      <c r="E20" s="307"/>
      <c r="F20" s="307"/>
      <c r="G20" s="307"/>
      <c r="H20" s="307"/>
      <c r="I20" s="307"/>
      <c r="J20" s="307"/>
      <c r="K20" s="307"/>
      <c r="L20" s="307"/>
      <c r="M20" s="307"/>
      <c r="N20" s="307"/>
      <c r="O20" s="307"/>
      <c r="P20" s="307"/>
      <c r="Q20" s="307"/>
      <c r="R20" s="342"/>
    </row>
    <row r="21" spans="1:18" ht="17.25" hidden="1" customHeight="1"/>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idden="1"/>
    <row r="32" spans="1:18" hidden="1"/>
    <row r="33" hidden="1"/>
    <row r="34" hidden="1"/>
  </sheetData>
  <sheetProtection password="E8FA" sheet="1" objects="1" scenarios="1" formatCells="0" formatColumns="0" formatRows="0" selectLockedCells="1"/>
  <mergeCells count="47">
    <mergeCell ref="G5:L5"/>
    <mergeCell ref="B9:C9"/>
    <mergeCell ref="O9:P9"/>
    <mergeCell ref="O10:P10"/>
    <mergeCell ref="F9:G9"/>
    <mergeCell ref="I9:K9"/>
    <mergeCell ref="O6:P6"/>
    <mergeCell ref="I6:J6"/>
    <mergeCell ref="B10:C10"/>
    <mergeCell ref="F10:G10"/>
    <mergeCell ref="I10:K10"/>
    <mergeCell ref="B1:Q1"/>
    <mergeCell ref="B2:Q2"/>
    <mergeCell ref="B3:Q3"/>
    <mergeCell ref="R1:R20"/>
    <mergeCell ref="A1:A20"/>
    <mergeCell ref="K6:L6"/>
    <mergeCell ref="G6:H6"/>
    <mergeCell ref="M5:N5"/>
    <mergeCell ref="M6:N6"/>
    <mergeCell ref="B5:F5"/>
    <mergeCell ref="B6:F6"/>
    <mergeCell ref="B4:Q4"/>
    <mergeCell ref="B8:Q8"/>
    <mergeCell ref="Q13:Q14"/>
    <mergeCell ref="O5:P5"/>
    <mergeCell ref="B16:Q16"/>
    <mergeCell ref="B7:Q7"/>
    <mergeCell ref="O13:O14"/>
    <mergeCell ref="P13:P14"/>
    <mergeCell ref="L13:L14"/>
    <mergeCell ref="M13:M14"/>
    <mergeCell ref="N13:N14"/>
    <mergeCell ref="B12:B14"/>
    <mergeCell ref="J13:J14"/>
    <mergeCell ref="H13:I13"/>
    <mergeCell ref="K13:K14"/>
    <mergeCell ref="L12:Q12"/>
    <mergeCell ref="C12:K12"/>
    <mergeCell ref="C13:C14"/>
    <mergeCell ref="N19:Q19"/>
    <mergeCell ref="B20:Q20"/>
    <mergeCell ref="D9:E9"/>
    <mergeCell ref="D10:E10"/>
    <mergeCell ref="B11:P11"/>
    <mergeCell ref="B17:Q17"/>
    <mergeCell ref="N18:Q18"/>
  </mergeCells>
  <dataValidations count="7">
    <dataValidation type="list" allowBlank="1" showInputMessage="1" showErrorMessage="1" sqref="B15">
      <formula1>"Regular,Probation"</formula1>
    </dataValidation>
    <dataValidation type="list" allowBlank="1" showInputMessage="1" showErrorMessage="1" sqref="F15:H15 J15:K15">
      <formula1>"YES,NO"</formula1>
    </dataValidation>
    <dataValidation type="list" allowBlank="1" showInputMessage="1" showErrorMessage="1" sqref="I15">
      <formula1>"Mar-2024,Apr-2024,May-2024,Jun-2024,Jul-2024,Aug-2024,Sep-2024,Oct-2024,Nov-2024,Dec-2024,Jan-2025,Feb-2025"</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workbookViewId="0">
      <selection activeCell="C9" sqref="C9:K9"/>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425" t="str">
        <f>'GA-55'!B1</f>
        <v>Office: Govt. Sr. School Raimalwada (DDO Code :-12345)</v>
      </c>
      <c r="B1" s="426"/>
      <c r="C1" s="426"/>
      <c r="D1" s="426"/>
      <c r="E1" s="426"/>
      <c r="F1" s="426"/>
      <c r="G1" s="426"/>
      <c r="H1" s="426"/>
      <c r="I1" s="426"/>
      <c r="J1" s="426"/>
      <c r="K1" s="426"/>
      <c r="L1" s="426"/>
      <c r="M1" s="426"/>
      <c r="N1" s="426"/>
      <c r="O1" s="426"/>
      <c r="P1" s="426"/>
      <c r="Q1" s="427"/>
      <c r="R1" s="411"/>
    </row>
    <row r="2" spans="1:28 16384:16384" ht="23.25" customHeight="1" thickBot="1">
      <c r="A2" s="410" t="s">
        <v>81</v>
      </c>
      <c r="B2" s="410"/>
      <c r="C2" s="410"/>
      <c r="D2" s="410"/>
      <c r="E2" s="410"/>
      <c r="F2" s="410"/>
      <c r="G2" s="410"/>
      <c r="H2" s="410"/>
      <c r="I2" s="410"/>
      <c r="J2" s="410"/>
      <c r="K2" s="410"/>
      <c r="L2" s="410"/>
      <c r="M2" s="410"/>
      <c r="N2" s="410"/>
      <c r="O2" s="410"/>
      <c r="P2" s="410"/>
      <c r="Q2" s="410"/>
      <c r="R2" s="411"/>
    </row>
    <row r="3" spans="1:28 16384:16384" s="140" customFormat="1" ht="35.25" customHeight="1" thickBot="1">
      <c r="A3" s="432" t="s">
        <v>9</v>
      </c>
      <c r="B3" s="433"/>
      <c r="C3" s="230" t="s">
        <v>5</v>
      </c>
      <c r="D3" s="230" t="s">
        <v>56</v>
      </c>
      <c r="E3" s="230" t="s">
        <v>33</v>
      </c>
      <c r="F3" s="230" t="s">
        <v>34</v>
      </c>
      <c r="G3" s="230" t="s">
        <v>8</v>
      </c>
      <c r="H3" s="231">
        <v>0.1</v>
      </c>
      <c r="I3" s="230" t="s">
        <v>222</v>
      </c>
      <c r="J3" s="230"/>
      <c r="K3" s="232" t="s">
        <v>79</v>
      </c>
      <c r="L3" s="233" t="s">
        <v>80</v>
      </c>
      <c r="M3" s="234" t="s">
        <v>57</v>
      </c>
      <c r="N3" s="235" t="s">
        <v>58</v>
      </c>
      <c r="O3" s="236" t="s">
        <v>59</v>
      </c>
      <c r="P3" s="230" t="s">
        <v>60</v>
      </c>
      <c r="Q3" s="237" t="s">
        <v>61</v>
      </c>
      <c r="R3" s="411"/>
      <c r="AB3" s="1"/>
    </row>
    <row r="4" spans="1:28 16384:16384" ht="40.5" customHeight="1" thickBot="1">
      <c r="A4" s="434">
        <f>'Basic Data'!B10</f>
        <v>0</v>
      </c>
      <c r="B4" s="435"/>
      <c r="C4" s="221">
        <f>'Basic Data'!H10</f>
        <v>0</v>
      </c>
      <c r="D4" s="222" t="str">
        <f>'Basic Data'!I10</f>
        <v>Govt. Sr. School Raimalwada</v>
      </c>
      <c r="E4" s="223">
        <f>SUM('GA-55'!F9:F20,'GA-55'!F28,'GA-55'!F29)</f>
        <v>848400</v>
      </c>
      <c r="F4" s="223">
        <f>SUM('GA-55'!G23,'GA-55'!G22,'GA-55'!G9:G20,'GA-55'!G28:G29)</f>
        <v>446880</v>
      </c>
      <c r="G4" s="224">
        <f>E4+F4</f>
        <v>1295280</v>
      </c>
      <c r="H4" s="225">
        <f>ROUNDUP((G4*0.1),0)</f>
        <v>129528</v>
      </c>
      <c r="I4" s="223">
        <f>SUM('GA-55'!H9:H20,'GA-55'!H28:H29)</f>
        <v>79212</v>
      </c>
      <c r="J4" s="226">
        <f>ROUNDUP((I4+H4),-1)</f>
        <v>208740</v>
      </c>
      <c r="K4" s="227">
        <f>IF(T4&gt;I4,I4,T4)</f>
        <v>0</v>
      </c>
      <c r="L4" s="228">
        <f>ROUNDUP((M4*12),-1)</f>
        <v>0</v>
      </c>
      <c r="M4" s="193">
        <f>IF(H4&gt;100000,0,ROUNDUP(J4/12,-1))</f>
        <v>0</v>
      </c>
      <c r="N4" s="229">
        <f>ROUNDUP((M4*3),-1)</f>
        <v>0</v>
      </c>
      <c r="O4" s="23"/>
      <c r="P4" s="23"/>
      <c r="Q4" s="24"/>
      <c r="R4" s="411"/>
      <c r="T4" s="1">
        <f>IF(AND(M4=0,H4&gt;100000),0,IF(AND(M4&gt;0,L4&gt;H4),(L4-H4),0))</f>
        <v>0</v>
      </c>
    </row>
    <row r="5" spans="1:28 16384:16384" ht="21" customHeight="1" thickBot="1">
      <c r="A5" s="395" t="s">
        <v>82</v>
      </c>
      <c r="B5" s="396"/>
      <c r="C5" s="396"/>
      <c r="D5" s="396"/>
      <c r="E5" s="396"/>
      <c r="F5" s="396"/>
      <c r="G5" s="396"/>
      <c r="H5" s="396"/>
      <c r="I5" s="396"/>
      <c r="J5" s="396"/>
      <c r="K5" s="396"/>
      <c r="L5" s="396"/>
      <c r="M5" s="397"/>
      <c r="N5" s="448" t="s">
        <v>87</v>
      </c>
      <c r="O5" s="449"/>
      <c r="P5" s="449"/>
      <c r="Q5" s="450"/>
      <c r="R5" s="411"/>
    </row>
    <row r="6" spans="1:28 16384:16384" ht="20.25" customHeight="1" thickBot="1">
      <c r="A6" s="238" t="s">
        <v>4</v>
      </c>
      <c r="B6" s="404" t="s">
        <v>84</v>
      </c>
      <c r="C6" s="405"/>
      <c r="D6" s="405"/>
      <c r="E6" s="405"/>
      <c r="F6" s="405"/>
      <c r="G6" s="405"/>
      <c r="H6" s="405"/>
      <c r="I6" s="405"/>
      <c r="J6" s="405"/>
      <c r="K6" s="406"/>
      <c r="L6" s="404" t="s">
        <v>83</v>
      </c>
      <c r="M6" s="407"/>
      <c r="N6" s="239" t="s">
        <v>90</v>
      </c>
      <c r="O6" s="236" t="s">
        <v>88</v>
      </c>
      <c r="P6" s="240" t="s">
        <v>89</v>
      </c>
      <c r="Q6" s="241" t="s">
        <v>83</v>
      </c>
      <c r="R6" s="411"/>
    </row>
    <row r="7" spans="1:28 16384:16384" ht="17.25" customHeight="1">
      <c r="A7" s="141">
        <v>1</v>
      </c>
      <c r="B7" s="451" t="s">
        <v>153</v>
      </c>
      <c r="C7" s="451"/>
      <c r="D7" s="451"/>
      <c r="E7" s="451"/>
      <c r="F7" s="451"/>
      <c r="G7" s="451"/>
      <c r="H7" s="451"/>
      <c r="I7" s="451"/>
      <c r="J7" s="451"/>
      <c r="K7" s="451"/>
      <c r="L7" s="408">
        <v>0</v>
      </c>
      <c r="M7" s="409"/>
      <c r="N7" s="158"/>
      <c r="O7" s="159"/>
      <c r="P7" s="159"/>
      <c r="Q7" s="160">
        <v>0</v>
      </c>
      <c r="R7" s="411"/>
    </row>
    <row r="8" spans="1:28 16384:16384" ht="17.25" customHeight="1">
      <c r="A8" s="142">
        <v>2</v>
      </c>
      <c r="B8" s="452" t="s">
        <v>154</v>
      </c>
      <c r="C8" s="452"/>
      <c r="D8" s="452"/>
      <c r="E8" s="452"/>
      <c r="F8" s="452"/>
      <c r="G8" s="452"/>
      <c r="H8" s="452"/>
      <c r="I8" s="452"/>
      <c r="J8" s="452"/>
      <c r="K8" s="452"/>
      <c r="L8" s="455">
        <v>0</v>
      </c>
      <c r="M8" s="456"/>
      <c r="N8" s="161"/>
      <c r="O8" s="162"/>
      <c r="P8" s="162"/>
      <c r="Q8" s="163">
        <v>0</v>
      </c>
      <c r="R8" s="411"/>
      <c r="XFD8" s="107" t="str">
        <f>IF(L8&gt;50000,"B","A")</f>
        <v>A</v>
      </c>
    </row>
    <row r="9" spans="1:28 16384:16384" ht="17.25" customHeight="1">
      <c r="A9" s="143">
        <v>3</v>
      </c>
      <c r="B9" s="144" t="s">
        <v>155</v>
      </c>
      <c r="C9" s="453" t="s">
        <v>156</v>
      </c>
      <c r="D9" s="453"/>
      <c r="E9" s="453"/>
      <c r="F9" s="453"/>
      <c r="G9" s="453"/>
      <c r="H9" s="453"/>
      <c r="I9" s="453"/>
      <c r="J9" s="453"/>
      <c r="K9" s="454"/>
      <c r="L9" s="455">
        <v>0</v>
      </c>
      <c r="M9" s="456"/>
      <c r="N9" s="161"/>
      <c r="O9" s="162"/>
      <c r="P9" s="162"/>
      <c r="Q9" s="163">
        <v>0</v>
      </c>
      <c r="R9" s="411"/>
      <c r="XFD9" s="107" t="str">
        <f>'Basic Data'!Q10</f>
        <v>A</v>
      </c>
    </row>
    <row r="10" spans="1:28 16384:16384" ht="17.25" customHeight="1" thickBot="1">
      <c r="A10" s="145">
        <v>4</v>
      </c>
      <c r="B10" s="146" t="s">
        <v>155</v>
      </c>
      <c r="C10" s="402" t="s">
        <v>156</v>
      </c>
      <c r="D10" s="402"/>
      <c r="E10" s="402"/>
      <c r="F10" s="402"/>
      <c r="G10" s="402"/>
      <c r="H10" s="402"/>
      <c r="I10" s="402"/>
      <c r="J10" s="402"/>
      <c r="K10" s="403"/>
      <c r="L10" s="441">
        <v>0</v>
      </c>
      <c r="M10" s="442"/>
      <c r="N10" s="164"/>
      <c r="O10" s="165"/>
      <c r="P10" s="165"/>
      <c r="Q10" s="166">
        <v>0</v>
      </c>
      <c r="R10" s="411"/>
      <c r="XFD10" s="107" t="str">
        <f>CONCATENATE(XFD8,XFD9)</f>
        <v>AA</v>
      </c>
    </row>
    <row r="11" spans="1:28 16384:16384" ht="22.5" customHeight="1" thickBot="1">
      <c r="A11" s="410" t="s">
        <v>110</v>
      </c>
      <c r="B11" s="410"/>
      <c r="C11" s="410"/>
      <c r="D11" s="410"/>
      <c r="E11" s="410"/>
      <c r="F11" s="410"/>
      <c r="G11" s="410"/>
      <c r="H11" s="410"/>
      <c r="I11" s="410"/>
      <c r="J11" s="410"/>
      <c r="K11" s="410"/>
      <c r="L11" s="410"/>
      <c r="M11" s="410"/>
      <c r="N11" s="410"/>
      <c r="O11" s="410"/>
      <c r="P11" s="410"/>
      <c r="Q11" s="410"/>
      <c r="R11" s="411"/>
    </row>
    <row r="12" spans="1:28 16384:16384" ht="15" customHeight="1" thickBot="1">
      <c r="A12" s="242" t="s">
        <v>4</v>
      </c>
      <c r="B12" s="436" t="s">
        <v>85</v>
      </c>
      <c r="C12" s="437"/>
      <c r="D12" s="437"/>
      <c r="E12" s="437"/>
      <c r="F12" s="437"/>
      <c r="G12" s="437"/>
      <c r="H12" s="437"/>
      <c r="I12" s="437"/>
      <c r="J12" s="437"/>
      <c r="K12" s="438"/>
      <c r="L12" s="436" t="s">
        <v>86</v>
      </c>
      <c r="M12" s="443"/>
      <c r="N12" s="243" t="s">
        <v>4</v>
      </c>
      <c r="O12" s="439" t="s">
        <v>85</v>
      </c>
      <c r="P12" s="440"/>
      <c r="Q12" s="244" t="s">
        <v>83</v>
      </c>
      <c r="R12" s="411"/>
    </row>
    <row r="13" spans="1:28 16384:16384" s="22" customFormat="1" ht="17.25" customHeight="1">
      <c r="A13" s="147">
        <v>1</v>
      </c>
      <c r="B13" s="422" t="s">
        <v>161</v>
      </c>
      <c r="C13" s="422"/>
      <c r="D13" s="422"/>
      <c r="E13" s="422"/>
      <c r="F13" s="422"/>
      <c r="G13" s="422"/>
      <c r="H13" s="422"/>
      <c r="I13" s="422"/>
      <c r="J13" s="422"/>
      <c r="K13" s="422"/>
      <c r="L13" s="444">
        <v>0</v>
      </c>
      <c r="M13" s="445"/>
      <c r="N13" s="148">
        <v>15</v>
      </c>
      <c r="O13" s="423" t="s">
        <v>233</v>
      </c>
      <c r="P13" s="424"/>
      <c r="Q13" s="155">
        <v>0</v>
      </c>
      <c r="R13" s="411"/>
    </row>
    <row r="14" spans="1:28 16384:16384" s="22" customFormat="1" ht="17.25" customHeight="1">
      <c r="A14" s="149">
        <v>2</v>
      </c>
      <c r="B14" s="413" t="s">
        <v>218</v>
      </c>
      <c r="C14" s="413"/>
      <c r="D14" s="413"/>
      <c r="E14" s="413"/>
      <c r="F14" s="413"/>
      <c r="G14" s="413"/>
      <c r="H14" s="413"/>
      <c r="I14" s="413"/>
      <c r="J14" s="413"/>
      <c r="K14" s="413"/>
      <c r="L14" s="400">
        <v>0</v>
      </c>
      <c r="M14" s="401"/>
      <c r="N14" s="150">
        <v>16</v>
      </c>
      <c r="O14" s="416" t="s">
        <v>140</v>
      </c>
      <c r="P14" s="417"/>
      <c r="Q14" s="156">
        <v>0</v>
      </c>
      <c r="R14" s="411"/>
    </row>
    <row r="15" spans="1:28 16384:16384" s="22" customFormat="1" ht="17.25" customHeight="1">
      <c r="A15" s="151">
        <v>3</v>
      </c>
      <c r="B15" s="412" t="s">
        <v>128</v>
      </c>
      <c r="C15" s="412"/>
      <c r="D15" s="412"/>
      <c r="E15" s="412"/>
      <c r="F15" s="412"/>
      <c r="G15" s="412"/>
      <c r="H15" s="412"/>
      <c r="I15" s="412"/>
      <c r="J15" s="412"/>
      <c r="K15" s="412"/>
      <c r="L15" s="400">
        <v>0</v>
      </c>
      <c r="M15" s="401"/>
      <c r="N15" s="152">
        <v>17</v>
      </c>
      <c r="O15" s="418" t="s">
        <v>141</v>
      </c>
      <c r="P15" s="419"/>
      <c r="Q15" s="156">
        <v>0</v>
      </c>
      <c r="R15" s="411"/>
    </row>
    <row r="16" spans="1:28 16384:16384" s="22" customFormat="1" ht="17.25" customHeight="1">
      <c r="A16" s="149">
        <v>4</v>
      </c>
      <c r="B16" s="413" t="s">
        <v>129</v>
      </c>
      <c r="C16" s="413"/>
      <c r="D16" s="413"/>
      <c r="E16" s="413"/>
      <c r="F16" s="413"/>
      <c r="G16" s="413"/>
      <c r="H16" s="413"/>
      <c r="I16" s="413"/>
      <c r="J16" s="413"/>
      <c r="K16" s="413"/>
      <c r="L16" s="400">
        <v>0</v>
      </c>
      <c r="M16" s="401"/>
      <c r="N16" s="150">
        <v>18</v>
      </c>
      <c r="O16" s="420" t="s">
        <v>142</v>
      </c>
      <c r="P16" s="421"/>
      <c r="Q16" s="156">
        <v>0</v>
      </c>
      <c r="R16" s="411"/>
    </row>
    <row r="17" spans="1:18" s="22" customFormat="1" ht="17.25" customHeight="1">
      <c r="A17" s="151">
        <v>5</v>
      </c>
      <c r="B17" s="412" t="s">
        <v>130</v>
      </c>
      <c r="C17" s="412"/>
      <c r="D17" s="412"/>
      <c r="E17" s="412"/>
      <c r="F17" s="412"/>
      <c r="G17" s="412"/>
      <c r="H17" s="412"/>
      <c r="I17" s="412"/>
      <c r="J17" s="412"/>
      <c r="K17" s="412"/>
      <c r="L17" s="400">
        <v>0</v>
      </c>
      <c r="M17" s="401"/>
      <c r="N17" s="152">
        <v>19</v>
      </c>
      <c r="O17" s="418" t="s">
        <v>143</v>
      </c>
      <c r="P17" s="419"/>
      <c r="Q17" s="156">
        <v>0</v>
      </c>
      <c r="R17" s="411"/>
    </row>
    <row r="18" spans="1:18" s="22" customFormat="1" ht="17.25" customHeight="1">
      <c r="A18" s="149">
        <v>6</v>
      </c>
      <c r="B18" s="413" t="s">
        <v>131</v>
      </c>
      <c r="C18" s="413"/>
      <c r="D18" s="413"/>
      <c r="E18" s="413"/>
      <c r="F18" s="413"/>
      <c r="G18" s="413"/>
      <c r="H18" s="413"/>
      <c r="I18" s="413"/>
      <c r="J18" s="413"/>
      <c r="K18" s="413"/>
      <c r="L18" s="398">
        <v>0</v>
      </c>
      <c r="M18" s="399"/>
      <c r="N18" s="150">
        <v>20</v>
      </c>
      <c r="O18" s="414" t="s">
        <v>144</v>
      </c>
      <c r="P18" s="415"/>
      <c r="Q18" s="156">
        <v>0</v>
      </c>
      <c r="R18" s="411"/>
    </row>
    <row r="19" spans="1:18" s="22" customFormat="1" ht="17.25" customHeight="1">
      <c r="A19" s="151">
        <v>7</v>
      </c>
      <c r="B19" s="412" t="s">
        <v>132</v>
      </c>
      <c r="C19" s="412"/>
      <c r="D19" s="412"/>
      <c r="E19" s="412"/>
      <c r="F19" s="412"/>
      <c r="G19" s="412"/>
      <c r="H19" s="412"/>
      <c r="I19" s="412"/>
      <c r="J19" s="412"/>
      <c r="K19" s="412"/>
      <c r="L19" s="398">
        <v>0</v>
      </c>
      <c r="M19" s="399"/>
      <c r="N19" s="152">
        <v>21</v>
      </c>
      <c r="O19" s="446" t="s">
        <v>145</v>
      </c>
      <c r="P19" s="447"/>
      <c r="Q19" s="156">
        <v>0</v>
      </c>
      <c r="R19" s="411"/>
    </row>
    <row r="20" spans="1:18" s="22" customFormat="1" ht="17.25" customHeight="1">
      <c r="A20" s="149">
        <v>8</v>
      </c>
      <c r="B20" s="413" t="s">
        <v>133</v>
      </c>
      <c r="C20" s="413"/>
      <c r="D20" s="413"/>
      <c r="E20" s="413"/>
      <c r="F20" s="413"/>
      <c r="G20" s="413"/>
      <c r="H20" s="413"/>
      <c r="I20" s="413"/>
      <c r="J20" s="413"/>
      <c r="K20" s="413"/>
      <c r="L20" s="398">
        <v>0</v>
      </c>
      <c r="M20" s="399"/>
      <c r="N20" s="150">
        <v>22</v>
      </c>
      <c r="O20" s="416" t="s">
        <v>146</v>
      </c>
      <c r="P20" s="417"/>
      <c r="Q20" s="156">
        <v>0</v>
      </c>
      <c r="R20" s="411"/>
    </row>
    <row r="21" spans="1:18" s="22" customFormat="1" ht="17.25" customHeight="1">
      <c r="A21" s="151">
        <v>9</v>
      </c>
      <c r="B21" s="412" t="s">
        <v>134</v>
      </c>
      <c r="C21" s="412"/>
      <c r="D21" s="412"/>
      <c r="E21" s="412"/>
      <c r="F21" s="412"/>
      <c r="G21" s="412"/>
      <c r="H21" s="412"/>
      <c r="I21" s="412"/>
      <c r="J21" s="412"/>
      <c r="K21" s="412"/>
      <c r="L21" s="398">
        <v>0</v>
      </c>
      <c r="M21" s="399"/>
      <c r="N21" s="152">
        <v>23</v>
      </c>
      <c r="O21" s="418" t="s">
        <v>147</v>
      </c>
      <c r="P21" s="419"/>
      <c r="Q21" s="156">
        <v>0</v>
      </c>
      <c r="R21" s="411"/>
    </row>
    <row r="22" spans="1:18" s="22" customFormat="1" ht="17.25" customHeight="1">
      <c r="A22" s="149">
        <v>10</v>
      </c>
      <c r="B22" s="413" t="s">
        <v>135</v>
      </c>
      <c r="C22" s="413"/>
      <c r="D22" s="413"/>
      <c r="E22" s="413"/>
      <c r="F22" s="413"/>
      <c r="G22" s="413"/>
      <c r="H22" s="413"/>
      <c r="I22" s="413"/>
      <c r="J22" s="413"/>
      <c r="K22" s="413"/>
      <c r="L22" s="398">
        <v>0</v>
      </c>
      <c r="M22" s="399"/>
      <c r="N22" s="150">
        <v>24</v>
      </c>
      <c r="O22" s="416" t="s">
        <v>148</v>
      </c>
      <c r="P22" s="417"/>
      <c r="Q22" s="156">
        <v>0</v>
      </c>
      <c r="R22" s="411"/>
    </row>
    <row r="23" spans="1:18" s="22" customFormat="1" ht="17.25" customHeight="1">
      <c r="A23" s="151">
        <v>11</v>
      </c>
      <c r="B23" s="412" t="s">
        <v>136</v>
      </c>
      <c r="C23" s="412"/>
      <c r="D23" s="412"/>
      <c r="E23" s="412"/>
      <c r="F23" s="412"/>
      <c r="G23" s="412"/>
      <c r="H23" s="412"/>
      <c r="I23" s="412"/>
      <c r="J23" s="412"/>
      <c r="K23" s="412"/>
      <c r="L23" s="398">
        <v>0</v>
      </c>
      <c r="M23" s="399"/>
      <c r="N23" s="152">
        <v>25</v>
      </c>
      <c r="O23" s="418" t="s">
        <v>149</v>
      </c>
      <c r="P23" s="419"/>
      <c r="Q23" s="156">
        <v>0</v>
      </c>
      <c r="R23" s="411"/>
    </row>
    <row r="24" spans="1:18" s="22" customFormat="1" ht="17.25" customHeight="1">
      <c r="A24" s="149">
        <v>12</v>
      </c>
      <c r="B24" s="413" t="s">
        <v>137</v>
      </c>
      <c r="C24" s="413"/>
      <c r="D24" s="413"/>
      <c r="E24" s="413"/>
      <c r="F24" s="413"/>
      <c r="G24" s="413"/>
      <c r="H24" s="413"/>
      <c r="I24" s="413"/>
      <c r="J24" s="413"/>
      <c r="K24" s="413"/>
      <c r="L24" s="398">
        <v>0</v>
      </c>
      <c r="M24" s="399"/>
      <c r="N24" s="150">
        <v>26</v>
      </c>
      <c r="O24" s="416" t="s">
        <v>150</v>
      </c>
      <c r="P24" s="417"/>
      <c r="Q24" s="156">
        <v>0</v>
      </c>
      <c r="R24" s="411"/>
    </row>
    <row r="25" spans="1:18" s="22" customFormat="1" ht="17.25" customHeight="1">
      <c r="A25" s="151">
        <v>13</v>
      </c>
      <c r="B25" s="412" t="s">
        <v>138</v>
      </c>
      <c r="C25" s="428"/>
      <c r="D25" s="428"/>
      <c r="E25" s="428"/>
      <c r="F25" s="428"/>
      <c r="G25" s="428"/>
      <c r="H25" s="428"/>
      <c r="I25" s="428"/>
      <c r="J25" s="428"/>
      <c r="K25" s="428"/>
      <c r="L25" s="398">
        <v>0</v>
      </c>
      <c r="M25" s="399"/>
      <c r="N25" s="152">
        <v>27</v>
      </c>
      <c r="O25" s="418" t="s">
        <v>151</v>
      </c>
      <c r="P25" s="419"/>
      <c r="Q25" s="156">
        <v>0</v>
      </c>
      <c r="R25" s="411"/>
    </row>
    <row r="26" spans="1:18" s="22" customFormat="1" ht="17.25" customHeight="1" thickBot="1">
      <c r="A26" s="153">
        <v>14</v>
      </c>
      <c r="B26" s="429" t="s">
        <v>139</v>
      </c>
      <c r="C26" s="429"/>
      <c r="D26" s="429"/>
      <c r="E26" s="429"/>
      <c r="F26" s="429"/>
      <c r="G26" s="429"/>
      <c r="H26" s="429"/>
      <c r="I26" s="429"/>
      <c r="J26" s="429"/>
      <c r="K26" s="429"/>
      <c r="L26" s="393">
        <v>0</v>
      </c>
      <c r="M26" s="394"/>
      <c r="N26" s="154">
        <v>28</v>
      </c>
      <c r="O26" s="430" t="s">
        <v>152</v>
      </c>
      <c r="P26" s="431"/>
      <c r="Q26" s="157">
        <v>0</v>
      </c>
      <c r="R26" s="411"/>
    </row>
    <row r="27" spans="1:18">
      <c r="A27" s="341"/>
      <c r="B27" s="341"/>
      <c r="C27" s="341"/>
      <c r="D27" s="341"/>
      <c r="E27" s="341"/>
      <c r="F27" s="341"/>
      <c r="G27" s="341"/>
      <c r="H27" s="341"/>
      <c r="I27" s="341"/>
      <c r="J27" s="341"/>
      <c r="K27" s="341"/>
      <c r="L27" s="341"/>
      <c r="M27" s="341"/>
      <c r="N27" s="341"/>
      <c r="O27" s="341"/>
      <c r="P27" s="341"/>
      <c r="Q27" s="341"/>
      <c r="R27" s="411"/>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N5:Q5"/>
    <mergeCell ref="B7:K7"/>
    <mergeCell ref="B8:K8"/>
    <mergeCell ref="C9:K9"/>
    <mergeCell ref="L8:M8"/>
    <mergeCell ref="L9:M9"/>
    <mergeCell ref="L10:M10"/>
    <mergeCell ref="L12:M12"/>
    <mergeCell ref="L13:M13"/>
    <mergeCell ref="O17:P17"/>
    <mergeCell ref="O19:P19"/>
    <mergeCell ref="O21:P21"/>
    <mergeCell ref="B12:K12"/>
    <mergeCell ref="O12:P12"/>
    <mergeCell ref="L14:M14"/>
    <mergeCell ref="L15:M15"/>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s>
  <conditionalFormatting sqref="E4:Q4">
    <cfRule type="cellIs" dxfId="25"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showRowColHeaders="0" topLeftCell="B7" zoomScale="91" zoomScaleNormal="91" workbookViewId="0">
      <selection activeCell="H20" sqref="H20"/>
    </sheetView>
  </sheetViews>
  <sheetFormatPr defaultColWidth="0" defaultRowHeight="15" zeroHeight="1"/>
  <cols>
    <col min="1" max="1" width="3.7109375" style="174" hidden="1" customWidth="1"/>
    <col min="2" max="2" width="4.85546875" style="6" customWidth="1"/>
    <col min="3" max="3" width="13.140625" style="6" customWidth="1"/>
    <col min="4" max="4" width="8.5703125" style="6" customWidth="1"/>
    <col min="5" max="5" width="9.42578125" style="6" customWidth="1"/>
    <col min="6" max="8" width="7.140625" style="31" customWidth="1"/>
    <col min="9" max="9" width="4.85546875" style="32" customWidth="1"/>
    <col min="10" max="14" width="6.42578125" style="31" customWidth="1"/>
    <col min="15" max="15" width="7.85546875" style="31" bestFit="1" customWidth="1"/>
    <col min="16" max="16" width="7.140625" style="31" customWidth="1"/>
    <col min="17" max="17" width="6" style="31" customWidth="1"/>
    <col min="18" max="18" width="6" style="33" customWidth="1"/>
    <col min="19" max="19" width="7.140625" style="33" customWidth="1"/>
    <col min="20" max="20" width="6" style="33" customWidth="1"/>
    <col min="21" max="21" width="7.140625" style="33" customWidth="1"/>
    <col min="22" max="22" width="5.85546875" style="33" customWidth="1"/>
    <col min="23" max="24" width="7.140625" style="33" customWidth="1"/>
    <col min="25" max="26" width="5.7109375" style="33" customWidth="1"/>
    <col min="27" max="27" width="7.140625" style="33" customWidth="1"/>
    <col min="28" max="28" width="10.85546875" style="5" customWidth="1"/>
    <col min="29" max="29" width="11" style="5" customWidth="1"/>
    <col min="30" max="30" width="2" style="5" customWidth="1"/>
    <col min="31" max="31" width="3" style="5" customWidth="1"/>
    <col min="32" max="42" width="9.5703125" style="1" hidden="1"/>
    <col min="43" max="16383" width="3" style="1" hidden="1"/>
    <col min="16384" max="16384" width="4.140625" style="1" hidden="1"/>
  </cols>
  <sheetData>
    <row r="1" spans="1:37" s="9" customFormat="1" ht="24" customHeight="1">
      <c r="A1" s="41"/>
      <c r="B1" s="486" t="str">
        <f>CONCATENATE("Office:"," ",'Basic Data'!G5," ","(",'Basic Data'!M5,'Basic Data'!O5,")")</f>
        <v>Office: Govt. Sr. School Raimalwada (DDO Code :-12345)</v>
      </c>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8"/>
      <c r="AD1" s="460"/>
      <c r="AE1" s="17"/>
    </row>
    <row r="2" spans="1:37" s="9" customFormat="1" ht="20.25" customHeight="1" thickBot="1">
      <c r="A2" s="42"/>
      <c r="B2" s="13"/>
      <c r="C2" s="462" t="s">
        <v>237</v>
      </c>
      <c r="D2" s="462"/>
      <c r="E2" s="462"/>
      <c r="F2" s="462"/>
      <c r="G2" s="462"/>
      <c r="H2" s="462"/>
      <c r="I2" s="462"/>
      <c r="J2" s="462"/>
      <c r="K2" s="462"/>
      <c r="L2" s="462"/>
      <c r="M2" s="462"/>
      <c r="N2" s="462"/>
      <c r="O2" s="462"/>
      <c r="P2" s="462"/>
      <c r="Q2" s="462"/>
      <c r="R2" s="462"/>
      <c r="S2" s="462"/>
      <c r="T2" s="462"/>
      <c r="U2" s="512" t="s">
        <v>47</v>
      </c>
      <c r="V2" s="512"/>
      <c r="W2" s="512"/>
      <c r="X2" s="512"/>
      <c r="Y2" s="512"/>
      <c r="Z2" s="512"/>
      <c r="AA2" s="512"/>
      <c r="AB2" s="513" t="str">
        <f>'Basic Data'!Q6</f>
        <v>2024-25</v>
      </c>
      <c r="AC2" s="514"/>
      <c r="AD2" s="460"/>
      <c r="AE2" s="173"/>
    </row>
    <row r="3" spans="1:37" s="9" customFormat="1" ht="20.25" customHeight="1">
      <c r="A3" s="42"/>
      <c r="B3" s="495" t="s">
        <v>48</v>
      </c>
      <c r="C3" s="496"/>
      <c r="D3" s="496"/>
      <c r="E3" s="496"/>
      <c r="F3" s="494">
        <f>'Basic Data'!B10</f>
        <v>0</v>
      </c>
      <c r="G3" s="494"/>
      <c r="H3" s="494"/>
      <c r="I3" s="494"/>
      <c r="J3" s="489" t="s">
        <v>49</v>
      </c>
      <c r="K3" s="489"/>
      <c r="L3" s="489"/>
      <c r="M3" s="489"/>
      <c r="N3" s="489"/>
      <c r="O3" s="489"/>
      <c r="P3" s="490">
        <f>'Basic Data'!H10</f>
        <v>0</v>
      </c>
      <c r="Q3" s="490"/>
      <c r="R3" s="490"/>
      <c r="S3" s="25"/>
      <c r="T3" s="491" t="s">
        <v>50</v>
      </c>
      <c r="U3" s="491"/>
      <c r="V3" s="491"/>
      <c r="W3" s="491"/>
      <c r="X3" s="491"/>
      <c r="Y3" s="491"/>
      <c r="Z3" s="491"/>
      <c r="AA3" s="492">
        <f>'Basic Data'!F10</f>
        <v>0</v>
      </c>
      <c r="AB3" s="492"/>
      <c r="AC3" s="493"/>
      <c r="AD3" s="460"/>
      <c r="AE3" s="12"/>
    </row>
    <row r="4" spans="1:37" s="9" customFormat="1" ht="9" customHeight="1">
      <c r="A4" s="42"/>
      <c r="B4" s="509"/>
      <c r="C4" s="510"/>
      <c r="D4" s="510"/>
      <c r="E4" s="510"/>
      <c r="F4" s="510"/>
      <c r="G4" s="510"/>
      <c r="H4" s="510"/>
      <c r="I4" s="510"/>
      <c r="J4" s="510"/>
      <c r="K4" s="510"/>
      <c r="L4" s="510"/>
      <c r="M4" s="510"/>
      <c r="N4" s="510"/>
      <c r="O4" s="510"/>
      <c r="P4" s="510"/>
      <c r="Q4" s="510"/>
      <c r="R4" s="510"/>
      <c r="S4" s="510"/>
      <c r="T4" s="510"/>
      <c r="U4" s="510"/>
      <c r="V4" s="510"/>
      <c r="W4" s="510"/>
      <c r="X4" s="510"/>
      <c r="Y4" s="510"/>
      <c r="Z4" s="510"/>
      <c r="AA4" s="510"/>
      <c r="AB4" s="510"/>
      <c r="AC4" s="511"/>
      <c r="AD4" s="460"/>
      <c r="AE4" s="172"/>
    </row>
    <row r="5" spans="1:37" s="9" customFormat="1" ht="20.25" customHeight="1">
      <c r="A5" s="42"/>
      <c r="B5" s="458" t="s">
        <v>51</v>
      </c>
      <c r="C5" s="459"/>
      <c r="D5" s="459"/>
      <c r="E5" s="459"/>
      <c r="F5" s="457" t="str">
        <f>'Basic Data'!N10</f>
        <v>ABCDE1234F</v>
      </c>
      <c r="G5" s="457"/>
      <c r="H5" s="457"/>
      <c r="I5" s="457"/>
      <c r="J5" s="519" t="s">
        <v>52</v>
      </c>
      <c r="K5" s="519"/>
      <c r="L5" s="519"/>
      <c r="M5" s="519"/>
      <c r="N5" s="519"/>
      <c r="O5" s="519"/>
      <c r="P5" s="505">
        <f>'Basic Data'!L10</f>
        <v>11</v>
      </c>
      <c r="Q5" s="505"/>
      <c r="R5" s="505"/>
      <c r="S5" s="26"/>
      <c r="T5" s="506" t="s">
        <v>53</v>
      </c>
      <c r="U5" s="506"/>
      <c r="V5" s="506"/>
      <c r="W5" s="506"/>
      <c r="X5" s="506"/>
      <c r="Y5" s="506"/>
      <c r="Z5" s="506"/>
      <c r="AA5" s="507">
        <f>'Basic Data'!O10</f>
        <v>0</v>
      </c>
      <c r="AB5" s="507"/>
      <c r="AC5" s="508"/>
      <c r="AD5" s="460"/>
      <c r="AE5" s="12"/>
    </row>
    <row r="6" spans="1:37" s="8" customFormat="1" ht="14.25" customHeight="1" thickBot="1">
      <c r="A6" s="43"/>
      <c r="B6" s="461"/>
      <c r="C6" s="462"/>
      <c r="D6" s="462"/>
      <c r="E6" s="462"/>
      <c r="F6" s="462"/>
      <c r="G6" s="462"/>
      <c r="H6" s="462"/>
      <c r="I6" s="462"/>
      <c r="J6" s="462"/>
      <c r="K6" s="462"/>
      <c r="L6" s="462"/>
      <c r="M6" s="462"/>
      <c r="N6" s="462"/>
      <c r="O6" s="462"/>
      <c r="P6" s="462"/>
      <c r="Q6" s="462"/>
      <c r="R6" s="462"/>
      <c r="S6" s="462"/>
      <c r="T6" s="462"/>
      <c r="U6" s="462"/>
      <c r="V6" s="462"/>
      <c r="W6" s="462"/>
      <c r="X6" s="462"/>
      <c r="Y6" s="462"/>
      <c r="Z6" s="462"/>
      <c r="AA6" s="462"/>
      <c r="AB6" s="462"/>
      <c r="AC6" s="463"/>
      <c r="AD6" s="460"/>
      <c r="AE6" s="172"/>
    </row>
    <row r="7" spans="1:37" s="4" customFormat="1" ht="18" customHeight="1">
      <c r="A7" s="44"/>
      <c r="B7" s="473" t="s">
        <v>4</v>
      </c>
      <c r="C7" s="475" t="s">
        <v>6</v>
      </c>
      <c r="D7" s="477" t="s">
        <v>31</v>
      </c>
      <c r="E7" s="479" t="s">
        <v>32</v>
      </c>
      <c r="F7" s="481" t="s">
        <v>38</v>
      </c>
      <c r="G7" s="482"/>
      <c r="H7" s="482"/>
      <c r="I7" s="482"/>
      <c r="J7" s="482"/>
      <c r="K7" s="482"/>
      <c r="L7" s="482"/>
      <c r="M7" s="482"/>
      <c r="N7" s="482"/>
      <c r="O7" s="483"/>
      <c r="P7" s="466" t="s">
        <v>40</v>
      </c>
      <c r="Q7" s="467"/>
      <c r="R7" s="467"/>
      <c r="S7" s="467"/>
      <c r="T7" s="467"/>
      <c r="U7" s="467"/>
      <c r="V7" s="467"/>
      <c r="W7" s="467"/>
      <c r="X7" s="467"/>
      <c r="Y7" s="467"/>
      <c r="Z7" s="467"/>
      <c r="AA7" s="467"/>
      <c r="AB7" s="468"/>
      <c r="AC7" s="464" t="s">
        <v>44</v>
      </c>
      <c r="AD7" s="460"/>
      <c r="AE7" s="115"/>
      <c r="AF7" s="7"/>
      <c r="AG7" s="7"/>
      <c r="AH7" s="7"/>
      <c r="AI7" s="7"/>
      <c r="AJ7" s="7"/>
      <c r="AK7" s="7"/>
    </row>
    <row r="8" spans="1:37" s="4" customFormat="1" ht="50.25" customHeight="1" thickBot="1">
      <c r="A8" s="44"/>
      <c r="B8" s="474"/>
      <c r="C8" s="476"/>
      <c r="D8" s="478"/>
      <c r="E8" s="480"/>
      <c r="F8" s="116" t="s">
        <v>33</v>
      </c>
      <c r="G8" s="40" t="s">
        <v>34</v>
      </c>
      <c r="H8" s="40" t="s">
        <v>35</v>
      </c>
      <c r="I8" s="175" t="s">
        <v>113</v>
      </c>
      <c r="J8" s="176" t="s">
        <v>114</v>
      </c>
      <c r="K8" s="175" t="s">
        <v>115</v>
      </c>
      <c r="L8" s="139" t="s">
        <v>288</v>
      </c>
      <c r="M8" s="38" t="s">
        <v>37</v>
      </c>
      <c r="N8" s="139" t="s">
        <v>36</v>
      </c>
      <c r="O8" s="39" t="s">
        <v>39</v>
      </c>
      <c r="P8" s="116" t="s">
        <v>112</v>
      </c>
      <c r="Q8" s="40" t="s">
        <v>20</v>
      </c>
      <c r="R8" s="40" t="s">
        <v>41</v>
      </c>
      <c r="S8" s="40" t="s">
        <v>23</v>
      </c>
      <c r="T8" s="40" t="s">
        <v>22</v>
      </c>
      <c r="U8" s="40" t="s">
        <v>111</v>
      </c>
      <c r="V8" s="40" t="s">
        <v>116</v>
      </c>
      <c r="W8" s="36" t="s">
        <v>117</v>
      </c>
      <c r="X8" s="37" t="s">
        <v>118</v>
      </c>
      <c r="Y8" s="38" t="s">
        <v>37</v>
      </c>
      <c r="Z8" s="37" t="s">
        <v>36</v>
      </c>
      <c r="AA8" s="40" t="s">
        <v>42</v>
      </c>
      <c r="AB8" s="117" t="s">
        <v>43</v>
      </c>
      <c r="AC8" s="465"/>
      <c r="AD8" s="460"/>
      <c r="AE8" s="115"/>
      <c r="AF8" s="7"/>
      <c r="AG8" s="7"/>
      <c r="AH8" s="7"/>
      <c r="AI8" s="7"/>
      <c r="AJ8" s="7"/>
      <c r="AK8" s="7"/>
    </row>
    <row r="9" spans="1:37" s="4" customFormat="1" ht="23.25" customHeight="1">
      <c r="A9" s="44"/>
      <c r="B9" s="14">
        <v>1</v>
      </c>
      <c r="C9" s="194">
        <v>45352</v>
      </c>
      <c r="D9" s="177"/>
      <c r="E9" s="178"/>
      <c r="F9" s="131">
        <f>'Basic Data'!M10</f>
        <v>69300</v>
      </c>
      <c r="G9" s="132">
        <f>IF('Basic Data'!$B$15="Regular",'GA-55'!F9*'Basic Data'!D15,0)</f>
        <v>34650</v>
      </c>
      <c r="H9" s="132">
        <f>IF('Basic Data'!$B$15="Regular",'GA-55'!F9*0.09,0)</f>
        <v>6237</v>
      </c>
      <c r="I9" s="132"/>
      <c r="J9" s="132">
        <f>IF('Basic Data'!J15="Yes",180,0)</f>
        <v>0</v>
      </c>
      <c r="K9" s="132">
        <f>IF('Basic Data'!K15="Yes",1200,0)</f>
        <v>0</v>
      </c>
      <c r="L9" s="132"/>
      <c r="M9" s="132"/>
      <c r="N9" s="132"/>
      <c r="O9" s="27">
        <f>SUM(F9:N9)</f>
        <v>110187</v>
      </c>
      <c r="P9" s="183">
        <f>'Basic Data'!L15</f>
        <v>2850</v>
      </c>
      <c r="Q9" s="184">
        <f>'Basic Data'!M15</f>
        <v>5000</v>
      </c>
      <c r="R9" s="184">
        <f>'Basic Data'!N15</f>
        <v>0</v>
      </c>
      <c r="S9" s="184">
        <f>'Basic Data'!P15</f>
        <v>850</v>
      </c>
      <c r="T9" s="184">
        <f>'Basic Data'!O15</f>
        <v>0</v>
      </c>
      <c r="U9" s="184"/>
      <c r="V9" s="184"/>
      <c r="W9" s="184"/>
      <c r="X9" s="184"/>
      <c r="Y9" s="184"/>
      <c r="Z9" s="184"/>
      <c r="AA9" s="184">
        <f>'Basic Data'!$B19</f>
        <v>0</v>
      </c>
      <c r="AB9" s="118">
        <f>SUM(P9:AA9)</f>
        <v>8700</v>
      </c>
      <c r="AC9" s="119">
        <f>O9-AB9</f>
        <v>101487</v>
      </c>
      <c r="AD9" s="460"/>
      <c r="AE9" s="120"/>
      <c r="AF9" s="7" t="str">
        <f>IF(C9='Basic Data'!$I$15,"Yes","No")</f>
        <v>No</v>
      </c>
      <c r="AG9" s="16">
        <f>IF(AF9="Yes",ROUND(F9/2,0),0)</f>
        <v>0</v>
      </c>
      <c r="AH9" s="16">
        <f>IF(AF9="Yes",ROUND(G9/2,0),0)</f>
        <v>0</v>
      </c>
      <c r="AI9" s="16">
        <f>IF(AF9="Yes",(F9+G9)/2,0)</f>
        <v>0</v>
      </c>
      <c r="AJ9" s="16"/>
      <c r="AK9" s="16"/>
    </row>
    <row r="10" spans="1:37" s="4" customFormat="1" ht="23.25" customHeight="1">
      <c r="A10" s="44"/>
      <c r="B10" s="15">
        <v>2</v>
      </c>
      <c r="C10" s="195">
        <v>45383</v>
      </c>
      <c r="D10" s="179"/>
      <c r="E10" s="180"/>
      <c r="F10" s="133">
        <f>F9</f>
        <v>69300</v>
      </c>
      <c r="G10" s="134">
        <f>IF('Basic Data'!$B$15="Regular",'GA-55'!F10*'Basic Data'!$D$15,0)</f>
        <v>34650</v>
      </c>
      <c r="H10" s="134">
        <f>IF('Basic Data'!$B$15="Regular",'GA-55'!F10*0.09,0)</f>
        <v>6237</v>
      </c>
      <c r="I10" s="134">
        <f>I9</f>
        <v>0</v>
      </c>
      <c r="J10" s="135">
        <f>J9</f>
        <v>0</v>
      </c>
      <c r="K10" s="135">
        <f>K9</f>
        <v>0</v>
      </c>
      <c r="L10" s="135"/>
      <c r="M10" s="135">
        <f>M9</f>
        <v>0</v>
      </c>
      <c r="N10" s="135">
        <f>N9</f>
        <v>0</v>
      </c>
      <c r="O10" s="28">
        <f t="shared" ref="O10:O30" si="0">SUM(F10:N10)</f>
        <v>110187</v>
      </c>
      <c r="P10" s="185">
        <f t="shared" ref="P10:P20" si="1">P9</f>
        <v>2850</v>
      </c>
      <c r="Q10" s="186">
        <f t="shared" ref="Q10:Q20" si="2">Q9</f>
        <v>5000</v>
      </c>
      <c r="R10" s="186">
        <f t="shared" ref="R10:R20" si="3">R9</f>
        <v>0</v>
      </c>
      <c r="S10" s="187">
        <f t="shared" ref="S10:S20" si="4">S9</f>
        <v>850</v>
      </c>
      <c r="T10" s="187">
        <f t="shared" ref="T10:T19" si="5">T9</f>
        <v>0</v>
      </c>
      <c r="U10" s="187">
        <f>'Basic Data'!Q15</f>
        <v>1400</v>
      </c>
      <c r="V10" s="187"/>
      <c r="W10" s="187"/>
      <c r="X10" s="187"/>
      <c r="Y10" s="187"/>
      <c r="Z10" s="187">
        <f t="shared" ref="Z10:Z20" si="6">Z9</f>
        <v>0</v>
      </c>
      <c r="AA10" s="187">
        <f>'Basic Data'!$C19</f>
        <v>0</v>
      </c>
      <c r="AB10" s="121">
        <f t="shared" ref="AB10:AB30" si="7">SUM(P10:AA10)</f>
        <v>10100</v>
      </c>
      <c r="AC10" s="122">
        <f t="shared" ref="AC10:AC30" si="8">O10-AB10</f>
        <v>100087</v>
      </c>
      <c r="AD10" s="460"/>
      <c r="AE10" s="120"/>
      <c r="AF10" s="7" t="str">
        <f>IF(C10='Basic Data'!$I$15,"Yes","No")</f>
        <v>No</v>
      </c>
      <c r="AG10" s="16">
        <f t="shared" ref="AG10:AG20" si="9">IF(AF10="Yes",ROUND(F10/2,0),0)</f>
        <v>0</v>
      </c>
      <c r="AH10" s="16">
        <f t="shared" ref="AH10:AH20" si="10">IF(AF10="Yes",ROUND(G10/2,0),0)</f>
        <v>0</v>
      </c>
      <c r="AI10" s="16">
        <f t="shared" ref="AI10:AI20" si="11">IF(AF10="Yes",(F10+G10)/2,0)</f>
        <v>0</v>
      </c>
      <c r="AJ10" s="16"/>
      <c r="AK10" s="16"/>
    </row>
    <row r="11" spans="1:37" s="4" customFormat="1" ht="23.25" customHeight="1">
      <c r="A11" s="44"/>
      <c r="B11" s="15">
        <v>3</v>
      </c>
      <c r="C11" s="195">
        <v>45413</v>
      </c>
      <c r="D11" s="179"/>
      <c r="E11" s="180"/>
      <c r="F11" s="133">
        <f t="shared" ref="F11:F12" si="12">F10</f>
        <v>69300</v>
      </c>
      <c r="G11" s="134">
        <f>IF('Basic Data'!$B$15="Regular",'GA-55'!F11*'Basic Data'!$D$15,0)</f>
        <v>34650</v>
      </c>
      <c r="H11" s="134">
        <f>IF('Basic Data'!$B$15="Regular",'GA-55'!F11*0.09,0)</f>
        <v>6237</v>
      </c>
      <c r="I11" s="134">
        <f t="shared" ref="I11:I20" si="13">I10</f>
        <v>0</v>
      </c>
      <c r="J11" s="135">
        <f t="shared" ref="J11:J20" si="14">J10</f>
        <v>0</v>
      </c>
      <c r="K11" s="135">
        <f t="shared" ref="K11:K20" si="15">K10</f>
        <v>0</v>
      </c>
      <c r="L11" s="135"/>
      <c r="M11" s="135">
        <f t="shared" ref="M11:M20" si="16">M10</f>
        <v>0</v>
      </c>
      <c r="N11" s="135">
        <f t="shared" ref="N11:N20" si="17">N10</f>
        <v>0</v>
      </c>
      <c r="O11" s="29">
        <f t="shared" si="0"/>
        <v>110187</v>
      </c>
      <c r="P11" s="185">
        <f t="shared" si="1"/>
        <v>2850</v>
      </c>
      <c r="Q11" s="186">
        <f t="shared" si="2"/>
        <v>5000</v>
      </c>
      <c r="R11" s="186">
        <f t="shared" si="3"/>
        <v>0</v>
      </c>
      <c r="S11" s="187">
        <f t="shared" si="4"/>
        <v>850</v>
      </c>
      <c r="T11" s="187">
        <f t="shared" si="5"/>
        <v>0</v>
      </c>
      <c r="U11" s="187">
        <f>U9</f>
        <v>0</v>
      </c>
      <c r="V11" s="187"/>
      <c r="W11" s="187"/>
      <c r="X11" s="187"/>
      <c r="Y11" s="187"/>
      <c r="Z11" s="187">
        <f t="shared" si="6"/>
        <v>0</v>
      </c>
      <c r="AA11" s="187">
        <f>'Basic Data'!D19</f>
        <v>0</v>
      </c>
      <c r="AB11" s="121">
        <f t="shared" si="7"/>
        <v>8700</v>
      </c>
      <c r="AC11" s="122">
        <f t="shared" si="8"/>
        <v>101487</v>
      </c>
      <c r="AD11" s="460"/>
      <c r="AE11" s="120"/>
      <c r="AF11" s="7" t="str">
        <f>IF(C11='Basic Data'!$I$15,"Yes","No")</f>
        <v>No</v>
      </c>
      <c r="AG11" s="16">
        <f t="shared" si="9"/>
        <v>0</v>
      </c>
      <c r="AH11" s="16">
        <f t="shared" si="10"/>
        <v>0</v>
      </c>
      <c r="AI11" s="16">
        <f t="shared" si="11"/>
        <v>0</v>
      </c>
      <c r="AJ11" s="16"/>
      <c r="AK11" s="16"/>
    </row>
    <row r="12" spans="1:37" s="4" customFormat="1" ht="23.25" customHeight="1">
      <c r="A12" s="44"/>
      <c r="B12" s="15">
        <v>4</v>
      </c>
      <c r="C12" s="195">
        <v>45444</v>
      </c>
      <c r="D12" s="179"/>
      <c r="E12" s="180"/>
      <c r="F12" s="133">
        <f t="shared" si="12"/>
        <v>69300</v>
      </c>
      <c r="G12" s="134">
        <f>IF('Basic Data'!$B$15="Regular",'GA-55'!F12*'Basic Data'!$D$15,0)</f>
        <v>34650</v>
      </c>
      <c r="H12" s="134">
        <f>IF('Basic Data'!$B$15="Regular",'GA-55'!F12*0.09,0)</f>
        <v>6237</v>
      </c>
      <c r="I12" s="134">
        <f t="shared" si="13"/>
        <v>0</v>
      </c>
      <c r="J12" s="135">
        <f t="shared" si="14"/>
        <v>0</v>
      </c>
      <c r="K12" s="135">
        <f t="shared" si="15"/>
        <v>0</v>
      </c>
      <c r="L12" s="135"/>
      <c r="M12" s="135">
        <f t="shared" si="16"/>
        <v>0</v>
      </c>
      <c r="N12" s="135">
        <f t="shared" si="17"/>
        <v>0</v>
      </c>
      <c r="O12" s="29">
        <f t="shared" si="0"/>
        <v>110187</v>
      </c>
      <c r="P12" s="185">
        <f t="shared" si="1"/>
        <v>2850</v>
      </c>
      <c r="Q12" s="186">
        <f t="shared" si="2"/>
        <v>5000</v>
      </c>
      <c r="R12" s="186">
        <f t="shared" si="3"/>
        <v>0</v>
      </c>
      <c r="S12" s="187">
        <f t="shared" si="4"/>
        <v>850</v>
      </c>
      <c r="T12" s="187">
        <f t="shared" si="5"/>
        <v>0</v>
      </c>
      <c r="U12" s="187">
        <f t="shared" ref="U12:U20" si="18">U11</f>
        <v>0</v>
      </c>
      <c r="V12" s="187"/>
      <c r="W12" s="187"/>
      <c r="X12" s="187"/>
      <c r="Y12" s="187"/>
      <c r="Z12" s="187">
        <f t="shared" si="6"/>
        <v>0</v>
      </c>
      <c r="AA12" s="187">
        <f>'Basic Data'!E19</f>
        <v>0</v>
      </c>
      <c r="AB12" s="121">
        <f t="shared" si="7"/>
        <v>8700</v>
      </c>
      <c r="AC12" s="122">
        <f t="shared" si="8"/>
        <v>101487</v>
      </c>
      <c r="AD12" s="460"/>
      <c r="AE12" s="120"/>
      <c r="AF12" s="7" t="str">
        <f>IF(C12='Basic Data'!$I$15,"Yes","No")</f>
        <v>No</v>
      </c>
      <c r="AG12" s="16">
        <f t="shared" si="9"/>
        <v>0</v>
      </c>
      <c r="AH12" s="16">
        <f t="shared" si="10"/>
        <v>0</v>
      </c>
      <c r="AI12" s="16">
        <f t="shared" si="11"/>
        <v>0</v>
      </c>
      <c r="AJ12" s="16"/>
      <c r="AK12" s="16"/>
    </row>
    <row r="13" spans="1:37" s="4" customFormat="1" ht="23.25" customHeight="1">
      <c r="A13" s="44"/>
      <c r="B13" s="15">
        <v>5</v>
      </c>
      <c r="C13" s="195">
        <v>45474</v>
      </c>
      <c r="D13" s="179"/>
      <c r="E13" s="180"/>
      <c r="F13" s="133">
        <f>IF('Basic Data'!B15="Regular",ROUND(F12*103%,-2),'GA-55'!F12)</f>
        <v>71400</v>
      </c>
      <c r="G13" s="134">
        <f>IF('Basic Data'!$B$15="Regular",'GA-55'!F13*'Basic Data'!$D$15,0)</f>
        <v>35700</v>
      </c>
      <c r="H13" s="134">
        <f>IF('Basic Data'!$B$15="Regular",'GA-55'!F13*0.09,0)</f>
        <v>6426</v>
      </c>
      <c r="I13" s="134">
        <f t="shared" si="13"/>
        <v>0</v>
      </c>
      <c r="J13" s="135">
        <f t="shared" si="14"/>
        <v>0</v>
      </c>
      <c r="K13" s="135">
        <f t="shared" si="15"/>
        <v>0</v>
      </c>
      <c r="L13" s="135"/>
      <c r="M13" s="135">
        <f t="shared" si="16"/>
        <v>0</v>
      </c>
      <c r="N13" s="135">
        <f t="shared" si="17"/>
        <v>0</v>
      </c>
      <c r="O13" s="29">
        <f t="shared" si="0"/>
        <v>113526</v>
      </c>
      <c r="P13" s="185">
        <f t="shared" si="1"/>
        <v>2850</v>
      </c>
      <c r="Q13" s="186">
        <f t="shared" si="2"/>
        <v>5000</v>
      </c>
      <c r="R13" s="186">
        <f t="shared" si="3"/>
        <v>0</v>
      </c>
      <c r="S13" s="187">
        <f t="shared" si="4"/>
        <v>850</v>
      </c>
      <c r="T13" s="187">
        <f t="shared" si="5"/>
        <v>0</v>
      </c>
      <c r="U13" s="187">
        <f t="shared" si="18"/>
        <v>0</v>
      </c>
      <c r="V13" s="187"/>
      <c r="W13" s="187"/>
      <c r="X13" s="187"/>
      <c r="Y13" s="187"/>
      <c r="Z13" s="187">
        <f t="shared" si="6"/>
        <v>0</v>
      </c>
      <c r="AA13" s="187">
        <f>'Basic Data'!F19</f>
        <v>0</v>
      </c>
      <c r="AB13" s="121">
        <f t="shared" si="7"/>
        <v>8700</v>
      </c>
      <c r="AC13" s="122">
        <f t="shared" si="8"/>
        <v>104826</v>
      </c>
      <c r="AD13" s="460"/>
      <c r="AE13" s="120"/>
      <c r="AF13" s="7" t="str">
        <f>IF(C13='Basic Data'!$I$15,"Yes","No")</f>
        <v>No</v>
      </c>
      <c r="AG13" s="16">
        <f t="shared" si="9"/>
        <v>0</v>
      </c>
      <c r="AH13" s="16">
        <f t="shared" si="10"/>
        <v>0</v>
      </c>
      <c r="AI13" s="16">
        <f t="shared" si="11"/>
        <v>0</v>
      </c>
      <c r="AJ13" s="16">
        <f>IF(AF13="yes",(F13*0.03/2),0)</f>
        <v>0</v>
      </c>
      <c r="AK13" s="16">
        <f>IF($AF13="Yes",ROUND(AH13*0.04,0),0)</f>
        <v>0</v>
      </c>
    </row>
    <row r="14" spans="1:37" s="4" customFormat="1" ht="23.25" customHeight="1">
      <c r="A14" s="44"/>
      <c r="B14" s="15">
        <v>6</v>
      </c>
      <c r="C14" s="195">
        <v>45505</v>
      </c>
      <c r="D14" s="179"/>
      <c r="E14" s="180"/>
      <c r="F14" s="133">
        <f>F13</f>
        <v>71400</v>
      </c>
      <c r="G14" s="134">
        <f>IF('Basic Data'!$B$15="Regular",'GA-55'!F14*'Basic Data'!$D$15,0)</f>
        <v>35700</v>
      </c>
      <c r="H14" s="134">
        <f>IF('Basic Data'!$B$15="Regular",'GA-55'!F14*0.09,0)</f>
        <v>6426</v>
      </c>
      <c r="I14" s="134">
        <f t="shared" si="13"/>
        <v>0</v>
      </c>
      <c r="J14" s="135">
        <f t="shared" si="14"/>
        <v>0</v>
      </c>
      <c r="K14" s="135">
        <f t="shared" si="15"/>
        <v>0</v>
      </c>
      <c r="L14" s="135"/>
      <c r="M14" s="135">
        <f t="shared" si="16"/>
        <v>0</v>
      </c>
      <c r="N14" s="135">
        <f t="shared" si="17"/>
        <v>0</v>
      </c>
      <c r="O14" s="29">
        <f t="shared" si="0"/>
        <v>113526</v>
      </c>
      <c r="P14" s="185">
        <f t="shared" si="1"/>
        <v>2850</v>
      </c>
      <c r="Q14" s="186">
        <f t="shared" si="2"/>
        <v>5000</v>
      </c>
      <c r="R14" s="186">
        <f t="shared" si="3"/>
        <v>0</v>
      </c>
      <c r="S14" s="187">
        <f t="shared" si="4"/>
        <v>850</v>
      </c>
      <c r="T14" s="187">
        <f t="shared" si="5"/>
        <v>0</v>
      </c>
      <c r="U14" s="187">
        <f t="shared" si="18"/>
        <v>0</v>
      </c>
      <c r="V14" s="187"/>
      <c r="W14" s="187"/>
      <c r="X14" s="187"/>
      <c r="Y14" s="187"/>
      <c r="Z14" s="187">
        <f t="shared" si="6"/>
        <v>0</v>
      </c>
      <c r="AA14" s="187">
        <f>'Basic Data'!G19</f>
        <v>0</v>
      </c>
      <c r="AB14" s="121">
        <f t="shared" si="7"/>
        <v>8700</v>
      </c>
      <c r="AC14" s="122">
        <f t="shared" si="8"/>
        <v>104826</v>
      </c>
      <c r="AD14" s="460"/>
      <c r="AE14" s="120"/>
      <c r="AF14" s="7" t="str">
        <f>IF(C14='Basic Data'!$I$15,"Yes","No")</f>
        <v>No</v>
      </c>
      <c r="AG14" s="16">
        <f>IF(AF14="Yes",ROUND(F14/2,0),0)</f>
        <v>0</v>
      </c>
      <c r="AH14" s="16">
        <f t="shared" si="10"/>
        <v>0</v>
      </c>
      <c r="AI14" s="16">
        <f t="shared" si="11"/>
        <v>0</v>
      </c>
      <c r="AJ14" s="16">
        <f>IF(AF14="yes",(F14*0.03/2),0)</f>
        <v>0</v>
      </c>
      <c r="AK14" s="16">
        <f>IF($AF14="Yes",ROUND(AH14*0.04,0),0)</f>
        <v>0</v>
      </c>
    </row>
    <row r="15" spans="1:37" s="4" customFormat="1" ht="23.25" customHeight="1">
      <c r="A15" s="44"/>
      <c r="B15" s="15">
        <v>7</v>
      </c>
      <c r="C15" s="195">
        <v>45536</v>
      </c>
      <c r="D15" s="179"/>
      <c r="E15" s="180"/>
      <c r="F15" s="133">
        <f t="shared" ref="F15:F20" si="19">F14</f>
        <v>71400</v>
      </c>
      <c r="G15" s="134">
        <f>IF('Basic Data'!$B$15="Regular",'GA-55'!F15*'Basic Data'!$D$15,0)</f>
        <v>35700</v>
      </c>
      <c r="H15" s="134">
        <f>IF('Basic Data'!$B$15="Regular",'GA-55'!F15*0.09,0)</f>
        <v>6426</v>
      </c>
      <c r="I15" s="134">
        <f t="shared" si="13"/>
        <v>0</v>
      </c>
      <c r="J15" s="135">
        <f t="shared" si="14"/>
        <v>0</v>
      </c>
      <c r="K15" s="135">
        <f t="shared" si="15"/>
        <v>0</v>
      </c>
      <c r="L15" s="135"/>
      <c r="M15" s="135">
        <f t="shared" si="16"/>
        <v>0</v>
      </c>
      <c r="N15" s="135">
        <f t="shared" si="17"/>
        <v>0</v>
      </c>
      <c r="O15" s="29">
        <f t="shared" si="0"/>
        <v>113526</v>
      </c>
      <c r="P15" s="185">
        <f t="shared" si="1"/>
        <v>2850</v>
      </c>
      <c r="Q15" s="186">
        <f t="shared" si="2"/>
        <v>5000</v>
      </c>
      <c r="R15" s="186">
        <f t="shared" si="3"/>
        <v>0</v>
      </c>
      <c r="S15" s="187">
        <f t="shared" si="4"/>
        <v>850</v>
      </c>
      <c r="T15" s="187">
        <f t="shared" si="5"/>
        <v>0</v>
      </c>
      <c r="U15" s="187">
        <f t="shared" si="18"/>
        <v>0</v>
      </c>
      <c r="V15" s="187"/>
      <c r="W15" s="187"/>
      <c r="X15" s="187"/>
      <c r="Y15" s="187"/>
      <c r="Z15" s="187">
        <f t="shared" si="6"/>
        <v>0</v>
      </c>
      <c r="AA15" s="187">
        <f>'Basic Data'!H19</f>
        <v>0</v>
      </c>
      <c r="AB15" s="121">
        <f t="shared" si="7"/>
        <v>8700</v>
      </c>
      <c r="AC15" s="122">
        <f t="shared" si="8"/>
        <v>104826</v>
      </c>
      <c r="AD15" s="460"/>
      <c r="AE15" s="120"/>
      <c r="AF15" s="7" t="str">
        <f>IF(C15='Basic Data'!$I$15,"Yes","No")</f>
        <v>Yes</v>
      </c>
      <c r="AG15" s="16">
        <f t="shared" si="9"/>
        <v>35700</v>
      </c>
      <c r="AH15" s="16">
        <f t="shared" si="10"/>
        <v>17850</v>
      </c>
      <c r="AI15" s="16">
        <f t="shared" si="11"/>
        <v>53550</v>
      </c>
      <c r="AJ15" s="16">
        <f>IF(AF15="yes",(F15*0.03/2),0)</f>
        <v>1071</v>
      </c>
      <c r="AK15" s="16">
        <f>IF($AF15="Yes",ROUND(AH15*0.03,0),0)</f>
        <v>536</v>
      </c>
    </row>
    <row r="16" spans="1:37" s="4" customFormat="1" ht="23.25" customHeight="1">
      <c r="A16" s="44"/>
      <c r="B16" s="15">
        <v>8</v>
      </c>
      <c r="C16" s="195">
        <v>45566</v>
      </c>
      <c r="D16" s="179"/>
      <c r="E16" s="180"/>
      <c r="F16" s="133">
        <f t="shared" si="19"/>
        <v>71400</v>
      </c>
      <c r="G16" s="134">
        <f>IF('Basic Data'!$B$15="Regular",'GA-55'!F16*'Basic Data'!$D$15,0)</f>
        <v>35700</v>
      </c>
      <c r="H16" s="134">
        <f>IF('Basic Data'!$B$15="Regular",'GA-55'!F16*0.09,0)</f>
        <v>6426</v>
      </c>
      <c r="I16" s="134">
        <f t="shared" si="13"/>
        <v>0</v>
      </c>
      <c r="J16" s="135">
        <f t="shared" si="14"/>
        <v>0</v>
      </c>
      <c r="K16" s="135">
        <f t="shared" si="15"/>
        <v>0</v>
      </c>
      <c r="L16" s="135"/>
      <c r="M16" s="135">
        <f t="shared" si="16"/>
        <v>0</v>
      </c>
      <c r="N16" s="135">
        <f t="shared" si="17"/>
        <v>0</v>
      </c>
      <c r="O16" s="29">
        <f t="shared" si="0"/>
        <v>113526</v>
      </c>
      <c r="P16" s="185">
        <f t="shared" si="1"/>
        <v>2850</v>
      </c>
      <c r="Q16" s="186">
        <f t="shared" si="2"/>
        <v>5000</v>
      </c>
      <c r="R16" s="186">
        <f t="shared" si="3"/>
        <v>0</v>
      </c>
      <c r="S16" s="187">
        <f t="shared" si="4"/>
        <v>850</v>
      </c>
      <c r="T16" s="187">
        <f t="shared" si="5"/>
        <v>0</v>
      </c>
      <c r="U16" s="187">
        <f t="shared" si="18"/>
        <v>0</v>
      </c>
      <c r="V16" s="187"/>
      <c r="W16" s="187"/>
      <c r="X16" s="187"/>
      <c r="Y16" s="187"/>
      <c r="Z16" s="187">
        <f t="shared" si="6"/>
        <v>0</v>
      </c>
      <c r="AA16" s="187">
        <f>'Basic Data'!I19</f>
        <v>0</v>
      </c>
      <c r="AB16" s="121">
        <f t="shared" si="7"/>
        <v>8700</v>
      </c>
      <c r="AC16" s="122">
        <f t="shared" si="8"/>
        <v>104826</v>
      </c>
      <c r="AD16" s="460"/>
      <c r="AE16" s="120"/>
      <c r="AF16" s="7" t="str">
        <f>IF(C16='Basic Data'!$I$15,"Yes","No")</f>
        <v>No</v>
      </c>
      <c r="AG16" s="16">
        <f t="shared" si="9"/>
        <v>0</v>
      </c>
      <c r="AH16" s="16">
        <f t="shared" si="10"/>
        <v>0</v>
      </c>
      <c r="AI16" s="16">
        <f t="shared" si="11"/>
        <v>0</v>
      </c>
      <c r="AJ16" s="16">
        <f>IF(AF16="yes",(F16*0.03/2),0)</f>
        <v>0</v>
      </c>
      <c r="AK16" s="16">
        <f>IF($AF16="Yes",ROUND(AH16*0.04,0),0)</f>
        <v>0</v>
      </c>
    </row>
    <row r="17" spans="1:37" s="4" customFormat="1" ht="23.25" customHeight="1">
      <c r="A17" s="44"/>
      <c r="B17" s="15">
        <v>9</v>
      </c>
      <c r="C17" s="195">
        <v>45597</v>
      </c>
      <c r="D17" s="179"/>
      <c r="E17" s="180"/>
      <c r="F17" s="133">
        <f t="shared" si="19"/>
        <v>71400</v>
      </c>
      <c r="G17" s="134">
        <f>IF('Basic Data'!$B$15="Regular",'GA-55'!F17*'Basic Data'!$E$15,0)</f>
        <v>37842</v>
      </c>
      <c r="H17" s="134">
        <f>IF('Basic Data'!$B$15="Regular",'GA-55'!F17*0.1,0)</f>
        <v>7140</v>
      </c>
      <c r="I17" s="134">
        <f t="shared" si="13"/>
        <v>0</v>
      </c>
      <c r="J17" s="135">
        <f t="shared" si="14"/>
        <v>0</v>
      </c>
      <c r="K17" s="135">
        <f t="shared" si="15"/>
        <v>0</v>
      </c>
      <c r="L17" s="135"/>
      <c r="M17" s="135">
        <f t="shared" si="16"/>
        <v>0</v>
      </c>
      <c r="N17" s="135">
        <f t="shared" si="17"/>
        <v>0</v>
      </c>
      <c r="O17" s="29">
        <f t="shared" si="0"/>
        <v>116382</v>
      </c>
      <c r="P17" s="185">
        <f t="shared" si="1"/>
        <v>2850</v>
      </c>
      <c r="Q17" s="186">
        <f t="shared" si="2"/>
        <v>5000</v>
      </c>
      <c r="R17" s="186">
        <f t="shared" si="3"/>
        <v>0</v>
      </c>
      <c r="S17" s="187">
        <f t="shared" si="4"/>
        <v>850</v>
      </c>
      <c r="T17" s="187">
        <f t="shared" si="5"/>
        <v>0</v>
      </c>
      <c r="U17" s="187">
        <f t="shared" si="18"/>
        <v>0</v>
      </c>
      <c r="V17" s="187"/>
      <c r="W17" s="187"/>
      <c r="X17" s="187"/>
      <c r="Y17" s="187"/>
      <c r="Z17" s="187">
        <f t="shared" si="6"/>
        <v>0</v>
      </c>
      <c r="AA17" s="187">
        <f>'Basic Data'!J19</f>
        <v>0</v>
      </c>
      <c r="AB17" s="121">
        <f t="shared" si="7"/>
        <v>8700</v>
      </c>
      <c r="AC17" s="122">
        <f t="shared" si="8"/>
        <v>107682</v>
      </c>
      <c r="AD17" s="460"/>
      <c r="AE17" s="120"/>
      <c r="AF17" s="7" t="str">
        <f>IF(C17='Basic Data'!$I$15,"Yes","No")</f>
        <v>No</v>
      </c>
      <c r="AG17" s="16">
        <f t="shared" si="9"/>
        <v>0</v>
      </c>
      <c r="AH17" s="16">
        <f t="shared" si="10"/>
        <v>0</v>
      </c>
      <c r="AI17" s="16">
        <f t="shared" si="11"/>
        <v>0</v>
      </c>
      <c r="AJ17" s="16"/>
      <c r="AK17" s="16"/>
    </row>
    <row r="18" spans="1:37" s="4" customFormat="1" ht="23.25" customHeight="1">
      <c r="A18" s="44"/>
      <c r="B18" s="15">
        <v>10</v>
      </c>
      <c r="C18" s="195">
        <v>45627</v>
      </c>
      <c r="D18" s="179"/>
      <c r="E18" s="180"/>
      <c r="F18" s="133">
        <f t="shared" si="19"/>
        <v>71400</v>
      </c>
      <c r="G18" s="134">
        <f>IF('Basic Data'!$B$15="Regular",'GA-55'!F18*'Basic Data'!$E$15,0)</f>
        <v>37842</v>
      </c>
      <c r="H18" s="134">
        <f>IF('Basic Data'!$B$15="Regular",'GA-55'!F18*0.1,0)</f>
        <v>7140</v>
      </c>
      <c r="I18" s="134">
        <f t="shared" si="13"/>
        <v>0</v>
      </c>
      <c r="J18" s="135">
        <f t="shared" si="14"/>
        <v>0</v>
      </c>
      <c r="K18" s="135">
        <f t="shared" si="15"/>
        <v>0</v>
      </c>
      <c r="L18" s="135"/>
      <c r="M18" s="135">
        <f t="shared" si="16"/>
        <v>0</v>
      </c>
      <c r="N18" s="135">
        <f t="shared" si="17"/>
        <v>0</v>
      </c>
      <c r="O18" s="29">
        <f t="shared" si="0"/>
        <v>116382</v>
      </c>
      <c r="P18" s="185">
        <f t="shared" si="1"/>
        <v>2850</v>
      </c>
      <c r="Q18" s="186">
        <f t="shared" si="2"/>
        <v>5000</v>
      </c>
      <c r="R18" s="186">
        <f t="shared" si="3"/>
        <v>0</v>
      </c>
      <c r="S18" s="187">
        <f t="shared" si="4"/>
        <v>850</v>
      </c>
      <c r="T18" s="187">
        <f t="shared" si="5"/>
        <v>0</v>
      </c>
      <c r="U18" s="187">
        <f t="shared" si="18"/>
        <v>0</v>
      </c>
      <c r="V18" s="187"/>
      <c r="W18" s="187"/>
      <c r="X18" s="188">
        <f>IF('Basic Data'!D10="State Service",500,250)</f>
        <v>250</v>
      </c>
      <c r="Y18" s="187"/>
      <c r="Z18" s="187">
        <f t="shared" si="6"/>
        <v>0</v>
      </c>
      <c r="AA18" s="187">
        <f>'Basic Data'!K19</f>
        <v>0</v>
      </c>
      <c r="AB18" s="121">
        <f t="shared" si="7"/>
        <v>8950</v>
      </c>
      <c r="AC18" s="122">
        <f t="shared" si="8"/>
        <v>107432</v>
      </c>
      <c r="AD18" s="460"/>
      <c r="AE18" s="120"/>
      <c r="AF18" s="7" t="str">
        <f>IF(C18='Basic Data'!$I$15,"Yes","No")</f>
        <v>No</v>
      </c>
      <c r="AG18" s="16">
        <f t="shared" si="9"/>
        <v>0</v>
      </c>
      <c r="AH18" s="16">
        <f t="shared" si="10"/>
        <v>0</v>
      </c>
      <c r="AI18" s="16">
        <f t="shared" si="11"/>
        <v>0</v>
      </c>
      <c r="AJ18" s="16"/>
      <c r="AK18" s="16"/>
    </row>
    <row r="19" spans="1:37" s="4" customFormat="1" ht="23.25" customHeight="1">
      <c r="A19" s="44"/>
      <c r="B19" s="15">
        <v>11</v>
      </c>
      <c r="C19" s="195">
        <v>45658</v>
      </c>
      <c r="D19" s="179"/>
      <c r="E19" s="180"/>
      <c r="F19" s="133">
        <f t="shared" si="19"/>
        <v>71400</v>
      </c>
      <c r="G19" s="134">
        <f>IF('Basic Data'!$B$15="Regular",'GA-55'!F19*'Basic Data'!$E$15,0)</f>
        <v>37842</v>
      </c>
      <c r="H19" s="134">
        <f>IF('Basic Data'!$B$15="Regular",'GA-55'!F19*0.1,0)</f>
        <v>7140</v>
      </c>
      <c r="I19" s="134">
        <f t="shared" si="13"/>
        <v>0</v>
      </c>
      <c r="J19" s="135">
        <f t="shared" si="14"/>
        <v>0</v>
      </c>
      <c r="K19" s="135">
        <f t="shared" si="15"/>
        <v>0</v>
      </c>
      <c r="L19" s="135"/>
      <c r="M19" s="135">
        <f t="shared" si="16"/>
        <v>0</v>
      </c>
      <c r="N19" s="135">
        <f t="shared" si="17"/>
        <v>0</v>
      </c>
      <c r="O19" s="29">
        <f t="shared" si="0"/>
        <v>116382</v>
      </c>
      <c r="P19" s="185">
        <f t="shared" si="1"/>
        <v>2850</v>
      </c>
      <c r="Q19" s="186">
        <f t="shared" si="2"/>
        <v>5000</v>
      </c>
      <c r="R19" s="186">
        <f t="shared" si="3"/>
        <v>0</v>
      </c>
      <c r="S19" s="187">
        <f t="shared" si="4"/>
        <v>850</v>
      </c>
      <c r="T19" s="187">
        <f t="shared" si="5"/>
        <v>0</v>
      </c>
      <c r="U19" s="187">
        <f t="shared" si="18"/>
        <v>0</v>
      </c>
      <c r="V19" s="187"/>
      <c r="W19" s="187"/>
      <c r="X19" s="187"/>
      <c r="Y19" s="187"/>
      <c r="Z19" s="187">
        <f t="shared" si="6"/>
        <v>0</v>
      </c>
      <c r="AA19" s="187">
        <f>'Basic Data'!L19</f>
        <v>0</v>
      </c>
      <c r="AB19" s="121">
        <f t="shared" si="7"/>
        <v>8700</v>
      </c>
      <c r="AC19" s="122">
        <f t="shared" si="8"/>
        <v>107682</v>
      </c>
      <c r="AD19" s="460"/>
      <c r="AE19" s="120"/>
      <c r="AF19" s="7" t="str">
        <f>IF(C19='Basic Data'!$I$15,"Yes","No")</f>
        <v>No</v>
      </c>
      <c r="AG19" s="16">
        <f t="shared" si="9"/>
        <v>0</v>
      </c>
      <c r="AH19" s="16">
        <f t="shared" si="10"/>
        <v>0</v>
      </c>
      <c r="AI19" s="16">
        <f t="shared" si="11"/>
        <v>0</v>
      </c>
      <c r="AJ19" s="16"/>
      <c r="AK19" s="16"/>
    </row>
    <row r="20" spans="1:37" s="4" customFormat="1" ht="23.25" customHeight="1">
      <c r="A20" s="44"/>
      <c r="B20" s="15">
        <v>12</v>
      </c>
      <c r="C20" s="195">
        <v>45689</v>
      </c>
      <c r="D20" s="179"/>
      <c r="E20" s="180"/>
      <c r="F20" s="133">
        <f t="shared" si="19"/>
        <v>71400</v>
      </c>
      <c r="G20" s="134">
        <f>IF('Basic Data'!$B$15="Regular",'GA-55'!F20*'Basic Data'!$E$15,0)</f>
        <v>37842</v>
      </c>
      <c r="H20" s="134">
        <f>IF('Basic Data'!$B$15="Regular",'GA-55'!F20*0.1,0)</f>
        <v>7140</v>
      </c>
      <c r="I20" s="134">
        <f t="shared" si="13"/>
        <v>0</v>
      </c>
      <c r="J20" s="135">
        <f t="shared" si="14"/>
        <v>0</v>
      </c>
      <c r="K20" s="135">
        <f t="shared" si="15"/>
        <v>0</v>
      </c>
      <c r="L20" s="135"/>
      <c r="M20" s="135">
        <f t="shared" si="16"/>
        <v>0</v>
      </c>
      <c r="N20" s="135">
        <f t="shared" si="17"/>
        <v>0</v>
      </c>
      <c r="O20" s="29">
        <f t="shared" si="0"/>
        <v>116382</v>
      </c>
      <c r="P20" s="185">
        <f t="shared" si="1"/>
        <v>2850</v>
      </c>
      <c r="Q20" s="186">
        <f t="shared" si="2"/>
        <v>5000</v>
      </c>
      <c r="R20" s="186">
        <f t="shared" si="3"/>
        <v>0</v>
      </c>
      <c r="S20" s="187">
        <f t="shared" si="4"/>
        <v>850</v>
      </c>
      <c r="T20" s="187">
        <f>T19</f>
        <v>0</v>
      </c>
      <c r="U20" s="187">
        <f t="shared" si="18"/>
        <v>0</v>
      </c>
      <c r="V20" s="187"/>
      <c r="W20" s="187"/>
      <c r="X20" s="187"/>
      <c r="Y20" s="187"/>
      <c r="Z20" s="187">
        <f t="shared" si="6"/>
        <v>0</v>
      </c>
      <c r="AA20" s="187">
        <f>'Basic Data'!M19</f>
        <v>0</v>
      </c>
      <c r="AB20" s="121">
        <f t="shared" si="7"/>
        <v>8700</v>
      </c>
      <c r="AC20" s="122">
        <f t="shared" si="8"/>
        <v>107682</v>
      </c>
      <c r="AD20" s="460"/>
      <c r="AE20" s="120"/>
      <c r="AF20" s="7" t="str">
        <f>IF(C20='Basic Data'!$I$15,"Yes","No")</f>
        <v>No</v>
      </c>
      <c r="AG20" s="16">
        <f t="shared" si="9"/>
        <v>0</v>
      </c>
      <c r="AH20" s="16">
        <f t="shared" si="10"/>
        <v>0</v>
      </c>
      <c r="AI20" s="16">
        <f t="shared" si="11"/>
        <v>0</v>
      </c>
      <c r="AJ20" s="16"/>
      <c r="AK20" s="16"/>
    </row>
    <row r="21" spans="1:37" s="4" customFormat="1" ht="23.25" customHeight="1">
      <c r="A21" s="44"/>
      <c r="B21" s="469" t="s">
        <v>18</v>
      </c>
      <c r="C21" s="470"/>
      <c r="D21" s="179"/>
      <c r="E21" s="180"/>
      <c r="F21" s="133"/>
      <c r="G21" s="134"/>
      <c r="H21" s="134"/>
      <c r="I21" s="134"/>
      <c r="J21" s="135"/>
      <c r="K21" s="135"/>
      <c r="L21" s="135"/>
      <c r="M21" s="135"/>
      <c r="N21" s="135">
        <f>IF('Basic Data'!L10&gt;=13,0,'Basic Data'!C15)</f>
        <v>6774</v>
      </c>
      <c r="O21" s="29">
        <f t="shared" si="0"/>
        <v>6774</v>
      </c>
      <c r="P21" s="185">
        <f>ROUND(O21*25/100,0)</f>
        <v>1694</v>
      </c>
      <c r="Q21" s="186"/>
      <c r="R21" s="186"/>
      <c r="S21" s="187"/>
      <c r="T21" s="187"/>
      <c r="U21" s="187"/>
      <c r="V21" s="187"/>
      <c r="W21" s="187"/>
      <c r="X21" s="187"/>
      <c r="Y21" s="187"/>
      <c r="Z21" s="187"/>
      <c r="AA21" s="187"/>
      <c r="AB21" s="121">
        <f t="shared" si="7"/>
        <v>1694</v>
      </c>
      <c r="AC21" s="122">
        <f t="shared" si="8"/>
        <v>5080</v>
      </c>
      <c r="AD21" s="460"/>
      <c r="AE21" s="120"/>
      <c r="AF21" s="7"/>
      <c r="AG21" s="16">
        <f>SUM(AG9:AG20)</f>
        <v>35700</v>
      </c>
      <c r="AH21" s="16">
        <f t="shared" ref="AH21:AJ21" si="20">SUM(AH9:AH20)</f>
        <v>17850</v>
      </c>
      <c r="AI21" s="16">
        <f t="shared" si="20"/>
        <v>53550</v>
      </c>
      <c r="AJ21" s="16">
        <f t="shared" si="20"/>
        <v>1071</v>
      </c>
      <c r="AK21" s="16">
        <f>SUM(AK9:AK20)</f>
        <v>536</v>
      </c>
    </row>
    <row r="22" spans="1:37" s="4" customFormat="1" ht="23.25" customHeight="1">
      <c r="A22" s="44"/>
      <c r="B22" s="471" t="s">
        <v>286</v>
      </c>
      <c r="C22" s="472"/>
      <c r="D22" s="179"/>
      <c r="E22" s="180"/>
      <c r="F22" s="133"/>
      <c r="G22" s="134">
        <f>IF('Basic Data'!F15="yes",ROUND('Basic Data'!M10*0.04*2,0),0)</f>
        <v>5544</v>
      </c>
      <c r="H22" s="134"/>
      <c r="I22" s="134"/>
      <c r="J22" s="135"/>
      <c r="K22" s="135"/>
      <c r="L22" s="135"/>
      <c r="M22" s="135"/>
      <c r="N22" s="135"/>
      <c r="O22" s="29">
        <f t="shared" si="0"/>
        <v>5544</v>
      </c>
      <c r="P22" s="185">
        <f>O22</f>
        <v>5544</v>
      </c>
      <c r="Q22" s="186"/>
      <c r="R22" s="186"/>
      <c r="S22" s="187"/>
      <c r="T22" s="187"/>
      <c r="U22" s="187"/>
      <c r="V22" s="187"/>
      <c r="W22" s="187"/>
      <c r="X22" s="187"/>
      <c r="Y22" s="187"/>
      <c r="Z22" s="187"/>
      <c r="AA22" s="187"/>
      <c r="AB22" s="121">
        <f t="shared" si="7"/>
        <v>5544</v>
      </c>
      <c r="AC22" s="122">
        <f t="shared" si="8"/>
        <v>0</v>
      </c>
      <c r="AD22" s="460"/>
      <c r="AE22" s="120"/>
      <c r="AF22" s="7"/>
      <c r="AG22" s="7"/>
      <c r="AH22" s="7"/>
      <c r="AI22" s="7"/>
      <c r="AJ22" s="7"/>
      <c r="AK22" s="7"/>
    </row>
    <row r="23" spans="1:37" s="4" customFormat="1" ht="23.25" customHeight="1">
      <c r="A23" s="44"/>
      <c r="B23" s="471" t="s">
        <v>287</v>
      </c>
      <c r="C23" s="472"/>
      <c r="D23" s="179"/>
      <c r="E23" s="180"/>
      <c r="F23" s="133"/>
      <c r="G23" s="134">
        <f>IF(AND('Basic Data'!E15&gt;'Basic Data'!D15,'Basic Data'!G15="yes"),ROUND(F13*0.03*4,0),0)</f>
        <v>8568</v>
      </c>
      <c r="H23" s="134"/>
      <c r="I23" s="134"/>
      <c r="J23" s="135"/>
      <c r="K23" s="135"/>
      <c r="L23" s="135"/>
      <c r="M23" s="135"/>
      <c r="N23" s="135"/>
      <c r="O23" s="29">
        <f t="shared" si="0"/>
        <v>8568</v>
      </c>
      <c r="P23" s="185">
        <f>O23</f>
        <v>8568</v>
      </c>
      <c r="Q23" s="186"/>
      <c r="R23" s="186"/>
      <c r="S23" s="187"/>
      <c r="T23" s="187"/>
      <c r="U23" s="187"/>
      <c r="V23" s="187"/>
      <c r="W23" s="187"/>
      <c r="X23" s="187"/>
      <c r="Y23" s="187"/>
      <c r="Z23" s="187"/>
      <c r="AA23" s="187"/>
      <c r="AB23" s="121">
        <f t="shared" si="7"/>
        <v>8568</v>
      </c>
      <c r="AC23" s="122">
        <f t="shared" si="8"/>
        <v>0</v>
      </c>
      <c r="AD23" s="460"/>
      <c r="AE23" s="120"/>
      <c r="AF23" s="7"/>
      <c r="AG23" s="7"/>
      <c r="AH23" s="7"/>
      <c r="AI23" s="7"/>
      <c r="AJ23" s="7"/>
      <c r="AK23" s="7"/>
    </row>
    <row r="24" spans="1:37" s="4" customFormat="1" ht="21" customHeight="1">
      <c r="A24" s="44"/>
      <c r="B24" s="469" t="s">
        <v>14</v>
      </c>
      <c r="C24" s="470"/>
      <c r="D24" s="179"/>
      <c r="E24" s="180"/>
      <c r="F24" s="133">
        <f>IF('Basic Data'!H15="Yes",AG21,0)</f>
        <v>0</v>
      </c>
      <c r="G24" s="134">
        <f>IF('Basic Data'!H15="Yes",AH21,0)</f>
        <v>0</v>
      </c>
      <c r="H24" s="134"/>
      <c r="I24" s="134"/>
      <c r="J24" s="135"/>
      <c r="K24" s="135"/>
      <c r="L24" s="135"/>
      <c r="M24" s="135"/>
      <c r="N24" s="135"/>
      <c r="O24" s="29">
        <f t="shared" si="0"/>
        <v>0</v>
      </c>
      <c r="P24" s="185"/>
      <c r="Q24" s="186"/>
      <c r="R24" s="186"/>
      <c r="S24" s="187"/>
      <c r="T24" s="187"/>
      <c r="U24" s="187"/>
      <c r="V24" s="187"/>
      <c r="W24" s="187"/>
      <c r="X24" s="187"/>
      <c r="Y24" s="187"/>
      <c r="Z24" s="187"/>
      <c r="AA24" s="187"/>
      <c r="AB24" s="121">
        <f t="shared" si="7"/>
        <v>0</v>
      </c>
      <c r="AC24" s="122">
        <f t="shared" si="8"/>
        <v>0</v>
      </c>
      <c r="AD24" s="460"/>
      <c r="AE24" s="120"/>
      <c r="AF24" s="7"/>
      <c r="AG24" s="7"/>
      <c r="AH24" s="7"/>
      <c r="AI24" s="7"/>
      <c r="AJ24" s="7"/>
      <c r="AK24" s="7"/>
    </row>
    <row r="25" spans="1:37" s="4" customFormat="1" ht="21" customHeight="1">
      <c r="A25" s="44"/>
      <c r="B25" s="484" t="s">
        <v>241</v>
      </c>
      <c r="C25" s="485"/>
      <c r="D25" s="179"/>
      <c r="E25" s="180"/>
      <c r="F25" s="133"/>
      <c r="G25" s="134">
        <f>IF('Basic Data'!H15="Yes",AJ21,0)</f>
        <v>0</v>
      </c>
      <c r="H25" s="134"/>
      <c r="I25" s="134"/>
      <c r="J25" s="135"/>
      <c r="K25" s="135"/>
      <c r="L25" s="135"/>
      <c r="M25" s="135"/>
      <c r="N25" s="135"/>
      <c r="O25" s="29">
        <f t="shared" si="0"/>
        <v>0</v>
      </c>
      <c r="P25" s="185">
        <f>G25</f>
        <v>0</v>
      </c>
      <c r="Q25" s="186"/>
      <c r="R25" s="186"/>
      <c r="S25" s="187"/>
      <c r="T25" s="187"/>
      <c r="U25" s="187"/>
      <c r="V25" s="187"/>
      <c r="W25" s="187"/>
      <c r="X25" s="187"/>
      <c r="Y25" s="187"/>
      <c r="Z25" s="187"/>
      <c r="AA25" s="187"/>
      <c r="AB25" s="121">
        <f t="shared" si="7"/>
        <v>0</v>
      </c>
      <c r="AC25" s="122">
        <f t="shared" si="8"/>
        <v>0</v>
      </c>
      <c r="AD25" s="460"/>
      <c r="AE25" s="120"/>
      <c r="AF25" s="7"/>
      <c r="AG25" s="7"/>
      <c r="AH25" s="7"/>
      <c r="AI25" s="7"/>
      <c r="AJ25" s="7"/>
      <c r="AK25" s="7"/>
    </row>
    <row r="26" spans="1:37" s="4" customFormat="1" ht="21" customHeight="1">
      <c r="A26" s="44"/>
      <c r="B26" s="515" t="s">
        <v>36</v>
      </c>
      <c r="C26" s="516"/>
      <c r="D26" s="179"/>
      <c r="E26" s="180"/>
      <c r="F26" s="133"/>
      <c r="G26" s="134"/>
      <c r="H26" s="134"/>
      <c r="I26" s="134"/>
      <c r="J26" s="135"/>
      <c r="K26" s="135"/>
      <c r="L26" s="135"/>
      <c r="M26" s="135"/>
      <c r="N26" s="135"/>
      <c r="O26" s="29">
        <f t="shared" si="0"/>
        <v>0</v>
      </c>
      <c r="P26" s="185"/>
      <c r="Q26" s="186"/>
      <c r="R26" s="186"/>
      <c r="S26" s="187"/>
      <c r="T26" s="187"/>
      <c r="U26" s="187"/>
      <c r="V26" s="187"/>
      <c r="W26" s="187"/>
      <c r="X26" s="187"/>
      <c r="Y26" s="187"/>
      <c r="Z26" s="187"/>
      <c r="AA26" s="187"/>
      <c r="AB26" s="121">
        <f t="shared" si="7"/>
        <v>0</v>
      </c>
      <c r="AC26" s="122">
        <f t="shared" si="8"/>
        <v>0</v>
      </c>
      <c r="AD26" s="460"/>
      <c r="AE26" s="120"/>
      <c r="AF26" s="7"/>
      <c r="AG26" s="7"/>
      <c r="AH26" s="7"/>
      <c r="AI26" s="7"/>
      <c r="AJ26" s="7"/>
      <c r="AK26" s="7"/>
    </row>
    <row r="27" spans="1:37" s="4" customFormat="1" ht="21" customHeight="1">
      <c r="A27" s="44"/>
      <c r="B27" s="469" t="s">
        <v>54</v>
      </c>
      <c r="C27" s="470"/>
      <c r="D27" s="179"/>
      <c r="E27" s="180"/>
      <c r="F27" s="133"/>
      <c r="G27" s="134">
        <f>IF('Basic Data'!I15="Yes",AJ21,0)</f>
        <v>0</v>
      </c>
      <c r="H27" s="134"/>
      <c r="I27" s="134"/>
      <c r="J27" s="135"/>
      <c r="K27" s="135"/>
      <c r="L27" s="135"/>
      <c r="M27" s="135"/>
      <c r="N27" s="135"/>
      <c r="O27" s="29">
        <f t="shared" si="0"/>
        <v>0</v>
      </c>
      <c r="P27" s="185">
        <f>O27</f>
        <v>0</v>
      </c>
      <c r="Q27" s="186"/>
      <c r="R27" s="186"/>
      <c r="S27" s="187"/>
      <c r="T27" s="187"/>
      <c r="U27" s="187"/>
      <c r="V27" s="187"/>
      <c r="W27" s="187"/>
      <c r="X27" s="187"/>
      <c r="Y27" s="187"/>
      <c r="Z27" s="187"/>
      <c r="AA27" s="187"/>
      <c r="AB27" s="121">
        <f t="shared" si="7"/>
        <v>0</v>
      </c>
      <c r="AC27" s="122">
        <f t="shared" si="8"/>
        <v>0</v>
      </c>
      <c r="AD27" s="460"/>
      <c r="AE27" s="120"/>
      <c r="AF27" s="7"/>
      <c r="AG27" s="7"/>
      <c r="AH27" s="7"/>
      <c r="AI27" s="7"/>
      <c r="AJ27" s="7"/>
      <c r="AK27" s="7"/>
    </row>
    <row r="28" spans="1:37" s="4" customFormat="1" ht="18.75" customHeight="1">
      <c r="A28" s="44"/>
      <c r="B28" s="515" t="s">
        <v>45</v>
      </c>
      <c r="C28" s="516"/>
      <c r="D28" s="179"/>
      <c r="E28" s="180"/>
      <c r="F28" s="133"/>
      <c r="G28" s="134"/>
      <c r="H28" s="134" t="str">
        <f>IF('Basic Data'!Q19="Yes",'GA-55'!F13*0.01*4,"")</f>
        <v/>
      </c>
      <c r="I28" s="134"/>
      <c r="J28" s="135"/>
      <c r="K28" s="135"/>
      <c r="L28" s="135"/>
      <c r="M28" s="135"/>
      <c r="N28" s="135"/>
      <c r="O28" s="29">
        <f t="shared" si="0"/>
        <v>0</v>
      </c>
      <c r="P28" s="185"/>
      <c r="Q28" s="186"/>
      <c r="R28" s="186"/>
      <c r="S28" s="187"/>
      <c r="T28" s="187"/>
      <c r="U28" s="187"/>
      <c r="V28" s="187"/>
      <c r="W28" s="187"/>
      <c r="X28" s="187"/>
      <c r="Y28" s="187"/>
      <c r="Z28" s="187"/>
      <c r="AA28" s="187"/>
      <c r="AB28" s="121">
        <f t="shared" si="7"/>
        <v>0</v>
      </c>
      <c r="AC28" s="122">
        <f t="shared" si="8"/>
        <v>0</v>
      </c>
      <c r="AD28" s="460"/>
      <c r="AE28" s="120"/>
      <c r="AF28" s="7"/>
      <c r="AG28" s="7"/>
      <c r="AH28" s="7"/>
      <c r="AI28" s="7"/>
      <c r="AJ28" s="7"/>
      <c r="AK28" s="7"/>
    </row>
    <row r="29" spans="1:37" s="4" customFormat="1" ht="18.75" customHeight="1">
      <c r="A29" s="44"/>
      <c r="B29" s="515" t="s">
        <v>46</v>
      </c>
      <c r="C29" s="516"/>
      <c r="D29" s="179"/>
      <c r="E29" s="180"/>
      <c r="F29" s="133"/>
      <c r="G29" s="134"/>
      <c r="H29" s="134"/>
      <c r="I29" s="134"/>
      <c r="J29" s="135"/>
      <c r="K29" s="135"/>
      <c r="L29" s="135"/>
      <c r="M29" s="135"/>
      <c r="N29" s="135"/>
      <c r="O29" s="29">
        <f t="shared" si="0"/>
        <v>0</v>
      </c>
      <c r="P29" s="185"/>
      <c r="Q29" s="186"/>
      <c r="R29" s="186"/>
      <c r="S29" s="187"/>
      <c r="T29" s="187"/>
      <c r="U29" s="187"/>
      <c r="V29" s="187"/>
      <c r="W29" s="187"/>
      <c r="X29" s="187"/>
      <c r="Y29" s="187"/>
      <c r="Z29" s="187"/>
      <c r="AA29" s="187"/>
      <c r="AB29" s="121">
        <f t="shared" si="7"/>
        <v>0</v>
      </c>
      <c r="AC29" s="122">
        <f t="shared" si="8"/>
        <v>0</v>
      </c>
      <c r="AD29" s="460"/>
      <c r="AE29" s="120"/>
      <c r="AF29" s="7"/>
      <c r="AG29" s="7"/>
      <c r="AH29" s="7"/>
      <c r="AI29" s="7"/>
      <c r="AJ29" s="7"/>
      <c r="AK29" s="7"/>
    </row>
    <row r="30" spans="1:37" s="4" customFormat="1" ht="18.75" customHeight="1" thickBot="1">
      <c r="A30" s="44"/>
      <c r="B30" s="517" t="s">
        <v>318</v>
      </c>
      <c r="C30" s="518"/>
      <c r="D30" s="181"/>
      <c r="E30" s="182"/>
      <c r="F30" s="136"/>
      <c r="G30" s="137"/>
      <c r="H30" s="137"/>
      <c r="I30" s="137"/>
      <c r="J30" s="138"/>
      <c r="K30" s="138"/>
      <c r="L30" s="138"/>
      <c r="M30" s="138"/>
      <c r="N30" s="138"/>
      <c r="O30" s="30">
        <f t="shared" si="0"/>
        <v>0</v>
      </c>
      <c r="P30" s="189"/>
      <c r="Q30" s="190"/>
      <c r="R30" s="190"/>
      <c r="S30" s="191"/>
      <c r="T30" s="191"/>
      <c r="U30" s="191"/>
      <c r="V30" s="191"/>
      <c r="W30" s="191"/>
      <c r="X30" s="191"/>
      <c r="Y30" s="191"/>
      <c r="Z30" s="191"/>
      <c r="AA30" s="191"/>
      <c r="AB30" s="123">
        <f t="shared" si="7"/>
        <v>0</v>
      </c>
      <c r="AC30" s="124">
        <f t="shared" si="8"/>
        <v>0</v>
      </c>
      <c r="AD30" s="460"/>
      <c r="AE30" s="120"/>
      <c r="AF30" s="7"/>
      <c r="AG30" s="7"/>
      <c r="AH30" s="7"/>
      <c r="AI30" s="7"/>
      <c r="AJ30" s="7"/>
      <c r="AK30" s="7"/>
    </row>
    <row r="31" spans="1:37" s="4" customFormat="1" ht="87" customHeight="1" thickBot="1">
      <c r="A31" s="45"/>
      <c r="B31" s="502" t="s">
        <v>8</v>
      </c>
      <c r="C31" s="503"/>
      <c r="D31" s="503"/>
      <c r="E31" s="504"/>
      <c r="F31" s="125">
        <f t="array" ref="F31">SUM(F9:F30)</f>
        <v>848400</v>
      </c>
      <c r="G31" s="34">
        <f t="array" ref="G31">SUM(G9:G30)</f>
        <v>446880</v>
      </c>
      <c r="H31" s="34">
        <f t="array" ref="H31">SUM(H9:H30)</f>
        <v>79212</v>
      </c>
      <c r="I31" s="34">
        <f t="array" ref="I31">SUM(I9:I30)</f>
        <v>0</v>
      </c>
      <c r="J31" s="34">
        <f t="array" ref="J31">SUM(J9:J30)</f>
        <v>0</v>
      </c>
      <c r="K31" s="34">
        <f t="array" ref="K31">SUM(K9:K30)</f>
        <v>0</v>
      </c>
      <c r="L31" s="34">
        <f t="array" ref="L31">SUM(L9:L30)</f>
        <v>0</v>
      </c>
      <c r="M31" s="34">
        <f t="array" ref="M31">SUM(M9:M30)</f>
        <v>0</v>
      </c>
      <c r="N31" s="34">
        <f t="array" ref="N31">SUM(N9:N30)</f>
        <v>6774</v>
      </c>
      <c r="O31" s="35">
        <f t="array" ref="O31">SUM(O9:O30)</f>
        <v>1381266</v>
      </c>
      <c r="P31" s="126">
        <f t="array" ref="P31">SUM(P9:P30)</f>
        <v>50006</v>
      </c>
      <c r="Q31" s="34">
        <f t="array" ref="Q31">SUM(Q9:Q30)</f>
        <v>60000</v>
      </c>
      <c r="R31" s="34">
        <f t="array" ref="R31">SUM(R9:R30)</f>
        <v>0</v>
      </c>
      <c r="S31" s="34">
        <f t="array" ref="S31">SUM(S9:S30)</f>
        <v>10200</v>
      </c>
      <c r="T31" s="34">
        <f t="array" ref="T31">SUM(T9:T30)</f>
        <v>0</v>
      </c>
      <c r="U31" s="34">
        <f t="array" ref="U31">SUM(U9:U30)</f>
        <v>1400</v>
      </c>
      <c r="V31" s="34">
        <f t="array" ref="V31">SUM(V9:V30)</f>
        <v>0</v>
      </c>
      <c r="W31" s="34">
        <f t="array" ref="W31">SUM(W9:W30)</f>
        <v>0</v>
      </c>
      <c r="X31" s="34">
        <f t="array" ref="X31">SUM(X9:X30)</f>
        <v>250</v>
      </c>
      <c r="Y31" s="34">
        <f t="array" ref="Y31">SUM(Y9:Y30)</f>
        <v>0</v>
      </c>
      <c r="Z31" s="125">
        <f t="array" ref="Z31">SUM(Z9:Z30)</f>
        <v>0</v>
      </c>
      <c r="AA31" s="34">
        <f t="array" ref="AA31">SUM(AA9:AA30)</f>
        <v>0</v>
      </c>
      <c r="AB31" s="127">
        <f t="array" ref="AB31">SUM(AB9:AB30)</f>
        <v>121856</v>
      </c>
      <c r="AC31" s="128">
        <f t="array" ref="AC31">SUM(AC9:AC30)</f>
        <v>1259410</v>
      </c>
      <c r="AD31" s="460"/>
      <c r="AE31" s="129"/>
      <c r="AF31" s="7"/>
      <c r="AG31" s="7"/>
      <c r="AH31" s="7"/>
      <c r="AI31" s="7"/>
      <c r="AJ31" s="7"/>
      <c r="AK31" s="7"/>
    </row>
    <row r="32" spans="1:37" s="4" customFormat="1" ht="64.5" customHeight="1" thickBot="1">
      <c r="B32" s="497" t="str">
        <f>CONCATENATE("Siganture of Employee", "(",'Basic Data'!B10,")")</f>
        <v>Siganture of Employee()</v>
      </c>
      <c r="C32" s="498"/>
      <c r="D32" s="498"/>
      <c r="E32" s="498"/>
      <c r="F32" s="498"/>
      <c r="G32" s="498"/>
      <c r="H32" s="498"/>
      <c r="I32" s="498"/>
      <c r="J32" s="498"/>
      <c r="K32" s="498"/>
      <c r="L32" s="498"/>
      <c r="M32" s="498"/>
      <c r="N32" s="498"/>
      <c r="O32" s="499"/>
      <c r="P32" s="500" t="str">
        <f>CONCATENATE("Signature of DDO"," ","(",'Basic Data'!O6,")")</f>
        <v>Signature of DDO ()</v>
      </c>
      <c r="Q32" s="498"/>
      <c r="R32" s="498"/>
      <c r="S32" s="498"/>
      <c r="T32" s="498"/>
      <c r="U32" s="498"/>
      <c r="V32" s="498"/>
      <c r="W32" s="498"/>
      <c r="X32" s="498"/>
      <c r="Y32" s="498"/>
      <c r="Z32" s="498"/>
      <c r="AA32" s="498"/>
      <c r="AB32" s="498"/>
      <c r="AC32" s="501"/>
      <c r="AD32" s="460"/>
      <c r="AE32" s="130"/>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 ref="B1:AC1"/>
    <mergeCell ref="J3:O3"/>
    <mergeCell ref="P3:R3"/>
    <mergeCell ref="T3:Z3"/>
    <mergeCell ref="AA3:AC3"/>
    <mergeCell ref="F3:I3"/>
    <mergeCell ref="B3:E3"/>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s>
  <conditionalFormatting sqref="AE9:AE30 B9:AC30">
    <cfRule type="cellIs" dxfId="24"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XFC75"/>
  <sheetViews>
    <sheetView showGridLines="0" showRowColHeaders="0" topLeftCell="A16" workbookViewId="0">
      <selection activeCell="Q37" sqref="Q37:Q38"/>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26.7109375" style="18" customWidth="1"/>
    <col min="18" max="18" width="1.7109375" style="18" customWidth="1"/>
    <col min="19" max="19" width="1.7109375" style="18" hidden="1" customWidth="1"/>
    <col min="20" max="20" width="21.140625" style="1" customWidth="1"/>
    <col min="21" max="21" width="21.5703125" style="107" customWidth="1"/>
    <col min="22" max="22" width="2.28515625" style="108" customWidth="1"/>
    <col min="23" max="23" width="16.28515625" style="1" hidden="1"/>
    <col min="24" max="30" width="16.28515625" style="108" hidden="1"/>
    <col min="31" max="50" width="16.28515625" style="1" hidden="1"/>
    <col min="51" max="16383" width="7.42578125" style="1" hidden="1"/>
    <col min="16384" max="16384" width="2.28515625" style="1" hidden="1"/>
  </cols>
  <sheetData>
    <row r="1" spans="1:30" ht="28.5" thickBot="1">
      <c r="A1" s="648"/>
      <c r="B1" s="649" t="str">
        <f>'Exemp.(HRA+Other) &amp; Other incom'!A1</f>
        <v>Office: Govt. Sr. School Raimalwada (DDO Code :-12345)</v>
      </c>
      <c r="C1" s="650"/>
      <c r="D1" s="650"/>
      <c r="E1" s="650"/>
      <c r="F1" s="650"/>
      <c r="G1" s="650"/>
      <c r="H1" s="650"/>
      <c r="I1" s="650"/>
      <c r="J1" s="650"/>
      <c r="K1" s="650"/>
      <c r="L1" s="650"/>
      <c r="M1" s="650"/>
      <c r="N1" s="650"/>
      <c r="O1" s="650"/>
      <c r="P1" s="650"/>
      <c r="Q1" s="651"/>
      <c r="R1" s="628"/>
      <c r="S1" s="204"/>
      <c r="T1" s="520"/>
      <c r="U1" s="520"/>
      <c r="V1" s="520"/>
      <c r="W1" s="245"/>
      <c r="X1" s="245"/>
      <c r="Y1" s="245"/>
      <c r="Z1" s="245"/>
    </row>
    <row r="2" spans="1:30" ht="21" customHeight="1" thickBot="1">
      <c r="A2" s="648"/>
      <c r="B2" s="629" t="s">
        <v>290</v>
      </c>
      <c r="C2" s="630"/>
      <c r="D2" s="630"/>
      <c r="E2" s="630"/>
      <c r="F2" s="630"/>
      <c r="G2" s="630"/>
      <c r="H2" s="630"/>
      <c r="I2" s="630"/>
      <c r="J2" s="630"/>
      <c r="K2" s="630"/>
      <c r="L2" s="630"/>
      <c r="M2" s="631"/>
      <c r="N2" s="632" t="s">
        <v>225</v>
      </c>
      <c r="O2" s="633"/>
      <c r="P2" s="633"/>
      <c r="Q2" s="634"/>
      <c r="R2" s="628"/>
      <c r="S2" s="204"/>
      <c r="T2" s="529" t="s">
        <v>234</v>
      </c>
      <c r="U2" s="530"/>
      <c r="V2" s="520"/>
      <c r="W2" s="245"/>
      <c r="X2" s="245"/>
      <c r="Y2" s="245"/>
      <c r="Z2" s="245"/>
    </row>
    <row r="3" spans="1:30" s="95" customFormat="1" ht="16.5" customHeight="1" thickBot="1">
      <c r="A3" s="648"/>
      <c r="B3" s="89">
        <v>1</v>
      </c>
      <c r="C3" s="635" t="s">
        <v>157</v>
      </c>
      <c r="D3" s="635"/>
      <c r="E3" s="636">
        <f>'GA-55'!F3</f>
        <v>0</v>
      </c>
      <c r="F3" s="636"/>
      <c r="G3" s="636"/>
      <c r="H3" s="636"/>
      <c r="I3" s="636"/>
      <c r="J3" s="636"/>
      <c r="K3" s="90" t="s">
        <v>158</v>
      </c>
      <c r="L3" s="637">
        <f>'GA-55'!P3</f>
        <v>0</v>
      </c>
      <c r="M3" s="637"/>
      <c r="N3" s="637"/>
      <c r="O3" s="91" t="s">
        <v>91</v>
      </c>
      <c r="P3" s="638" t="str">
        <f>'GA-55'!F5</f>
        <v>ABCDE1234F</v>
      </c>
      <c r="Q3" s="639"/>
      <c r="R3" s="628"/>
      <c r="S3" s="204"/>
      <c r="T3" s="531"/>
      <c r="U3" s="532"/>
      <c r="V3" s="520"/>
      <c r="W3" s="245"/>
      <c r="X3" s="245"/>
      <c r="Y3" s="245"/>
      <c r="Z3" s="245"/>
      <c r="AA3" s="94"/>
      <c r="AB3" s="94"/>
      <c r="AC3" s="94"/>
      <c r="AD3" s="94"/>
    </row>
    <row r="4" spans="1:30" ht="14.25" customHeight="1">
      <c r="A4" s="648"/>
      <c r="B4" s="100">
        <v>2</v>
      </c>
      <c r="C4" s="640" t="s">
        <v>291</v>
      </c>
      <c r="D4" s="640"/>
      <c r="E4" s="640"/>
      <c r="F4" s="640"/>
      <c r="G4" s="640"/>
      <c r="H4" s="640"/>
      <c r="I4" s="640"/>
      <c r="J4" s="640"/>
      <c r="K4" s="640"/>
      <c r="L4" s="640"/>
      <c r="M4" s="640"/>
      <c r="N4" s="640"/>
      <c r="O4" s="640"/>
      <c r="P4" s="64" t="s">
        <v>127</v>
      </c>
      <c r="Q4" s="88">
        <f>'GA-55'!O31</f>
        <v>1381266</v>
      </c>
      <c r="R4" s="628"/>
      <c r="S4" s="204"/>
      <c r="T4" s="531"/>
      <c r="U4" s="532"/>
      <c r="V4" s="520"/>
      <c r="W4" s="245"/>
      <c r="X4" s="245"/>
      <c r="Y4" s="245"/>
      <c r="Z4" s="245"/>
    </row>
    <row r="5" spans="1:30" ht="14.25" customHeight="1">
      <c r="A5" s="648"/>
      <c r="B5" s="101">
        <v>3</v>
      </c>
      <c r="C5" s="612" t="s">
        <v>166</v>
      </c>
      <c r="D5" s="612"/>
      <c r="E5" s="612"/>
      <c r="F5" s="612"/>
      <c r="G5" s="612"/>
      <c r="H5" s="612"/>
      <c r="I5" s="612"/>
      <c r="J5" s="612"/>
      <c r="K5" s="612"/>
      <c r="L5" s="612"/>
      <c r="M5" s="612"/>
      <c r="N5" s="612"/>
      <c r="O5" s="612"/>
      <c r="P5" s="260" t="s">
        <v>127</v>
      </c>
      <c r="Q5" s="261">
        <f>IF(N2="old tax regime",'Exemp.(HRA+Other) &amp; Other incom'!K4,0)</f>
        <v>0</v>
      </c>
      <c r="R5" s="628"/>
      <c r="S5" s="204"/>
      <c r="T5" s="531"/>
      <c r="U5" s="532"/>
      <c r="V5" s="520"/>
      <c r="W5" s="245"/>
      <c r="X5" s="245"/>
      <c r="Y5" s="245"/>
      <c r="Z5" s="245"/>
    </row>
    <row r="6" spans="1:30" ht="14.25" customHeight="1">
      <c r="A6" s="648"/>
      <c r="B6" s="101">
        <v>4</v>
      </c>
      <c r="C6" s="641" t="s">
        <v>160</v>
      </c>
      <c r="D6" s="641"/>
      <c r="E6" s="641"/>
      <c r="F6" s="641"/>
      <c r="G6" s="641"/>
      <c r="H6" s="641"/>
      <c r="I6" s="641"/>
      <c r="J6" s="641"/>
      <c r="K6" s="641"/>
      <c r="L6" s="641"/>
      <c r="M6" s="641"/>
      <c r="N6" s="641"/>
      <c r="O6" s="641"/>
      <c r="P6" s="56" t="s">
        <v>127</v>
      </c>
      <c r="Q6" s="81">
        <f>Q4-Q5</f>
        <v>1381266</v>
      </c>
      <c r="R6" s="628"/>
      <c r="S6" s="204"/>
      <c r="T6" s="531"/>
      <c r="U6" s="532"/>
      <c r="V6" s="520"/>
      <c r="W6" s="245"/>
      <c r="X6" s="245"/>
      <c r="Y6" s="245"/>
      <c r="Z6" s="245"/>
    </row>
    <row r="7" spans="1:30" ht="14.25" customHeight="1" thickBot="1">
      <c r="A7" s="648"/>
      <c r="B7" s="571">
        <v>5</v>
      </c>
      <c r="C7" s="612" t="s">
        <v>162</v>
      </c>
      <c r="D7" s="612"/>
      <c r="E7" s="612"/>
      <c r="F7" s="612"/>
      <c r="G7" s="612"/>
      <c r="H7" s="612"/>
      <c r="I7" s="612"/>
      <c r="J7" s="612"/>
      <c r="K7" s="612"/>
      <c r="L7" s="612"/>
      <c r="M7" s="642">
        <f>'Exemp.(HRA+Other) &amp; Other incom'!L13</f>
        <v>0</v>
      </c>
      <c r="N7" s="642"/>
      <c r="O7" s="642"/>
      <c r="P7" s="643"/>
      <c r="Q7" s="644"/>
      <c r="R7" s="628"/>
      <c r="S7" s="204"/>
      <c r="T7" s="533"/>
      <c r="U7" s="534"/>
      <c r="V7" s="520"/>
      <c r="W7" s="245"/>
      <c r="X7" s="245"/>
      <c r="Y7" s="245"/>
      <c r="Z7" s="245"/>
    </row>
    <row r="8" spans="1:30" ht="14.25" customHeight="1">
      <c r="A8" s="648"/>
      <c r="B8" s="571"/>
      <c r="C8" s="612" t="s">
        <v>163</v>
      </c>
      <c r="D8" s="612"/>
      <c r="E8" s="612"/>
      <c r="F8" s="612"/>
      <c r="G8" s="612"/>
      <c r="H8" s="612"/>
      <c r="I8" s="612"/>
      <c r="J8" s="612"/>
      <c r="K8" s="612"/>
      <c r="L8" s="612"/>
      <c r="M8" s="642">
        <f>'Exemp.(HRA+Other) &amp; Other incom'!L14</f>
        <v>0</v>
      </c>
      <c r="N8" s="642"/>
      <c r="O8" s="642"/>
      <c r="P8" s="643"/>
      <c r="Q8" s="644"/>
      <c r="R8" s="628"/>
      <c r="S8" s="542" t="str">
        <f>IF(U8&gt;U12,"n","y")</f>
        <v>n</v>
      </c>
      <c r="T8" s="535" t="s">
        <v>235</v>
      </c>
      <c r="U8" s="538">
        <f>'Old Regime Calc. Report'!Q66</f>
        <v>185600</v>
      </c>
      <c r="V8" s="520"/>
      <c r="W8" s="246"/>
      <c r="X8" s="528"/>
      <c r="Y8" s="528"/>
      <c r="Z8" s="528"/>
    </row>
    <row r="9" spans="1:30" ht="14.25" customHeight="1">
      <c r="A9" s="648"/>
      <c r="B9" s="571"/>
      <c r="C9" s="567" t="s">
        <v>302</v>
      </c>
      <c r="D9" s="567"/>
      <c r="E9" s="567"/>
      <c r="F9" s="567"/>
      <c r="G9" s="567"/>
      <c r="H9" s="567"/>
      <c r="I9" s="567"/>
      <c r="J9" s="567"/>
      <c r="K9" s="567"/>
      <c r="L9" s="567"/>
      <c r="M9" s="645">
        <v>75000</v>
      </c>
      <c r="N9" s="645"/>
      <c r="O9" s="645"/>
      <c r="P9" s="56" t="s">
        <v>127</v>
      </c>
      <c r="Q9" s="76">
        <f>M7+M8+M9</f>
        <v>75000</v>
      </c>
      <c r="R9" s="628"/>
      <c r="S9" s="543"/>
      <c r="T9" s="536"/>
      <c r="U9" s="539"/>
      <c r="V9" s="520"/>
      <c r="W9" s="246"/>
      <c r="X9" s="528"/>
      <c r="Y9" s="528"/>
      <c r="Z9" s="528"/>
    </row>
    <row r="10" spans="1:30" ht="14.25" customHeight="1">
      <c r="A10" s="648"/>
      <c r="B10" s="101">
        <v>6</v>
      </c>
      <c r="C10" s="641" t="s">
        <v>165</v>
      </c>
      <c r="D10" s="641"/>
      <c r="E10" s="641"/>
      <c r="F10" s="641"/>
      <c r="G10" s="641"/>
      <c r="H10" s="641"/>
      <c r="I10" s="641"/>
      <c r="J10" s="641"/>
      <c r="K10" s="641"/>
      <c r="L10" s="641"/>
      <c r="M10" s="641"/>
      <c r="N10" s="641"/>
      <c r="O10" s="641"/>
      <c r="P10" s="56" t="s">
        <v>127</v>
      </c>
      <c r="Q10" s="81">
        <f>Q6-Q9</f>
        <v>1306266</v>
      </c>
      <c r="R10" s="628"/>
      <c r="S10" s="543"/>
      <c r="T10" s="536"/>
      <c r="U10" s="539"/>
      <c r="V10" s="520"/>
      <c r="W10" s="246"/>
      <c r="X10" s="528"/>
      <c r="Y10" s="528"/>
      <c r="Z10" s="528"/>
    </row>
    <row r="11" spans="1:30" ht="14.25" customHeight="1">
      <c r="A11" s="648"/>
      <c r="B11" s="571">
        <v>7</v>
      </c>
      <c r="C11" s="567" t="s">
        <v>167</v>
      </c>
      <c r="D11" s="567"/>
      <c r="E11" s="567"/>
      <c r="F11" s="567"/>
      <c r="G11" s="567"/>
      <c r="H11" s="567"/>
      <c r="I11" s="567"/>
      <c r="J11" s="567"/>
      <c r="K11" s="646" t="s">
        <v>168</v>
      </c>
      <c r="L11" s="646"/>
      <c r="M11" s="645">
        <f>'Exemp.(HRA+Other) &amp; Other incom'!L7</f>
        <v>0</v>
      </c>
      <c r="N11" s="645"/>
      <c r="O11" s="645"/>
      <c r="P11" s="646"/>
      <c r="Q11" s="647"/>
      <c r="R11" s="628"/>
      <c r="S11" s="249"/>
      <c r="T11" s="250"/>
      <c r="U11" s="251"/>
      <c r="V11" s="520"/>
      <c r="W11" s="247"/>
      <c r="X11" s="247"/>
      <c r="Y11" s="247"/>
      <c r="Z11" s="247"/>
    </row>
    <row r="12" spans="1:30" ht="14.25" customHeight="1">
      <c r="A12" s="648"/>
      <c r="B12" s="571"/>
      <c r="C12" s="652" t="s">
        <v>169</v>
      </c>
      <c r="D12" s="652"/>
      <c r="E12" s="646" t="s">
        <v>170</v>
      </c>
      <c r="F12" s="646"/>
      <c r="G12" s="646"/>
      <c r="H12" s="653" t="s">
        <v>171</v>
      </c>
      <c r="I12" s="653"/>
      <c r="J12" s="653"/>
      <c r="K12" s="646" t="s">
        <v>128</v>
      </c>
      <c r="L12" s="646"/>
      <c r="M12" s="658" t="s">
        <v>172</v>
      </c>
      <c r="N12" s="658"/>
      <c r="O12" s="658"/>
      <c r="P12" s="646"/>
      <c r="Q12" s="647"/>
      <c r="R12" s="628"/>
      <c r="S12" s="542" t="str">
        <f>IF(U12&gt;U8,"n","y")</f>
        <v>y</v>
      </c>
      <c r="T12" s="536" t="s">
        <v>236</v>
      </c>
      <c r="U12" s="540">
        <f>Q69</f>
        <v>105300</v>
      </c>
      <c r="V12" s="520"/>
      <c r="W12" s="246"/>
      <c r="X12" s="528"/>
      <c r="Y12" s="528"/>
      <c r="Z12" s="528"/>
    </row>
    <row r="13" spans="1:30" ht="14.25" customHeight="1">
      <c r="A13" s="648"/>
      <c r="B13" s="571"/>
      <c r="C13" s="652"/>
      <c r="D13" s="652"/>
      <c r="E13" s="645">
        <f>ROUND(M11*0.3,0)</f>
        <v>0</v>
      </c>
      <c r="F13" s="645"/>
      <c r="G13" s="645"/>
      <c r="H13" s="645">
        <f>IF(N2="old tax regime",'Exemp.(HRA+Other) &amp; Other incom'!L17,0)</f>
        <v>0</v>
      </c>
      <c r="I13" s="645"/>
      <c r="J13" s="645"/>
      <c r="K13" s="645">
        <f>IF(N2="old tax regime",'Exemp.(HRA+Other) &amp; Other incom'!L15,0)</f>
        <v>0</v>
      </c>
      <c r="L13" s="645"/>
      <c r="M13" s="659">
        <f>E13+H13+K13</f>
        <v>0</v>
      </c>
      <c r="N13" s="659"/>
      <c r="O13" s="659"/>
      <c r="P13" s="646"/>
      <c r="Q13" s="647"/>
      <c r="R13" s="628"/>
      <c r="S13" s="543"/>
      <c r="T13" s="536"/>
      <c r="U13" s="539"/>
      <c r="V13" s="520"/>
      <c r="W13" s="246"/>
      <c r="X13" s="528"/>
      <c r="Y13" s="528"/>
      <c r="Z13" s="528"/>
    </row>
    <row r="14" spans="1:30" ht="15.75" customHeight="1" thickBot="1">
      <c r="A14" s="648"/>
      <c r="B14" s="101"/>
      <c r="C14" s="660" t="s">
        <v>174</v>
      </c>
      <c r="D14" s="526"/>
      <c r="E14" s="526"/>
      <c r="F14" s="526"/>
      <c r="G14" s="526"/>
      <c r="H14" s="526"/>
      <c r="I14" s="526"/>
      <c r="J14" s="526"/>
      <c r="K14" s="526"/>
      <c r="L14" s="526"/>
      <c r="M14" s="526"/>
      <c r="N14" s="526"/>
      <c r="O14" s="527"/>
      <c r="P14" s="56" t="s">
        <v>127</v>
      </c>
      <c r="Q14" s="76">
        <f>M11-M13</f>
        <v>0</v>
      </c>
      <c r="R14" s="628"/>
      <c r="S14" s="543"/>
      <c r="T14" s="537"/>
      <c r="U14" s="541"/>
      <c r="V14" s="520"/>
      <c r="W14" s="246"/>
      <c r="X14" s="528"/>
      <c r="Y14" s="528"/>
      <c r="Z14" s="528"/>
    </row>
    <row r="15" spans="1:30" ht="22.5" customHeight="1" thickBot="1">
      <c r="A15" s="648"/>
      <c r="B15" s="101">
        <v>8</v>
      </c>
      <c r="C15" s="525" t="s">
        <v>173</v>
      </c>
      <c r="D15" s="654"/>
      <c r="E15" s="654"/>
      <c r="F15" s="654"/>
      <c r="G15" s="654"/>
      <c r="H15" s="654"/>
      <c r="I15" s="654"/>
      <c r="J15" s="654"/>
      <c r="K15" s="654"/>
      <c r="L15" s="654"/>
      <c r="M15" s="654"/>
      <c r="N15" s="654"/>
      <c r="O15" s="655"/>
      <c r="P15" s="56" t="s">
        <v>127</v>
      </c>
      <c r="Q15" s="81">
        <f>Q10+Q14</f>
        <v>1306266</v>
      </c>
      <c r="R15" s="628"/>
      <c r="S15" s="204"/>
      <c r="T15" s="544"/>
      <c r="U15" s="545"/>
      <c r="V15" s="520"/>
      <c r="W15" s="248"/>
      <c r="X15" s="248"/>
      <c r="Y15" s="248"/>
      <c r="Z15" s="248"/>
    </row>
    <row r="16" spans="1:30" ht="20.25" customHeight="1">
      <c r="A16" s="648"/>
      <c r="B16" s="550">
        <v>9</v>
      </c>
      <c r="C16" s="656" t="s">
        <v>155</v>
      </c>
      <c r="D16" s="262" t="s">
        <v>119</v>
      </c>
      <c r="E16" s="657" t="str">
        <f>'Exemp.(HRA+Other) &amp; Other incom'!B8</f>
        <v>अन्य आय (बैंक/एफडी में जमा ब्याज/अन्य ब्याज आदि का योग</v>
      </c>
      <c r="F16" s="612"/>
      <c r="G16" s="612"/>
      <c r="H16" s="612"/>
      <c r="I16" s="612"/>
      <c r="J16" s="612"/>
      <c r="K16" s="612"/>
      <c r="L16" s="612"/>
      <c r="M16" s="612"/>
      <c r="N16" s="612"/>
      <c r="O16" s="612"/>
      <c r="P16" s="260" t="s">
        <v>127</v>
      </c>
      <c r="Q16" s="261">
        <f>'Exemp.(HRA+Other) &amp; Other incom'!L8</f>
        <v>0</v>
      </c>
      <c r="R16" s="628"/>
      <c r="S16" s="204"/>
      <c r="T16" s="285"/>
      <c r="U16" s="285"/>
      <c r="V16" s="520"/>
    </row>
    <row r="17" spans="1:22" ht="20.25" customHeight="1">
      <c r="A17" s="648"/>
      <c r="B17" s="550"/>
      <c r="C17" s="656"/>
      <c r="D17" s="262" t="s">
        <v>120</v>
      </c>
      <c r="E17" s="657" t="str">
        <f>'Exemp.(HRA+Other) &amp; Other incom'!C9</f>
        <v>(-----------------------------------------------------)</v>
      </c>
      <c r="F17" s="612"/>
      <c r="G17" s="612"/>
      <c r="H17" s="612"/>
      <c r="I17" s="612"/>
      <c r="J17" s="612"/>
      <c r="K17" s="612"/>
      <c r="L17" s="612"/>
      <c r="M17" s="612"/>
      <c r="N17" s="612"/>
      <c r="O17" s="612"/>
      <c r="P17" s="263"/>
      <c r="Q17" s="261">
        <f>'Exemp.(HRA+Other) &amp; Other incom'!L9</f>
        <v>0</v>
      </c>
      <c r="R17" s="628"/>
      <c r="S17" s="204"/>
      <c r="T17" s="285"/>
      <c r="U17" s="285"/>
      <c r="V17" s="520"/>
    </row>
    <row r="18" spans="1:22" ht="20.25" customHeight="1">
      <c r="A18" s="648"/>
      <c r="B18" s="550"/>
      <c r="C18" s="656"/>
      <c r="D18" s="262" t="s">
        <v>121</v>
      </c>
      <c r="E18" s="657" t="str">
        <f>'Exemp.(HRA+Other) &amp; Other incom'!C10</f>
        <v>(-----------------------------------------------------)</v>
      </c>
      <c r="F18" s="612"/>
      <c r="G18" s="612"/>
      <c r="H18" s="612"/>
      <c r="I18" s="612"/>
      <c r="J18" s="612"/>
      <c r="K18" s="612"/>
      <c r="L18" s="612"/>
      <c r="M18" s="612"/>
      <c r="N18" s="612"/>
      <c r="O18" s="612"/>
      <c r="P18" s="263"/>
      <c r="Q18" s="261">
        <f>'Exemp.(HRA+Other) &amp; Other incom'!L10</f>
        <v>0</v>
      </c>
      <c r="R18" s="628"/>
      <c r="S18" s="204"/>
      <c r="T18" s="285"/>
      <c r="U18" s="285"/>
      <c r="V18" s="520"/>
    </row>
    <row r="19" spans="1:22" ht="21" customHeight="1" thickBot="1">
      <c r="A19" s="648"/>
      <c r="B19" s="102"/>
      <c r="C19" s="616" t="s">
        <v>175</v>
      </c>
      <c r="D19" s="616"/>
      <c r="E19" s="616"/>
      <c r="F19" s="616"/>
      <c r="G19" s="616"/>
      <c r="H19" s="616"/>
      <c r="I19" s="616"/>
      <c r="J19" s="616"/>
      <c r="K19" s="616"/>
      <c r="L19" s="616"/>
      <c r="M19" s="616"/>
      <c r="N19" s="616"/>
      <c r="O19" s="616"/>
      <c r="P19" s="70"/>
      <c r="Q19" s="86">
        <f>Q16+Q17+Q18</f>
        <v>0</v>
      </c>
      <c r="R19" s="628"/>
      <c r="S19" s="204"/>
      <c r="T19" s="285"/>
      <c r="U19" s="285"/>
      <c r="V19" s="520"/>
    </row>
    <row r="20" spans="1:22" ht="21" customHeight="1" thickBot="1">
      <c r="A20" s="648"/>
      <c r="B20" s="66">
        <v>10</v>
      </c>
      <c r="C20" s="617" t="s">
        <v>176</v>
      </c>
      <c r="D20" s="617"/>
      <c r="E20" s="617"/>
      <c r="F20" s="617"/>
      <c r="G20" s="617"/>
      <c r="H20" s="617"/>
      <c r="I20" s="617"/>
      <c r="J20" s="617"/>
      <c r="K20" s="617"/>
      <c r="L20" s="617"/>
      <c r="M20" s="617"/>
      <c r="N20" s="617"/>
      <c r="O20" s="617"/>
      <c r="P20" s="63" t="s">
        <v>127</v>
      </c>
      <c r="Q20" s="87">
        <f>Q15+Q19</f>
        <v>1306266</v>
      </c>
      <c r="R20" s="628"/>
      <c r="S20" s="204"/>
      <c r="T20" s="285"/>
      <c r="U20" s="285"/>
      <c r="V20" s="520"/>
    </row>
    <row r="21" spans="1:22" ht="20.25" customHeight="1">
      <c r="A21" s="648"/>
      <c r="B21" s="570">
        <v>11</v>
      </c>
      <c r="C21" s="618" t="s">
        <v>177</v>
      </c>
      <c r="D21" s="618"/>
      <c r="E21" s="618"/>
      <c r="F21" s="618"/>
      <c r="G21" s="618"/>
      <c r="H21" s="618"/>
      <c r="I21" s="618"/>
      <c r="J21" s="618"/>
      <c r="K21" s="618"/>
      <c r="L21" s="618"/>
      <c r="M21" s="618"/>
      <c r="N21" s="618"/>
      <c r="O21" s="618"/>
      <c r="P21" s="618"/>
      <c r="Q21" s="619"/>
      <c r="R21" s="628"/>
      <c r="S21" s="204"/>
      <c r="T21" s="285"/>
      <c r="U21" s="285"/>
      <c r="V21" s="520"/>
    </row>
    <row r="22" spans="1:22" ht="14.25" customHeight="1">
      <c r="A22" s="648"/>
      <c r="B22" s="571"/>
      <c r="C22" s="620" t="s">
        <v>178</v>
      </c>
      <c r="D22" s="620"/>
      <c r="E22" s="620"/>
      <c r="F22" s="620"/>
      <c r="G22" s="620"/>
      <c r="H22" s="620"/>
      <c r="I22" s="620"/>
      <c r="J22" s="620"/>
      <c r="K22" s="620"/>
      <c r="L22" s="620"/>
      <c r="M22" s="620"/>
      <c r="N22" s="620"/>
      <c r="O22" s="620"/>
      <c r="P22" s="620"/>
      <c r="Q22" s="621"/>
      <c r="R22" s="628"/>
      <c r="S22" s="204"/>
      <c r="T22" s="285"/>
      <c r="U22" s="285"/>
      <c r="V22" s="520"/>
    </row>
    <row r="23" spans="1:22" ht="14.25" customHeight="1">
      <c r="A23" s="648"/>
      <c r="B23" s="571"/>
      <c r="C23" s="262" t="s">
        <v>92</v>
      </c>
      <c r="D23" s="612" t="s">
        <v>179</v>
      </c>
      <c r="E23" s="612"/>
      <c r="F23" s="612"/>
      <c r="G23" s="612"/>
      <c r="H23" s="260" t="s">
        <v>127</v>
      </c>
      <c r="I23" s="264">
        <f>IF(N2="old tax regime",'GA-55'!Q31,0)</f>
        <v>0</v>
      </c>
      <c r="J23" s="262" t="s">
        <v>93</v>
      </c>
      <c r="K23" s="613" t="s">
        <v>184</v>
      </c>
      <c r="L23" s="614"/>
      <c r="M23" s="615"/>
      <c r="N23" s="260" t="s">
        <v>127</v>
      </c>
      <c r="O23" s="264">
        <f>IF(N2="old tax regime",'Exemp.(HRA+Other) &amp; Other incom'!Q15,0)</f>
        <v>0</v>
      </c>
      <c r="P23" s="622"/>
      <c r="Q23" s="623"/>
      <c r="R23" s="628"/>
      <c r="S23" s="204"/>
      <c r="T23" s="285"/>
      <c r="U23" s="285"/>
      <c r="V23" s="520"/>
    </row>
    <row r="24" spans="1:22" ht="14.25" customHeight="1">
      <c r="A24" s="648"/>
      <c r="B24" s="571"/>
      <c r="C24" s="262" t="s">
        <v>94</v>
      </c>
      <c r="D24" s="612" t="s">
        <v>180</v>
      </c>
      <c r="E24" s="612"/>
      <c r="F24" s="612"/>
      <c r="G24" s="612"/>
      <c r="H24" s="260" t="s">
        <v>127</v>
      </c>
      <c r="I24" s="264">
        <f>IF(N2="old tax regime",'GA-55'!T31+'Exemp.(HRA+Other) &amp; Other incom'!L18,0)</f>
        <v>0</v>
      </c>
      <c r="J24" s="262" t="s">
        <v>95</v>
      </c>
      <c r="K24" s="613" t="s">
        <v>136</v>
      </c>
      <c r="L24" s="614"/>
      <c r="M24" s="615"/>
      <c r="N24" s="260" t="s">
        <v>127</v>
      </c>
      <c r="O24" s="265">
        <f>IF(N2="old tax regime",'Exemp.(HRA+Other) &amp; Other incom'!L23,0)</f>
        <v>0</v>
      </c>
      <c r="P24" s="622"/>
      <c r="Q24" s="623"/>
      <c r="R24" s="628"/>
      <c r="S24" s="204"/>
      <c r="T24" s="285"/>
      <c r="U24" s="285"/>
      <c r="V24" s="520"/>
    </row>
    <row r="25" spans="1:22" ht="14.25" customHeight="1">
      <c r="A25" s="648"/>
      <c r="B25" s="571"/>
      <c r="C25" s="262" t="s">
        <v>96</v>
      </c>
      <c r="D25" s="612" t="s">
        <v>135</v>
      </c>
      <c r="E25" s="612"/>
      <c r="F25" s="612"/>
      <c r="G25" s="612"/>
      <c r="H25" s="260" t="s">
        <v>127</v>
      </c>
      <c r="I25" s="264">
        <f>IF(N2="old tax regime",'Exemp.(HRA+Other) &amp; Other incom'!L22,0)</f>
        <v>0</v>
      </c>
      <c r="J25" s="262" t="s">
        <v>97</v>
      </c>
      <c r="K25" s="613" t="s">
        <v>133</v>
      </c>
      <c r="L25" s="614"/>
      <c r="M25" s="615"/>
      <c r="N25" s="260" t="s">
        <v>127</v>
      </c>
      <c r="O25" s="265">
        <f>IF(N2="old tax regime",'Exemp.(HRA+Other) &amp; Other incom'!L20,0)</f>
        <v>0</v>
      </c>
      <c r="P25" s="622"/>
      <c r="Q25" s="623"/>
      <c r="R25" s="628"/>
      <c r="S25" s="204"/>
      <c r="T25" s="285"/>
      <c r="U25" s="285"/>
      <c r="V25" s="520"/>
    </row>
    <row r="26" spans="1:22" ht="14.25" customHeight="1">
      <c r="A26" s="648"/>
      <c r="B26" s="571"/>
      <c r="C26" s="262" t="s">
        <v>98</v>
      </c>
      <c r="D26" s="612" t="s">
        <v>137</v>
      </c>
      <c r="E26" s="612"/>
      <c r="F26" s="612"/>
      <c r="G26" s="612"/>
      <c r="H26" s="260" t="s">
        <v>127</v>
      </c>
      <c r="I26" s="264">
        <f>IF(N2="old tax regime",'Exemp.(HRA+Other) &amp; Other incom'!L24,0)</f>
        <v>0</v>
      </c>
      <c r="J26" s="262" t="s">
        <v>99</v>
      </c>
      <c r="K26" s="587" t="s">
        <v>150</v>
      </c>
      <c r="L26" s="587"/>
      <c r="M26" s="587"/>
      <c r="N26" s="260" t="s">
        <v>127</v>
      </c>
      <c r="O26" s="264">
        <f>IF(N2="old tax regime",'Exemp.(HRA+Other) &amp; Other incom'!Q24,0)</f>
        <v>0</v>
      </c>
      <c r="P26" s="622"/>
      <c r="Q26" s="623"/>
      <c r="R26" s="628"/>
      <c r="S26" s="204"/>
      <c r="T26" s="285"/>
      <c r="U26" s="285"/>
      <c r="V26" s="520"/>
    </row>
    <row r="27" spans="1:22" ht="14.25" customHeight="1">
      <c r="A27" s="648"/>
      <c r="B27" s="571"/>
      <c r="C27" s="262" t="s">
        <v>100</v>
      </c>
      <c r="D27" s="612" t="s">
        <v>181</v>
      </c>
      <c r="E27" s="612"/>
      <c r="F27" s="612"/>
      <c r="G27" s="612"/>
      <c r="H27" s="260" t="s">
        <v>127</v>
      </c>
      <c r="I27" s="264">
        <f>IF(N2="old tax regime",'Exemp.(HRA+Other) &amp; Other incom'!L25,0)</f>
        <v>0</v>
      </c>
      <c r="J27" s="262" t="s">
        <v>101</v>
      </c>
      <c r="K27" s="613" t="s">
        <v>187</v>
      </c>
      <c r="L27" s="614"/>
      <c r="M27" s="615"/>
      <c r="N27" s="260" t="s">
        <v>127</v>
      </c>
      <c r="O27" s="264">
        <f>IF(N2="old tax regime",'Exemp.(HRA+Other) &amp; Other incom'!Q25,0)</f>
        <v>0</v>
      </c>
      <c r="P27" s="622"/>
      <c r="Q27" s="623"/>
      <c r="R27" s="628"/>
      <c r="S27" s="204"/>
      <c r="T27" s="285"/>
      <c r="U27" s="285"/>
      <c r="V27" s="520"/>
    </row>
    <row r="28" spans="1:22" ht="14.25" customHeight="1">
      <c r="A28" s="648"/>
      <c r="B28" s="571"/>
      <c r="C28" s="262" t="s">
        <v>102</v>
      </c>
      <c r="D28" s="627" t="s">
        <v>122</v>
      </c>
      <c r="E28" s="627"/>
      <c r="F28" s="627"/>
      <c r="G28" s="627"/>
      <c r="H28" s="260" t="s">
        <v>127</v>
      </c>
      <c r="I28" s="264">
        <f>IF(N2="old tax regime",'GA-55'!P31,0)</f>
        <v>0</v>
      </c>
      <c r="J28" s="262" t="s">
        <v>103</v>
      </c>
      <c r="K28" s="587" t="s">
        <v>186</v>
      </c>
      <c r="L28" s="587"/>
      <c r="M28" s="587"/>
      <c r="N28" s="260" t="s">
        <v>127</v>
      </c>
      <c r="O28" s="264">
        <f>IF(N2="old tax regime",'Exemp.(HRA+Other) &amp; Other incom'!L19,0)</f>
        <v>0</v>
      </c>
      <c r="P28" s="622"/>
      <c r="Q28" s="623"/>
      <c r="R28" s="628"/>
      <c r="S28" s="204"/>
      <c r="T28" s="285"/>
      <c r="U28" s="285"/>
      <c r="V28" s="520"/>
    </row>
    <row r="29" spans="1:22" ht="14.25" customHeight="1">
      <c r="A29" s="648"/>
      <c r="B29" s="571"/>
      <c r="C29" s="262" t="s">
        <v>104</v>
      </c>
      <c r="D29" s="612" t="s">
        <v>182</v>
      </c>
      <c r="E29" s="612"/>
      <c r="F29" s="612"/>
      <c r="G29" s="612"/>
      <c r="H29" s="260" t="s">
        <v>127</v>
      </c>
      <c r="I29" s="265">
        <f>IF(N2="old tax regime",'GA-55'!U31,0)</f>
        <v>0</v>
      </c>
      <c r="J29" s="262" t="s">
        <v>105</v>
      </c>
      <c r="K29" s="613" t="s">
        <v>140</v>
      </c>
      <c r="L29" s="614"/>
      <c r="M29" s="615"/>
      <c r="N29" s="260" t="s">
        <v>127</v>
      </c>
      <c r="O29" s="264">
        <f>IF(N2="old tax regime",'Exemp.(HRA+Other) &amp; Other incom'!Q14,0)</f>
        <v>0</v>
      </c>
      <c r="P29" s="622"/>
      <c r="Q29" s="623"/>
      <c r="R29" s="628"/>
      <c r="S29" s="204"/>
      <c r="T29" s="285"/>
      <c r="U29" s="285"/>
      <c r="V29" s="520"/>
    </row>
    <row r="30" spans="1:22" ht="14.25" customHeight="1">
      <c r="A30" s="648"/>
      <c r="B30" s="571"/>
      <c r="C30" s="262" t="s">
        <v>106</v>
      </c>
      <c r="D30" s="612" t="s">
        <v>134</v>
      </c>
      <c r="E30" s="612"/>
      <c r="F30" s="612"/>
      <c r="G30" s="612"/>
      <c r="H30" s="260" t="s">
        <v>127</v>
      </c>
      <c r="I30" s="265">
        <f>IF(N2="old tax regime",'Exemp.(HRA+Other) &amp; Other incom'!L21,0)</f>
        <v>0</v>
      </c>
      <c r="J30" s="262" t="s">
        <v>107</v>
      </c>
      <c r="K30" s="587" t="s">
        <v>185</v>
      </c>
      <c r="L30" s="587"/>
      <c r="M30" s="587"/>
      <c r="N30" s="260" t="s">
        <v>127</v>
      </c>
      <c r="O30" s="264">
        <f>IF(N2="old tax regime",'Exemp.(HRA+Other) &amp; Other incom'!L26,0)</f>
        <v>0</v>
      </c>
      <c r="P30" s="622"/>
      <c r="Q30" s="623"/>
      <c r="R30" s="628"/>
      <c r="S30" s="204"/>
      <c r="T30" s="285"/>
      <c r="U30" s="285"/>
      <c r="V30" s="520"/>
    </row>
    <row r="31" spans="1:22" ht="14.25" customHeight="1">
      <c r="A31" s="648"/>
      <c r="B31" s="571"/>
      <c r="C31" s="262" t="s">
        <v>108</v>
      </c>
      <c r="D31" s="624" t="s">
        <v>183</v>
      </c>
      <c r="E31" s="624"/>
      <c r="F31" s="624"/>
      <c r="G31" s="624"/>
      <c r="H31" s="260" t="s">
        <v>127</v>
      </c>
      <c r="I31" s="264">
        <f>IF(N2="old tax regime",'Exemp.(HRA+Other) &amp; Other incom'!L16,0)</f>
        <v>0</v>
      </c>
      <c r="J31" s="262" t="s">
        <v>109</v>
      </c>
      <c r="K31" s="587"/>
      <c r="L31" s="587"/>
      <c r="M31" s="587"/>
      <c r="N31" s="260" t="s">
        <v>127</v>
      </c>
      <c r="O31" s="264"/>
      <c r="P31" s="622"/>
      <c r="Q31" s="623"/>
      <c r="R31" s="628"/>
      <c r="S31" s="204"/>
      <c r="T31" s="285"/>
      <c r="U31" s="285"/>
      <c r="V31" s="520"/>
    </row>
    <row r="32" spans="1:22" ht="14.25" customHeight="1">
      <c r="A32" s="648"/>
      <c r="B32" s="571"/>
      <c r="C32" s="625" t="s">
        <v>188</v>
      </c>
      <c r="D32" s="625"/>
      <c r="E32" s="625"/>
      <c r="F32" s="625"/>
      <c r="G32" s="625"/>
      <c r="H32" s="625"/>
      <c r="I32" s="625"/>
      <c r="J32" s="625"/>
      <c r="K32" s="625"/>
      <c r="L32" s="625"/>
      <c r="M32" s="625"/>
      <c r="N32" s="260" t="s">
        <v>127</v>
      </c>
      <c r="O32" s="266">
        <f>SUM(O23:O31,I23:I31)</f>
        <v>0</v>
      </c>
      <c r="P32" s="622"/>
      <c r="Q32" s="623"/>
      <c r="R32" s="628"/>
      <c r="S32" s="204"/>
      <c r="T32" s="285"/>
      <c r="U32" s="285"/>
      <c r="V32" s="520"/>
    </row>
    <row r="33" spans="1:28" ht="14.25" customHeight="1">
      <c r="A33" s="648"/>
      <c r="B33" s="571"/>
      <c r="C33" s="625" t="s">
        <v>189</v>
      </c>
      <c r="D33" s="625"/>
      <c r="E33" s="625"/>
      <c r="F33" s="625"/>
      <c r="G33" s="625"/>
      <c r="H33" s="625"/>
      <c r="I33" s="625"/>
      <c r="J33" s="625"/>
      <c r="K33" s="625"/>
      <c r="L33" s="625"/>
      <c r="M33" s="625"/>
      <c r="N33" s="625"/>
      <c r="O33" s="625"/>
      <c r="P33" s="267" t="s">
        <v>127</v>
      </c>
      <c r="Q33" s="268">
        <f>IF(N2="new tax regime",0,IF(O32&gt;=150000,150000,O32))</f>
        <v>0</v>
      </c>
      <c r="R33" s="628"/>
      <c r="S33" s="204"/>
      <c r="T33" s="285"/>
      <c r="U33" s="285"/>
      <c r="V33" s="520"/>
    </row>
    <row r="34" spans="1:28" ht="20.25" customHeight="1">
      <c r="A34" s="648"/>
      <c r="B34" s="571"/>
      <c r="C34" s="620" t="s">
        <v>190</v>
      </c>
      <c r="D34" s="620"/>
      <c r="E34" s="620"/>
      <c r="F34" s="620"/>
      <c r="G34" s="620"/>
      <c r="H34" s="620"/>
      <c r="I34" s="620"/>
      <c r="J34" s="620"/>
      <c r="K34" s="620"/>
      <c r="L34" s="620"/>
      <c r="M34" s="620"/>
      <c r="N34" s="620"/>
      <c r="O34" s="620"/>
      <c r="P34" s="260" t="s">
        <v>127</v>
      </c>
      <c r="Q34" s="268">
        <f>IF(N2="old tax regime",'Exemp.(HRA+Other) &amp; Other incom'!Q16,0)</f>
        <v>0</v>
      </c>
      <c r="R34" s="628"/>
      <c r="S34" s="204"/>
      <c r="T34" s="285"/>
      <c r="U34" s="285"/>
      <c r="V34" s="520"/>
    </row>
    <row r="35" spans="1:28" ht="20.25" customHeight="1">
      <c r="A35" s="648"/>
      <c r="B35" s="571"/>
      <c r="C35" s="626" t="s">
        <v>192</v>
      </c>
      <c r="D35" s="626"/>
      <c r="E35" s="626"/>
      <c r="F35" s="626"/>
      <c r="G35" s="626"/>
      <c r="H35" s="626"/>
      <c r="I35" s="626"/>
      <c r="J35" s="626"/>
      <c r="K35" s="626"/>
      <c r="L35" s="626"/>
      <c r="M35" s="626"/>
      <c r="N35" s="626"/>
      <c r="O35" s="626"/>
      <c r="P35" s="57" t="s">
        <v>127</v>
      </c>
      <c r="Q35" s="82">
        <f>Q33+Q34</f>
        <v>0</v>
      </c>
      <c r="R35" s="628"/>
      <c r="S35" s="204"/>
      <c r="T35" s="285"/>
      <c r="U35" s="285"/>
      <c r="V35" s="520"/>
    </row>
    <row r="36" spans="1:28" ht="14.25" customHeight="1">
      <c r="A36" s="648"/>
      <c r="B36" s="571">
        <v>12</v>
      </c>
      <c r="C36" s="589" t="s">
        <v>191</v>
      </c>
      <c r="D36" s="589"/>
      <c r="E36" s="589"/>
      <c r="F36" s="589"/>
      <c r="G36" s="589"/>
      <c r="H36" s="589"/>
      <c r="I36" s="589"/>
      <c r="J36" s="589"/>
      <c r="K36" s="589"/>
      <c r="L36" s="589"/>
      <c r="M36" s="589"/>
      <c r="N36" s="589"/>
      <c r="O36" s="589"/>
      <c r="P36" s="589"/>
      <c r="Q36" s="590"/>
      <c r="R36" s="628"/>
      <c r="S36" s="204"/>
      <c r="T36" s="285"/>
      <c r="U36" s="285"/>
      <c r="V36" s="520"/>
    </row>
    <row r="37" spans="1:28" ht="14.25" customHeight="1">
      <c r="A37" s="648"/>
      <c r="B37" s="571"/>
      <c r="C37" s="592" t="s">
        <v>274</v>
      </c>
      <c r="D37" s="593"/>
      <c r="E37" s="593"/>
      <c r="F37" s="593"/>
      <c r="G37" s="593"/>
      <c r="H37" s="593"/>
      <c r="I37" s="593"/>
      <c r="J37" s="593"/>
      <c r="K37" s="593"/>
      <c r="L37" s="593"/>
      <c r="M37" s="593"/>
      <c r="N37" s="593"/>
      <c r="O37" s="594"/>
      <c r="P37" s="598" t="s">
        <v>127</v>
      </c>
      <c r="Q37" s="600">
        <v>0</v>
      </c>
      <c r="R37" s="628"/>
      <c r="S37" s="204"/>
      <c r="T37" s="285"/>
      <c r="U37" s="285"/>
      <c r="V37" s="520"/>
    </row>
    <row r="38" spans="1:28" ht="14.25" customHeight="1">
      <c r="A38" s="648"/>
      <c r="B38" s="571"/>
      <c r="C38" s="595"/>
      <c r="D38" s="596"/>
      <c r="E38" s="596"/>
      <c r="F38" s="596"/>
      <c r="G38" s="596"/>
      <c r="H38" s="596"/>
      <c r="I38" s="596"/>
      <c r="J38" s="596"/>
      <c r="K38" s="596"/>
      <c r="L38" s="596"/>
      <c r="M38" s="596"/>
      <c r="N38" s="596"/>
      <c r="O38" s="597"/>
      <c r="P38" s="599"/>
      <c r="Q38" s="601"/>
      <c r="R38" s="628"/>
      <c r="S38" s="204"/>
      <c r="T38" s="285"/>
      <c r="U38" s="285"/>
      <c r="V38" s="520"/>
    </row>
    <row r="39" spans="1:28" ht="14.25" customHeight="1">
      <c r="A39" s="648"/>
      <c r="B39" s="571"/>
      <c r="C39" s="592" t="s">
        <v>275</v>
      </c>
      <c r="D39" s="593"/>
      <c r="E39" s="593"/>
      <c r="F39" s="593"/>
      <c r="G39" s="593"/>
      <c r="H39" s="593"/>
      <c r="I39" s="593"/>
      <c r="J39" s="593"/>
      <c r="K39" s="593"/>
      <c r="L39" s="593"/>
      <c r="M39" s="593"/>
      <c r="N39" s="593"/>
      <c r="O39" s="594"/>
      <c r="P39" s="598" t="s">
        <v>127</v>
      </c>
      <c r="Q39" s="600">
        <v>0</v>
      </c>
      <c r="R39" s="628"/>
      <c r="S39" s="204"/>
      <c r="T39" s="285"/>
      <c r="U39" s="285"/>
      <c r="V39" s="520"/>
    </row>
    <row r="40" spans="1:28" ht="14.25" customHeight="1">
      <c r="A40" s="648"/>
      <c r="B40" s="571"/>
      <c r="C40" s="595"/>
      <c r="D40" s="596"/>
      <c r="E40" s="596"/>
      <c r="F40" s="596"/>
      <c r="G40" s="596"/>
      <c r="H40" s="596"/>
      <c r="I40" s="596"/>
      <c r="J40" s="596"/>
      <c r="K40" s="596"/>
      <c r="L40" s="596"/>
      <c r="M40" s="596"/>
      <c r="N40" s="596"/>
      <c r="O40" s="597"/>
      <c r="P40" s="599"/>
      <c r="Q40" s="601"/>
      <c r="R40" s="628"/>
      <c r="S40" s="204"/>
      <c r="T40" s="285"/>
      <c r="U40" s="285"/>
      <c r="V40" s="520"/>
    </row>
    <row r="41" spans="1:28" ht="14.25" customHeight="1">
      <c r="A41" s="648"/>
      <c r="B41" s="571"/>
      <c r="C41" s="602"/>
      <c r="D41" s="603"/>
      <c r="E41" s="603"/>
      <c r="F41" s="603"/>
      <c r="G41" s="603"/>
      <c r="H41" s="603"/>
      <c r="I41" s="603"/>
      <c r="J41" s="603"/>
      <c r="K41" s="603"/>
      <c r="L41" s="603"/>
      <c r="M41" s="603"/>
      <c r="N41" s="603"/>
      <c r="O41" s="604"/>
      <c r="P41" s="608"/>
      <c r="Q41" s="610"/>
      <c r="R41" s="628"/>
      <c r="S41" s="204"/>
      <c r="T41" s="285"/>
      <c r="U41" s="285"/>
      <c r="V41" s="520"/>
      <c r="W41" s="96"/>
      <c r="X41" s="96" t="s">
        <v>228</v>
      </c>
      <c r="Y41" s="96" t="s">
        <v>303</v>
      </c>
      <c r="Z41" s="97" t="s">
        <v>317</v>
      </c>
      <c r="AA41" s="196" t="s">
        <v>253</v>
      </c>
      <c r="AB41" s="196" t="s">
        <v>231</v>
      </c>
    </row>
    <row r="42" spans="1:28" ht="14.25" customHeight="1">
      <c r="A42" s="648"/>
      <c r="B42" s="571"/>
      <c r="C42" s="605"/>
      <c r="D42" s="606"/>
      <c r="E42" s="606"/>
      <c r="F42" s="606"/>
      <c r="G42" s="606"/>
      <c r="H42" s="606"/>
      <c r="I42" s="606"/>
      <c r="J42" s="606"/>
      <c r="K42" s="606"/>
      <c r="L42" s="606"/>
      <c r="M42" s="606"/>
      <c r="N42" s="606"/>
      <c r="O42" s="607"/>
      <c r="P42" s="609"/>
      <c r="Q42" s="611"/>
      <c r="R42" s="628"/>
      <c r="S42" s="204"/>
      <c r="T42" s="285"/>
      <c r="U42" s="285"/>
      <c r="V42" s="520"/>
      <c r="W42" s="96"/>
      <c r="X42" s="96">
        <f>IF($Q$48&gt;1500000,1,IF($Q$48&gt;1200000,2,IF($Q$48&gt;900000,3,IF($Q$48&gt;600000,4,IF($Q$48&gt;300000,5,0)))))</f>
        <v>2</v>
      </c>
      <c r="Y42" s="96">
        <f>IF($Q$48&gt;1500000,1,IF($Q$48&gt;1200000,2,IF($Q$48&gt;900000,3,IF($Q$48&gt;600000,4,0))))</f>
        <v>2</v>
      </c>
      <c r="Z42" s="96">
        <f>IF($Q$48&gt;1500000,1,IF($Q$48&gt;1200000,2,IF($Q$48&gt;900000,3,0)))</f>
        <v>2</v>
      </c>
      <c r="AA42" s="196">
        <f>IF($Q$48&gt;1500000,1,IF($Q$48&gt;1200000,2,0))</f>
        <v>2</v>
      </c>
      <c r="AB42" s="196">
        <f>IF($Q$48&gt;1500000,1,0)</f>
        <v>0</v>
      </c>
    </row>
    <row r="43" spans="1:28" ht="14.25" customHeight="1">
      <c r="A43" s="648"/>
      <c r="B43" s="571"/>
      <c r="C43" s="602"/>
      <c r="D43" s="603"/>
      <c r="E43" s="603"/>
      <c r="F43" s="603"/>
      <c r="G43" s="603"/>
      <c r="H43" s="603"/>
      <c r="I43" s="603"/>
      <c r="J43" s="603"/>
      <c r="K43" s="603"/>
      <c r="L43" s="603"/>
      <c r="M43" s="603"/>
      <c r="N43" s="603"/>
      <c r="O43" s="604"/>
      <c r="P43" s="608"/>
      <c r="Q43" s="610"/>
      <c r="R43" s="628"/>
      <c r="S43" s="204"/>
      <c r="T43" s="285"/>
      <c r="U43" s="285"/>
      <c r="V43" s="520"/>
      <c r="W43" s="96" t="s">
        <v>224</v>
      </c>
      <c r="X43" s="96">
        <f>IF(X42&gt;=5,ROUND(($Q$48-300000)*0.05,0),IF(X42=0,0,15000))</f>
        <v>15000</v>
      </c>
      <c r="Y43" s="96">
        <f>IF(Y42&gt;=4,ROUND(($Q$48-700000)*0.1,0),IF(Y42=0,0,30000))</f>
        <v>30000</v>
      </c>
      <c r="Z43" s="96">
        <f>IF(Z42&gt;=3,ROUND(($Q$48-1000000)*0.15,0),IF(Z42=0,0,30000))</f>
        <v>30000</v>
      </c>
      <c r="AA43" s="196">
        <f>IF(AA42&gt;=2,ROUND(($Q$48-1200000)*0.2,0),IF(AA42=0,0,60000))</f>
        <v>21254</v>
      </c>
      <c r="AB43" s="196">
        <f>IF(AB42&gt;0,ROUND(($Q$48-1500000)*0.3,0),0)</f>
        <v>0</v>
      </c>
    </row>
    <row r="44" spans="1:28" ht="14.25" customHeight="1">
      <c r="A44" s="648"/>
      <c r="B44" s="571"/>
      <c r="C44" s="605"/>
      <c r="D44" s="606"/>
      <c r="E44" s="606"/>
      <c r="F44" s="606"/>
      <c r="G44" s="606"/>
      <c r="H44" s="606"/>
      <c r="I44" s="606"/>
      <c r="J44" s="606"/>
      <c r="K44" s="606"/>
      <c r="L44" s="606"/>
      <c r="M44" s="606"/>
      <c r="N44" s="606"/>
      <c r="O44" s="607"/>
      <c r="P44" s="609"/>
      <c r="Q44" s="611"/>
      <c r="R44" s="628"/>
      <c r="S44" s="204"/>
      <c r="T44" s="285"/>
      <c r="U44" s="285"/>
      <c r="V44" s="520"/>
      <c r="W44" s="109"/>
      <c r="X44" s="113"/>
    </row>
    <row r="45" spans="1:28" ht="12" customHeight="1" thickBot="1">
      <c r="A45" s="648"/>
      <c r="B45" s="588"/>
      <c r="C45" s="591" t="s">
        <v>276</v>
      </c>
      <c r="D45" s="591"/>
      <c r="E45" s="591"/>
      <c r="F45" s="591"/>
      <c r="G45" s="591"/>
      <c r="H45" s="591"/>
      <c r="I45" s="591"/>
      <c r="J45" s="591"/>
      <c r="K45" s="591"/>
      <c r="L45" s="591"/>
      <c r="M45" s="591"/>
      <c r="N45" s="591"/>
      <c r="O45" s="591"/>
      <c r="P45" s="59" t="s">
        <v>127</v>
      </c>
      <c r="Q45" s="77">
        <f>SUM(Q37:Q44)</f>
        <v>0</v>
      </c>
      <c r="R45" s="628"/>
      <c r="S45" s="204"/>
      <c r="T45" s="285"/>
      <c r="U45" s="285"/>
      <c r="V45" s="520"/>
      <c r="W45" s="109"/>
      <c r="X45" s="113"/>
      <c r="Y45" s="113"/>
    </row>
    <row r="46" spans="1:28" ht="21" customHeight="1" thickBot="1">
      <c r="A46" s="648"/>
      <c r="B46" s="67">
        <v>13</v>
      </c>
      <c r="C46" s="578" t="s">
        <v>201</v>
      </c>
      <c r="D46" s="578"/>
      <c r="E46" s="578"/>
      <c r="F46" s="578"/>
      <c r="G46" s="578"/>
      <c r="H46" s="578"/>
      <c r="I46" s="578"/>
      <c r="J46" s="578"/>
      <c r="K46" s="578"/>
      <c r="L46" s="578"/>
      <c r="M46" s="578"/>
      <c r="N46" s="578"/>
      <c r="O46" s="578"/>
      <c r="P46" s="65" t="s">
        <v>127</v>
      </c>
      <c r="Q46" s="78">
        <f>Q35+Q45</f>
        <v>0</v>
      </c>
      <c r="R46" s="628"/>
      <c r="S46" s="204"/>
      <c r="T46" s="285"/>
      <c r="U46" s="285"/>
      <c r="V46" s="520"/>
    </row>
    <row r="47" spans="1:28" ht="20.25" customHeight="1">
      <c r="A47" s="648"/>
      <c r="B47" s="100">
        <v>14</v>
      </c>
      <c r="C47" s="579" t="s">
        <v>202</v>
      </c>
      <c r="D47" s="579"/>
      <c r="E47" s="579"/>
      <c r="F47" s="579"/>
      <c r="G47" s="579"/>
      <c r="H47" s="579"/>
      <c r="I47" s="579"/>
      <c r="J47" s="579"/>
      <c r="K47" s="579"/>
      <c r="L47" s="579"/>
      <c r="M47" s="579"/>
      <c r="N47" s="579"/>
      <c r="O47" s="579"/>
      <c r="P47" s="61" t="s">
        <v>127</v>
      </c>
      <c r="Q47" s="79">
        <f>Q20-Q46</f>
        <v>1306266</v>
      </c>
      <c r="R47" s="628"/>
      <c r="S47" s="204"/>
      <c r="T47" s="285"/>
      <c r="U47" s="285"/>
      <c r="V47" s="520"/>
    </row>
    <row r="48" spans="1:28" ht="15.75" customHeight="1" thickBot="1">
      <c r="A48" s="648"/>
      <c r="B48" s="102">
        <v>15</v>
      </c>
      <c r="C48" s="569" t="s">
        <v>203</v>
      </c>
      <c r="D48" s="569"/>
      <c r="E48" s="569"/>
      <c r="F48" s="569"/>
      <c r="G48" s="569"/>
      <c r="H48" s="569"/>
      <c r="I48" s="569"/>
      <c r="J48" s="569"/>
      <c r="K48" s="569"/>
      <c r="L48" s="569"/>
      <c r="M48" s="569"/>
      <c r="N48" s="569"/>
      <c r="O48" s="569"/>
      <c r="P48" s="62" t="s">
        <v>127</v>
      </c>
      <c r="Q48" s="80">
        <f>ROUND(Q47,-1)</f>
        <v>1306270</v>
      </c>
      <c r="R48" s="628"/>
      <c r="S48" s="204"/>
      <c r="T48" s="285"/>
      <c r="U48" s="285"/>
      <c r="V48" s="520"/>
      <c r="W48" s="108"/>
      <c r="X48" s="113"/>
      <c r="Y48" s="113"/>
      <c r="Z48" s="113"/>
    </row>
    <row r="49" spans="1:41" ht="14.25" customHeight="1">
      <c r="A49" s="648"/>
      <c r="B49" s="570">
        <v>16</v>
      </c>
      <c r="C49" s="580" t="s">
        <v>204</v>
      </c>
      <c r="D49" s="580"/>
      <c r="E49" s="580"/>
      <c r="F49" s="580"/>
      <c r="G49" s="580"/>
      <c r="H49" s="580"/>
      <c r="I49" s="580"/>
      <c r="J49" s="580"/>
      <c r="K49" s="580"/>
      <c r="L49" s="580"/>
      <c r="M49" s="580"/>
      <c r="N49" s="580"/>
      <c r="O49" s="580"/>
      <c r="P49" s="580"/>
      <c r="Q49" s="581"/>
      <c r="R49" s="628"/>
      <c r="S49" s="204"/>
      <c r="T49" s="285"/>
      <c r="U49" s="285"/>
      <c r="V49" s="520"/>
    </row>
    <row r="50" spans="1:41" ht="14.25" customHeight="1">
      <c r="A50" s="648"/>
      <c r="B50" s="571"/>
      <c r="C50" s="582" t="s">
        <v>250</v>
      </c>
      <c r="D50" s="583"/>
      <c r="E50" s="583"/>
      <c r="F50" s="583"/>
      <c r="G50" s="583"/>
      <c r="H50" s="584"/>
      <c r="I50" s="582" t="s">
        <v>205</v>
      </c>
      <c r="J50" s="583"/>
      <c r="K50" s="585" t="s">
        <v>206</v>
      </c>
      <c r="L50" s="586"/>
      <c r="M50" s="582" t="s">
        <v>249</v>
      </c>
      <c r="N50" s="583"/>
      <c r="O50" s="584"/>
      <c r="P50" s="105"/>
      <c r="Q50" s="71"/>
      <c r="R50" s="628"/>
      <c r="S50" s="204"/>
      <c r="T50" s="285"/>
      <c r="U50" s="285"/>
      <c r="V50" s="520"/>
    </row>
    <row r="51" spans="1:41" ht="12" customHeight="1">
      <c r="A51" s="648"/>
      <c r="B51" s="571"/>
      <c r="C51" s="572" t="str">
        <f t="shared" ref="C51" si="0">IF($N$2="old tax regime","2,50,000 तक","3,00,000 तक")</f>
        <v>3,00,000 तक</v>
      </c>
      <c r="D51" s="573"/>
      <c r="E51" s="573"/>
      <c r="F51" s="573"/>
      <c r="G51" s="573"/>
      <c r="H51" s="574"/>
      <c r="I51" s="572" t="str">
        <f t="shared" ref="I51" si="1">IF($N$2="old tax regime","Nil","Nil")</f>
        <v>Nil</v>
      </c>
      <c r="J51" s="574"/>
      <c r="K51" s="572" t="str">
        <f t="shared" ref="K51" si="2">IF($N$2="old tax regime","Nil","Nil")</f>
        <v>Nil</v>
      </c>
      <c r="L51" s="574"/>
      <c r="M51" s="572" t="str">
        <f>IF($N$2="old tax regime","Nil","Nil")</f>
        <v>Nil</v>
      </c>
      <c r="N51" s="573"/>
      <c r="O51" s="574"/>
      <c r="P51" s="56" t="s">
        <v>127</v>
      </c>
      <c r="Q51" s="73">
        <v>0</v>
      </c>
      <c r="R51" s="628"/>
      <c r="S51" s="204"/>
      <c r="T51" s="285"/>
      <c r="U51" s="285"/>
      <c r="V51" s="520"/>
    </row>
    <row r="52" spans="1:41" ht="12" customHeight="1">
      <c r="A52" s="648"/>
      <c r="B52" s="571"/>
      <c r="C52" s="572" t="str">
        <f>IF($N$2="old tax regime","2,50,001 से 3,00,000 तक","3,00,001 से 7,00,000 तक")</f>
        <v>3,00,001 से 7,00,000 तक</v>
      </c>
      <c r="D52" s="573"/>
      <c r="E52" s="573"/>
      <c r="F52" s="573"/>
      <c r="G52" s="573"/>
      <c r="H52" s="574"/>
      <c r="I52" s="575" t="str">
        <f t="shared" ref="I52" si="3">IF($N$2="old tax regime","5%","5% (With Tax Rebate Under Sec.87A)")</f>
        <v>5% (With Tax Rebate Under Sec.87A)</v>
      </c>
      <c r="J52" s="576"/>
      <c r="K52" s="575" t="str">
        <f>IF($N$2="old tax regime","Nil","5% (With Tax Rebate Under Sec.87A)")</f>
        <v>5% (With Tax Rebate Under Sec.87A)</v>
      </c>
      <c r="L52" s="576"/>
      <c r="M52" s="575" t="str">
        <f>IF($N$2="old tax regime","Nil","5% (With Tax Rebate Under Sec.87A)")</f>
        <v>5% (With Tax Rebate Under Sec.87A)</v>
      </c>
      <c r="N52" s="577"/>
      <c r="O52" s="576"/>
      <c r="P52" s="56" t="s">
        <v>127</v>
      </c>
      <c r="Q52" s="73">
        <f>X55</f>
        <v>20000</v>
      </c>
      <c r="R52" s="628"/>
      <c r="S52" s="204"/>
      <c r="T52" s="285"/>
      <c r="U52" s="285"/>
      <c r="V52" s="520"/>
    </row>
    <row r="53" spans="1:41" ht="12" customHeight="1">
      <c r="A53" s="648"/>
      <c r="B53" s="571"/>
      <c r="C53" s="572" t="str">
        <f>IF($N$2="old tax regime","3,00,001 से 5,00,000 तक","7,00,001 से 10,00,000 तक")</f>
        <v>7,00,001 से 10,00,000 तक</v>
      </c>
      <c r="D53" s="573"/>
      <c r="E53" s="573"/>
      <c r="F53" s="573"/>
      <c r="G53" s="573"/>
      <c r="H53" s="574"/>
      <c r="I53" s="575" t="str">
        <f>IF($N$2="old tax regime","5%","10% (With Tax Rebate Under Sec.87A Up to Rs. 7 Lakh.)")</f>
        <v>10% (With Tax Rebate Under Sec.87A Up to Rs. 7 Lakh.)</v>
      </c>
      <c r="J53" s="576"/>
      <c r="K53" s="575" t="str">
        <f>IF($N$2="old tax regime","5%","10% (With Tax Rebate Under Sec.87A Up to Rs. 7 Lakh.)")</f>
        <v>10% (With Tax Rebate Under Sec.87A Up to Rs. 7 Lakh.)</v>
      </c>
      <c r="L53" s="576"/>
      <c r="M53" s="575" t="str">
        <f>IF($N$2="old tax regime","Nil","10% (With Tax Rebate Under Sec.87A Up to Rs. 7 Lakh.)")</f>
        <v>10% (With Tax Rebate Under Sec.87A Up to Rs. 7 Lakh.)</v>
      </c>
      <c r="N53" s="577"/>
      <c r="O53" s="576"/>
      <c r="P53" s="56" t="s">
        <v>127</v>
      </c>
      <c r="Q53" s="73">
        <f>ROUND(Y55,0)</f>
        <v>30000</v>
      </c>
      <c r="R53" s="628"/>
      <c r="S53" s="204"/>
      <c r="T53" s="285"/>
      <c r="U53" s="285"/>
      <c r="V53" s="520"/>
      <c r="W53" s="96"/>
      <c r="X53" s="96" t="s">
        <v>228</v>
      </c>
      <c r="Y53" s="96" t="s">
        <v>303</v>
      </c>
      <c r="Z53" s="97" t="s">
        <v>230</v>
      </c>
      <c r="AA53" s="196" t="s">
        <v>253</v>
      </c>
      <c r="AB53" s="196" t="s">
        <v>231</v>
      </c>
      <c r="AC53" s="205" t="s">
        <v>264</v>
      </c>
      <c r="AD53" s="205" t="s">
        <v>266</v>
      </c>
      <c r="AE53" s="205" t="s">
        <v>265</v>
      </c>
      <c r="AH53" s="96"/>
      <c r="AI53" s="96">
        <f>IF(Q48&gt;10000000,3,IF(Q48&gt;5000000,2,IF(Q48&gt;700000,1,0)))</f>
        <v>1</v>
      </c>
      <c r="AJ53" s="96">
        <f>IF(AI53=1,Q48-700000,0)</f>
        <v>606270</v>
      </c>
      <c r="AK53" s="209">
        <f>IF(AI53=2,Q48-5000000,0)</f>
        <v>0</v>
      </c>
      <c r="AL53" s="108">
        <f>IF(AI53=3,Q48-10000000,0)</f>
        <v>0</v>
      </c>
      <c r="AM53" s="108"/>
      <c r="AN53" s="108"/>
      <c r="AO53" s="108"/>
    </row>
    <row r="54" spans="1:41" ht="12" customHeight="1">
      <c r="A54" s="648"/>
      <c r="B54" s="571"/>
      <c r="C54" s="572" t="str">
        <f>IF($N$2="old tax regime","5,00,001 से 10,00,000 तक","10,00,001 से 12,00,000 तक")</f>
        <v>10,00,001 से 12,00,000 तक</v>
      </c>
      <c r="D54" s="573"/>
      <c r="E54" s="573"/>
      <c r="F54" s="573"/>
      <c r="G54" s="573"/>
      <c r="H54" s="574"/>
      <c r="I54" s="572" t="str">
        <f t="shared" ref="I54" si="4">IF($N$2="old tax regime","20%","15%")</f>
        <v>15%</v>
      </c>
      <c r="J54" s="574"/>
      <c r="K54" s="572" t="str">
        <f>IF($N$2="old tax regime","20%","15%")</f>
        <v>15%</v>
      </c>
      <c r="L54" s="574"/>
      <c r="M54" s="572" t="str">
        <f>IF($N$2="old tax regime","20%","15%")</f>
        <v>15%</v>
      </c>
      <c r="N54" s="573"/>
      <c r="O54" s="574"/>
      <c r="P54" s="56" t="s">
        <v>127</v>
      </c>
      <c r="Q54" s="73">
        <f>Z55</f>
        <v>30000</v>
      </c>
      <c r="R54" s="628"/>
      <c r="S54" s="204"/>
      <c r="T54" s="285"/>
      <c r="U54" s="285"/>
      <c r="V54" s="520"/>
      <c r="W54" s="96"/>
      <c r="X54" s="96">
        <f>IF($Q$48&gt;10000000,1,IF($Q$48&gt;5000000,2,IF(Q$48&gt;1500000,3,IF($Q$48&gt;1200000,4,IF($Q$48&gt;1000000,5,IF($Q$48&gt;700000,6,IF($Q$48&gt;300000,7,0)))))))</f>
        <v>4</v>
      </c>
      <c r="Y54" s="96">
        <f>IF($Q$48&gt;10000000,1,IF($Q$48&gt;5000000,2,IF(Q$48&gt;1500000,3,IF($Q$48&gt;1200000,4,IF($Q$48&gt;1000000,5,IF($Q$48&gt;700000,6,0))))))</f>
        <v>4</v>
      </c>
      <c r="Z54" s="96">
        <f>IF($Q$48&gt;10000000,1,IF($Q$48&gt;5000000,2,IF(Q$48&gt;1500000,3,IF($Q$48&gt;1200000,4,IF($Q$48&gt;1000000,5,0)))))</f>
        <v>4</v>
      </c>
      <c r="AA54" s="196">
        <f>IF($Q$48&gt;10000000,1,IF($Q$48&gt;5000000,2,IF(Q$48&gt;1500000,3,IF($Q$48&gt;1200000,4,0))))</f>
        <v>4</v>
      </c>
      <c r="AB54" s="196">
        <f>IF($Q$48&gt;10000000,1,IF($Q$48&gt;5000000,2,IF(Q$48&gt;1500000,3,0)))</f>
        <v>0</v>
      </c>
      <c r="AC54" s="205">
        <f>IF($Q$48&gt;10000000,1,IF($Q$48&gt;5000000,2,0))</f>
        <v>0</v>
      </c>
      <c r="AD54" s="108">
        <f>IF($Q$48&gt;10000000,1,0)</f>
        <v>0</v>
      </c>
      <c r="AE54" s="108"/>
      <c r="AH54" s="96"/>
      <c r="AI54" s="96"/>
      <c r="AJ54" s="96"/>
      <c r="AK54" s="96"/>
      <c r="AL54" s="108"/>
      <c r="AM54" s="108"/>
      <c r="AN54" s="108"/>
      <c r="AO54" s="108"/>
    </row>
    <row r="55" spans="1:41" ht="12" customHeight="1">
      <c r="A55" s="648"/>
      <c r="B55" s="571"/>
      <c r="C55" s="572" t="str">
        <f>IF($N$2="old tax regime","10,00,001 अथवा इससे ऊपर","12,00,001 से 15,00,000 तक")</f>
        <v>12,00,001 से 15,00,000 तक</v>
      </c>
      <c r="D55" s="573"/>
      <c r="E55" s="573"/>
      <c r="F55" s="573"/>
      <c r="G55" s="573"/>
      <c r="H55" s="574"/>
      <c r="I55" s="572" t="str">
        <f>IF($N$2="old tax regime","30%","20%")</f>
        <v>20%</v>
      </c>
      <c r="J55" s="574"/>
      <c r="K55" s="572" t="str">
        <f>IF($N$2="old tax regime","30%","20%")</f>
        <v>20%</v>
      </c>
      <c r="L55" s="574"/>
      <c r="M55" s="572" t="str">
        <f>IF($N$2="old tax regime","30%","20%")</f>
        <v>20%</v>
      </c>
      <c r="N55" s="573"/>
      <c r="O55" s="574"/>
      <c r="P55" s="56" t="s">
        <v>127</v>
      </c>
      <c r="Q55" s="73">
        <f>AA55</f>
        <v>21254</v>
      </c>
      <c r="R55" s="628"/>
      <c r="S55" s="204"/>
      <c r="T55" s="285"/>
      <c r="U55" s="285"/>
      <c r="V55" s="520"/>
      <c r="W55" s="96" t="s">
        <v>224</v>
      </c>
      <c r="X55" s="96">
        <f>IF(X54&gt;=7,($Q$48-300000)*0.05,IF(X54=0,0,20000))</f>
        <v>20000</v>
      </c>
      <c r="Y55" s="209">
        <f>IF(Y54&gt;=6,($Q$48-700000)*0.1,IF(Y54=0,0,30000))</f>
        <v>30000</v>
      </c>
      <c r="Z55" s="209">
        <f>IF(Z54&gt;=5,($Q$48-1000000)*0.15,IF(Z54=0,0,30000))</f>
        <v>30000</v>
      </c>
      <c r="AA55" s="196">
        <f>IF(AA54&gt;=4,ROUND(($Q$48-1200000)*0.2,0),IF(AA54=0,0,60000))</f>
        <v>21254</v>
      </c>
      <c r="AB55" s="196">
        <f>IF(OR(AC54&gt;=1,AD54&gt;=1,AB54=0),0,ROUND((Q48-1500000)*0.3,0))</f>
        <v>0</v>
      </c>
      <c r="AC55" s="205">
        <f>IF(OR(AD54&gt;=1,AC54=0),0,ROUND((Q48-1500000)*0.3,0))</f>
        <v>0</v>
      </c>
      <c r="AD55" s="108">
        <f>IF(AD54&gt;=1,ROUND(($Q$48-1500000)*0.3,0),0)</f>
        <v>0</v>
      </c>
      <c r="AE55" s="108">
        <f>IF(Q48&gt;20000000,AH55*0.25,IF(Q48&gt;10000000,AH55*0.15,IF(Q48&gt;5000000,AH55*0.1,0)))</f>
        <v>0</v>
      </c>
      <c r="AH55" s="209">
        <f>SUM(X55:AE55)</f>
        <v>101254</v>
      </c>
      <c r="AI55" s="96"/>
      <c r="AJ55" s="96">
        <f>IF(AND(AI53=1,AJ53&lt;=AH55),AJ53,IF(AND(AI53=2,AK53&lt;=AH58),AK53+1200000,IF(AND(AI53=3,AL53&lt;=AH59),AK53+2970000+AL55,0)))</f>
        <v>0</v>
      </c>
      <c r="AK55" s="96">
        <f>ROUND(AK53*0.3,0)</f>
        <v>0</v>
      </c>
      <c r="AL55" s="96">
        <f>ROUND(AL53*0.3,0)</f>
        <v>0</v>
      </c>
      <c r="AM55" s="108"/>
      <c r="AN55" s="108"/>
      <c r="AO55" s="108"/>
    </row>
    <row r="56" spans="1:41" ht="12" customHeight="1">
      <c r="A56" s="648"/>
      <c r="B56" s="571"/>
      <c r="C56" s="572" t="str">
        <f t="shared" ref="C56" si="5">IF($N$2="old tax regime","----","15,00,001 अथवा इससे ऊपर")</f>
        <v>15,00,001 अथवा इससे ऊपर</v>
      </c>
      <c r="D56" s="573"/>
      <c r="E56" s="573"/>
      <c r="F56" s="573"/>
      <c r="G56" s="573"/>
      <c r="H56" s="574"/>
      <c r="I56" s="572" t="str">
        <f t="shared" ref="I56" si="6">IF($N$2="old tax regime","----","30%")</f>
        <v>30%</v>
      </c>
      <c r="J56" s="574"/>
      <c r="K56" s="572" t="str">
        <f>IF($N$2="old tax regime","----","30%")</f>
        <v>30%</v>
      </c>
      <c r="L56" s="574"/>
      <c r="M56" s="572" t="str">
        <f>IF($N$2="old tax regime","----","30%")</f>
        <v>30%</v>
      </c>
      <c r="N56" s="573"/>
      <c r="O56" s="574"/>
      <c r="P56" s="56" t="s">
        <v>127</v>
      </c>
      <c r="Q56" s="73">
        <f>SUM(AB55:AD55)</f>
        <v>0</v>
      </c>
      <c r="R56" s="628"/>
      <c r="S56" s="204"/>
      <c r="T56" s="285"/>
      <c r="U56" s="285"/>
      <c r="V56" s="520"/>
      <c r="W56" s="96"/>
      <c r="X56" s="96"/>
      <c r="Y56" s="96"/>
      <c r="Z56" s="96"/>
      <c r="AA56" s="196"/>
      <c r="AB56" s="196"/>
      <c r="AC56" s="205"/>
      <c r="AH56" s="209">
        <f>IF(AH55&lt;25000,0,25000)</f>
        <v>25000</v>
      </c>
      <c r="AI56" s="96"/>
      <c r="AJ56" s="96"/>
      <c r="AK56" s="96"/>
      <c r="AL56" s="108"/>
      <c r="AM56" s="108"/>
      <c r="AN56" s="108"/>
      <c r="AO56" s="108"/>
    </row>
    <row r="57" spans="1:41" ht="14.25" customHeight="1">
      <c r="A57" s="648"/>
      <c r="B57" s="571"/>
      <c r="C57" s="525" t="str">
        <f>IF(Q48&lt;5000000,"","Marginal Relief से पूर्व अधिभार (Surcharge)")</f>
        <v/>
      </c>
      <c r="D57" s="526"/>
      <c r="E57" s="526"/>
      <c r="F57" s="526"/>
      <c r="G57" s="526"/>
      <c r="H57" s="526"/>
      <c r="I57" s="526"/>
      <c r="J57" s="526"/>
      <c r="K57" s="526"/>
      <c r="L57" s="526"/>
      <c r="M57" s="526"/>
      <c r="N57" s="526"/>
      <c r="O57" s="527"/>
      <c r="P57" s="56" t="str">
        <f>IF(Q48&lt;5000000,"","Rs.")</f>
        <v/>
      </c>
      <c r="Q57" s="211" t="str">
        <f>IF(Q48&lt;5000000,"",ROUND(AE55,0))</f>
        <v/>
      </c>
      <c r="R57" s="628"/>
      <c r="S57" s="204"/>
      <c r="T57" s="285"/>
      <c r="U57" s="285"/>
      <c r="V57" s="520"/>
      <c r="W57" s="96"/>
      <c r="X57" s="96"/>
      <c r="Y57" s="96"/>
      <c r="Z57" s="96"/>
      <c r="AA57" s="205"/>
      <c r="AB57" s="205"/>
      <c r="AC57" s="205"/>
      <c r="AD57" s="205"/>
      <c r="AH57" s="209"/>
      <c r="AI57" s="96"/>
      <c r="AJ57" s="96"/>
      <c r="AK57" s="96"/>
      <c r="AL57" s="205"/>
      <c r="AM57" s="205"/>
      <c r="AN57" s="205"/>
      <c r="AO57" s="205"/>
    </row>
    <row r="58" spans="1:41" ht="14.25" customHeight="1">
      <c r="A58" s="648"/>
      <c r="B58" s="571"/>
      <c r="C58" s="521" t="s">
        <v>207</v>
      </c>
      <c r="D58" s="521"/>
      <c r="E58" s="521"/>
      <c r="F58" s="521"/>
      <c r="G58" s="521"/>
      <c r="H58" s="521"/>
      <c r="I58" s="521"/>
      <c r="J58" s="521"/>
      <c r="K58" s="521"/>
      <c r="L58" s="521"/>
      <c r="M58" s="521"/>
      <c r="N58" s="521"/>
      <c r="O58" s="521"/>
      <c r="P58" s="56" t="s">
        <v>127</v>
      </c>
      <c r="Q58" s="75">
        <f>ROUND(SUM(Q51:Q57),0)</f>
        <v>101254</v>
      </c>
      <c r="R58" s="628"/>
      <c r="S58" s="204"/>
      <c r="T58" s="285"/>
      <c r="U58" s="285"/>
      <c r="V58" s="520"/>
      <c r="X58" s="110"/>
      <c r="Y58" s="110"/>
      <c r="AH58" s="210">
        <f>IF(AH55&lt;1200000,0,AH55-1200000)</f>
        <v>0</v>
      </c>
      <c r="AI58" s="205"/>
      <c r="AJ58" s="206">
        <f>IF(AND(AJ55&gt;0,AI53=1),AJ55,IF(AND(AJ55&gt;0,AI53=2),AJ55,IF(AND(AJ55&gt;0,AI53=3),AJ55,AH55)))</f>
        <v>101254</v>
      </c>
    </row>
    <row r="59" spans="1:41" ht="14.25" hidden="1" customHeight="1">
      <c r="A59" s="648"/>
      <c r="B59" s="571"/>
      <c r="C59" s="523" t="s">
        <v>255</v>
      </c>
      <c r="D59" s="524"/>
      <c r="E59" s="524"/>
      <c r="F59" s="524"/>
      <c r="G59" s="524"/>
      <c r="H59" s="524"/>
      <c r="I59" s="524"/>
      <c r="J59" s="524"/>
      <c r="K59" s="524"/>
      <c r="L59" s="524"/>
      <c r="M59" s="524"/>
      <c r="N59" s="524"/>
      <c r="O59" s="524"/>
      <c r="P59" s="252" t="s">
        <v>127</v>
      </c>
      <c r="Q59" s="253">
        <f>IF(Q48&lt;=700000,Q58,0)</f>
        <v>0</v>
      </c>
      <c r="R59" s="628"/>
      <c r="S59" s="204"/>
      <c r="T59" s="285"/>
      <c r="U59" s="285"/>
      <c r="V59" s="520"/>
      <c r="AH59" s="210">
        <f>IF(AH55&lt;2970000,0,AH55-2970000)</f>
        <v>0</v>
      </c>
    </row>
    <row r="60" spans="1:41" ht="14.25" hidden="1" customHeight="1">
      <c r="A60" s="648"/>
      <c r="B60" s="571"/>
      <c r="C60" s="523" t="s">
        <v>267</v>
      </c>
      <c r="D60" s="524"/>
      <c r="E60" s="524"/>
      <c r="F60" s="524"/>
      <c r="G60" s="524"/>
      <c r="H60" s="524"/>
      <c r="I60" s="524"/>
      <c r="J60" s="524"/>
      <c r="K60" s="524"/>
      <c r="L60" s="524"/>
      <c r="M60" s="524"/>
      <c r="N60" s="524"/>
      <c r="O60" s="524"/>
      <c r="P60" s="252" t="s">
        <v>127</v>
      </c>
      <c r="Q60" s="253">
        <f>IF(AND(AI53=1,AJ55&gt;0),ROUND(Q58-AJ53,0),IF(AND(AI53=2,AJ55&gt;0),ROUND(AH58-AK53+Q63,0),IF(AND(AI53=3,AJ55&gt;0),ROUND(AH59-AL53+Q63,0),0)))</f>
        <v>0</v>
      </c>
      <c r="R60" s="628"/>
      <c r="S60" s="204"/>
      <c r="T60" s="285"/>
      <c r="U60" s="285"/>
      <c r="V60" s="520"/>
      <c r="X60" s="205"/>
      <c r="Y60" s="205"/>
      <c r="Z60" s="205"/>
      <c r="AA60" s="205"/>
      <c r="AB60" s="205"/>
      <c r="AC60" s="205"/>
      <c r="AD60" s="205"/>
      <c r="AH60" s="210"/>
    </row>
    <row r="61" spans="1:41" ht="26.25" customHeight="1">
      <c r="A61" s="648"/>
      <c r="B61" s="571"/>
      <c r="C61" s="661" t="s">
        <v>268</v>
      </c>
      <c r="D61" s="662"/>
      <c r="E61" s="662"/>
      <c r="F61" s="662"/>
      <c r="G61" s="662"/>
      <c r="H61" s="662"/>
      <c r="I61" s="662"/>
      <c r="J61" s="662"/>
      <c r="K61" s="662"/>
      <c r="L61" s="662"/>
      <c r="M61" s="662"/>
      <c r="N61" s="662"/>
      <c r="O61" s="662"/>
      <c r="P61" s="56" t="s">
        <v>127</v>
      </c>
      <c r="Q61" s="74">
        <f>SUM(Q59:Q60)</f>
        <v>0</v>
      </c>
      <c r="R61" s="628"/>
      <c r="S61" s="207"/>
      <c r="T61" s="285"/>
      <c r="U61" s="285"/>
      <c r="V61" s="520"/>
      <c r="X61" s="208"/>
      <c r="Y61" s="208"/>
      <c r="Z61" s="208"/>
      <c r="AA61" s="208"/>
      <c r="AB61" s="208"/>
      <c r="AC61" s="208"/>
      <c r="AD61" s="208"/>
      <c r="AH61" s="210"/>
    </row>
    <row r="62" spans="1:41" ht="14.25" customHeight="1">
      <c r="A62" s="648"/>
      <c r="B62" s="571"/>
      <c r="C62" s="521" t="s">
        <v>269</v>
      </c>
      <c r="D62" s="521"/>
      <c r="E62" s="521"/>
      <c r="F62" s="521"/>
      <c r="G62" s="521"/>
      <c r="H62" s="521"/>
      <c r="I62" s="521"/>
      <c r="J62" s="521"/>
      <c r="K62" s="521"/>
      <c r="L62" s="521"/>
      <c r="M62" s="521"/>
      <c r="N62" s="521"/>
      <c r="O62" s="521"/>
      <c r="P62" s="56" t="s">
        <v>127</v>
      </c>
      <c r="Q62" s="75">
        <f>ROUND(Q58-Q61,0)</f>
        <v>101254</v>
      </c>
      <c r="R62" s="628"/>
      <c r="S62" s="204"/>
      <c r="T62" s="285"/>
      <c r="U62" s="285"/>
      <c r="V62" s="520"/>
      <c r="Y62" s="113">
        <f>ROUND(Q47,-1)</f>
        <v>1306270</v>
      </c>
    </row>
    <row r="63" spans="1:41" ht="14.25" customHeight="1">
      <c r="A63" s="648"/>
      <c r="B63" s="571"/>
      <c r="C63" s="521" t="s">
        <v>273</v>
      </c>
      <c r="D63" s="521"/>
      <c r="E63" s="521"/>
      <c r="F63" s="521"/>
      <c r="G63" s="521"/>
      <c r="H63" s="521"/>
      <c r="I63" s="521"/>
      <c r="J63" s="521"/>
      <c r="K63" s="521"/>
      <c r="L63" s="521"/>
      <c r="M63" s="521"/>
      <c r="N63" s="521"/>
      <c r="O63" s="521"/>
      <c r="P63" s="56" t="s">
        <v>127</v>
      </c>
      <c r="Q63" s="75">
        <f>AE55</f>
        <v>0</v>
      </c>
      <c r="R63" s="628"/>
      <c r="S63" s="204"/>
      <c r="T63" s="285"/>
      <c r="U63" s="285"/>
      <c r="V63" s="520"/>
      <c r="X63" s="205"/>
      <c r="Y63" s="205"/>
      <c r="Z63" s="205"/>
      <c r="AA63" s="205"/>
      <c r="AB63" s="205"/>
      <c r="AC63" s="205"/>
      <c r="AD63" s="205"/>
    </row>
    <row r="64" spans="1:41" ht="14.25" customHeight="1">
      <c r="A64" s="648"/>
      <c r="B64" s="571"/>
      <c r="C64" s="522" t="s">
        <v>272</v>
      </c>
      <c r="D64" s="522"/>
      <c r="E64" s="522"/>
      <c r="F64" s="522"/>
      <c r="G64" s="522"/>
      <c r="H64" s="522"/>
      <c r="I64" s="522"/>
      <c r="J64" s="522"/>
      <c r="K64" s="522"/>
      <c r="L64" s="522"/>
      <c r="M64" s="522"/>
      <c r="N64" s="522"/>
      <c r="O64" s="522"/>
      <c r="P64" s="56" t="s">
        <v>127</v>
      </c>
      <c r="Q64" s="75">
        <f>SUM(Q62:Q63)</f>
        <v>101254</v>
      </c>
      <c r="R64" s="628"/>
      <c r="S64" s="204"/>
      <c r="T64" s="285"/>
      <c r="U64" s="285"/>
      <c r="V64" s="520"/>
      <c r="X64" s="205"/>
      <c r="Y64" s="205"/>
      <c r="Z64" s="205"/>
      <c r="AA64" s="205"/>
      <c r="AB64" s="205"/>
      <c r="AC64" s="205"/>
      <c r="AD64" s="205"/>
    </row>
    <row r="65" spans="1:30" ht="14.25" customHeight="1">
      <c r="A65" s="648"/>
      <c r="B65" s="571"/>
      <c r="C65" s="563" t="s">
        <v>270</v>
      </c>
      <c r="D65" s="563"/>
      <c r="E65" s="563"/>
      <c r="F65" s="563"/>
      <c r="G65" s="563"/>
      <c r="H65" s="563"/>
      <c r="I65" s="563"/>
      <c r="J65" s="563"/>
      <c r="K65" s="563"/>
      <c r="L65" s="563"/>
      <c r="M65" s="563"/>
      <c r="N65" s="563"/>
      <c r="O65" s="563"/>
      <c r="P65" s="56" t="s">
        <v>127</v>
      </c>
      <c r="Q65" s="74">
        <f>ROUND(Q64*0.04,0)</f>
        <v>4050</v>
      </c>
      <c r="R65" s="628"/>
      <c r="S65" s="204"/>
      <c r="T65" s="285"/>
      <c r="U65" s="285"/>
      <c r="V65" s="520"/>
    </row>
    <row r="66" spans="1:30" ht="12.75" customHeight="1">
      <c r="A66" s="648"/>
      <c r="B66" s="571"/>
      <c r="C66" s="564" t="s">
        <v>271</v>
      </c>
      <c r="D66" s="565"/>
      <c r="E66" s="565"/>
      <c r="F66" s="565"/>
      <c r="G66" s="565"/>
      <c r="H66" s="565"/>
      <c r="I66" s="565"/>
      <c r="J66" s="565"/>
      <c r="K66" s="565"/>
      <c r="L66" s="565"/>
      <c r="M66" s="565"/>
      <c r="N66" s="565"/>
      <c r="O66" s="566"/>
      <c r="P66" s="56" t="s">
        <v>127</v>
      </c>
      <c r="Q66" s="75">
        <f>SUM(Q64:Q65)</f>
        <v>105304</v>
      </c>
      <c r="R66" s="628"/>
      <c r="S66" s="204"/>
      <c r="T66" s="285"/>
      <c r="U66" s="285"/>
      <c r="V66" s="520"/>
      <c r="X66" s="110"/>
      <c r="Y66" s="110"/>
    </row>
    <row r="67" spans="1:30" ht="14.25" customHeight="1">
      <c r="A67" s="648"/>
      <c r="B67" s="101">
        <v>17</v>
      </c>
      <c r="C67" s="567" t="s">
        <v>212</v>
      </c>
      <c r="D67" s="567"/>
      <c r="E67" s="567"/>
      <c r="F67" s="567"/>
      <c r="G67" s="567"/>
      <c r="H67" s="567"/>
      <c r="I67" s="567"/>
      <c r="J67" s="567"/>
      <c r="K67" s="567"/>
      <c r="L67" s="567"/>
      <c r="M67" s="567"/>
      <c r="N67" s="567"/>
      <c r="O67" s="567"/>
      <c r="P67" s="56" t="s">
        <v>127</v>
      </c>
      <c r="Q67" s="74">
        <f>'Exemp.(HRA+Other) &amp; Other incom'!Q26</f>
        <v>0</v>
      </c>
      <c r="R67" s="628"/>
      <c r="S67" s="204"/>
      <c r="T67" s="285"/>
      <c r="U67" s="285"/>
      <c r="V67" s="520"/>
    </row>
    <row r="68" spans="1:30" ht="14.25" customHeight="1">
      <c r="A68" s="648"/>
      <c r="B68" s="550">
        <v>18</v>
      </c>
      <c r="C68" s="568" t="s">
        <v>213</v>
      </c>
      <c r="D68" s="568"/>
      <c r="E68" s="568"/>
      <c r="F68" s="568"/>
      <c r="G68" s="568"/>
      <c r="H68" s="568"/>
      <c r="I68" s="568"/>
      <c r="J68" s="568"/>
      <c r="K68" s="568"/>
      <c r="L68" s="568"/>
      <c r="M68" s="568"/>
      <c r="N68" s="568"/>
      <c r="O68" s="568"/>
      <c r="P68" s="56" t="s">
        <v>127</v>
      </c>
      <c r="Q68" s="75">
        <f>Q66-Q67</f>
        <v>105304</v>
      </c>
      <c r="R68" s="628"/>
      <c r="S68" s="204"/>
      <c r="T68" s="285"/>
      <c r="U68" s="285"/>
      <c r="V68" s="520"/>
    </row>
    <row r="69" spans="1:30" ht="14.25" customHeight="1" thickBot="1">
      <c r="A69" s="648"/>
      <c r="B69" s="551"/>
      <c r="C69" s="569" t="s">
        <v>214</v>
      </c>
      <c r="D69" s="569"/>
      <c r="E69" s="569"/>
      <c r="F69" s="569"/>
      <c r="G69" s="569"/>
      <c r="H69" s="569"/>
      <c r="I69" s="569"/>
      <c r="J69" s="569"/>
      <c r="K69" s="569"/>
      <c r="L69" s="569"/>
      <c r="M69" s="569"/>
      <c r="N69" s="569"/>
      <c r="O69" s="569"/>
      <c r="P69" s="60" t="s">
        <v>127</v>
      </c>
      <c r="Q69" s="72">
        <f>ROUND(Q68,-1)</f>
        <v>105300</v>
      </c>
      <c r="R69" s="628"/>
      <c r="S69" s="204"/>
      <c r="T69" s="285"/>
      <c r="U69" s="285"/>
      <c r="V69" s="520"/>
    </row>
    <row r="70" spans="1:30" ht="44.25" customHeight="1">
      <c r="A70" s="648"/>
      <c r="B70" s="549">
        <v>19</v>
      </c>
      <c r="C70" s="552" t="s">
        <v>159</v>
      </c>
      <c r="D70" s="555" t="s">
        <v>292</v>
      </c>
      <c r="E70" s="555"/>
      <c r="F70" s="555" t="s">
        <v>293</v>
      </c>
      <c r="G70" s="555"/>
      <c r="H70" s="555"/>
      <c r="I70" s="258" t="s">
        <v>294</v>
      </c>
      <c r="J70" s="258" t="s">
        <v>295</v>
      </c>
      <c r="K70" s="258" t="s">
        <v>296</v>
      </c>
      <c r="L70" s="258" t="s">
        <v>297</v>
      </c>
      <c r="M70" s="556" t="s">
        <v>215</v>
      </c>
      <c r="N70" s="556"/>
      <c r="O70" s="103" t="s">
        <v>216</v>
      </c>
      <c r="P70" s="557" t="s">
        <v>217</v>
      </c>
      <c r="Q70" s="558"/>
      <c r="R70" s="628"/>
      <c r="S70" s="204"/>
      <c r="T70" s="285"/>
      <c r="U70" s="285"/>
      <c r="V70" s="520"/>
      <c r="Z70" s="113"/>
    </row>
    <row r="71" spans="1:30" s="10" customFormat="1" ht="13.5" customHeight="1">
      <c r="A71" s="648"/>
      <c r="B71" s="550"/>
      <c r="C71" s="553"/>
      <c r="D71" s="559">
        <f>SUM('GA-55'!AA9:AA11)</f>
        <v>0</v>
      </c>
      <c r="E71" s="559"/>
      <c r="F71" s="559">
        <f>SUM('GA-55'!AA12:AA14)</f>
        <v>0</v>
      </c>
      <c r="G71" s="559"/>
      <c r="H71" s="559"/>
      <c r="I71" s="104">
        <f>SUM('GA-55'!AA15:AA17)</f>
        <v>0</v>
      </c>
      <c r="J71" s="104">
        <f>'GA-55'!AA18</f>
        <v>0</v>
      </c>
      <c r="K71" s="104">
        <f>'GA-55'!AA19</f>
        <v>0</v>
      </c>
      <c r="L71" s="104">
        <f>'GA-55'!AA20</f>
        <v>0</v>
      </c>
      <c r="M71" s="559">
        <f>SUM('GA-55'!AA21:AA30)</f>
        <v>0</v>
      </c>
      <c r="N71" s="560"/>
      <c r="O71" s="104">
        <f>'Basic Data'!N19</f>
        <v>0</v>
      </c>
      <c r="P71" s="92" t="s">
        <v>127</v>
      </c>
      <c r="Q71" s="93">
        <f>SUM(D71:O71)</f>
        <v>0</v>
      </c>
      <c r="R71" s="628"/>
      <c r="S71" s="204"/>
      <c r="T71" s="285"/>
      <c r="U71" s="285"/>
      <c r="V71" s="520"/>
      <c r="X71" s="108"/>
      <c r="Y71" s="108"/>
      <c r="Z71" s="108"/>
      <c r="AA71" s="108"/>
      <c r="AB71" s="108"/>
      <c r="AC71" s="108"/>
      <c r="AD71" s="108"/>
    </row>
    <row r="72" spans="1:30" ht="21" customHeight="1" thickBot="1">
      <c r="A72" s="648"/>
      <c r="B72" s="551"/>
      <c r="C72" s="554"/>
      <c r="D72" s="561" t="s">
        <v>277</v>
      </c>
      <c r="E72" s="562"/>
      <c r="F72" s="562"/>
      <c r="G72" s="562"/>
      <c r="H72" s="562"/>
      <c r="I72" s="562"/>
      <c r="J72" s="562"/>
      <c r="K72" s="562"/>
      <c r="L72" s="546" t="str">
        <f>IF(Q71&gt;Q69,"(Refundable)","(Payble)")</f>
        <v>(Payble)</v>
      </c>
      <c r="M72" s="546"/>
      <c r="N72" s="546"/>
      <c r="O72" s="546"/>
      <c r="P72" s="60" t="s">
        <v>127</v>
      </c>
      <c r="Q72" s="72">
        <f>Q71-Q69</f>
        <v>-105300</v>
      </c>
      <c r="R72" s="628"/>
      <c r="S72" s="204"/>
      <c r="T72" s="285"/>
      <c r="U72" s="285"/>
      <c r="V72" s="520"/>
    </row>
    <row r="73" spans="1:30" ht="9.75" customHeight="1">
      <c r="A73" s="648"/>
      <c r="B73" s="547" t="str">
        <f>'GA-55'!B32</f>
        <v>Siganture of Employee()</v>
      </c>
      <c r="C73" s="547"/>
      <c r="D73" s="547"/>
      <c r="E73" s="547"/>
      <c r="F73" s="547"/>
      <c r="G73" s="547"/>
      <c r="H73" s="547"/>
      <c r="I73" s="547"/>
      <c r="J73" s="547"/>
      <c r="K73" s="547" t="str">
        <f>'GA-55'!P32</f>
        <v>Signature of DDO ()</v>
      </c>
      <c r="L73" s="547"/>
      <c r="M73" s="547"/>
      <c r="N73" s="547"/>
      <c r="O73" s="547"/>
      <c r="P73" s="547"/>
      <c r="Q73" s="547"/>
      <c r="R73" s="628"/>
      <c r="S73" s="204"/>
      <c r="T73" s="285"/>
      <c r="U73" s="285"/>
      <c r="V73" s="520"/>
    </row>
    <row r="74" spans="1:30" ht="25.5" customHeight="1">
      <c r="A74" s="648"/>
      <c r="B74" s="548"/>
      <c r="C74" s="548"/>
      <c r="D74" s="548"/>
      <c r="E74" s="548"/>
      <c r="F74" s="548"/>
      <c r="G74" s="548"/>
      <c r="H74" s="548"/>
      <c r="I74" s="548"/>
      <c r="J74" s="548"/>
      <c r="K74" s="548"/>
      <c r="L74" s="548"/>
      <c r="M74" s="548"/>
      <c r="N74" s="548"/>
      <c r="O74" s="548"/>
      <c r="P74" s="548"/>
      <c r="Q74" s="548"/>
      <c r="R74" s="628"/>
      <c r="S74" s="204"/>
      <c r="T74" s="285"/>
      <c r="U74" s="285"/>
      <c r="V74" s="520"/>
    </row>
    <row r="75" spans="1:30" ht="6.75" customHeight="1">
      <c r="T75" s="285"/>
      <c r="U75" s="285"/>
      <c r="V75" s="520"/>
    </row>
  </sheetData>
  <sheetProtection password="E8FA" sheet="1" objects="1" scenarios="1" formatCells="0" formatColumns="0" selectLockedCells="1"/>
  <mergeCells count="158">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C61:O61"/>
    <mergeCell ref="D25:G25"/>
    <mergeCell ref="K25:M25"/>
    <mergeCell ref="D26:G26"/>
    <mergeCell ref="R1:R74"/>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45:O45"/>
    <mergeCell ref="C37:O38"/>
    <mergeCell ref="P37:P38"/>
    <mergeCell ref="Q37:Q38"/>
    <mergeCell ref="C39:O40"/>
    <mergeCell ref="P39:P40"/>
    <mergeCell ref="Q39:Q40"/>
    <mergeCell ref="C41:O42"/>
    <mergeCell ref="P41:P42"/>
    <mergeCell ref="Q41:Q42"/>
    <mergeCell ref="C43:O44"/>
    <mergeCell ref="P43:P44"/>
    <mergeCell ref="Q43:Q44"/>
    <mergeCell ref="C46:O46"/>
    <mergeCell ref="C47:O47"/>
    <mergeCell ref="C48:O48"/>
    <mergeCell ref="C49:Q49"/>
    <mergeCell ref="C50:H50"/>
    <mergeCell ref="I50:J50"/>
    <mergeCell ref="K50:L50"/>
    <mergeCell ref="M50:O50"/>
    <mergeCell ref="C51:H51"/>
    <mergeCell ref="I51:J51"/>
    <mergeCell ref="K51:L51"/>
    <mergeCell ref="M51:O51"/>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M70:N70"/>
    <mergeCell ref="P70:Q70"/>
    <mergeCell ref="D71:E71"/>
    <mergeCell ref="F71:H71"/>
    <mergeCell ref="M71:N71"/>
    <mergeCell ref="D72:K72"/>
    <mergeCell ref="C62:O62"/>
    <mergeCell ref="C65:O65"/>
    <mergeCell ref="C66:O66"/>
    <mergeCell ref="C67:O67"/>
    <mergeCell ref="T1:U1"/>
    <mergeCell ref="V1:V75"/>
    <mergeCell ref="C63:O63"/>
    <mergeCell ref="C64:O64"/>
    <mergeCell ref="C60:O60"/>
    <mergeCell ref="C57:O57"/>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s>
  <conditionalFormatting sqref="L72:O72">
    <cfRule type="cellIs" dxfId="23" priority="12" operator="equal">
      <formula>"(Payble)"</formula>
    </cfRule>
    <cfRule type="cellIs" dxfId="22" priority="13" operator="equal">
      <formula>"(Refundable)"</formula>
    </cfRule>
  </conditionalFormatting>
  <conditionalFormatting sqref="Q72">
    <cfRule type="cellIs" dxfId="21" priority="10" operator="lessThan">
      <formula>0</formula>
    </cfRule>
    <cfRule type="cellIs" dxfId="20" priority="11" operator="greaterThan">
      <formula>0</formula>
    </cfRule>
  </conditionalFormatting>
  <conditionalFormatting sqref="P55:P57">
    <cfRule type="expression" dxfId="19" priority="9">
      <formula>$C55="----"</formula>
    </cfRule>
  </conditionalFormatting>
  <conditionalFormatting sqref="S8:U14">
    <cfRule type="expression" dxfId="18" priority="1">
      <formula>$S8="n"</formula>
    </cfRule>
    <cfRule type="expression" dxfId="17"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C72"/>
  <sheetViews>
    <sheetView showGridLines="0" showRowColHeaders="0" workbookViewId="0">
      <selection activeCell="Q5" sqref="Q5"/>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12" width="12.42578125" style="18" customWidth="1"/>
    <col min="13" max="13" width="9.140625" style="18" customWidth="1"/>
    <col min="14" max="14" width="4.140625" style="18" customWidth="1"/>
    <col min="15" max="15" width="10.7109375" style="18" customWidth="1"/>
    <col min="16" max="16" width="3" style="18" customWidth="1"/>
    <col min="17" max="17" width="16.140625" style="18" customWidth="1"/>
    <col min="18" max="18" width="1.42578125" style="18" customWidth="1"/>
    <col min="19" max="19" width="6" style="18" hidden="1" customWidth="1"/>
    <col min="20" max="21" width="8.28515625" style="96" customWidth="1"/>
    <col min="22" max="22" width="7.140625" style="96" customWidth="1"/>
    <col min="23" max="23" width="1.140625" style="96" customWidth="1"/>
    <col min="24" max="24" width="12.85546875" style="96" customWidth="1"/>
    <col min="25" max="25" width="8.7109375" style="96" customWidth="1"/>
    <col min="26" max="26" width="4.42578125" style="96" customWidth="1"/>
    <col min="27" max="27" width="1.5703125" style="269" customWidth="1"/>
    <col min="28" max="30" width="7.140625" style="108" hidden="1"/>
    <col min="31" max="32" width="7.140625" style="1" hidden="1"/>
    <col min="33" max="37" width="13.85546875" style="1" hidden="1"/>
    <col min="38" max="16383" width="7.140625" style="1" hidden="1"/>
    <col min="16384" max="16384" width="3.5703125" style="1" hidden="1"/>
  </cols>
  <sheetData>
    <row r="1" spans="1:30" ht="21" customHeight="1" thickBot="1">
      <c r="A1" s="648"/>
      <c r="B1" s="649" t="str">
        <f>'Exemp.(HRA+Other) &amp; Other incom'!A1</f>
        <v>Office: Govt. Sr. School Raimalwada (DDO Code :-12345)</v>
      </c>
      <c r="C1" s="650"/>
      <c r="D1" s="650"/>
      <c r="E1" s="650"/>
      <c r="F1" s="650"/>
      <c r="G1" s="650"/>
      <c r="H1" s="650"/>
      <c r="I1" s="650"/>
      <c r="J1" s="650"/>
      <c r="K1" s="650"/>
      <c r="L1" s="650"/>
      <c r="M1" s="650"/>
      <c r="N1" s="650"/>
      <c r="O1" s="650"/>
      <c r="P1" s="650"/>
      <c r="Q1" s="651"/>
      <c r="R1" s="628"/>
      <c r="S1" s="99"/>
      <c r="T1" s="695"/>
      <c r="U1" s="695"/>
      <c r="V1" s="695"/>
      <c r="W1" s="695"/>
      <c r="X1" s="695"/>
      <c r="Y1" s="695"/>
      <c r="Z1" s="695"/>
    </row>
    <row r="2" spans="1:30" ht="21" customHeight="1" thickBot="1">
      <c r="A2" s="648"/>
      <c r="B2" s="664" t="str">
        <f>CONCATENATE("Income Tax Calculation F.Y.",":-", 'Basic Data'!Q6)</f>
        <v>Income Tax Calculation F.Y.:-2024-25</v>
      </c>
      <c r="C2" s="665"/>
      <c r="D2" s="665"/>
      <c r="E2" s="665"/>
      <c r="F2" s="665"/>
      <c r="G2" s="665"/>
      <c r="H2" s="665"/>
      <c r="I2" s="665"/>
      <c r="J2" s="665"/>
      <c r="K2" s="666" t="str">
        <f>CONCATENATE("(","A.Y.",":-",AC4,")")</f>
        <v>(A.Y.:-2025-26)</v>
      </c>
      <c r="L2" s="666"/>
      <c r="M2" s="667"/>
      <c r="N2" s="632" t="s">
        <v>226</v>
      </c>
      <c r="O2" s="633"/>
      <c r="P2" s="633"/>
      <c r="Q2" s="634"/>
      <c r="R2" s="628"/>
      <c r="S2" s="99"/>
      <c r="T2" s="699" t="s">
        <v>234</v>
      </c>
      <c r="U2" s="700"/>
      <c r="V2" s="700"/>
      <c r="W2" s="700"/>
      <c r="X2" s="700"/>
      <c r="Y2" s="700"/>
      <c r="Z2" s="701"/>
      <c r="AC2" s="108">
        <f>YEAR('GA-55'!C9)</f>
        <v>2024</v>
      </c>
      <c r="AD2" s="108">
        <f>AC2+1</f>
        <v>2025</v>
      </c>
    </row>
    <row r="3" spans="1:30" s="95" customFormat="1" ht="16.5" customHeight="1" thickBot="1">
      <c r="A3" s="648"/>
      <c r="B3" s="89">
        <v>1</v>
      </c>
      <c r="C3" s="635" t="s">
        <v>157</v>
      </c>
      <c r="D3" s="635"/>
      <c r="E3" s="636">
        <f>'GA-55'!F3</f>
        <v>0</v>
      </c>
      <c r="F3" s="636"/>
      <c r="G3" s="636"/>
      <c r="H3" s="636"/>
      <c r="I3" s="636"/>
      <c r="J3" s="636"/>
      <c r="K3" s="90" t="s">
        <v>158</v>
      </c>
      <c r="L3" s="637">
        <f>'GA-55'!P3</f>
        <v>0</v>
      </c>
      <c r="M3" s="637"/>
      <c r="N3" s="637"/>
      <c r="O3" s="91" t="s">
        <v>91</v>
      </c>
      <c r="P3" s="638" t="str">
        <f>'GA-55'!F5</f>
        <v>ABCDE1234F</v>
      </c>
      <c r="Q3" s="639"/>
      <c r="R3" s="628"/>
      <c r="S3" s="99"/>
      <c r="T3" s="702"/>
      <c r="U3" s="703"/>
      <c r="V3" s="703"/>
      <c r="W3" s="703"/>
      <c r="X3" s="703"/>
      <c r="Y3" s="703"/>
      <c r="Z3" s="704"/>
      <c r="AA3" s="269"/>
      <c r="AB3" s="94"/>
      <c r="AC3" s="94">
        <f>YEAR('GA-55'!C19)</f>
        <v>2025</v>
      </c>
      <c r="AD3" s="94">
        <f>AC3+1-2000</f>
        <v>26</v>
      </c>
    </row>
    <row r="4" spans="1:30" ht="14.25" customHeight="1">
      <c r="A4" s="648"/>
      <c r="B4" s="100">
        <v>2</v>
      </c>
      <c r="C4" s="640" t="s">
        <v>291</v>
      </c>
      <c r="D4" s="640"/>
      <c r="E4" s="640"/>
      <c r="F4" s="640"/>
      <c r="G4" s="640"/>
      <c r="H4" s="640"/>
      <c r="I4" s="640"/>
      <c r="J4" s="640"/>
      <c r="K4" s="640"/>
      <c r="L4" s="640"/>
      <c r="M4" s="640"/>
      <c r="N4" s="640"/>
      <c r="O4" s="640"/>
      <c r="P4" s="64" t="s">
        <v>127</v>
      </c>
      <c r="Q4" s="88">
        <f>'GA-55'!O31</f>
        <v>1381266</v>
      </c>
      <c r="R4" s="628"/>
      <c r="S4" s="99"/>
      <c r="T4" s="702"/>
      <c r="U4" s="703"/>
      <c r="V4" s="703"/>
      <c r="W4" s="703"/>
      <c r="X4" s="703"/>
      <c r="Y4" s="703"/>
      <c r="Z4" s="704"/>
      <c r="AC4" s="108" t="str">
        <f>CONCATENATE(AD2,"-",AD3)</f>
        <v>2025-26</v>
      </c>
    </row>
    <row r="5" spans="1:30" ht="14.25" customHeight="1">
      <c r="A5" s="648"/>
      <c r="B5" s="101">
        <v>3</v>
      </c>
      <c r="C5" s="567" t="s">
        <v>166</v>
      </c>
      <c r="D5" s="567"/>
      <c r="E5" s="567"/>
      <c r="F5" s="567"/>
      <c r="G5" s="567"/>
      <c r="H5" s="567"/>
      <c r="I5" s="567"/>
      <c r="J5" s="567"/>
      <c r="K5" s="567"/>
      <c r="L5" s="567"/>
      <c r="M5" s="567"/>
      <c r="N5" s="567"/>
      <c r="O5" s="567"/>
      <c r="P5" s="56" t="s">
        <v>127</v>
      </c>
      <c r="Q5" s="278">
        <f>IF(N2="old tax regime",'Exemp.(HRA+Other) &amp; Other incom'!K4,0)</f>
        <v>0</v>
      </c>
      <c r="R5" s="628"/>
      <c r="S5" s="99"/>
      <c r="T5" s="702"/>
      <c r="U5" s="703"/>
      <c r="V5" s="703"/>
      <c r="W5" s="703"/>
      <c r="X5" s="703"/>
      <c r="Y5" s="703"/>
      <c r="Z5" s="704"/>
    </row>
    <row r="6" spans="1:30" ht="14.25" customHeight="1">
      <c r="A6" s="648"/>
      <c r="B6" s="101">
        <v>4</v>
      </c>
      <c r="C6" s="641" t="s">
        <v>160</v>
      </c>
      <c r="D6" s="641"/>
      <c r="E6" s="641"/>
      <c r="F6" s="641"/>
      <c r="G6" s="641"/>
      <c r="H6" s="641"/>
      <c r="I6" s="641"/>
      <c r="J6" s="641"/>
      <c r="K6" s="641"/>
      <c r="L6" s="641"/>
      <c r="M6" s="641"/>
      <c r="N6" s="641"/>
      <c r="O6" s="641"/>
      <c r="P6" s="56" t="s">
        <v>127</v>
      </c>
      <c r="Q6" s="81">
        <f>Q4-Q5</f>
        <v>1381266</v>
      </c>
      <c r="R6" s="628"/>
      <c r="S6" s="99"/>
      <c r="T6" s="702"/>
      <c r="U6" s="703"/>
      <c r="V6" s="703"/>
      <c r="W6" s="703"/>
      <c r="X6" s="703"/>
      <c r="Y6" s="703"/>
      <c r="Z6" s="704"/>
    </row>
    <row r="7" spans="1:30" ht="14.25" customHeight="1" thickBot="1">
      <c r="A7" s="648"/>
      <c r="B7" s="571">
        <v>5</v>
      </c>
      <c r="C7" s="567" t="s">
        <v>162</v>
      </c>
      <c r="D7" s="567"/>
      <c r="E7" s="567"/>
      <c r="F7" s="567"/>
      <c r="G7" s="567"/>
      <c r="H7" s="567"/>
      <c r="I7" s="567"/>
      <c r="J7" s="567"/>
      <c r="K7" s="567"/>
      <c r="L7" s="567"/>
      <c r="M7" s="645">
        <f>'Exemp.(HRA+Other) &amp; Other incom'!L13</f>
        <v>0</v>
      </c>
      <c r="N7" s="645"/>
      <c r="O7" s="645"/>
      <c r="P7" s="643"/>
      <c r="Q7" s="644"/>
      <c r="R7" s="628"/>
      <c r="S7" s="99"/>
      <c r="T7" s="705"/>
      <c r="U7" s="706"/>
      <c r="V7" s="706"/>
      <c r="W7" s="706"/>
      <c r="X7" s="706"/>
      <c r="Y7" s="706"/>
      <c r="Z7" s="707"/>
    </row>
    <row r="8" spans="1:30" ht="14.25" customHeight="1">
      <c r="A8" s="648"/>
      <c r="B8" s="571"/>
      <c r="C8" s="567" t="s">
        <v>163</v>
      </c>
      <c r="D8" s="567"/>
      <c r="E8" s="567"/>
      <c r="F8" s="567"/>
      <c r="G8" s="567"/>
      <c r="H8" s="567"/>
      <c r="I8" s="567"/>
      <c r="J8" s="567"/>
      <c r="K8" s="567"/>
      <c r="L8" s="567"/>
      <c r="M8" s="645">
        <f>'Exemp.(HRA+Other) &amp; Other incom'!L14</f>
        <v>0</v>
      </c>
      <c r="N8" s="645"/>
      <c r="O8" s="645"/>
      <c r="P8" s="643"/>
      <c r="Q8" s="644"/>
      <c r="R8" s="628"/>
      <c r="S8" s="685">
        <f>X8-X12</f>
        <v>80300</v>
      </c>
      <c r="T8" s="535" t="s">
        <v>235</v>
      </c>
      <c r="U8" s="686"/>
      <c r="V8" s="686"/>
      <c r="W8" s="686"/>
      <c r="X8" s="688">
        <f>'OLD REGIME'!Q64</f>
        <v>185600</v>
      </c>
      <c r="Y8" s="688"/>
      <c r="Z8" s="689"/>
    </row>
    <row r="9" spans="1:30" ht="14.25" customHeight="1">
      <c r="A9" s="648"/>
      <c r="B9" s="571"/>
      <c r="C9" s="567" t="s">
        <v>164</v>
      </c>
      <c r="D9" s="567"/>
      <c r="E9" s="567"/>
      <c r="F9" s="567"/>
      <c r="G9" s="567"/>
      <c r="H9" s="567"/>
      <c r="I9" s="567"/>
      <c r="J9" s="567"/>
      <c r="K9" s="567"/>
      <c r="L9" s="567"/>
      <c r="M9" s="645">
        <v>50000</v>
      </c>
      <c r="N9" s="645"/>
      <c r="O9" s="645"/>
      <c r="P9" s="56" t="s">
        <v>127</v>
      </c>
      <c r="Q9" s="76">
        <f>M7+M8+M9</f>
        <v>50000</v>
      </c>
      <c r="R9" s="628"/>
      <c r="S9" s="628"/>
      <c r="T9" s="536"/>
      <c r="U9" s="687"/>
      <c r="V9" s="687"/>
      <c r="W9" s="687"/>
      <c r="X9" s="690"/>
      <c r="Y9" s="690"/>
      <c r="Z9" s="691"/>
    </row>
    <row r="10" spans="1:30" ht="14.25" customHeight="1">
      <c r="A10" s="648"/>
      <c r="B10" s="101">
        <v>6</v>
      </c>
      <c r="C10" s="641" t="s">
        <v>165</v>
      </c>
      <c r="D10" s="641"/>
      <c r="E10" s="641"/>
      <c r="F10" s="641"/>
      <c r="G10" s="641"/>
      <c r="H10" s="641"/>
      <c r="I10" s="641"/>
      <c r="J10" s="641"/>
      <c r="K10" s="641"/>
      <c r="L10" s="641"/>
      <c r="M10" s="641"/>
      <c r="N10" s="641"/>
      <c r="O10" s="641"/>
      <c r="P10" s="56" t="s">
        <v>127</v>
      </c>
      <c r="Q10" s="81">
        <f>Q6-Q9</f>
        <v>1331266</v>
      </c>
      <c r="R10" s="628"/>
      <c r="S10" s="628"/>
      <c r="T10" s="536"/>
      <c r="U10" s="687"/>
      <c r="V10" s="687"/>
      <c r="W10" s="687"/>
      <c r="X10" s="690"/>
      <c r="Y10" s="690"/>
      <c r="Z10" s="691"/>
    </row>
    <row r="11" spans="1:30" ht="14.25" customHeight="1">
      <c r="A11" s="648"/>
      <c r="B11" s="571">
        <v>7</v>
      </c>
      <c r="C11" s="567" t="s">
        <v>167</v>
      </c>
      <c r="D11" s="567"/>
      <c r="E11" s="567"/>
      <c r="F11" s="567"/>
      <c r="G11" s="567"/>
      <c r="H11" s="567"/>
      <c r="I11" s="567"/>
      <c r="J11" s="567"/>
      <c r="K11" s="646" t="s">
        <v>168</v>
      </c>
      <c r="L11" s="646"/>
      <c r="M11" s="645">
        <f>'Exemp.(HRA+Other) &amp; Other incom'!L7</f>
        <v>0</v>
      </c>
      <c r="N11" s="645"/>
      <c r="O11" s="645"/>
      <c r="P11" s="646"/>
      <c r="Q11" s="647"/>
      <c r="R11" s="628"/>
      <c r="S11" s="99"/>
      <c r="T11" s="692"/>
      <c r="U11" s="693"/>
      <c r="V11" s="693"/>
      <c r="W11" s="693"/>
      <c r="X11" s="693"/>
      <c r="Y11" s="693"/>
      <c r="Z11" s="694"/>
    </row>
    <row r="12" spans="1:30" ht="14.25" customHeight="1">
      <c r="A12" s="648"/>
      <c r="B12" s="571"/>
      <c r="C12" s="652" t="s">
        <v>169</v>
      </c>
      <c r="D12" s="652"/>
      <c r="E12" s="646" t="s">
        <v>170</v>
      </c>
      <c r="F12" s="646"/>
      <c r="G12" s="646"/>
      <c r="H12" s="653" t="s">
        <v>171</v>
      </c>
      <c r="I12" s="653"/>
      <c r="J12" s="653"/>
      <c r="K12" s="646" t="s">
        <v>128</v>
      </c>
      <c r="L12" s="646"/>
      <c r="M12" s="658" t="s">
        <v>172</v>
      </c>
      <c r="N12" s="658"/>
      <c r="O12" s="658"/>
      <c r="P12" s="646"/>
      <c r="Q12" s="647"/>
      <c r="R12" s="628"/>
      <c r="S12" s="685">
        <f>X12-X8</f>
        <v>-80300</v>
      </c>
      <c r="T12" s="536" t="s">
        <v>236</v>
      </c>
      <c r="U12" s="687"/>
      <c r="V12" s="687"/>
      <c r="W12" s="687"/>
      <c r="X12" s="690">
        <f>'New Regime Calc. Report'!Q69</f>
        <v>105300</v>
      </c>
      <c r="Y12" s="690"/>
      <c r="Z12" s="691"/>
    </row>
    <row r="13" spans="1:30" ht="14.25" customHeight="1">
      <c r="A13" s="648"/>
      <c r="B13" s="571"/>
      <c r="C13" s="652"/>
      <c r="D13" s="652"/>
      <c r="E13" s="645">
        <f>IF(N2="old tax regime",ROUND(M11*0.3,0),0)</f>
        <v>0</v>
      </c>
      <c r="F13" s="645"/>
      <c r="G13" s="645"/>
      <c r="H13" s="645">
        <f>IF(N2="old tax regime",'Exemp.(HRA+Other) &amp; Other incom'!L17,0)</f>
        <v>0</v>
      </c>
      <c r="I13" s="645"/>
      <c r="J13" s="645"/>
      <c r="K13" s="645">
        <f>IF(N2="old tax regime",'Exemp.(HRA+Other) &amp; Other incom'!L15,0)</f>
        <v>0</v>
      </c>
      <c r="L13" s="645"/>
      <c r="M13" s="659">
        <f>E13+H13+K13</f>
        <v>0</v>
      </c>
      <c r="N13" s="659"/>
      <c r="O13" s="659"/>
      <c r="P13" s="646"/>
      <c r="Q13" s="647"/>
      <c r="R13" s="628"/>
      <c r="S13" s="628"/>
      <c r="T13" s="536"/>
      <c r="U13" s="687"/>
      <c r="V13" s="687"/>
      <c r="W13" s="687"/>
      <c r="X13" s="690"/>
      <c r="Y13" s="690"/>
      <c r="Z13" s="691"/>
    </row>
    <row r="14" spans="1:30" ht="18" customHeight="1">
      <c r="A14" s="648"/>
      <c r="B14" s="101"/>
      <c r="C14" s="660" t="s">
        <v>174</v>
      </c>
      <c r="D14" s="526"/>
      <c r="E14" s="526"/>
      <c r="F14" s="526"/>
      <c r="G14" s="526"/>
      <c r="H14" s="526"/>
      <c r="I14" s="526"/>
      <c r="J14" s="526"/>
      <c r="K14" s="526"/>
      <c r="L14" s="526"/>
      <c r="M14" s="526"/>
      <c r="N14" s="526"/>
      <c r="O14" s="527"/>
      <c r="P14" s="56" t="s">
        <v>127</v>
      </c>
      <c r="Q14" s="76">
        <f>M11-M13</f>
        <v>0</v>
      </c>
      <c r="R14" s="628"/>
      <c r="S14" s="628"/>
      <c r="T14" s="536"/>
      <c r="U14" s="687"/>
      <c r="V14" s="687"/>
      <c r="W14" s="687"/>
      <c r="X14" s="690"/>
      <c r="Y14" s="690"/>
      <c r="Z14" s="691"/>
    </row>
    <row r="15" spans="1:30" ht="15" customHeight="1" thickBot="1">
      <c r="A15" s="648"/>
      <c r="B15" s="101">
        <v>8</v>
      </c>
      <c r="C15" s="525" t="s">
        <v>173</v>
      </c>
      <c r="D15" s="654"/>
      <c r="E15" s="654"/>
      <c r="F15" s="654"/>
      <c r="G15" s="654"/>
      <c r="H15" s="654"/>
      <c r="I15" s="654"/>
      <c r="J15" s="654"/>
      <c r="K15" s="654"/>
      <c r="L15" s="654"/>
      <c r="M15" s="654"/>
      <c r="N15" s="654"/>
      <c r="O15" s="655"/>
      <c r="P15" s="56" t="s">
        <v>127</v>
      </c>
      <c r="Q15" s="81">
        <f>Q10+Q14</f>
        <v>1331266</v>
      </c>
      <c r="R15" s="628"/>
      <c r="S15" s="99"/>
      <c r="T15" s="696"/>
      <c r="U15" s="697"/>
      <c r="V15" s="697"/>
      <c r="W15" s="697"/>
      <c r="X15" s="697"/>
      <c r="Y15" s="697"/>
      <c r="Z15" s="698"/>
    </row>
    <row r="16" spans="1:30" ht="15" customHeight="1">
      <c r="A16" s="648"/>
      <c r="B16" s="550">
        <v>9</v>
      </c>
      <c r="C16" s="668" t="s">
        <v>155</v>
      </c>
      <c r="D16" s="106" t="s">
        <v>119</v>
      </c>
      <c r="E16" s="669" t="str">
        <f>'Exemp.(HRA+Other) &amp; Other incom'!B8</f>
        <v>अन्य आय (बैंक/एफडी में जमा ब्याज/अन्य ब्याज आदि का योग</v>
      </c>
      <c r="F16" s="567"/>
      <c r="G16" s="567"/>
      <c r="H16" s="567"/>
      <c r="I16" s="567"/>
      <c r="J16" s="567"/>
      <c r="K16" s="567"/>
      <c r="L16" s="567"/>
      <c r="M16" s="567"/>
      <c r="N16" s="567"/>
      <c r="O16" s="567"/>
      <c r="P16" s="56" t="s">
        <v>127</v>
      </c>
      <c r="Q16" s="76">
        <f>'Exemp.(HRA+Other) &amp; Other incom'!L8</f>
        <v>0</v>
      </c>
      <c r="R16" s="628"/>
      <c r="S16" s="99"/>
      <c r="T16" s="708"/>
      <c r="U16" s="708"/>
      <c r="V16" s="708"/>
      <c r="W16" s="708"/>
      <c r="X16" s="708"/>
      <c r="Y16" s="708"/>
      <c r="Z16" s="708"/>
    </row>
    <row r="17" spans="1:26" ht="15" customHeight="1">
      <c r="A17" s="648"/>
      <c r="B17" s="550"/>
      <c r="C17" s="668"/>
      <c r="D17" s="106" t="s">
        <v>120</v>
      </c>
      <c r="E17" s="669" t="str">
        <f>'Exemp.(HRA+Other) &amp; Other incom'!C9</f>
        <v>(-----------------------------------------------------)</v>
      </c>
      <c r="F17" s="567"/>
      <c r="G17" s="567"/>
      <c r="H17" s="567"/>
      <c r="I17" s="567"/>
      <c r="J17" s="567"/>
      <c r="K17" s="567"/>
      <c r="L17" s="567"/>
      <c r="M17" s="567"/>
      <c r="N17" s="567"/>
      <c r="O17" s="567"/>
      <c r="P17" s="69"/>
      <c r="Q17" s="76">
        <f>'Exemp.(HRA+Other) &amp; Other incom'!L9</f>
        <v>0</v>
      </c>
      <c r="R17" s="628"/>
      <c r="S17" s="99"/>
      <c r="T17" s="708"/>
      <c r="U17" s="708"/>
      <c r="V17" s="708"/>
      <c r="W17" s="708"/>
      <c r="X17" s="708"/>
      <c r="Y17" s="708"/>
      <c r="Z17" s="708"/>
    </row>
    <row r="18" spans="1:26" ht="15" customHeight="1">
      <c r="A18" s="648"/>
      <c r="B18" s="550"/>
      <c r="C18" s="668"/>
      <c r="D18" s="106" t="s">
        <v>121</v>
      </c>
      <c r="E18" s="669" t="str">
        <f>'Exemp.(HRA+Other) &amp; Other incom'!C10</f>
        <v>(-----------------------------------------------------)</v>
      </c>
      <c r="F18" s="567"/>
      <c r="G18" s="567"/>
      <c r="H18" s="567"/>
      <c r="I18" s="567"/>
      <c r="J18" s="567"/>
      <c r="K18" s="567"/>
      <c r="L18" s="567"/>
      <c r="M18" s="567"/>
      <c r="N18" s="567"/>
      <c r="O18" s="567"/>
      <c r="P18" s="69"/>
      <c r="Q18" s="76">
        <f>'Exemp.(HRA+Other) &amp; Other incom'!L10</f>
        <v>0</v>
      </c>
      <c r="R18" s="628"/>
      <c r="S18" s="99"/>
      <c r="T18" s="708"/>
      <c r="U18" s="708"/>
      <c r="V18" s="708"/>
      <c r="W18" s="708"/>
      <c r="X18" s="708"/>
      <c r="Y18" s="708"/>
      <c r="Z18" s="708"/>
    </row>
    <row r="19" spans="1:26" ht="15" customHeight="1" thickBot="1">
      <c r="A19" s="648"/>
      <c r="B19" s="102"/>
      <c r="C19" s="616" t="s">
        <v>175</v>
      </c>
      <c r="D19" s="616"/>
      <c r="E19" s="616"/>
      <c r="F19" s="616"/>
      <c r="G19" s="616"/>
      <c r="H19" s="616"/>
      <c r="I19" s="616"/>
      <c r="J19" s="616"/>
      <c r="K19" s="616"/>
      <c r="L19" s="616"/>
      <c r="M19" s="616"/>
      <c r="N19" s="616"/>
      <c r="O19" s="616"/>
      <c r="P19" s="70"/>
      <c r="Q19" s="86">
        <f>Q16+Q17+Q18</f>
        <v>0</v>
      </c>
      <c r="R19" s="628"/>
      <c r="S19" s="99"/>
      <c r="T19" s="708"/>
      <c r="U19" s="708"/>
      <c r="V19" s="708"/>
      <c r="W19" s="708"/>
      <c r="X19" s="708"/>
      <c r="Y19" s="708"/>
      <c r="Z19" s="708"/>
    </row>
    <row r="20" spans="1:26" ht="15" customHeight="1" thickBot="1">
      <c r="A20" s="648"/>
      <c r="B20" s="66">
        <v>10</v>
      </c>
      <c r="C20" s="617" t="s">
        <v>176</v>
      </c>
      <c r="D20" s="617"/>
      <c r="E20" s="617"/>
      <c r="F20" s="617"/>
      <c r="G20" s="617"/>
      <c r="H20" s="617"/>
      <c r="I20" s="617"/>
      <c r="J20" s="617"/>
      <c r="K20" s="617"/>
      <c r="L20" s="617"/>
      <c r="M20" s="617"/>
      <c r="N20" s="617"/>
      <c r="O20" s="617"/>
      <c r="P20" s="63" t="s">
        <v>127</v>
      </c>
      <c r="Q20" s="87">
        <f>Q15+Q19</f>
        <v>1331266</v>
      </c>
      <c r="R20" s="628"/>
      <c r="S20" s="99"/>
      <c r="T20" s="708"/>
      <c r="U20" s="708"/>
      <c r="V20" s="708"/>
      <c r="W20" s="708"/>
      <c r="X20" s="708"/>
      <c r="Y20" s="708"/>
      <c r="Z20" s="708"/>
    </row>
    <row r="21" spans="1:26" ht="15" customHeight="1">
      <c r="A21" s="648"/>
      <c r="B21" s="570">
        <v>11</v>
      </c>
      <c r="C21" s="670" t="s">
        <v>177</v>
      </c>
      <c r="D21" s="670"/>
      <c r="E21" s="670"/>
      <c r="F21" s="670"/>
      <c r="G21" s="670"/>
      <c r="H21" s="670"/>
      <c r="I21" s="670"/>
      <c r="J21" s="670"/>
      <c r="K21" s="670"/>
      <c r="L21" s="670"/>
      <c r="M21" s="670"/>
      <c r="N21" s="670"/>
      <c r="O21" s="670"/>
      <c r="P21" s="670"/>
      <c r="Q21" s="671"/>
      <c r="R21" s="628"/>
      <c r="S21" s="99"/>
      <c r="T21" s="708"/>
      <c r="U21" s="708"/>
      <c r="V21" s="708"/>
      <c r="W21" s="708"/>
      <c r="X21" s="708"/>
      <c r="Y21" s="708"/>
      <c r="Z21" s="708"/>
    </row>
    <row r="22" spans="1:26" ht="14.25" customHeight="1">
      <c r="A22" s="648"/>
      <c r="B22" s="571"/>
      <c r="C22" s="672" t="s">
        <v>178</v>
      </c>
      <c r="D22" s="672"/>
      <c r="E22" s="672"/>
      <c r="F22" s="672"/>
      <c r="G22" s="672"/>
      <c r="H22" s="672"/>
      <c r="I22" s="672"/>
      <c r="J22" s="672"/>
      <c r="K22" s="672"/>
      <c r="L22" s="672"/>
      <c r="M22" s="672"/>
      <c r="N22" s="672"/>
      <c r="O22" s="672"/>
      <c r="P22" s="672"/>
      <c r="Q22" s="673"/>
      <c r="R22" s="628"/>
      <c r="S22" s="99"/>
      <c r="T22" s="708"/>
      <c r="U22" s="708"/>
      <c r="V22" s="708"/>
      <c r="W22" s="708"/>
      <c r="X22" s="708"/>
      <c r="Y22" s="708"/>
      <c r="Z22" s="708"/>
    </row>
    <row r="23" spans="1:26" ht="14.25" customHeight="1">
      <c r="A23" s="648"/>
      <c r="B23" s="571"/>
      <c r="C23" s="106" t="s">
        <v>92</v>
      </c>
      <c r="D23" s="567" t="s">
        <v>179</v>
      </c>
      <c r="E23" s="567"/>
      <c r="F23" s="567"/>
      <c r="G23" s="567"/>
      <c r="H23" s="58" t="s">
        <v>127</v>
      </c>
      <c r="I23" s="83">
        <f>IF(N2="old tax regime",'GA-55'!Q31,0)</f>
        <v>60000</v>
      </c>
      <c r="J23" s="106" t="s">
        <v>93</v>
      </c>
      <c r="K23" s="676" t="s">
        <v>184</v>
      </c>
      <c r="L23" s="677"/>
      <c r="M23" s="678"/>
      <c r="N23" s="58" t="s">
        <v>127</v>
      </c>
      <c r="O23" s="83">
        <f>IF(N2="old tax regime",'Exemp.(HRA+Other) &amp; Other incom'!Q15,0)</f>
        <v>0</v>
      </c>
      <c r="P23" s="674"/>
      <c r="Q23" s="675"/>
      <c r="R23" s="628"/>
      <c r="S23" s="99"/>
      <c r="T23" s="708"/>
      <c r="U23" s="708"/>
      <c r="V23" s="708"/>
      <c r="W23" s="708"/>
      <c r="X23" s="708"/>
      <c r="Y23" s="708"/>
      <c r="Z23" s="708"/>
    </row>
    <row r="24" spans="1:26" ht="14.25" customHeight="1">
      <c r="A24" s="648"/>
      <c r="B24" s="571"/>
      <c r="C24" s="106" t="s">
        <v>94</v>
      </c>
      <c r="D24" s="567" t="s">
        <v>180</v>
      </c>
      <c r="E24" s="567"/>
      <c r="F24" s="567"/>
      <c r="G24" s="567"/>
      <c r="H24" s="58" t="s">
        <v>127</v>
      </c>
      <c r="I24" s="83">
        <f>IF(N2="old tax regime",'GA-55'!T31+'Exemp.(HRA+Other) &amp; Other incom'!L18,0)</f>
        <v>0</v>
      </c>
      <c r="J24" s="106" t="s">
        <v>95</v>
      </c>
      <c r="K24" s="676" t="s">
        <v>136</v>
      </c>
      <c r="L24" s="677"/>
      <c r="M24" s="678"/>
      <c r="N24" s="58" t="s">
        <v>127</v>
      </c>
      <c r="O24" s="84">
        <f>IF(N2="old tax regime",'Exemp.(HRA+Other) &amp; Other incom'!L23,0)</f>
        <v>0</v>
      </c>
      <c r="P24" s="674"/>
      <c r="Q24" s="675"/>
      <c r="R24" s="628"/>
      <c r="S24" s="99"/>
      <c r="T24" s="708"/>
      <c r="U24" s="708"/>
      <c r="V24" s="708"/>
      <c r="W24" s="708"/>
      <c r="X24" s="708"/>
      <c r="Y24" s="708"/>
      <c r="Z24" s="708"/>
    </row>
    <row r="25" spans="1:26" ht="14.25" customHeight="1">
      <c r="A25" s="648"/>
      <c r="B25" s="571"/>
      <c r="C25" s="106" t="s">
        <v>96</v>
      </c>
      <c r="D25" s="567" t="s">
        <v>135</v>
      </c>
      <c r="E25" s="567"/>
      <c r="F25" s="567"/>
      <c r="G25" s="567"/>
      <c r="H25" s="58" t="s">
        <v>127</v>
      </c>
      <c r="I25" s="83">
        <f>IF(N2="old tax regime",'Exemp.(HRA+Other) &amp; Other incom'!L22,0)</f>
        <v>0</v>
      </c>
      <c r="J25" s="106" t="s">
        <v>97</v>
      </c>
      <c r="K25" s="676" t="s">
        <v>133</v>
      </c>
      <c r="L25" s="677"/>
      <c r="M25" s="678"/>
      <c r="N25" s="58" t="s">
        <v>127</v>
      </c>
      <c r="O25" s="84">
        <f>IF(N2="old tax regime",'Exemp.(HRA+Other) &amp; Other incom'!L20,0)</f>
        <v>0</v>
      </c>
      <c r="P25" s="674"/>
      <c r="Q25" s="675"/>
      <c r="R25" s="628"/>
      <c r="S25" s="99"/>
      <c r="T25" s="708"/>
      <c r="U25" s="708"/>
      <c r="V25" s="708"/>
      <c r="W25" s="708"/>
      <c r="X25" s="708"/>
      <c r="Y25" s="708"/>
      <c r="Z25" s="708"/>
    </row>
    <row r="26" spans="1:26" ht="14.25" customHeight="1">
      <c r="A26" s="648"/>
      <c r="B26" s="571"/>
      <c r="C26" s="106" t="s">
        <v>98</v>
      </c>
      <c r="D26" s="567" t="s">
        <v>137</v>
      </c>
      <c r="E26" s="567"/>
      <c r="F26" s="567"/>
      <c r="G26" s="567"/>
      <c r="H26" s="58" t="s">
        <v>127</v>
      </c>
      <c r="I26" s="83">
        <f>IF(N2="old tax regime",'Exemp.(HRA+Other) &amp; Other incom'!L24,0)</f>
        <v>0</v>
      </c>
      <c r="J26" s="106" t="s">
        <v>99</v>
      </c>
      <c r="K26" s="679" t="s">
        <v>150</v>
      </c>
      <c r="L26" s="679"/>
      <c r="M26" s="679"/>
      <c r="N26" s="58" t="s">
        <v>127</v>
      </c>
      <c r="O26" s="83">
        <f>IF(N2="old tax regime",'Exemp.(HRA+Other) &amp; Other incom'!Q24,0)</f>
        <v>0</v>
      </c>
      <c r="P26" s="674"/>
      <c r="Q26" s="675"/>
      <c r="R26" s="628"/>
      <c r="S26" s="99"/>
      <c r="T26" s="708"/>
      <c r="U26" s="708"/>
      <c r="V26" s="708"/>
      <c r="W26" s="708"/>
      <c r="X26" s="708"/>
      <c r="Y26" s="708"/>
      <c r="Z26" s="708"/>
    </row>
    <row r="27" spans="1:26" ht="14.25" customHeight="1">
      <c r="A27" s="648"/>
      <c r="B27" s="571"/>
      <c r="C27" s="106" t="s">
        <v>100</v>
      </c>
      <c r="D27" s="567" t="s">
        <v>181</v>
      </c>
      <c r="E27" s="567"/>
      <c r="F27" s="567"/>
      <c r="G27" s="567"/>
      <c r="H27" s="58" t="s">
        <v>127</v>
      </c>
      <c r="I27" s="83">
        <f>IF(N2="old tax regime",'Exemp.(HRA+Other) &amp; Other incom'!L25,0)</f>
        <v>0</v>
      </c>
      <c r="J27" s="106" t="s">
        <v>101</v>
      </c>
      <c r="K27" s="676" t="s">
        <v>187</v>
      </c>
      <c r="L27" s="677"/>
      <c r="M27" s="678"/>
      <c r="N27" s="58" t="s">
        <v>127</v>
      </c>
      <c r="O27" s="83">
        <f>IF(N2="old tax regime",'Exemp.(HRA+Other) &amp; Other incom'!Q25,0)</f>
        <v>0</v>
      </c>
      <c r="P27" s="674"/>
      <c r="Q27" s="675"/>
      <c r="R27" s="628"/>
      <c r="S27" s="99"/>
      <c r="T27" s="708"/>
      <c r="U27" s="708"/>
      <c r="V27" s="708"/>
      <c r="W27" s="708"/>
      <c r="X27" s="708"/>
      <c r="Y27" s="708"/>
      <c r="Z27" s="708"/>
    </row>
    <row r="28" spans="1:26" ht="14.25" customHeight="1">
      <c r="A28" s="648"/>
      <c r="B28" s="571"/>
      <c r="C28" s="106" t="s">
        <v>102</v>
      </c>
      <c r="D28" s="652" t="s">
        <v>122</v>
      </c>
      <c r="E28" s="652"/>
      <c r="F28" s="652"/>
      <c r="G28" s="652"/>
      <c r="H28" s="58" t="s">
        <v>127</v>
      </c>
      <c r="I28" s="83">
        <f>IF(N2="old tax regime",'GA-55'!P31,0)</f>
        <v>50006</v>
      </c>
      <c r="J28" s="106" t="s">
        <v>103</v>
      </c>
      <c r="K28" s="679" t="s">
        <v>186</v>
      </c>
      <c r="L28" s="679"/>
      <c r="M28" s="679"/>
      <c r="N28" s="58" t="s">
        <v>127</v>
      </c>
      <c r="O28" s="83">
        <f>IF(N2="old tax regime",'Exemp.(HRA+Other) &amp; Other incom'!L19,0)</f>
        <v>0</v>
      </c>
      <c r="P28" s="674"/>
      <c r="Q28" s="675"/>
      <c r="R28" s="628"/>
      <c r="S28" s="99"/>
      <c r="T28" s="708"/>
      <c r="U28" s="708"/>
      <c r="V28" s="708"/>
      <c r="W28" s="708"/>
      <c r="X28" s="708"/>
      <c r="Y28" s="708"/>
      <c r="Z28" s="708"/>
    </row>
    <row r="29" spans="1:26" ht="14.25" customHeight="1">
      <c r="A29" s="648"/>
      <c r="B29" s="571"/>
      <c r="C29" s="106" t="s">
        <v>104</v>
      </c>
      <c r="D29" s="567" t="s">
        <v>182</v>
      </c>
      <c r="E29" s="567"/>
      <c r="F29" s="567"/>
      <c r="G29" s="567"/>
      <c r="H29" s="58" t="s">
        <v>127</v>
      </c>
      <c r="I29" s="84">
        <f>IF(N2="old tax regime",'GA-55'!U31,0)</f>
        <v>1400</v>
      </c>
      <c r="J29" s="106" t="s">
        <v>105</v>
      </c>
      <c r="K29" s="676" t="s">
        <v>140</v>
      </c>
      <c r="L29" s="677"/>
      <c r="M29" s="678"/>
      <c r="N29" s="58" t="s">
        <v>127</v>
      </c>
      <c r="O29" s="83">
        <f>IF(N2="old tax regime",'Exemp.(HRA+Other) &amp; Other incom'!Q14,0)</f>
        <v>0</v>
      </c>
      <c r="P29" s="674"/>
      <c r="Q29" s="675"/>
      <c r="R29" s="628"/>
      <c r="S29" s="99"/>
      <c r="T29" s="708"/>
      <c r="U29" s="708"/>
      <c r="V29" s="708"/>
      <c r="W29" s="708"/>
      <c r="X29" s="708"/>
      <c r="Y29" s="708"/>
      <c r="Z29" s="708"/>
    </row>
    <row r="30" spans="1:26" ht="14.25" customHeight="1">
      <c r="A30" s="648"/>
      <c r="B30" s="571"/>
      <c r="C30" s="106" t="s">
        <v>106</v>
      </c>
      <c r="D30" s="567" t="s">
        <v>134</v>
      </c>
      <c r="E30" s="567"/>
      <c r="F30" s="567"/>
      <c r="G30" s="567"/>
      <c r="H30" s="58" t="s">
        <v>127</v>
      </c>
      <c r="I30" s="84">
        <f>IF(N2="old tax regime",'Exemp.(HRA+Other) &amp; Other incom'!L21,0)</f>
        <v>0</v>
      </c>
      <c r="J30" s="106" t="s">
        <v>107</v>
      </c>
      <c r="K30" s="679" t="s">
        <v>185</v>
      </c>
      <c r="L30" s="679"/>
      <c r="M30" s="679"/>
      <c r="N30" s="58" t="s">
        <v>127</v>
      </c>
      <c r="O30" s="83">
        <f>IF(N2="old tax regime",'Exemp.(HRA+Other) &amp; Other incom'!L26,0)</f>
        <v>0</v>
      </c>
      <c r="P30" s="674"/>
      <c r="Q30" s="675"/>
      <c r="R30" s="628"/>
      <c r="S30" s="99"/>
      <c r="T30" s="708"/>
      <c r="U30" s="708"/>
      <c r="V30" s="708"/>
      <c r="W30" s="708"/>
      <c r="X30" s="708"/>
      <c r="Y30" s="708"/>
      <c r="Z30" s="708"/>
    </row>
    <row r="31" spans="1:26" ht="14.25" customHeight="1">
      <c r="A31" s="648"/>
      <c r="B31" s="571"/>
      <c r="C31" s="106" t="s">
        <v>108</v>
      </c>
      <c r="D31" s="680" t="s">
        <v>183</v>
      </c>
      <c r="E31" s="680"/>
      <c r="F31" s="680"/>
      <c r="G31" s="680"/>
      <c r="H31" s="58" t="s">
        <v>127</v>
      </c>
      <c r="I31" s="83">
        <f>IF(N2="old tax regime",'Exemp.(HRA+Other) &amp; Other incom'!L16,0)</f>
        <v>0</v>
      </c>
      <c r="J31" s="106" t="s">
        <v>109</v>
      </c>
      <c r="K31" s="681"/>
      <c r="L31" s="681"/>
      <c r="M31" s="681"/>
      <c r="N31" s="58" t="s">
        <v>127</v>
      </c>
      <c r="O31" s="114"/>
      <c r="P31" s="674"/>
      <c r="Q31" s="675"/>
      <c r="R31" s="628"/>
      <c r="S31" s="99"/>
      <c r="T31" s="708"/>
      <c r="U31" s="708"/>
      <c r="V31" s="708"/>
      <c r="W31" s="708"/>
      <c r="X31" s="708"/>
      <c r="Y31" s="708"/>
      <c r="Z31" s="708"/>
    </row>
    <row r="32" spans="1:26" ht="14.25" customHeight="1">
      <c r="A32" s="648"/>
      <c r="B32" s="571"/>
      <c r="C32" s="682" t="s">
        <v>188</v>
      </c>
      <c r="D32" s="682"/>
      <c r="E32" s="682"/>
      <c r="F32" s="682"/>
      <c r="G32" s="682"/>
      <c r="H32" s="682"/>
      <c r="I32" s="682"/>
      <c r="J32" s="682"/>
      <c r="K32" s="682"/>
      <c r="L32" s="682"/>
      <c r="M32" s="682"/>
      <c r="N32" s="58" t="s">
        <v>127</v>
      </c>
      <c r="O32" s="85">
        <f>SUM(O23:O31,I23:I31)</f>
        <v>111406</v>
      </c>
      <c r="P32" s="674"/>
      <c r="Q32" s="675"/>
      <c r="R32" s="628"/>
      <c r="S32" s="99"/>
      <c r="T32" s="708"/>
      <c r="U32" s="708"/>
      <c r="V32" s="708"/>
      <c r="W32" s="708"/>
      <c r="X32" s="708"/>
      <c r="Y32" s="708"/>
      <c r="Z32" s="708"/>
    </row>
    <row r="33" spans="1:40" ht="14.25" customHeight="1">
      <c r="A33" s="648"/>
      <c r="B33" s="571"/>
      <c r="C33" s="682" t="s">
        <v>189</v>
      </c>
      <c r="D33" s="682"/>
      <c r="E33" s="682"/>
      <c r="F33" s="682"/>
      <c r="G33" s="682"/>
      <c r="H33" s="682"/>
      <c r="I33" s="682"/>
      <c r="J33" s="682"/>
      <c r="K33" s="682"/>
      <c r="L33" s="682"/>
      <c r="M33" s="682"/>
      <c r="N33" s="682"/>
      <c r="O33" s="682"/>
      <c r="P33" s="68" t="s">
        <v>127</v>
      </c>
      <c r="Q33" s="81">
        <f>IF(N2="new tax regime",0,IF(O32&gt;=150000,150000,O32))</f>
        <v>111406</v>
      </c>
      <c r="R33" s="628"/>
      <c r="S33" s="99"/>
      <c r="T33" s="708"/>
      <c r="U33" s="708"/>
      <c r="V33" s="708"/>
      <c r="W33" s="708"/>
      <c r="X33" s="708"/>
      <c r="Y33" s="708"/>
      <c r="Z33" s="708"/>
    </row>
    <row r="34" spans="1:40" ht="22.5" customHeight="1">
      <c r="A34" s="648"/>
      <c r="B34" s="571"/>
      <c r="C34" s="672" t="s">
        <v>190</v>
      </c>
      <c r="D34" s="672"/>
      <c r="E34" s="672"/>
      <c r="F34" s="672"/>
      <c r="G34" s="672"/>
      <c r="H34" s="672"/>
      <c r="I34" s="672"/>
      <c r="J34" s="672"/>
      <c r="K34" s="672"/>
      <c r="L34" s="672"/>
      <c r="M34" s="672"/>
      <c r="N34" s="672"/>
      <c r="O34" s="672"/>
      <c r="P34" s="56" t="s">
        <v>127</v>
      </c>
      <c r="Q34" s="81">
        <f>IF(N2="old tax regime",'Exemp.(HRA+Other) &amp; Other incom'!Q16,0)</f>
        <v>0</v>
      </c>
      <c r="R34" s="628"/>
      <c r="S34" s="99"/>
      <c r="T34" s="708"/>
      <c r="U34" s="708"/>
      <c r="V34" s="708"/>
      <c r="W34" s="708"/>
      <c r="X34" s="708"/>
      <c r="Y34" s="708"/>
      <c r="Z34" s="708"/>
    </row>
    <row r="35" spans="1:40" ht="22.5" customHeight="1">
      <c r="A35" s="648"/>
      <c r="B35" s="571"/>
      <c r="C35" s="626" t="s">
        <v>192</v>
      </c>
      <c r="D35" s="626"/>
      <c r="E35" s="626"/>
      <c r="F35" s="626"/>
      <c r="G35" s="626"/>
      <c r="H35" s="626"/>
      <c r="I35" s="626"/>
      <c r="J35" s="626"/>
      <c r="K35" s="626"/>
      <c r="L35" s="626"/>
      <c r="M35" s="626"/>
      <c r="N35" s="626"/>
      <c r="O35" s="626"/>
      <c r="P35" s="57" t="s">
        <v>127</v>
      </c>
      <c r="Q35" s="82">
        <f>Q33+Q34</f>
        <v>111406</v>
      </c>
      <c r="R35" s="628"/>
      <c r="S35" s="99"/>
      <c r="T35" s="708"/>
      <c r="U35" s="708"/>
      <c r="V35" s="708"/>
      <c r="W35" s="708"/>
      <c r="X35" s="708"/>
      <c r="Y35" s="708"/>
      <c r="Z35" s="708"/>
    </row>
    <row r="36" spans="1:40" ht="14.25" customHeight="1">
      <c r="A36" s="648"/>
      <c r="B36" s="571">
        <v>12</v>
      </c>
      <c r="C36" s="589" t="s">
        <v>191</v>
      </c>
      <c r="D36" s="589"/>
      <c r="E36" s="589"/>
      <c r="F36" s="589"/>
      <c r="G36" s="589"/>
      <c r="H36" s="589"/>
      <c r="I36" s="589"/>
      <c r="J36" s="589"/>
      <c r="K36" s="589"/>
      <c r="L36" s="589"/>
      <c r="M36" s="589"/>
      <c r="N36" s="589"/>
      <c r="O36" s="589"/>
      <c r="P36" s="589"/>
      <c r="Q36" s="590"/>
      <c r="R36" s="628"/>
      <c r="S36" s="99"/>
      <c r="T36" s="708"/>
      <c r="U36" s="708"/>
      <c r="V36" s="708"/>
      <c r="W36" s="708"/>
      <c r="X36" s="708"/>
      <c r="Y36" s="708"/>
      <c r="Z36" s="708"/>
    </row>
    <row r="37" spans="1:40" ht="14.25" customHeight="1">
      <c r="A37" s="648"/>
      <c r="B37" s="571"/>
      <c r="C37" s="683" t="s">
        <v>219</v>
      </c>
      <c r="D37" s="683"/>
      <c r="E37" s="683"/>
      <c r="F37" s="683"/>
      <c r="G37" s="683"/>
      <c r="H37" s="683"/>
      <c r="I37" s="683"/>
      <c r="J37" s="683"/>
      <c r="K37" s="683"/>
      <c r="L37" s="683"/>
      <c r="M37" s="683"/>
      <c r="N37" s="683"/>
      <c r="O37" s="683"/>
      <c r="P37" s="56" t="s">
        <v>127</v>
      </c>
      <c r="Q37" s="76">
        <f>IF(N2="old tax regime",'Exemp.(HRA+Other) &amp; Other incom'!Q17,0)</f>
        <v>0</v>
      </c>
      <c r="R37" s="628"/>
      <c r="S37" s="99"/>
      <c r="T37" s="708"/>
      <c r="U37" s="708"/>
      <c r="V37" s="708"/>
      <c r="W37" s="708"/>
      <c r="X37" s="708"/>
      <c r="Y37" s="708"/>
      <c r="Z37" s="708"/>
    </row>
    <row r="38" spans="1:40" ht="14.25" customHeight="1">
      <c r="A38" s="648"/>
      <c r="B38" s="571"/>
      <c r="C38" s="567" t="s">
        <v>196</v>
      </c>
      <c r="D38" s="567"/>
      <c r="E38" s="567"/>
      <c r="F38" s="567"/>
      <c r="G38" s="567"/>
      <c r="H38" s="567"/>
      <c r="I38" s="567"/>
      <c r="J38" s="567"/>
      <c r="K38" s="567"/>
      <c r="L38" s="567"/>
      <c r="M38" s="567"/>
      <c r="N38" s="567"/>
      <c r="O38" s="567"/>
      <c r="P38" s="56" t="s">
        <v>127</v>
      </c>
      <c r="Q38" s="76">
        <f>IF(N2="old tax regime",'Exemp.(HRA+Other) &amp; Other incom'!Q18,0)</f>
        <v>0</v>
      </c>
      <c r="R38" s="628"/>
      <c r="S38" s="99"/>
      <c r="T38" s="708"/>
      <c r="U38" s="708"/>
      <c r="V38" s="708"/>
      <c r="W38" s="708"/>
      <c r="X38" s="708"/>
      <c r="Y38" s="708"/>
      <c r="Z38" s="708"/>
    </row>
    <row r="39" spans="1:40" ht="14.25" customHeight="1">
      <c r="A39" s="648"/>
      <c r="B39" s="571"/>
      <c r="C39" s="567" t="s">
        <v>193</v>
      </c>
      <c r="D39" s="567"/>
      <c r="E39" s="567"/>
      <c r="F39" s="567"/>
      <c r="G39" s="567"/>
      <c r="H39" s="567"/>
      <c r="I39" s="567"/>
      <c r="J39" s="567"/>
      <c r="K39" s="567"/>
      <c r="L39" s="567"/>
      <c r="M39" s="567"/>
      <c r="N39" s="567"/>
      <c r="O39" s="567"/>
      <c r="P39" s="56" t="s">
        <v>127</v>
      </c>
      <c r="Q39" s="76">
        <f>IF(N2="old tax regime",'Exemp.(HRA+Other) &amp; Other incom'!Q19,0)</f>
        <v>0</v>
      </c>
      <c r="R39" s="628"/>
      <c r="S39" s="99"/>
      <c r="T39" s="708"/>
      <c r="U39" s="708"/>
      <c r="V39" s="708"/>
      <c r="W39" s="708"/>
      <c r="X39" s="708"/>
      <c r="Y39" s="708"/>
      <c r="Z39" s="708"/>
    </row>
    <row r="40" spans="1:40" ht="14.25" customHeight="1">
      <c r="A40" s="648"/>
      <c r="B40" s="571"/>
      <c r="C40" s="567" t="s">
        <v>194</v>
      </c>
      <c r="D40" s="567"/>
      <c r="E40" s="567"/>
      <c r="F40" s="567"/>
      <c r="G40" s="567"/>
      <c r="H40" s="567"/>
      <c r="I40" s="567"/>
      <c r="J40" s="567"/>
      <c r="K40" s="567"/>
      <c r="L40" s="567"/>
      <c r="M40" s="567"/>
      <c r="N40" s="567"/>
      <c r="O40" s="567"/>
      <c r="P40" s="56" t="s">
        <v>127</v>
      </c>
      <c r="Q40" s="76">
        <f>IF(N2="old tax regime",'Exemp.(HRA+Other) &amp; Other incom'!Q20,0)</f>
        <v>0</v>
      </c>
      <c r="R40" s="628"/>
      <c r="S40" s="99"/>
      <c r="T40" s="708"/>
      <c r="U40" s="708"/>
      <c r="V40" s="708"/>
      <c r="W40" s="708"/>
      <c r="X40" s="708"/>
      <c r="Y40" s="708"/>
      <c r="Z40" s="708"/>
      <c r="AE40" s="96"/>
      <c r="AF40" s="96"/>
      <c r="AG40" s="96"/>
      <c r="AH40" s="96"/>
      <c r="AI40" s="96"/>
      <c r="AJ40" s="96"/>
      <c r="AK40" s="108"/>
      <c r="AL40" s="108"/>
      <c r="AM40" s="108"/>
      <c r="AN40" s="108"/>
    </row>
    <row r="41" spans="1:40" ht="14.25" customHeight="1">
      <c r="A41" s="648"/>
      <c r="B41" s="571"/>
      <c r="C41" s="567" t="s">
        <v>195</v>
      </c>
      <c r="D41" s="567"/>
      <c r="E41" s="567"/>
      <c r="F41" s="567"/>
      <c r="G41" s="567"/>
      <c r="H41" s="567"/>
      <c r="I41" s="567"/>
      <c r="J41" s="567"/>
      <c r="K41" s="567"/>
      <c r="L41" s="567"/>
      <c r="M41" s="567"/>
      <c r="N41" s="567"/>
      <c r="O41" s="567"/>
      <c r="P41" s="56" t="s">
        <v>127</v>
      </c>
      <c r="Q41" s="76">
        <f>IF(N2="old tax regime",'Exemp.(HRA+Other) &amp; Other incom'!Q21,0)</f>
        <v>0</v>
      </c>
      <c r="R41" s="628"/>
      <c r="S41" s="99"/>
      <c r="T41" s="708"/>
      <c r="U41" s="708"/>
      <c r="V41" s="708"/>
      <c r="W41" s="708"/>
      <c r="X41" s="708"/>
      <c r="Y41" s="708"/>
      <c r="Z41" s="708"/>
      <c r="AE41" s="96"/>
      <c r="AF41" s="96"/>
      <c r="AG41" s="96"/>
      <c r="AH41" s="96" t="s">
        <v>227</v>
      </c>
      <c r="AI41" s="96" t="s">
        <v>228</v>
      </c>
      <c r="AJ41" s="97" t="s">
        <v>229</v>
      </c>
      <c r="AK41" s="108" t="s">
        <v>230</v>
      </c>
      <c r="AL41" s="255"/>
      <c r="AM41" s="255" t="s">
        <v>265</v>
      </c>
      <c r="AN41" s="108"/>
    </row>
    <row r="42" spans="1:40" ht="14.25" customHeight="1">
      <c r="A42" s="648"/>
      <c r="B42" s="571"/>
      <c r="C42" s="683" t="s">
        <v>197</v>
      </c>
      <c r="D42" s="683"/>
      <c r="E42" s="683"/>
      <c r="F42" s="683"/>
      <c r="G42" s="683"/>
      <c r="H42" s="683"/>
      <c r="I42" s="683"/>
      <c r="J42" s="683"/>
      <c r="K42" s="683"/>
      <c r="L42" s="683"/>
      <c r="M42" s="683"/>
      <c r="N42" s="683"/>
      <c r="O42" s="683"/>
      <c r="P42" s="56" t="s">
        <v>127</v>
      </c>
      <c r="Q42" s="76">
        <f>IF(N2="old tax regime",'Exemp.(HRA+Other) &amp; Other incom'!Q22,0)</f>
        <v>0</v>
      </c>
      <c r="R42" s="628"/>
      <c r="S42" s="99"/>
      <c r="T42" s="708"/>
      <c r="U42" s="708"/>
      <c r="V42" s="708"/>
      <c r="W42" s="708"/>
      <c r="X42" s="708"/>
      <c r="Y42" s="708"/>
      <c r="Z42" s="708"/>
      <c r="AE42" s="96"/>
      <c r="AF42" s="96"/>
      <c r="AG42" s="96"/>
      <c r="AH42" s="96">
        <f>IF($Q$48&gt;1000000,1,IF($Q$48&gt;500000,2,IF($Q$48&gt;300000,3,IF($Q$48&gt;250000,4,0))))</f>
        <v>1</v>
      </c>
      <c r="AI42" s="96">
        <f>IF($Q$48&gt;1000000,1,IF($Q$48&gt;500000,2,IF($Q$48&gt;300000,3,0)))</f>
        <v>1</v>
      </c>
      <c r="AJ42" s="96">
        <f>IF($Q$48&gt;1000000,1,IF($Q$48&gt;500000,2,0))</f>
        <v>1</v>
      </c>
      <c r="AK42" s="108">
        <f>IF($Q$48&gt;1000000,1,0)</f>
        <v>1</v>
      </c>
      <c r="AL42" s="255"/>
      <c r="AM42" s="255"/>
      <c r="AN42" s="108"/>
    </row>
    <row r="43" spans="1:40" ht="14.25" customHeight="1">
      <c r="A43" s="648"/>
      <c r="B43" s="571"/>
      <c r="C43" s="680" t="s">
        <v>198</v>
      </c>
      <c r="D43" s="680"/>
      <c r="E43" s="680"/>
      <c r="F43" s="680"/>
      <c r="G43" s="680"/>
      <c r="H43" s="680"/>
      <c r="I43" s="680"/>
      <c r="J43" s="680"/>
      <c r="K43" s="680"/>
      <c r="L43" s="680"/>
      <c r="M43" s="680"/>
      <c r="N43" s="680"/>
      <c r="O43" s="680"/>
      <c r="P43" s="56" t="s">
        <v>127</v>
      </c>
      <c r="Q43" s="76">
        <f>IF(N2="old tax regime",'Exemp.(HRA+Other) &amp; Other incom'!Q13,0)</f>
        <v>0</v>
      </c>
      <c r="R43" s="628"/>
      <c r="S43" s="99"/>
      <c r="T43" s="708"/>
      <c r="U43" s="708"/>
      <c r="V43" s="708"/>
      <c r="W43" s="708"/>
      <c r="X43" s="708"/>
      <c r="Y43" s="708"/>
      <c r="Z43" s="708"/>
      <c r="AE43" s="96"/>
      <c r="AF43" s="96"/>
      <c r="AG43" s="96" t="s">
        <v>224</v>
      </c>
      <c r="AH43" s="96">
        <f>IF(AH42&gt;=1,2500,0)</f>
        <v>2500</v>
      </c>
      <c r="AI43" s="96">
        <f>IF(AI42=3,ROUND((Q48-300000)*0.05,0),IF(AI42=0,0,10000))</f>
        <v>10000</v>
      </c>
      <c r="AJ43" s="96">
        <f>IF($AJ$42=2,($Q$48-500000)*0.2,IF($AJ$42=1,100000,0))</f>
        <v>100000</v>
      </c>
      <c r="AK43" s="108">
        <f>IF($AK$42&gt;0,($Q$48-1000000)*0.3,0)</f>
        <v>65958</v>
      </c>
      <c r="AL43" s="255">
        <f>SUM(AH43:AK43)</f>
        <v>178458</v>
      </c>
      <c r="AM43" s="255">
        <f>IF($Q$48&gt;50000000,AL43*0.37,IF($Q$48&gt;20000000,AL43*0.25,IF($Q$48&gt;10000000,Y65*0.15,IF($Q$48&gt;5000000,Y65*0.1,0))))</f>
        <v>0</v>
      </c>
      <c r="AN43" s="108"/>
    </row>
    <row r="44" spans="1:40" ht="14.25" customHeight="1">
      <c r="A44" s="648"/>
      <c r="B44" s="571"/>
      <c r="C44" s="567" t="s">
        <v>199</v>
      </c>
      <c r="D44" s="567"/>
      <c r="E44" s="567"/>
      <c r="F44" s="567"/>
      <c r="G44" s="567"/>
      <c r="H44" s="567"/>
      <c r="I44" s="567"/>
      <c r="J44" s="567"/>
      <c r="K44" s="567"/>
      <c r="L44" s="567"/>
      <c r="M44" s="567"/>
      <c r="N44" s="567"/>
      <c r="O44" s="567"/>
      <c r="P44" s="56" t="s">
        <v>127</v>
      </c>
      <c r="Q44" s="76">
        <f>IF(N2="old tax regime",'Exemp.(HRA+Other) &amp; Other incom'!Q23,0)</f>
        <v>0</v>
      </c>
      <c r="R44" s="628"/>
      <c r="S44" s="99"/>
      <c r="T44" s="708"/>
      <c r="U44" s="708"/>
      <c r="V44" s="708"/>
      <c r="W44" s="708"/>
      <c r="X44" s="708"/>
      <c r="Y44" s="708"/>
      <c r="Z44" s="708"/>
      <c r="AE44" s="96"/>
      <c r="AF44" s="96"/>
      <c r="AG44" s="96" t="s">
        <v>123</v>
      </c>
      <c r="AH44" s="97">
        <v>0</v>
      </c>
      <c r="AI44" s="96">
        <f>IF(AI42=3,ROUND((Q48-300000)*0.05,0),IF(AI42=0,0,10000))</f>
        <v>10000</v>
      </c>
      <c r="AJ44" s="96">
        <f>IF($AJ$42=2,($Q$48-500000)*0.2,IF($AJ$42=1,100000,0))</f>
        <v>100000</v>
      </c>
      <c r="AK44" s="108">
        <f>IF($AK$42&gt;0,($Q$48-1000000)*0.3,0)</f>
        <v>65958</v>
      </c>
      <c r="AL44" s="255">
        <f t="shared" ref="AL44:AL45" si="0">SUM(AH44:AK44)</f>
        <v>175958</v>
      </c>
      <c r="AM44" s="255">
        <f>IF($Q$48&gt;50000000,AL44*0.37,IF($Q$48&gt;20000000,AL44*0.25,IF($Q$48&gt;10000000,Y66*0.15,IF($Q$48&gt;5000000,Y66*0.1,0))))</f>
        <v>0</v>
      </c>
      <c r="AN44" s="108"/>
    </row>
    <row r="45" spans="1:40" ht="12" customHeight="1" thickBot="1">
      <c r="A45" s="648"/>
      <c r="B45" s="588"/>
      <c r="C45" s="591" t="s">
        <v>200</v>
      </c>
      <c r="D45" s="591"/>
      <c r="E45" s="591"/>
      <c r="F45" s="591"/>
      <c r="G45" s="591"/>
      <c r="H45" s="591"/>
      <c r="I45" s="591"/>
      <c r="J45" s="591"/>
      <c r="K45" s="591"/>
      <c r="L45" s="591"/>
      <c r="M45" s="591"/>
      <c r="N45" s="591"/>
      <c r="O45" s="591"/>
      <c r="P45" s="59" t="s">
        <v>127</v>
      </c>
      <c r="Q45" s="77">
        <f>SUM(Q37:Q44)</f>
        <v>0</v>
      </c>
      <c r="R45" s="628"/>
      <c r="S45" s="99"/>
      <c r="T45" s="708"/>
      <c r="U45" s="708"/>
      <c r="V45" s="708"/>
      <c r="W45" s="708"/>
      <c r="X45" s="708"/>
      <c r="Y45" s="708"/>
      <c r="Z45" s="708"/>
      <c r="AE45" s="96"/>
      <c r="AF45" s="96"/>
      <c r="AG45" s="96" t="s">
        <v>223</v>
      </c>
      <c r="AH45" s="97">
        <v>0</v>
      </c>
      <c r="AI45" s="97">
        <v>0</v>
      </c>
      <c r="AJ45" s="96">
        <f>IF($AJ$42=2,($Q$48-500000)*0.2,IF($AJ$42=1,100000,0))</f>
        <v>100000</v>
      </c>
      <c r="AK45" s="108">
        <f>IF($AK$42&gt;0,($Q$48-1000000)*0.3,0)</f>
        <v>65958</v>
      </c>
      <c r="AL45" s="255">
        <f t="shared" si="0"/>
        <v>165958</v>
      </c>
      <c r="AM45" s="255">
        <f>IF($Q$48&gt;50000000,AL45*0.37,IF($Q$48&gt;20000000,AL45*0.25,IF($Q$48&gt;10000000,Y67*0.15,IF($Q$48&gt;5000000,Y67*0.1,0))))</f>
        <v>0</v>
      </c>
      <c r="AN45" s="108"/>
    </row>
    <row r="46" spans="1:40" ht="12" customHeight="1" thickBot="1">
      <c r="A46" s="648"/>
      <c r="B46" s="67">
        <v>13</v>
      </c>
      <c r="C46" s="578" t="s">
        <v>201</v>
      </c>
      <c r="D46" s="578"/>
      <c r="E46" s="578"/>
      <c r="F46" s="578"/>
      <c r="G46" s="578"/>
      <c r="H46" s="578"/>
      <c r="I46" s="578"/>
      <c r="J46" s="578"/>
      <c r="K46" s="578"/>
      <c r="L46" s="578"/>
      <c r="M46" s="578"/>
      <c r="N46" s="578"/>
      <c r="O46" s="578"/>
      <c r="P46" s="65" t="s">
        <v>127</v>
      </c>
      <c r="Q46" s="78">
        <f>Q35+Q45</f>
        <v>111406</v>
      </c>
      <c r="R46" s="628"/>
      <c r="S46" s="99"/>
      <c r="T46" s="708"/>
      <c r="U46" s="708"/>
      <c r="V46" s="708"/>
      <c r="W46" s="708"/>
      <c r="X46" s="708"/>
      <c r="Y46" s="708"/>
      <c r="Z46" s="708"/>
      <c r="AE46" s="96"/>
      <c r="AF46" s="96"/>
      <c r="AG46" s="96"/>
      <c r="AH46" s="96"/>
      <c r="AI46" s="96"/>
      <c r="AJ46" s="96"/>
      <c r="AK46" s="108"/>
      <c r="AL46" s="108"/>
      <c r="AM46" s="108"/>
      <c r="AN46" s="108"/>
    </row>
    <row r="47" spans="1:40" ht="13.5" customHeight="1">
      <c r="A47" s="648"/>
      <c r="B47" s="100">
        <v>14</v>
      </c>
      <c r="C47" s="579" t="s">
        <v>202</v>
      </c>
      <c r="D47" s="579"/>
      <c r="E47" s="579"/>
      <c r="F47" s="579"/>
      <c r="G47" s="579"/>
      <c r="H47" s="579"/>
      <c r="I47" s="579"/>
      <c r="J47" s="579"/>
      <c r="K47" s="579"/>
      <c r="L47" s="579"/>
      <c r="M47" s="579"/>
      <c r="N47" s="579"/>
      <c r="O47" s="579"/>
      <c r="P47" s="61" t="s">
        <v>127</v>
      </c>
      <c r="Q47" s="79">
        <f>Q20-Q46</f>
        <v>1219860</v>
      </c>
      <c r="R47" s="628"/>
      <c r="S47" s="99"/>
      <c r="T47" s="708"/>
      <c r="U47" s="708"/>
      <c r="V47" s="708"/>
      <c r="W47" s="708"/>
      <c r="X47" s="708"/>
      <c r="Y47" s="708"/>
      <c r="Z47" s="708"/>
      <c r="AE47" s="96"/>
      <c r="AF47" s="96"/>
      <c r="AG47" s="96"/>
      <c r="AH47" s="96"/>
      <c r="AI47" s="96"/>
      <c r="AJ47" s="96"/>
      <c r="AK47" s="108"/>
      <c r="AL47" s="108"/>
      <c r="AM47" s="108"/>
      <c r="AN47" s="108"/>
    </row>
    <row r="48" spans="1:40" ht="15.75" customHeight="1" thickBot="1">
      <c r="A48" s="648"/>
      <c r="B48" s="102">
        <v>15</v>
      </c>
      <c r="C48" s="569" t="s">
        <v>203</v>
      </c>
      <c r="D48" s="569"/>
      <c r="E48" s="569"/>
      <c r="F48" s="569"/>
      <c r="G48" s="569"/>
      <c r="H48" s="569"/>
      <c r="I48" s="569"/>
      <c r="J48" s="569"/>
      <c r="K48" s="569"/>
      <c r="L48" s="569"/>
      <c r="M48" s="569"/>
      <c r="N48" s="569"/>
      <c r="O48" s="569"/>
      <c r="P48" s="62" t="s">
        <v>127</v>
      </c>
      <c r="Q48" s="80">
        <f>ROUND(Q47,-1)</f>
        <v>1219860</v>
      </c>
      <c r="R48" s="628"/>
      <c r="S48" s="99"/>
      <c r="T48" s="708"/>
      <c r="U48" s="708"/>
      <c r="V48" s="708"/>
      <c r="W48" s="708"/>
      <c r="X48" s="708"/>
      <c r="Y48" s="708"/>
      <c r="Z48" s="708"/>
      <c r="AE48" s="96" t="str">
        <f>IF(N2="Old tax regime","O","N")</f>
        <v>O</v>
      </c>
      <c r="AF48" s="96" t="str">
        <f>'Basic Data'!Q10</f>
        <v>A</v>
      </c>
      <c r="AG48" s="96" t="str">
        <f>CONCATENATE(AE48,AF48)</f>
        <v>OA</v>
      </c>
      <c r="AH48" s="97"/>
      <c r="AI48" s="97"/>
      <c r="AJ48" s="97"/>
      <c r="AK48" s="108"/>
      <c r="AL48" s="108"/>
      <c r="AM48" s="108"/>
      <c r="AN48" s="108"/>
    </row>
    <row r="49" spans="1:40" ht="14.25" customHeight="1">
      <c r="A49" s="648"/>
      <c r="B49" s="570">
        <v>16</v>
      </c>
      <c r="C49" s="580" t="s">
        <v>204</v>
      </c>
      <c r="D49" s="580"/>
      <c r="E49" s="580"/>
      <c r="F49" s="580"/>
      <c r="G49" s="580"/>
      <c r="H49" s="580"/>
      <c r="I49" s="580"/>
      <c r="J49" s="580"/>
      <c r="K49" s="580"/>
      <c r="L49" s="580"/>
      <c r="M49" s="580"/>
      <c r="N49" s="580"/>
      <c r="O49" s="580"/>
      <c r="P49" s="580"/>
      <c r="Q49" s="581"/>
      <c r="R49" s="628"/>
      <c r="S49" s="99"/>
      <c r="T49" s="708"/>
      <c r="U49" s="708"/>
      <c r="V49" s="708"/>
      <c r="W49" s="708"/>
      <c r="X49" s="708"/>
      <c r="Y49" s="708"/>
      <c r="Z49" s="708"/>
      <c r="AE49" s="96"/>
      <c r="AF49" s="96"/>
      <c r="AG49" s="96"/>
      <c r="AH49" s="96"/>
      <c r="AI49" s="96"/>
      <c r="AJ49" s="96"/>
      <c r="AK49" s="108"/>
      <c r="AL49" s="108"/>
      <c r="AM49" s="108"/>
      <c r="AN49" s="108"/>
    </row>
    <row r="50" spans="1:40" ht="14.25" customHeight="1">
      <c r="A50" s="648"/>
      <c r="B50" s="571"/>
      <c r="C50" s="582" t="s">
        <v>250</v>
      </c>
      <c r="D50" s="583"/>
      <c r="E50" s="583"/>
      <c r="F50" s="583"/>
      <c r="G50" s="583"/>
      <c r="H50" s="584"/>
      <c r="I50" s="582" t="s">
        <v>205</v>
      </c>
      <c r="J50" s="583"/>
      <c r="K50" s="585" t="s">
        <v>206</v>
      </c>
      <c r="L50" s="586"/>
      <c r="M50" s="582" t="s">
        <v>249</v>
      </c>
      <c r="N50" s="583"/>
      <c r="O50" s="584"/>
      <c r="P50" s="105"/>
      <c r="Q50" s="71"/>
      <c r="R50" s="628"/>
      <c r="S50" s="99"/>
      <c r="T50" s="708"/>
      <c r="U50" s="708"/>
      <c r="V50" s="708"/>
      <c r="W50" s="708"/>
      <c r="X50" s="708"/>
      <c r="Y50" s="708"/>
      <c r="Z50" s="708"/>
      <c r="AE50" s="96"/>
      <c r="AF50" s="96"/>
      <c r="AG50" s="96"/>
      <c r="AH50" s="96"/>
      <c r="AI50" s="96"/>
      <c r="AJ50" s="96"/>
      <c r="AK50" s="108"/>
      <c r="AL50" s="108"/>
      <c r="AM50" s="108"/>
      <c r="AN50" s="108"/>
    </row>
    <row r="51" spans="1:40" ht="12" customHeight="1">
      <c r="A51" s="648"/>
      <c r="B51" s="571"/>
      <c r="C51" s="572" t="str">
        <f t="shared" ref="C51" si="1">IF($N$2="old tax regime","2,50,000 तक","3,00,000 तक")</f>
        <v>2,50,000 तक</v>
      </c>
      <c r="D51" s="573"/>
      <c r="E51" s="573"/>
      <c r="F51" s="573"/>
      <c r="G51" s="573"/>
      <c r="H51" s="574"/>
      <c r="I51" s="572" t="str">
        <f t="shared" ref="I51" si="2">IF($N$2="old tax regime","Nil","Nil")</f>
        <v>Nil</v>
      </c>
      <c r="J51" s="574"/>
      <c r="K51" s="572" t="str">
        <f t="shared" ref="K51" si="3">IF($N$2="old tax regime","Nil","Nil")</f>
        <v>Nil</v>
      </c>
      <c r="L51" s="574"/>
      <c r="M51" s="572" t="str">
        <f>IF($N$2="old tax regime","Nil","Nil")</f>
        <v>Nil</v>
      </c>
      <c r="N51" s="573"/>
      <c r="O51" s="574"/>
      <c r="P51" s="56" t="s">
        <v>127</v>
      </c>
      <c r="Q51" s="73">
        <v>0</v>
      </c>
      <c r="R51" s="628"/>
      <c r="S51" s="99"/>
      <c r="T51" s="708"/>
      <c r="U51" s="708"/>
      <c r="V51" s="708"/>
      <c r="W51" s="708"/>
      <c r="X51" s="708"/>
      <c r="Y51" s="708"/>
      <c r="Z51" s="708"/>
      <c r="AE51" s="96"/>
      <c r="AF51" s="96"/>
      <c r="AG51" s="96"/>
      <c r="AH51" s="96"/>
      <c r="AI51" s="96"/>
      <c r="AJ51" s="96"/>
      <c r="AK51" s="108"/>
      <c r="AL51" s="108"/>
      <c r="AM51" s="108"/>
      <c r="AN51" s="108"/>
    </row>
    <row r="52" spans="1:40" ht="21" customHeight="1">
      <c r="A52" s="648"/>
      <c r="B52" s="571"/>
      <c r="C52" s="572" t="str">
        <f>IF($N$2="old tax regime","2,50,001 से 3,00,000 तक","3,00,001 से 6,00,000 तक")</f>
        <v>2,50,001 से 3,00,000 तक</v>
      </c>
      <c r="D52" s="573"/>
      <c r="E52" s="573"/>
      <c r="F52" s="573"/>
      <c r="G52" s="573"/>
      <c r="H52" s="574"/>
      <c r="I52" s="575" t="str">
        <f t="shared" ref="I52" si="4">IF($N$2="old tax regime","5%","5% (With Tax Rebate Under Sec.87A)")</f>
        <v>5%</v>
      </c>
      <c r="J52" s="576"/>
      <c r="K52" s="575" t="str">
        <f>IF($N$2="old tax regime","Nil","5% (With Tax Rebate Under Sec.87A)")</f>
        <v>Nil</v>
      </c>
      <c r="L52" s="576"/>
      <c r="M52" s="575" t="str">
        <f>IF($N$2="old tax regime","Nil","5% (With Tax Rebate Under Sec.87A)")</f>
        <v>Nil</v>
      </c>
      <c r="N52" s="577"/>
      <c r="O52" s="576"/>
      <c r="P52" s="56" t="s">
        <v>127</v>
      </c>
      <c r="Q52" s="74">
        <f>IF(OR($AG$48="NA",$AG$48="NB",$AG$48="NC"),AH55,IF($AG$48="OA",AH43,IF($AG$48="OB",AH44,IF($AG$48="OC",AH45,0))))</f>
        <v>2500</v>
      </c>
      <c r="R52" s="628"/>
      <c r="S52" s="99"/>
      <c r="T52" s="708"/>
      <c r="U52" s="708"/>
      <c r="V52" s="708"/>
      <c r="W52" s="708"/>
      <c r="X52" s="708"/>
      <c r="Y52" s="708"/>
      <c r="Z52" s="708"/>
      <c r="AE52" s="96"/>
      <c r="AF52" s="96"/>
      <c r="AG52" s="96"/>
      <c r="AH52" s="96"/>
      <c r="AI52" s="96"/>
      <c r="AJ52" s="96"/>
      <c r="AK52" s="108"/>
      <c r="AL52" s="108"/>
      <c r="AM52" s="108"/>
      <c r="AN52" s="108"/>
    </row>
    <row r="53" spans="1:40" ht="21.75" customHeight="1">
      <c r="A53" s="648"/>
      <c r="B53" s="571"/>
      <c r="C53" s="572" t="str">
        <f>IF($N$2="old tax regime","3,00,001 से 5,00,000 तक","6,00,001 से 9,00,000 तक")</f>
        <v>3,00,001 से 5,00,000 तक</v>
      </c>
      <c r="D53" s="573"/>
      <c r="E53" s="573"/>
      <c r="F53" s="573"/>
      <c r="G53" s="573"/>
      <c r="H53" s="574"/>
      <c r="I53" s="575" t="str">
        <f>IF($N$2="old tax regime","5%","10% (With Tax Rebate Under Sec.87A Up to Rs. 7 Lakh.)")</f>
        <v>5%</v>
      </c>
      <c r="J53" s="576"/>
      <c r="K53" s="575" t="str">
        <f>IF($N$2="old tax regime","5%","10% (With Tax Rebate Under Sec.87A Up to Rs. 7 Lakh.)")</f>
        <v>5%</v>
      </c>
      <c r="L53" s="576"/>
      <c r="M53" s="575" t="str">
        <f>IF($N$2="old tax regime","Nil","10% (With Tax Rebate Under Sec.87A Up to Rs. 7 Lakh.)")</f>
        <v>Nil</v>
      </c>
      <c r="N53" s="577"/>
      <c r="O53" s="576"/>
      <c r="P53" s="56" t="s">
        <v>127</v>
      </c>
      <c r="Q53" s="74">
        <f>IF(OR($AG$48="NA",$AG$48="NB",$AG$48="NC"),AI55,IF($AG$48="OA",AI43,IF($AG$48="OB",AI44,IF($AG$48="OC",AI45,0))))</f>
        <v>10000</v>
      </c>
      <c r="R53" s="628"/>
      <c r="S53" s="99"/>
      <c r="T53" s="708"/>
      <c r="U53" s="708"/>
      <c r="V53" s="708"/>
      <c r="W53" s="708"/>
      <c r="X53" s="708"/>
      <c r="Y53" s="708"/>
      <c r="Z53" s="708"/>
      <c r="AE53" s="96"/>
      <c r="AF53" s="96"/>
      <c r="AG53" s="96"/>
      <c r="AH53" s="96" t="s">
        <v>228</v>
      </c>
      <c r="AI53" s="96" t="s">
        <v>251</v>
      </c>
      <c r="AJ53" s="97" t="s">
        <v>252</v>
      </c>
      <c r="AK53" s="196" t="s">
        <v>253</v>
      </c>
      <c r="AL53" s="196" t="s">
        <v>231</v>
      </c>
      <c r="AM53" s="196"/>
      <c r="AN53" s="108"/>
    </row>
    <row r="54" spans="1:40" ht="12" customHeight="1">
      <c r="A54" s="648"/>
      <c r="B54" s="571"/>
      <c r="C54" s="572" t="str">
        <f>IF($N$2="old tax regime","5,00,001 से 10,00,000 तक","9,00,001 से 12,00,000 तक")</f>
        <v>5,00,001 से 10,00,000 तक</v>
      </c>
      <c r="D54" s="573"/>
      <c r="E54" s="573"/>
      <c r="F54" s="573"/>
      <c r="G54" s="573"/>
      <c r="H54" s="574"/>
      <c r="I54" s="572" t="str">
        <f t="shared" ref="I54" si="5">IF($N$2="old tax regime","20%","15%")</f>
        <v>20%</v>
      </c>
      <c r="J54" s="574"/>
      <c r="K54" s="572" t="str">
        <f>IF($N$2="old tax regime","20%","15%")</f>
        <v>20%</v>
      </c>
      <c r="L54" s="574"/>
      <c r="M54" s="572" t="str">
        <f>IF($N$2="old tax regime","20%","15%")</f>
        <v>20%</v>
      </c>
      <c r="N54" s="573"/>
      <c r="O54" s="574"/>
      <c r="P54" s="56" t="s">
        <v>127</v>
      </c>
      <c r="Q54" s="74">
        <f>IF(OR($AG$48="NA",$AG$48="NB",$AG$48="NC"),AJ55,IF($AG$48="OA",AJ43,IF($AG$48="OB",AJ44,IF($AG$48="OC",AJ45,0))))</f>
        <v>100000</v>
      </c>
      <c r="R54" s="628"/>
      <c r="S54" s="99"/>
      <c r="T54" s="708"/>
      <c r="U54" s="708"/>
      <c r="V54" s="708"/>
      <c r="W54" s="708"/>
      <c r="X54" s="708"/>
      <c r="Y54" s="708"/>
      <c r="Z54" s="708"/>
      <c r="AE54" s="96"/>
      <c r="AF54" s="96"/>
      <c r="AG54" s="96"/>
      <c r="AH54" s="96">
        <f>IF($Q$48&gt;1500000,1,IF($Q$48&gt;1200000,2,IF($Q$48&gt;900000,3,IF($Q$48&gt;600000,4,IF($Q$48&gt;300000,5,0)))))</f>
        <v>2</v>
      </c>
      <c r="AI54" s="96">
        <f>IF($Q$48&gt;1500000,1,IF($Q$48&gt;1200000,2,IF($Q$48&gt;900000,3,IF($Q$48&gt;600000,4,0))))</f>
        <v>2</v>
      </c>
      <c r="AJ54" s="96">
        <f>IF($Q$48&gt;1500000,1,IF($Q$48&gt;1200000,2,IF($Q$48&gt;900000,3,0)))</f>
        <v>2</v>
      </c>
      <c r="AK54" s="108">
        <f>IF($Q$48&gt;1500000,1,IF($Q$48&gt;1200000,2,0))</f>
        <v>2</v>
      </c>
      <c r="AL54" s="108">
        <f>IF($Q$48&gt;1500000,1,0)</f>
        <v>0</v>
      </c>
      <c r="AM54" s="108"/>
      <c r="AN54" s="108"/>
    </row>
    <row r="55" spans="1:40" ht="12" customHeight="1">
      <c r="A55" s="648"/>
      <c r="B55" s="571"/>
      <c r="C55" s="572" t="str">
        <f>IF($N$2="old tax regime","10,00,001 अथवा इससे ऊपर","12,00,001 से 15,00,000 तक")</f>
        <v>10,00,001 अथवा इससे ऊपर</v>
      </c>
      <c r="D55" s="573"/>
      <c r="E55" s="573"/>
      <c r="F55" s="573"/>
      <c r="G55" s="573"/>
      <c r="H55" s="574"/>
      <c r="I55" s="572" t="str">
        <f>IF($N$2="old tax regime","30%","20%")</f>
        <v>30%</v>
      </c>
      <c r="J55" s="574"/>
      <c r="K55" s="572" t="str">
        <f>IF($N$2="old tax regime","30%","20%")</f>
        <v>30%</v>
      </c>
      <c r="L55" s="574"/>
      <c r="M55" s="572" t="str">
        <f>IF($N$2="old tax regime","30%","20%")</f>
        <v>30%</v>
      </c>
      <c r="N55" s="573"/>
      <c r="O55" s="574"/>
      <c r="P55" s="56" t="s">
        <v>127</v>
      </c>
      <c r="Q55" s="73">
        <f>IF(OR($AG$48="NA",$AG$48="NB",$AG$48="NC"),AK55,IF($AG$48="OA",AK43,IF($AG$48="OB",AK44,IF($AG$48="OC",AK45,0))))</f>
        <v>65958</v>
      </c>
      <c r="R55" s="628"/>
      <c r="S55" s="99"/>
      <c r="T55" s="708"/>
      <c r="U55" s="708"/>
      <c r="V55" s="708"/>
      <c r="W55" s="708"/>
      <c r="X55" s="708"/>
      <c r="Y55" s="708"/>
      <c r="Z55" s="708"/>
      <c r="AE55" s="96"/>
      <c r="AF55" s="96"/>
      <c r="AG55" s="96" t="s">
        <v>224</v>
      </c>
      <c r="AH55" s="96">
        <f>IF(AH54&gt;=5,ROUND(($Q$48-300000)*0.05,0),IF(AH54=0,0,15000))</f>
        <v>15000</v>
      </c>
      <c r="AI55" s="96">
        <f>IF(AI54&gt;=4,ROUND(($Q$48-600000)*0.1,0),IF(AI54=0,0,30000))</f>
        <v>30000</v>
      </c>
      <c r="AJ55" s="96">
        <f>IF($AJ$54&gt;=3,ROUND(($Q$48-900000)*0.15,0),IF($AJ$54=0,0,45000))</f>
        <v>45000</v>
      </c>
      <c r="AK55" s="108">
        <f>IF($AK$54&gt;=2,ROUND(($Q$48-1200000)*0.2,0),IF($AK$54=0,0,60000))</f>
        <v>3972</v>
      </c>
      <c r="AL55" s="108">
        <f>IF($AL$54&gt;0,ROUND(($Q$48-1500000)*0.3,0),0)</f>
        <v>0</v>
      </c>
      <c r="AM55" s="108"/>
      <c r="AN55" s="108"/>
    </row>
    <row r="56" spans="1:40" ht="12" customHeight="1">
      <c r="A56" s="648"/>
      <c r="B56" s="571"/>
      <c r="C56" s="572" t="str">
        <f t="shared" ref="C56" si="6">IF($N$2="old tax regime","----","15,00,001 अथवा इससे ऊपर")</f>
        <v>----</v>
      </c>
      <c r="D56" s="573"/>
      <c r="E56" s="573"/>
      <c r="F56" s="573"/>
      <c r="G56" s="573"/>
      <c r="H56" s="574"/>
      <c r="I56" s="572" t="str">
        <f t="shared" ref="I56" si="7">IF($N$2="old tax regime","----","30%")</f>
        <v>----</v>
      </c>
      <c r="J56" s="574"/>
      <c r="K56" s="572" t="str">
        <f>IF($N$2="old tax regime","----","30%")</f>
        <v>----</v>
      </c>
      <c r="L56" s="574"/>
      <c r="M56" s="572" t="str">
        <f>IF($N$2="old tax regime","----","30%")</f>
        <v>----</v>
      </c>
      <c r="N56" s="573"/>
      <c r="O56" s="574"/>
      <c r="P56" s="56" t="s">
        <v>127</v>
      </c>
      <c r="Q56" s="73">
        <f>IF($AE$48="O",0,AL55)</f>
        <v>0</v>
      </c>
      <c r="R56" s="628"/>
      <c r="S56" s="99"/>
      <c r="T56" s="708"/>
      <c r="U56" s="708"/>
      <c r="V56" s="708"/>
      <c r="W56" s="708"/>
      <c r="X56" s="708"/>
      <c r="Y56" s="708"/>
      <c r="Z56" s="708"/>
      <c r="AE56" s="96"/>
      <c r="AF56" s="96"/>
      <c r="AG56" s="96" t="s">
        <v>123</v>
      </c>
      <c r="AH56" s="96">
        <v>0</v>
      </c>
      <c r="AI56" s="96">
        <f>IF(AI54=6,ROUND(($Q$48-300000)*0.05,0),IF(AI54=0,0,10000))</f>
        <v>10000</v>
      </c>
      <c r="AJ56" s="96">
        <f>IF($AJ$54=5,ROUND(($Q$48-500000)*0.1,0),IF($AJ$54&lt;=4,IF($AJ$54=0,0,25000)))</f>
        <v>25000</v>
      </c>
      <c r="AK56" s="108">
        <f>IF($AK$54=4,ROUND(($Q$48-750000)*0.15,0),IF($AK$54&lt;=3,IF($AK$54=0,0,37500)))</f>
        <v>37500</v>
      </c>
      <c r="AL56" s="108">
        <f>IF($AL$54=3,ROUND(($Q$48-1000000)*0.2,0),IF($AL$54&lt;=2,IF($AL$54=0,0,50000)))</f>
        <v>0</v>
      </c>
      <c r="AM56" s="108"/>
      <c r="AN56" s="108"/>
    </row>
    <row r="57" spans="1:40" ht="14.25" customHeight="1">
      <c r="A57" s="648"/>
      <c r="B57" s="571"/>
      <c r="C57" s="521" t="s">
        <v>207</v>
      </c>
      <c r="D57" s="521"/>
      <c r="E57" s="521"/>
      <c r="F57" s="521"/>
      <c r="G57" s="521"/>
      <c r="H57" s="521"/>
      <c r="I57" s="521"/>
      <c r="J57" s="521"/>
      <c r="K57" s="521"/>
      <c r="L57" s="521"/>
      <c r="M57" s="521"/>
      <c r="N57" s="521"/>
      <c r="O57" s="521"/>
      <c r="P57" s="56" t="s">
        <v>127</v>
      </c>
      <c r="Q57" s="75">
        <f>SUM(Q51:Q56)</f>
        <v>178458</v>
      </c>
      <c r="R57" s="628"/>
      <c r="S57" s="99"/>
      <c r="T57" s="708"/>
      <c r="U57" s="708"/>
      <c r="V57" s="708"/>
      <c r="W57" s="708"/>
      <c r="X57" s="708"/>
      <c r="Y57" s="708"/>
      <c r="Z57" s="708"/>
    </row>
    <row r="58" spans="1:40" ht="14.25" customHeight="1">
      <c r="A58" s="648"/>
      <c r="B58" s="571"/>
      <c r="C58" s="684" t="s">
        <v>254</v>
      </c>
      <c r="D58" s="684"/>
      <c r="E58" s="684"/>
      <c r="F58" s="684"/>
      <c r="G58" s="684"/>
      <c r="H58" s="684"/>
      <c r="I58" s="684"/>
      <c r="J58" s="684"/>
      <c r="K58" s="684"/>
      <c r="L58" s="684"/>
      <c r="M58" s="684"/>
      <c r="N58" s="684"/>
      <c r="O58" s="684"/>
      <c r="P58" s="56" t="s">
        <v>127</v>
      </c>
      <c r="Q58" s="74">
        <f>IF(AND(AE48="o",Q57&lt;=12500),Q57,IF(AND(AE48="n",Q57&lt;=25000),Q57,0))</f>
        <v>0</v>
      </c>
      <c r="R58" s="628"/>
      <c r="S58" s="99"/>
      <c r="T58" s="708"/>
      <c r="U58" s="708"/>
      <c r="V58" s="708"/>
      <c r="W58" s="708"/>
      <c r="X58" s="708"/>
      <c r="Y58" s="708"/>
      <c r="Z58" s="708"/>
    </row>
    <row r="59" spans="1:40" ht="14.25" customHeight="1">
      <c r="A59" s="648"/>
      <c r="B59" s="571"/>
      <c r="C59" s="521" t="s">
        <v>209</v>
      </c>
      <c r="D59" s="521"/>
      <c r="E59" s="521"/>
      <c r="F59" s="521"/>
      <c r="G59" s="521"/>
      <c r="H59" s="521"/>
      <c r="I59" s="521"/>
      <c r="J59" s="521"/>
      <c r="K59" s="521"/>
      <c r="L59" s="521"/>
      <c r="M59" s="521"/>
      <c r="N59" s="521"/>
      <c r="O59" s="521"/>
      <c r="P59" s="56" t="s">
        <v>127</v>
      </c>
      <c r="Q59" s="75">
        <f>Q57-Q58</f>
        <v>178458</v>
      </c>
      <c r="R59" s="628"/>
      <c r="S59" s="99"/>
      <c r="T59" s="708"/>
      <c r="U59" s="708"/>
      <c r="V59" s="708"/>
      <c r="W59" s="708"/>
      <c r="X59" s="708"/>
      <c r="Y59" s="708"/>
      <c r="Z59" s="708"/>
    </row>
    <row r="60" spans="1:40" ht="24.75" customHeight="1">
      <c r="A60" s="648"/>
      <c r="B60" s="571"/>
      <c r="C60" s="663" t="s">
        <v>278</v>
      </c>
      <c r="D60" s="521"/>
      <c r="E60" s="521"/>
      <c r="F60" s="521"/>
      <c r="G60" s="521"/>
      <c r="H60" s="521"/>
      <c r="I60" s="521"/>
      <c r="J60" s="521"/>
      <c r="K60" s="521"/>
      <c r="L60" s="521"/>
      <c r="M60" s="521"/>
      <c r="N60" s="521"/>
      <c r="O60" s="521"/>
      <c r="P60" s="56" t="s">
        <v>127</v>
      </c>
      <c r="Q60" s="75">
        <f>IF($AG$48="OA",AM43,IF($AG$48="OB",AM44,IF($AG$48="OC",AM45,0)))</f>
        <v>0</v>
      </c>
      <c r="R60" s="628"/>
      <c r="S60" s="254"/>
      <c r="T60" s="708"/>
      <c r="U60" s="708"/>
      <c r="V60" s="708"/>
      <c r="W60" s="708"/>
      <c r="X60" s="708"/>
      <c r="Y60" s="708"/>
      <c r="Z60" s="708"/>
      <c r="AB60" s="255"/>
      <c r="AC60" s="255"/>
      <c r="AD60" s="255"/>
    </row>
    <row r="61" spans="1:40" ht="14.25" customHeight="1">
      <c r="A61" s="648"/>
      <c r="B61" s="571"/>
      <c r="C61" s="522" t="s">
        <v>272</v>
      </c>
      <c r="D61" s="522"/>
      <c r="E61" s="522"/>
      <c r="F61" s="522"/>
      <c r="G61" s="522"/>
      <c r="H61" s="522"/>
      <c r="I61" s="522"/>
      <c r="J61" s="522"/>
      <c r="K61" s="522"/>
      <c r="L61" s="522"/>
      <c r="M61" s="522"/>
      <c r="N61" s="522"/>
      <c r="O61" s="522"/>
      <c r="P61" s="56" t="s">
        <v>127</v>
      </c>
      <c r="Q61" s="75">
        <f>SUM(Q59:Q60)</f>
        <v>178458</v>
      </c>
      <c r="R61" s="628"/>
      <c r="S61" s="254"/>
      <c r="T61" s="708"/>
      <c r="U61" s="708"/>
      <c r="V61" s="708"/>
      <c r="W61" s="708"/>
      <c r="X61" s="708"/>
      <c r="Y61" s="708"/>
      <c r="Z61" s="708"/>
      <c r="AB61" s="255"/>
      <c r="AC61" s="255"/>
      <c r="AD61" s="255"/>
    </row>
    <row r="62" spans="1:40" ht="14.25" customHeight="1">
      <c r="A62" s="648"/>
      <c r="B62" s="571"/>
      <c r="C62" s="563" t="s">
        <v>270</v>
      </c>
      <c r="D62" s="563"/>
      <c r="E62" s="563"/>
      <c r="F62" s="563"/>
      <c r="G62" s="563"/>
      <c r="H62" s="563"/>
      <c r="I62" s="563"/>
      <c r="J62" s="563"/>
      <c r="K62" s="563"/>
      <c r="L62" s="563"/>
      <c r="M62" s="563"/>
      <c r="N62" s="563"/>
      <c r="O62" s="563"/>
      <c r="P62" s="56" t="s">
        <v>127</v>
      </c>
      <c r="Q62" s="74">
        <f>ROUND(Q59*0.04,0)</f>
        <v>7138</v>
      </c>
      <c r="R62" s="628"/>
      <c r="S62" s="99"/>
      <c r="T62" s="708"/>
      <c r="U62" s="708"/>
      <c r="V62" s="708"/>
      <c r="W62" s="708"/>
      <c r="X62" s="708"/>
      <c r="Y62" s="708"/>
      <c r="Z62" s="708"/>
    </row>
    <row r="63" spans="1:40" ht="12.75" customHeight="1">
      <c r="A63" s="648"/>
      <c r="B63" s="571"/>
      <c r="C63" s="564" t="s">
        <v>271</v>
      </c>
      <c r="D63" s="565"/>
      <c r="E63" s="565"/>
      <c r="F63" s="565"/>
      <c r="G63" s="565"/>
      <c r="H63" s="565"/>
      <c r="I63" s="565"/>
      <c r="J63" s="565"/>
      <c r="K63" s="565"/>
      <c r="L63" s="565"/>
      <c r="M63" s="565"/>
      <c r="N63" s="565"/>
      <c r="O63" s="566"/>
      <c r="P63" s="56" t="s">
        <v>127</v>
      </c>
      <c r="Q63" s="75">
        <f>Q61+Q62</f>
        <v>185596</v>
      </c>
      <c r="R63" s="628"/>
      <c r="S63" s="99"/>
      <c r="T63" s="708"/>
      <c r="U63" s="708"/>
      <c r="V63" s="708"/>
      <c r="W63" s="708"/>
      <c r="X63" s="708"/>
      <c r="Y63" s="708"/>
      <c r="Z63" s="708"/>
    </row>
    <row r="64" spans="1:40" ht="14.25" customHeight="1">
      <c r="A64" s="648"/>
      <c r="B64" s="101">
        <v>17</v>
      </c>
      <c r="C64" s="567" t="s">
        <v>212</v>
      </c>
      <c r="D64" s="567"/>
      <c r="E64" s="567"/>
      <c r="F64" s="567"/>
      <c r="G64" s="567"/>
      <c r="H64" s="567"/>
      <c r="I64" s="567"/>
      <c r="J64" s="567"/>
      <c r="K64" s="567"/>
      <c r="L64" s="567"/>
      <c r="M64" s="567"/>
      <c r="N64" s="567"/>
      <c r="O64" s="567"/>
      <c r="P64" s="56" t="s">
        <v>127</v>
      </c>
      <c r="Q64" s="74">
        <f>'Exemp.(HRA+Other) &amp; Other incom'!Q26</f>
        <v>0</v>
      </c>
      <c r="R64" s="628"/>
      <c r="S64" s="99"/>
      <c r="T64" s="708"/>
      <c r="U64" s="708"/>
      <c r="V64" s="708"/>
      <c r="W64" s="708"/>
      <c r="X64" s="708"/>
      <c r="Y64" s="708"/>
      <c r="Z64" s="708"/>
    </row>
    <row r="65" spans="1:30" ht="14.25" customHeight="1">
      <c r="A65" s="648"/>
      <c r="B65" s="550">
        <v>18</v>
      </c>
      <c r="C65" s="568" t="s">
        <v>213</v>
      </c>
      <c r="D65" s="568"/>
      <c r="E65" s="568"/>
      <c r="F65" s="568"/>
      <c r="G65" s="568"/>
      <c r="H65" s="568"/>
      <c r="I65" s="568"/>
      <c r="J65" s="568"/>
      <c r="K65" s="568"/>
      <c r="L65" s="568"/>
      <c r="M65" s="568"/>
      <c r="N65" s="568"/>
      <c r="O65" s="568"/>
      <c r="P65" s="56" t="s">
        <v>127</v>
      </c>
      <c r="Q65" s="75">
        <f>Q63-Q64</f>
        <v>185596</v>
      </c>
      <c r="R65" s="628"/>
      <c r="S65" s="99"/>
      <c r="T65" s="708"/>
      <c r="U65" s="708"/>
      <c r="V65" s="708"/>
      <c r="W65" s="708"/>
      <c r="X65" s="708"/>
      <c r="Y65" s="708"/>
      <c r="Z65" s="708"/>
    </row>
    <row r="66" spans="1:30" ht="14.25" customHeight="1" thickBot="1">
      <c r="A66" s="648"/>
      <c r="B66" s="551"/>
      <c r="C66" s="569" t="s">
        <v>214</v>
      </c>
      <c r="D66" s="569"/>
      <c r="E66" s="569"/>
      <c r="F66" s="569"/>
      <c r="G66" s="569"/>
      <c r="H66" s="569"/>
      <c r="I66" s="569"/>
      <c r="J66" s="569"/>
      <c r="K66" s="569"/>
      <c r="L66" s="569"/>
      <c r="M66" s="569"/>
      <c r="N66" s="569"/>
      <c r="O66" s="569"/>
      <c r="P66" s="60" t="s">
        <v>127</v>
      </c>
      <c r="Q66" s="72">
        <f>ROUND(Q65,-1)</f>
        <v>185600</v>
      </c>
      <c r="R66" s="628"/>
      <c r="S66" s="99"/>
      <c r="T66" s="708"/>
      <c r="U66" s="708"/>
      <c r="V66" s="708"/>
      <c r="W66" s="708"/>
      <c r="X66" s="708"/>
      <c r="Y66" s="708"/>
      <c r="Z66" s="708"/>
    </row>
    <row r="67" spans="1:30" ht="44.25" customHeight="1">
      <c r="A67" s="648"/>
      <c r="B67" s="549">
        <v>19</v>
      </c>
      <c r="C67" s="552" t="s">
        <v>159</v>
      </c>
      <c r="D67" s="555" t="s">
        <v>298</v>
      </c>
      <c r="E67" s="555"/>
      <c r="F67" s="555" t="s">
        <v>299</v>
      </c>
      <c r="G67" s="555"/>
      <c r="H67" s="555"/>
      <c r="I67" s="203" t="s">
        <v>300</v>
      </c>
      <c r="J67" s="258" t="s">
        <v>301</v>
      </c>
      <c r="K67" s="258" t="s">
        <v>296</v>
      </c>
      <c r="L67" s="258" t="s">
        <v>297</v>
      </c>
      <c r="M67" s="556" t="s">
        <v>215</v>
      </c>
      <c r="N67" s="556"/>
      <c r="O67" s="103" t="s">
        <v>216</v>
      </c>
      <c r="P67" s="557" t="s">
        <v>217</v>
      </c>
      <c r="Q67" s="558"/>
      <c r="R67" s="628"/>
      <c r="S67" s="99"/>
      <c r="T67" s="708"/>
      <c r="U67" s="708"/>
      <c r="V67" s="708"/>
      <c r="W67" s="708"/>
      <c r="X67" s="708"/>
      <c r="Y67" s="708"/>
      <c r="Z67" s="708"/>
    </row>
    <row r="68" spans="1:30" s="10" customFormat="1" ht="13.5" customHeight="1">
      <c r="A68" s="648"/>
      <c r="B68" s="550"/>
      <c r="C68" s="553"/>
      <c r="D68" s="559">
        <f>SUM('GA-55'!AA9:AA11)</f>
        <v>0</v>
      </c>
      <c r="E68" s="559"/>
      <c r="F68" s="559">
        <f>SUM('GA-55'!AA12:AA14)</f>
        <v>0</v>
      </c>
      <c r="G68" s="559"/>
      <c r="H68" s="559"/>
      <c r="I68" s="104">
        <f>SUM('GA-55'!AA15:AA17)</f>
        <v>0</v>
      </c>
      <c r="J68" s="104">
        <f>'GA-55'!AA18</f>
        <v>0</v>
      </c>
      <c r="K68" s="104">
        <f>'GA-55'!AA19</f>
        <v>0</v>
      </c>
      <c r="L68" s="104">
        <f>'GA-55'!AA20</f>
        <v>0</v>
      </c>
      <c r="M68" s="559">
        <f>SUM('GA-55'!AA21:AA30)</f>
        <v>0</v>
      </c>
      <c r="N68" s="560"/>
      <c r="O68" s="104">
        <f>'Basic Data'!N19</f>
        <v>0</v>
      </c>
      <c r="P68" s="92" t="s">
        <v>127</v>
      </c>
      <c r="Q68" s="93">
        <f>SUM(D68:O68)</f>
        <v>0</v>
      </c>
      <c r="R68" s="628"/>
      <c r="S68" s="99"/>
      <c r="T68" s="708"/>
      <c r="U68" s="708"/>
      <c r="V68" s="708"/>
      <c r="W68" s="708"/>
      <c r="X68" s="708"/>
      <c r="Y68" s="708"/>
      <c r="Z68" s="708"/>
      <c r="AA68" s="269"/>
      <c r="AB68" s="108"/>
      <c r="AC68" s="108"/>
      <c r="AD68" s="108"/>
    </row>
    <row r="69" spans="1:30" ht="23.25" customHeight="1" thickBot="1">
      <c r="A69" s="648"/>
      <c r="B69" s="551"/>
      <c r="C69" s="554"/>
      <c r="D69" s="561" t="s">
        <v>279</v>
      </c>
      <c r="E69" s="562"/>
      <c r="F69" s="562"/>
      <c r="G69" s="562"/>
      <c r="H69" s="562"/>
      <c r="I69" s="562"/>
      <c r="J69" s="562"/>
      <c r="K69" s="562"/>
      <c r="L69" s="546" t="str">
        <f>IF(Q68&gt;Q66,"(Refundable)","(Payble)")</f>
        <v>(Payble)</v>
      </c>
      <c r="M69" s="546"/>
      <c r="N69" s="546"/>
      <c r="O69" s="546"/>
      <c r="P69" s="60" t="s">
        <v>127</v>
      </c>
      <c r="Q69" s="72">
        <f>Q68-Q66</f>
        <v>-185600</v>
      </c>
      <c r="R69" s="628"/>
      <c r="S69" s="99"/>
      <c r="T69" s="708"/>
      <c r="U69" s="708"/>
      <c r="V69" s="708"/>
      <c r="W69" s="708"/>
      <c r="X69" s="708"/>
      <c r="Y69" s="708"/>
      <c r="Z69" s="708"/>
    </row>
    <row r="70" spans="1:30" ht="9.75" customHeight="1">
      <c r="A70" s="648"/>
      <c r="B70" s="547" t="str">
        <f>'GA-55'!B32</f>
        <v>Siganture of Employee()</v>
      </c>
      <c r="C70" s="547"/>
      <c r="D70" s="547"/>
      <c r="E70" s="547"/>
      <c r="F70" s="547"/>
      <c r="G70" s="547"/>
      <c r="H70" s="547"/>
      <c r="I70" s="547"/>
      <c r="J70" s="547"/>
      <c r="K70" s="547" t="str">
        <f>'GA-55'!P32</f>
        <v>Signature of DDO ()</v>
      </c>
      <c r="L70" s="547"/>
      <c r="M70" s="547"/>
      <c r="N70" s="547"/>
      <c r="O70" s="547"/>
      <c r="P70" s="547"/>
      <c r="Q70" s="547"/>
      <c r="R70" s="628"/>
      <c r="S70" s="99"/>
      <c r="T70" s="708"/>
      <c r="U70" s="708"/>
      <c r="V70" s="708"/>
      <c r="W70" s="708"/>
      <c r="X70" s="708"/>
      <c r="Y70" s="708"/>
      <c r="Z70" s="708"/>
    </row>
    <row r="71" spans="1:30" ht="15.75" customHeight="1">
      <c r="A71" s="648"/>
      <c r="B71" s="548"/>
      <c r="C71" s="548"/>
      <c r="D71" s="548"/>
      <c r="E71" s="548"/>
      <c r="F71" s="548"/>
      <c r="G71" s="548"/>
      <c r="H71" s="548"/>
      <c r="I71" s="548"/>
      <c r="J71" s="548"/>
      <c r="K71" s="548"/>
      <c r="L71" s="548"/>
      <c r="M71" s="548"/>
      <c r="N71" s="548"/>
      <c r="O71" s="548"/>
      <c r="P71" s="548"/>
      <c r="Q71" s="548"/>
      <c r="R71" s="628"/>
      <c r="S71" s="99"/>
      <c r="T71" s="708"/>
      <c r="U71" s="708"/>
      <c r="V71" s="708"/>
      <c r="W71" s="708"/>
      <c r="X71" s="708"/>
      <c r="Y71" s="708"/>
      <c r="Z71" s="708"/>
    </row>
    <row r="72" spans="1:30" ht="22.5" customHeight="1">
      <c r="T72" s="708"/>
      <c r="U72" s="708"/>
      <c r="V72" s="708"/>
      <c r="W72" s="708"/>
      <c r="X72" s="708"/>
      <c r="Y72" s="708"/>
      <c r="Z72" s="708"/>
    </row>
  </sheetData>
  <sheetProtection password="E8FA" sheet="1" objects="1" scenarios="1" formatCells="0" formatColumns="0" formatRows="0" selectLockedCells="1"/>
  <mergeCells count="150">
    <mergeCell ref="T8:W10"/>
    <mergeCell ref="X8:Z10"/>
    <mergeCell ref="T11:Z11"/>
    <mergeCell ref="T12:W14"/>
    <mergeCell ref="T1:Z1"/>
    <mergeCell ref="X12:Z14"/>
    <mergeCell ref="T15:Z15"/>
    <mergeCell ref="T2:Z7"/>
    <mergeCell ref="T16:Z72"/>
    <mergeCell ref="S8:S10"/>
    <mergeCell ref="S12:S14"/>
    <mergeCell ref="K27:M27"/>
    <mergeCell ref="B70:J71"/>
    <mergeCell ref="K70:Q71"/>
    <mergeCell ref="R1:R71"/>
    <mergeCell ref="A1:A71"/>
    <mergeCell ref="C66:O66"/>
    <mergeCell ref="C67:C69"/>
    <mergeCell ref="B67:B69"/>
    <mergeCell ref="B65:B66"/>
    <mergeCell ref="D67:E67"/>
    <mergeCell ref="F67:H67"/>
    <mergeCell ref="D68:E68"/>
    <mergeCell ref="F68:H68"/>
    <mergeCell ref="D69:K69"/>
    <mergeCell ref="L69:O69"/>
    <mergeCell ref="P67:Q67"/>
    <mergeCell ref="M68:N68"/>
    <mergeCell ref="C59:O59"/>
    <mergeCell ref="C62:O62"/>
    <mergeCell ref="C63:O63"/>
    <mergeCell ref="C64:O64"/>
    <mergeCell ref="C65:O65"/>
    <mergeCell ref="C46:O46"/>
    <mergeCell ref="C47:O47"/>
    <mergeCell ref="C48:O48"/>
    <mergeCell ref="I50:J50"/>
    <mergeCell ref="C50:H50"/>
    <mergeCell ref="M50:O50"/>
    <mergeCell ref="K50:L50"/>
    <mergeCell ref="M67:N67"/>
    <mergeCell ref="B49:B63"/>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C34:O34"/>
    <mergeCell ref="C35:O35"/>
    <mergeCell ref="B36:B45"/>
    <mergeCell ref="C36:Q36"/>
    <mergeCell ref="C37:O37"/>
    <mergeCell ref="C38:O38"/>
    <mergeCell ref="C39:O39"/>
    <mergeCell ref="C40:O40"/>
    <mergeCell ref="C41:O41"/>
    <mergeCell ref="C42:O42"/>
    <mergeCell ref="C43:O43"/>
    <mergeCell ref="C44:O44"/>
    <mergeCell ref="C45:O45"/>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B16:B18"/>
    <mergeCell ref="C16:C18"/>
    <mergeCell ref="E16:O16"/>
    <mergeCell ref="E17:O17"/>
    <mergeCell ref="E18:O18"/>
    <mergeCell ref="C19:O19"/>
    <mergeCell ref="C14:O14"/>
    <mergeCell ref="C15:O15"/>
    <mergeCell ref="B11:B13"/>
    <mergeCell ref="C11:J11"/>
    <mergeCell ref="K11:L11"/>
    <mergeCell ref="M11:O11"/>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C4:O4"/>
    <mergeCell ref="C5:O5"/>
    <mergeCell ref="C6:O6"/>
    <mergeCell ref="B7:B9"/>
    <mergeCell ref="C7:L7"/>
    <mergeCell ref="M7:O7"/>
    <mergeCell ref="B1:Q1"/>
    <mergeCell ref="C3:D3"/>
    <mergeCell ref="E3:J3"/>
    <mergeCell ref="L3:N3"/>
    <mergeCell ref="P3:Q3"/>
    <mergeCell ref="N2:Q2"/>
    <mergeCell ref="B2:J2"/>
    <mergeCell ref="K2:M2"/>
    <mergeCell ref="C60:O60"/>
    <mergeCell ref="C61:O61"/>
    <mergeCell ref="M56:O56"/>
    <mergeCell ref="I56:J56"/>
    <mergeCell ref="M51:O51"/>
    <mergeCell ref="M52:O52"/>
    <mergeCell ref="M53:O53"/>
    <mergeCell ref="M54:O54"/>
    <mergeCell ref="M55:O55"/>
    <mergeCell ref="I51:J51"/>
    <mergeCell ref="I52:J52"/>
    <mergeCell ref="I53:J53"/>
    <mergeCell ref="I54:J54"/>
    <mergeCell ref="I55:J55"/>
  </mergeCells>
  <conditionalFormatting sqref="L69:O69">
    <cfRule type="cellIs" dxfId="16" priority="10" operator="equal">
      <formula>"(Payble)"</formula>
    </cfRule>
    <cfRule type="cellIs" dxfId="15" priority="11" operator="equal">
      <formula>"(Refundable)"</formula>
    </cfRule>
  </conditionalFormatting>
  <conditionalFormatting sqref="Q69">
    <cfRule type="cellIs" dxfId="14" priority="8" operator="lessThan">
      <formula>0</formula>
    </cfRule>
    <cfRule type="cellIs" dxfId="13" priority="9" operator="greaterThan">
      <formula>0</formula>
    </cfRule>
  </conditionalFormatting>
  <conditionalFormatting sqref="P55:Q56">
    <cfRule type="expression" dxfId="12" priority="7">
      <formula>$C$56="----"</formula>
    </cfRule>
  </conditionalFormatting>
  <conditionalFormatting sqref="S8:Z10">
    <cfRule type="expression" dxfId="11" priority="4">
      <formula>$S8=0</formula>
    </cfRule>
    <cfRule type="expression" dxfId="10" priority="5">
      <formula>$S8&gt;0</formula>
    </cfRule>
    <cfRule type="expression" dxfId="9" priority="6">
      <formula>$S8&lt;0</formula>
    </cfRule>
  </conditionalFormatting>
  <conditionalFormatting sqref="S12:Z14">
    <cfRule type="expression" dxfId="8" priority="1">
      <formula>$S12=0</formula>
    </cfRule>
    <cfRule type="expression" dxfId="7" priority="2">
      <formula>$S12&gt;0</formula>
    </cfRule>
    <cfRule type="expression" dxfId="6"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6"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theme="8"/>
  </sheetPr>
  <dimension ref="A1:AA70"/>
  <sheetViews>
    <sheetView showGridLines="0" workbookViewId="0">
      <selection activeCell="O65" sqref="O65"/>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07" hidden="1" customWidth="1"/>
    <col min="21" max="21" width="3.42578125" style="108" hidden="1" customWidth="1"/>
    <col min="22" max="22" width="5.5703125" style="1" hidden="1" customWidth="1"/>
    <col min="23" max="25" width="14.7109375" style="108" hidden="1" customWidth="1"/>
    <col min="26" max="27" width="9" style="108" hidden="1" customWidth="1"/>
    <col min="28" max="16384" width="1.5703125" style="1" hidden="1"/>
  </cols>
  <sheetData>
    <row r="1" spans="1:27" ht="13.5" customHeight="1" thickBot="1">
      <c r="A1" s="648"/>
      <c r="B1" s="649" t="str">
        <f>'Exemp.(HRA+Other) &amp; Other incom'!A1</f>
        <v>Office: Govt. Sr. School Raimalwada (DDO Code :-12345)</v>
      </c>
      <c r="C1" s="650"/>
      <c r="D1" s="650"/>
      <c r="E1" s="650"/>
      <c r="F1" s="650"/>
      <c r="G1" s="650"/>
      <c r="H1" s="650"/>
      <c r="I1" s="650"/>
      <c r="J1" s="650"/>
      <c r="K1" s="650"/>
      <c r="L1" s="650"/>
      <c r="M1" s="650"/>
      <c r="N1" s="650"/>
      <c r="O1" s="650"/>
      <c r="P1" s="650"/>
      <c r="Q1" s="651"/>
      <c r="R1" s="628"/>
    </row>
    <row r="2" spans="1:27" ht="21" thickBot="1">
      <c r="A2" s="648"/>
      <c r="B2" s="629" t="s">
        <v>290</v>
      </c>
      <c r="C2" s="630"/>
      <c r="D2" s="630"/>
      <c r="E2" s="630"/>
      <c r="F2" s="630"/>
      <c r="G2" s="630"/>
      <c r="H2" s="630"/>
      <c r="I2" s="630"/>
      <c r="J2" s="630"/>
      <c r="K2" s="630"/>
      <c r="L2" s="630"/>
      <c r="M2" s="631"/>
      <c r="N2" s="632" t="s">
        <v>226</v>
      </c>
      <c r="O2" s="633"/>
      <c r="P2" s="633"/>
      <c r="Q2" s="634"/>
      <c r="R2" s="628"/>
    </row>
    <row r="3" spans="1:27" s="95" customFormat="1" ht="16.5" thickBot="1">
      <c r="A3" s="648"/>
      <c r="B3" s="89">
        <v>1</v>
      </c>
      <c r="C3" s="635" t="s">
        <v>157</v>
      </c>
      <c r="D3" s="635"/>
      <c r="E3" s="636">
        <f>'GA-55'!F3</f>
        <v>0</v>
      </c>
      <c r="F3" s="636"/>
      <c r="G3" s="636"/>
      <c r="H3" s="636"/>
      <c r="I3" s="636"/>
      <c r="J3" s="636"/>
      <c r="K3" s="90" t="s">
        <v>158</v>
      </c>
      <c r="L3" s="637">
        <f>'GA-55'!P3</f>
        <v>0</v>
      </c>
      <c r="M3" s="637"/>
      <c r="N3" s="637"/>
      <c r="O3" s="91" t="s">
        <v>91</v>
      </c>
      <c r="P3" s="638" t="str">
        <f>'GA-55'!F5</f>
        <v>ABCDE1234F</v>
      </c>
      <c r="Q3" s="639"/>
      <c r="R3" s="628"/>
      <c r="T3" s="112"/>
      <c r="U3" s="94"/>
      <c r="W3" s="94"/>
      <c r="X3" s="94"/>
      <c r="Y3" s="94"/>
      <c r="Z3" s="94"/>
      <c r="AA3" s="94"/>
    </row>
    <row r="4" spans="1:27" ht="14.25" customHeight="1">
      <c r="A4" s="648"/>
      <c r="B4" s="100">
        <v>2</v>
      </c>
      <c r="C4" s="640" t="s">
        <v>291</v>
      </c>
      <c r="D4" s="640"/>
      <c r="E4" s="640"/>
      <c r="F4" s="640"/>
      <c r="G4" s="640"/>
      <c r="H4" s="640"/>
      <c r="I4" s="640"/>
      <c r="J4" s="640"/>
      <c r="K4" s="640"/>
      <c r="L4" s="640"/>
      <c r="M4" s="640"/>
      <c r="N4" s="640"/>
      <c r="O4" s="640"/>
      <c r="P4" s="64" t="s">
        <v>127</v>
      </c>
      <c r="Q4" s="88">
        <f>'GA-55'!O31</f>
        <v>1381266</v>
      </c>
      <c r="R4" s="628"/>
    </row>
    <row r="5" spans="1:27" ht="14.25" customHeight="1">
      <c r="A5" s="648"/>
      <c r="B5" s="101">
        <v>3</v>
      </c>
      <c r="C5" s="567" t="s">
        <v>166</v>
      </c>
      <c r="D5" s="567"/>
      <c r="E5" s="567"/>
      <c r="F5" s="567"/>
      <c r="G5" s="567"/>
      <c r="H5" s="567"/>
      <c r="I5" s="567"/>
      <c r="J5" s="567"/>
      <c r="K5" s="567"/>
      <c r="L5" s="567"/>
      <c r="M5" s="567"/>
      <c r="N5" s="567"/>
      <c r="O5" s="567"/>
      <c r="P5" s="56" t="s">
        <v>127</v>
      </c>
      <c r="Q5" s="76">
        <f>IF(N2="old tax regime",'Exemp.(HRA+Other) &amp; Other incom'!K4,0)</f>
        <v>0</v>
      </c>
      <c r="R5" s="628"/>
    </row>
    <row r="6" spans="1:27" ht="14.25" customHeight="1">
      <c r="A6" s="648"/>
      <c r="B6" s="101">
        <v>4</v>
      </c>
      <c r="C6" s="641" t="s">
        <v>160</v>
      </c>
      <c r="D6" s="641"/>
      <c r="E6" s="641"/>
      <c r="F6" s="641"/>
      <c r="G6" s="641"/>
      <c r="H6" s="641"/>
      <c r="I6" s="641"/>
      <c r="J6" s="641"/>
      <c r="K6" s="641"/>
      <c r="L6" s="641"/>
      <c r="M6" s="641"/>
      <c r="N6" s="641"/>
      <c r="O6" s="641"/>
      <c r="P6" s="56" t="s">
        <v>127</v>
      </c>
      <c r="Q6" s="81">
        <f>Q4-Q5</f>
        <v>1381266</v>
      </c>
      <c r="R6" s="628"/>
    </row>
    <row r="7" spans="1:27" ht="14.25" customHeight="1">
      <c r="A7" s="648"/>
      <c r="B7" s="571">
        <v>5</v>
      </c>
      <c r="C7" s="567" t="s">
        <v>162</v>
      </c>
      <c r="D7" s="567"/>
      <c r="E7" s="567"/>
      <c r="F7" s="567"/>
      <c r="G7" s="567"/>
      <c r="H7" s="567"/>
      <c r="I7" s="567"/>
      <c r="J7" s="567"/>
      <c r="K7" s="567"/>
      <c r="L7" s="567"/>
      <c r="M7" s="645">
        <f>'Exemp.(HRA+Other) &amp; Other incom'!L13</f>
        <v>0</v>
      </c>
      <c r="N7" s="645"/>
      <c r="O7" s="645"/>
      <c r="P7" s="643"/>
      <c r="Q7" s="644"/>
      <c r="R7" s="628"/>
    </row>
    <row r="8" spans="1:27" ht="14.25" customHeight="1">
      <c r="A8" s="648"/>
      <c r="B8" s="571"/>
      <c r="C8" s="567" t="s">
        <v>163</v>
      </c>
      <c r="D8" s="567"/>
      <c r="E8" s="567"/>
      <c r="F8" s="567"/>
      <c r="G8" s="567"/>
      <c r="H8" s="567"/>
      <c r="I8" s="567"/>
      <c r="J8" s="567"/>
      <c r="K8" s="567"/>
      <c r="L8" s="567"/>
      <c r="M8" s="645">
        <f>'Exemp.(HRA+Other) &amp; Other incom'!L14</f>
        <v>0</v>
      </c>
      <c r="N8" s="645"/>
      <c r="O8" s="645"/>
      <c r="P8" s="643"/>
      <c r="Q8" s="644"/>
      <c r="R8" s="628"/>
    </row>
    <row r="9" spans="1:27" ht="14.25" customHeight="1">
      <c r="A9" s="648"/>
      <c r="B9" s="571"/>
      <c r="C9" s="567" t="s">
        <v>164</v>
      </c>
      <c r="D9" s="567"/>
      <c r="E9" s="567"/>
      <c r="F9" s="567"/>
      <c r="G9" s="567"/>
      <c r="H9" s="567"/>
      <c r="I9" s="567"/>
      <c r="J9" s="567"/>
      <c r="K9" s="567"/>
      <c r="L9" s="567"/>
      <c r="M9" s="645">
        <v>50000</v>
      </c>
      <c r="N9" s="645"/>
      <c r="O9" s="645"/>
      <c r="P9" s="56" t="s">
        <v>127</v>
      </c>
      <c r="Q9" s="76">
        <f>IF(N2="old tax regime",M7+M8+M9,0)</f>
        <v>50000</v>
      </c>
      <c r="R9" s="628"/>
    </row>
    <row r="10" spans="1:27" ht="14.25" customHeight="1">
      <c r="A10" s="648"/>
      <c r="B10" s="101">
        <v>6</v>
      </c>
      <c r="C10" s="641" t="s">
        <v>165</v>
      </c>
      <c r="D10" s="641"/>
      <c r="E10" s="641"/>
      <c r="F10" s="641"/>
      <c r="G10" s="641"/>
      <c r="H10" s="641"/>
      <c r="I10" s="641"/>
      <c r="J10" s="641"/>
      <c r="K10" s="641"/>
      <c r="L10" s="641"/>
      <c r="M10" s="641"/>
      <c r="N10" s="641"/>
      <c r="O10" s="641"/>
      <c r="P10" s="56" t="s">
        <v>127</v>
      </c>
      <c r="Q10" s="81">
        <f>Q6-Q9</f>
        <v>1331266</v>
      </c>
      <c r="R10" s="628"/>
    </row>
    <row r="11" spans="1:27" ht="9" customHeight="1">
      <c r="A11" s="648"/>
      <c r="B11" s="571">
        <v>7</v>
      </c>
      <c r="C11" s="567" t="s">
        <v>167</v>
      </c>
      <c r="D11" s="567"/>
      <c r="E11" s="567"/>
      <c r="F11" s="567"/>
      <c r="G11" s="567"/>
      <c r="H11" s="567"/>
      <c r="I11" s="567"/>
      <c r="J11" s="567"/>
      <c r="K11" s="646" t="s">
        <v>168</v>
      </c>
      <c r="L11" s="646"/>
      <c r="M11" s="645">
        <f>'Exemp.(HRA+Other) &amp; Other incom'!L7</f>
        <v>0</v>
      </c>
      <c r="N11" s="645"/>
      <c r="O11" s="645"/>
      <c r="P11" s="646"/>
      <c r="Q11" s="647"/>
      <c r="R11" s="628"/>
    </row>
    <row r="12" spans="1:27" ht="22.5" customHeight="1">
      <c r="A12" s="648"/>
      <c r="B12" s="571"/>
      <c r="C12" s="652" t="s">
        <v>169</v>
      </c>
      <c r="D12" s="652"/>
      <c r="E12" s="646" t="s">
        <v>170</v>
      </c>
      <c r="F12" s="646"/>
      <c r="G12" s="646"/>
      <c r="H12" s="653" t="s">
        <v>171</v>
      </c>
      <c r="I12" s="653"/>
      <c r="J12" s="653"/>
      <c r="K12" s="646" t="s">
        <v>128</v>
      </c>
      <c r="L12" s="646"/>
      <c r="M12" s="658" t="s">
        <v>172</v>
      </c>
      <c r="N12" s="658"/>
      <c r="O12" s="658"/>
      <c r="P12" s="646"/>
      <c r="Q12" s="647"/>
      <c r="R12" s="628"/>
    </row>
    <row r="13" spans="1:27" ht="21.75" customHeight="1">
      <c r="A13" s="648"/>
      <c r="B13" s="571"/>
      <c r="C13" s="652"/>
      <c r="D13" s="652"/>
      <c r="E13" s="645">
        <f>IF(N2="old tax regime",ROUND(M11*0.3,0),0)</f>
        <v>0</v>
      </c>
      <c r="F13" s="645"/>
      <c r="G13" s="645"/>
      <c r="H13" s="645">
        <f>IF(N2="old tax regime",'Exemp.(HRA+Other) &amp; Other incom'!L17,0)</f>
        <v>0</v>
      </c>
      <c r="I13" s="645"/>
      <c r="J13" s="645"/>
      <c r="K13" s="645">
        <f>IF(N2="old tax regime",'Exemp.(HRA+Other) &amp; Other incom'!L15,0)</f>
        <v>0</v>
      </c>
      <c r="L13" s="645"/>
      <c r="M13" s="659">
        <f>E13+H13+K13</f>
        <v>0</v>
      </c>
      <c r="N13" s="659"/>
      <c r="O13" s="659"/>
      <c r="P13" s="646"/>
      <c r="Q13" s="647"/>
      <c r="R13" s="628"/>
    </row>
    <row r="14" spans="1:27" ht="21.75" customHeight="1">
      <c r="A14" s="648"/>
      <c r="B14" s="101"/>
      <c r="C14" s="660" t="s">
        <v>174</v>
      </c>
      <c r="D14" s="526"/>
      <c r="E14" s="526"/>
      <c r="F14" s="526"/>
      <c r="G14" s="526"/>
      <c r="H14" s="526"/>
      <c r="I14" s="526"/>
      <c r="J14" s="526"/>
      <c r="K14" s="526"/>
      <c r="L14" s="526"/>
      <c r="M14" s="526"/>
      <c r="N14" s="526"/>
      <c r="O14" s="527"/>
      <c r="P14" s="56" t="s">
        <v>127</v>
      </c>
      <c r="Q14" s="76">
        <f>M11-M13</f>
        <v>0</v>
      </c>
      <c r="R14" s="628"/>
    </row>
    <row r="15" spans="1:27" ht="21.75" customHeight="1">
      <c r="A15" s="648"/>
      <c r="B15" s="101">
        <v>8</v>
      </c>
      <c r="C15" s="525" t="s">
        <v>173</v>
      </c>
      <c r="D15" s="654"/>
      <c r="E15" s="654"/>
      <c r="F15" s="654"/>
      <c r="G15" s="654"/>
      <c r="H15" s="654"/>
      <c r="I15" s="654"/>
      <c r="J15" s="654"/>
      <c r="K15" s="654"/>
      <c r="L15" s="654"/>
      <c r="M15" s="654"/>
      <c r="N15" s="654"/>
      <c r="O15" s="655"/>
      <c r="P15" s="56" t="s">
        <v>127</v>
      </c>
      <c r="Q15" s="81">
        <f>Q10+Q14</f>
        <v>1331266</v>
      </c>
      <c r="R15" s="628"/>
    </row>
    <row r="16" spans="1:27" ht="21.75" customHeight="1">
      <c r="A16" s="648"/>
      <c r="B16" s="550">
        <v>9</v>
      </c>
      <c r="C16" s="668" t="s">
        <v>155</v>
      </c>
      <c r="D16" s="106" t="s">
        <v>119</v>
      </c>
      <c r="E16" s="669" t="str">
        <f>'Exemp.(HRA+Other) &amp; Other incom'!B8</f>
        <v>अन्य आय (बैंक/एफडी में जमा ब्याज/अन्य ब्याज आदि का योग</v>
      </c>
      <c r="F16" s="567"/>
      <c r="G16" s="567"/>
      <c r="H16" s="567"/>
      <c r="I16" s="567"/>
      <c r="J16" s="567"/>
      <c r="K16" s="567"/>
      <c r="L16" s="567"/>
      <c r="M16" s="567"/>
      <c r="N16" s="567"/>
      <c r="O16" s="567"/>
      <c r="P16" s="56" t="s">
        <v>127</v>
      </c>
      <c r="Q16" s="76">
        <f>'Exemp.(HRA+Other) &amp; Other incom'!L8</f>
        <v>0</v>
      </c>
      <c r="R16" s="628"/>
    </row>
    <row r="17" spans="1:18" ht="21.75" customHeight="1">
      <c r="A17" s="648"/>
      <c r="B17" s="550"/>
      <c r="C17" s="668"/>
      <c r="D17" s="106" t="s">
        <v>120</v>
      </c>
      <c r="E17" s="669" t="str">
        <f>'Exemp.(HRA+Other) &amp; Other incom'!C9</f>
        <v>(-----------------------------------------------------)</v>
      </c>
      <c r="F17" s="567"/>
      <c r="G17" s="567"/>
      <c r="H17" s="567"/>
      <c r="I17" s="567"/>
      <c r="J17" s="567"/>
      <c r="K17" s="567"/>
      <c r="L17" s="567"/>
      <c r="M17" s="567"/>
      <c r="N17" s="567"/>
      <c r="O17" s="567"/>
      <c r="P17" s="69"/>
      <c r="Q17" s="76">
        <f>'Exemp.(HRA+Other) &amp; Other incom'!L9</f>
        <v>0</v>
      </c>
      <c r="R17" s="628"/>
    </row>
    <row r="18" spans="1:18" ht="21.75" customHeight="1">
      <c r="A18" s="648"/>
      <c r="B18" s="550"/>
      <c r="C18" s="668"/>
      <c r="D18" s="106" t="s">
        <v>121</v>
      </c>
      <c r="E18" s="669" t="str">
        <f>'Exemp.(HRA+Other) &amp; Other incom'!C10</f>
        <v>(-----------------------------------------------------)</v>
      </c>
      <c r="F18" s="567"/>
      <c r="G18" s="567"/>
      <c r="H18" s="567"/>
      <c r="I18" s="567"/>
      <c r="J18" s="567"/>
      <c r="K18" s="567"/>
      <c r="L18" s="567"/>
      <c r="M18" s="567"/>
      <c r="N18" s="567"/>
      <c r="O18" s="567"/>
      <c r="P18" s="69"/>
      <c r="Q18" s="76">
        <f>'Exemp.(HRA+Other) &amp; Other incom'!L10</f>
        <v>0</v>
      </c>
      <c r="R18" s="628"/>
    </row>
    <row r="19" spans="1:18" ht="21.75" customHeight="1" thickBot="1">
      <c r="A19" s="648"/>
      <c r="B19" s="102"/>
      <c r="C19" s="616" t="s">
        <v>175</v>
      </c>
      <c r="D19" s="616"/>
      <c r="E19" s="616"/>
      <c r="F19" s="616"/>
      <c r="G19" s="616"/>
      <c r="H19" s="616"/>
      <c r="I19" s="616"/>
      <c r="J19" s="616"/>
      <c r="K19" s="616"/>
      <c r="L19" s="616"/>
      <c r="M19" s="616"/>
      <c r="N19" s="616"/>
      <c r="O19" s="616"/>
      <c r="P19" s="70"/>
      <c r="Q19" s="86">
        <f>Q16+Q17+Q18</f>
        <v>0</v>
      </c>
      <c r="R19" s="628"/>
    </row>
    <row r="20" spans="1:18" ht="21.75" customHeight="1" thickBot="1">
      <c r="A20" s="648"/>
      <c r="B20" s="66">
        <v>10</v>
      </c>
      <c r="C20" s="617" t="s">
        <v>176</v>
      </c>
      <c r="D20" s="617"/>
      <c r="E20" s="617"/>
      <c r="F20" s="617"/>
      <c r="G20" s="617"/>
      <c r="H20" s="617"/>
      <c r="I20" s="617"/>
      <c r="J20" s="617"/>
      <c r="K20" s="617"/>
      <c r="L20" s="617"/>
      <c r="M20" s="617"/>
      <c r="N20" s="617"/>
      <c r="O20" s="617"/>
      <c r="P20" s="63" t="s">
        <v>127</v>
      </c>
      <c r="Q20" s="87">
        <f>Q15+Q19</f>
        <v>1331266</v>
      </c>
      <c r="R20" s="628"/>
    </row>
    <row r="21" spans="1:18" ht="21.75" customHeight="1">
      <c r="A21" s="648"/>
      <c r="B21" s="570">
        <v>11</v>
      </c>
      <c r="C21" s="670" t="s">
        <v>177</v>
      </c>
      <c r="D21" s="670"/>
      <c r="E21" s="670"/>
      <c r="F21" s="670"/>
      <c r="G21" s="670"/>
      <c r="H21" s="670"/>
      <c r="I21" s="670"/>
      <c r="J21" s="670"/>
      <c r="K21" s="670"/>
      <c r="L21" s="670"/>
      <c r="M21" s="670"/>
      <c r="N21" s="670"/>
      <c r="O21" s="670"/>
      <c r="P21" s="670"/>
      <c r="Q21" s="671"/>
      <c r="R21" s="628"/>
    </row>
    <row r="22" spans="1:18" ht="14.25" customHeight="1">
      <c r="A22" s="648"/>
      <c r="B22" s="571"/>
      <c r="C22" s="672" t="s">
        <v>178</v>
      </c>
      <c r="D22" s="672"/>
      <c r="E22" s="672"/>
      <c r="F22" s="672"/>
      <c r="G22" s="672"/>
      <c r="H22" s="672"/>
      <c r="I22" s="672"/>
      <c r="J22" s="672"/>
      <c r="K22" s="672"/>
      <c r="L22" s="672"/>
      <c r="M22" s="672"/>
      <c r="N22" s="672"/>
      <c r="O22" s="672"/>
      <c r="P22" s="672"/>
      <c r="Q22" s="673"/>
      <c r="R22" s="628"/>
    </row>
    <row r="23" spans="1:18" ht="16.5" customHeight="1">
      <c r="A23" s="648"/>
      <c r="B23" s="571"/>
      <c r="C23" s="106" t="s">
        <v>92</v>
      </c>
      <c r="D23" s="567" t="s">
        <v>179</v>
      </c>
      <c r="E23" s="567"/>
      <c r="F23" s="567"/>
      <c r="G23" s="567"/>
      <c r="H23" s="58" t="s">
        <v>127</v>
      </c>
      <c r="I23" s="83">
        <f>IF(N2="old tax regime",'GA-55'!Q31,0)</f>
        <v>60000</v>
      </c>
      <c r="J23" s="106" t="s">
        <v>93</v>
      </c>
      <c r="K23" s="676" t="s">
        <v>184</v>
      </c>
      <c r="L23" s="677"/>
      <c r="M23" s="678"/>
      <c r="N23" s="58" t="s">
        <v>127</v>
      </c>
      <c r="O23" s="83">
        <f>IF(N2="old tax regime",'Exemp.(HRA+Other) &amp; Other incom'!Q15,0)</f>
        <v>0</v>
      </c>
      <c r="P23" s="674"/>
      <c r="Q23" s="675"/>
      <c r="R23" s="628"/>
    </row>
    <row r="24" spans="1:18" ht="16.5" customHeight="1">
      <c r="A24" s="648"/>
      <c r="B24" s="571"/>
      <c r="C24" s="106" t="s">
        <v>94</v>
      </c>
      <c r="D24" s="567" t="s">
        <v>180</v>
      </c>
      <c r="E24" s="567"/>
      <c r="F24" s="567"/>
      <c r="G24" s="567"/>
      <c r="H24" s="58" t="s">
        <v>127</v>
      </c>
      <c r="I24" s="83">
        <f>IF(N2="old tax regime",'GA-55'!T31+'Exemp.(HRA+Other) &amp; Other incom'!L18,0)</f>
        <v>0</v>
      </c>
      <c r="J24" s="106" t="s">
        <v>95</v>
      </c>
      <c r="K24" s="676" t="s">
        <v>136</v>
      </c>
      <c r="L24" s="677"/>
      <c r="M24" s="678"/>
      <c r="N24" s="58" t="s">
        <v>127</v>
      </c>
      <c r="O24" s="84">
        <f>IF(N2="old tax regime",'Exemp.(HRA+Other) &amp; Other incom'!L23,0)</f>
        <v>0</v>
      </c>
      <c r="P24" s="674"/>
      <c r="Q24" s="675"/>
      <c r="R24" s="628"/>
    </row>
    <row r="25" spans="1:18" ht="16.5" customHeight="1">
      <c r="A25" s="648"/>
      <c r="B25" s="571"/>
      <c r="C25" s="106" t="s">
        <v>96</v>
      </c>
      <c r="D25" s="567" t="s">
        <v>135</v>
      </c>
      <c r="E25" s="567"/>
      <c r="F25" s="567"/>
      <c r="G25" s="567"/>
      <c r="H25" s="58" t="s">
        <v>127</v>
      </c>
      <c r="I25" s="83">
        <f>IF(N2="old tax regime",'Exemp.(HRA+Other) &amp; Other incom'!L22,0)</f>
        <v>0</v>
      </c>
      <c r="J25" s="106" t="s">
        <v>97</v>
      </c>
      <c r="K25" s="676" t="s">
        <v>133</v>
      </c>
      <c r="L25" s="677"/>
      <c r="M25" s="678"/>
      <c r="N25" s="58" t="s">
        <v>127</v>
      </c>
      <c r="O25" s="84">
        <f>IF(N2="old tax regime",'Exemp.(HRA+Other) &amp; Other incom'!L20,0)</f>
        <v>0</v>
      </c>
      <c r="P25" s="674"/>
      <c r="Q25" s="675"/>
      <c r="R25" s="628"/>
    </row>
    <row r="26" spans="1:18" ht="16.5" customHeight="1">
      <c r="A26" s="648"/>
      <c r="B26" s="571"/>
      <c r="C26" s="106" t="s">
        <v>98</v>
      </c>
      <c r="D26" s="567" t="s">
        <v>137</v>
      </c>
      <c r="E26" s="567"/>
      <c r="F26" s="567"/>
      <c r="G26" s="567"/>
      <c r="H26" s="58" t="s">
        <v>127</v>
      </c>
      <c r="I26" s="83">
        <f>IF(N2="old tax regime",'Exemp.(HRA+Other) &amp; Other incom'!L24,0)</f>
        <v>0</v>
      </c>
      <c r="J26" s="106" t="s">
        <v>99</v>
      </c>
      <c r="K26" s="679" t="s">
        <v>150</v>
      </c>
      <c r="L26" s="679"/>
      <c r="M26" s="679"/>
      <c r="N26" s="58" t="s">
        <v>127</v>
      </c>
      <c r="O26" s="83">
        <f>IF(N2="old tax regime",'Exemp.(HRA+Other) &amp; Other incom'!Q24,0)</f>
        <v>0</v>
      </c>
      <c r="P26" s="674"/>
      <c r="Q26" s="675"/>
      <c r="R26" s="628"/>
    </row>
    <row r="27" spans="1:18" ht="16.5" customHeight="1">
      <c r="A27" s="648"/>
      <c r="B27" s="571"/>
      <c r="C27" s="106" t="s">
        <v>100</v>
      </c>
      <c r="D27" s="567" t="s">
        <v>181</v>
      </c>
      <c r="E27" s="567"/>
      <c r="F27" s="567"/>
      <c r="G27" s="567"/>
      <c r="H27" s="58" t="s">
        <v>127</v>
      </c>
      <c r="I27" s="83">
        <f>IF(N2="old tax regime",'Exemp.(HRA+Other) &amp; Other incom'!L25,0)</f>
        <v>0</v>
      </c>
      <c r="J27" s="106" t="s">
        <v>101</v>
      </c>
      <c r="K27" s="676" t="s">
        <v>187</v>
      </c>
      <c r="L27" s="677"/>
      <c r="M27" s="678"/>
      <c r="N27" s="58" t="s">
        <v>127</v>
      </c>
      <c r="O27" s="83">
        <f>IF(N2="old tax regime",'Exemp.(HRA+Other) &amp; Other incom'!Q25,0)</f>
        <v>0</v>
      </c>
      <c r="P27" s="674"/>
      <c r="Q27" s="675"/>
      <c r="R27" s="628"/>
    </row>
    <row r="28" spans="1:18" ht="16.5" customHeight="1">
      <c r="A28" s="648"/>
      <c r="B28" s="571"/>
      <c r="C28" s="106" t="s">
        <v>102</v>
      </c>
      <c r="D28" s="652" t="s">
        <v>122</v>
      </c>
      <c r="E28" s="652"/>
      <c r="F28" s="652"/>
      <c r="G28" s="652"/>
      <c r="H28" s="58" t="s">
        <v>127</v>
      </c>
      <c r="I28" s="83">
        <f>IF(N2="old tax regime",'GA-55'!P31,0)</f>
        <v>50006</v>
      </c>
      <c r="J28" s="106" t="s">
        <v>103</v>
      </c>
      <c r="K28" s="679" t="s">
        <v>186</v>
      </c>
      <c r="L28" s="679"/>
      <c r="M28" s="679"/>
      <c r="N28" s="58" t="s">
        <v>127</v>
      </c>
      <c r="O28" s="83">
        <f>IF(N2="old tax regime",'Exemp.(HRA+Other) &amp; Other incom'!L19,0)</f>
        <v>0</v>
      </c>
      <c r="P28" s="674"/>
      <c r="Q28" s="675"/>
      <c r="R28" s="628"/>
    </row>
    <row r="29" spans="1:18" ht="16.5" customHeight="1">
      <c r="A29" s="648"/>
      <c r="B29" s="571"/>
      <c r="C29" s="106" t="s">
        <v>104</v>
      </c>
      <c r="D29" s="567" t="s">
        <v>182</v>
      </c>
      <c r="E29" s="567"/>
      <c r="F29" s="567"/>
      <c r="G29" s="567"/>
      <c r="H29" s="58" t="s">
        <v>127</v>
      </c>
      <c r="I29" s="84">
        <f>IF(N2="old tax regime",'GA-55'!U31,0)</f>
        <v>1400</v>
      </c>
      <c r="J29" s="106" t="s">
        <v>105</v>
      </c>
      <c r="K29" s="676" t="s">
        <v>140</v>
      </c>
      <c r="L29" s="677"/>
      <c r="M29" s="678"/>
      <c r="N29" s="58" t="s">
        <v>127</v>
      </c>
      <c r="O29" s="83">
        <f>IF(N2="old tax regime",'Exemp.(HRA+Other) &amp; Other incom'!Q14,0)</f>
        <v>0</v>
      </c>
      <c r="P29" s="674"/>
      <c r="Q29" s="675"/>
      <c r="R29" s="628"/>
    </row>
    <row r="30" spans="1:18" ht="16.5" customHeight="1">
      <c r="A30" s="648"/>
      <c r="B30" s="571"/>
      <c r="C30" s="106" t="s">
        <v>106</v>
      </c>
      <c r="D30" s="567" t="s">
        <v>134</v>
      </c>
      <c r="E30" s="567"/>
      <c r="F30" s="567"/>
      <c r="G30" s="567"/>
      <c r="H30" s="58" t="s">
        <v>127</v>
      </c>
      <c r="I30" s="84">
        <f>IF(N2="old tax regime",'Exemp.(HRA+Other) &amp; Other incom'!L21,0)</f>
        <v>0</v>
      </c>
      <c r="J30" s="106" t="s">
        <v>107</v>
      </c>
      <c r="K30" s="679" t="s">
        <v>185</v>
      </c>
      <c r="L30" s="679"/>
      <c r="M30" s="679"/>
      <c r="N30" s="58" t="s">
        <v>127</v>
      </c>
      <c r="O30" s="83">
        <f>IF(N2="old tax regime",'Exemp.(HRA+Other) &amp; Other incom'!L26,0)</f>
        <v>0</v>
      </c>
      <c r="P30" s="674"/>
      <c r="Q30" s="675"/>
      <c r="R30" s="628"/>
    </row>
    <row r="31" spans="1:18" ht="16.5" customHeight="1">
      <c r="A31" s="648"/>
      <c r="B31" s="571"/>
      <c r="C31" s="106" t="s">
        <v>108</v>
      </c>
      <c r="D31" s="680" t="s">
        <v>183</v>
      </c>
      <c r="E31" s="680"/>
      <c r="F31" s="680"/>
      <c r="G31" s="680"/>
      <c r="H31" s="58" t="s">
        <v>127</v>
      </c>
      <c r="I31" s="83">
        <f>IF(N2="old tax regime",'Exemp.(HRA+Other) &amp; Other incom'!L16,0)</f>
        <v>0</v>
      </c>
      <c r="J31" s="106" t="s">
        <v>109</v>
      </c>
      <c r="K31" s="679"/>
      <c r="L31" s="679"/>
      <c r="M31" s="679"/>
      <c r="N31" s="58" t="s">
        <v>127</v>
      </c>
      <c r="O31" s="83"/>
      <c r="P31" s="674"/>
      <c r="Q31" s="675"/>
      <c r="R31" s="628"/>
    </row>
    <row r="32" spans="1:18" ht="16.5" customHeight="1">
      <c r="A32" s="648"/>
      <c r="B32" s="571"/>
      <c r="C32" s="682" t="s">
        <v>188</v>
      </c>
      <c r="D32" s="682"/>
      <c r="E32" s="682"/>
      <c r="F32" s="682"/>
      <c r="G32" s="682"/>
      <c r="H32" s="682"/>
      <c r="I32" s="682"/>
      <c r="J32" s="682"/>
      <c r="K32" s="682"/>
      <c r="L32" s="682"/>
      <c r="M32" s="682"/>
      <c r="N32" s="58" t="s">
        <v>127</v>
      </c>
      <c r="O32" s="85">
        <f>SUM(O23:O31,I23:I31)</f>
        <v>111406</v>
      </c>
      <c r="P32" s="674"/>
      <c r="Q32" s="675"/>
      <c r="R32" s="628"/>
    </row>
    <row r="33" spans="1:27" ht="15.75" customHeight="1">
      <c r="A33" s="648"/>
      <c r="B33" s="571"/>
      <c r="C33" s="682" t="s">
        <v>189</v>
      </c>
      <c r="D33" s="682"/>
      <c r="E33" s="682"/>
      <c r="F33" s="682"/>
      <c r="G33" s="682"/>
      <c r="H33" s="682"/>
      <c r="I33" s="682"/>
      <c r="J33" s="682"/>
      <c r="K33" s="682"/>
      <c r="L33" s="682"/>
      <c r="M33" s="682"/>
      <c r="N33" s="682"/>
      <c r="O33" s="682"/>
      <c r="P33" s="68" t="s">
        <v>127</v>
      </c>
      <c r="Q33" s="81">
        <f>IF(N2="new tax regime",0,IF(O32&gt;=150000,150000,O32))</f>
        <v>111406</v>
      </c>
      <c r="R33" s="628"/>
    </row>
    <row r="34" spans="1:27" ht="15.75" customHeight="1">
      <c r="A34" s="648"/>
      <c r="B34" s="571"/>
      <c r="C34" s="672" t="s">
        <v>190</v>
      </c>
      <c r="D34" s="672"/>
      <c r="E34" s="672"/>
      <c r="F34" s="672"/>
      <c r="G34" s="672"/>
      <c r="H34" s="672"/>
      <c r="I34" s="672"/>
      <c r="J34" s="672"/>
      <c r="K34" s="672"/>
      <c r="L34" s="672"/>
      <c r="M34" s="672"/>
      <c r="N34" s="672"/>
      <c r="O34" s="672"/>
      <c r="P34" s="56" t="s">
        <v>127</v>
      </c>
      <c r="Q34" s="81">
        <f>IF(N2="old tax regime",'Exemp.(HRA+Other) &amp; Other incom'!Q16,0)</f>
        <v>0</v>
      </c>
      <c r="R34" s="628"/>
    </row>
    <row r="35" spans="1:27" ht="15.75" customHeight="1">
      <c r="A35" s="648"/>
      <c r="B35" s="571"/>
      <c r="C35" s="626" t="s">
        <v>192</v>
      </c>
      <c r="D35" s="626"/>
      <c r="E35" s="626"/>
      <c r="F35" s="626"/>
      <c r="G35" s="626"/>
      <c r="H35" s="626"/>
      <c r="I35" s="626"/>
      <c r="J35" s="626"/>
      <c r="K35" s="626"/>
      <c r="L35" s="626"/>
      <c r="M35" s="626"/>
      <c r="N35" s="626"/>
      <c r="O35" s="626"/>
      <c r="P35" s="57" t="s">
        <v>127</v>
      </c>
      <c r="Q35" s="82">
        <f>Q33+Q34</f>
        <v>111406</v>
      </c>
      <c r="R35" s="628"/>
    </row>
    <row r="36" spans="1:27" ht="15.75" customHeight="1">
      <c r="A36" s="648"/>
      <c r="B36" s="571">
        <v>12</v>
      </c>
      <c r="C36" s="589" t="s">
        <v>191</v>
      </c>
      <c r="D36" s="589"/>
      <c r="E36" s="589"/>
      <c r="F36" s="589"/>
      <c r="G36" s="589"/>
      <c r="H36" s="589"/>
      <c r="I36" s="589"/>
      <c r="J36" s="589"/>
      <c r="K36" s="589"/>
      <c r="L36" s="589"/>
      <c r="M36" s="589"/>
      <c r="N36" s="589"/>
      <c r="O36" s="589"/>
      <c r="P36" s="589"/>
      <c r="Q36" s="590"/>
      <c r="R36" s="628"/>
    </row>
    <row r="37" spans="1:27" ht="15.75" customHeight="1">
      <c r="A37" s="648"/>
      <c r="B37" s="571"/>
      <c r="C37" s="683" t="s">
        <v>219</v>
      </c>
      <c r="D37" s="683"/>
      <c r="E37" s="683"/>
      <c r="F37" s="683"/>
      <c r="G37" s="683"/>
      <c r="H37" s="683"/>
      <c r="I37" s="683"/>
      <c r="J37" s="683"/>
      <c r="K37" s="683"/>
      <c r="L37" s="683"/>
      <c r="M37" s="683"/>
      <c r="N37" s="683"/>
      <c r="O37" s="683"/>
      <c r="P37" s="56" t="s">
        <v>127</v>
      </c>
      <c r="Q37" s="76">
        <f>IF(N2="old tax regime",'Exemp.(HRA+Other) &amp; Other incom'!Q17,0)</f>
        <v>0</v>
      </c>
      <c r="R37" s="628"/>
    </row>
    <row r="38" spans="1:27" ht="15.75" customHeight="1">
      <c r="A38" s="648"/>
      <c r="B38" s="571"/>
      <c r="C38" s="567" t="s">
        <v>196</v>
      </c>
      <c r="D38" s="567"/>
      <c r="E38" s="567"/>
      <c r="F38" s="567"/>
      <c r="G38" s="567"/>
      <c r="H38" s="567"/>
      <c r="I38" s="567"/>
      <c r="J38" s="567"/>
      <c r="K38" s="567"/>
      <c r="L38" s="567"/>
      <c r="M38" s="567"/>
      <c r="N38" s="567"/>
      <c r="O38" s="567"/>
      <c r="P38" s="56" t="s">
        <v>127</v>
      </c>
      <c r="Q38" s="76">
        <f>IF(N2="old tax regime",'Exemp.(HRA+Other) &amp; Other incom'!Q18,0)</f>
        <v>0</v>
      </c>
      <c r="R38" s="628"/>
    </row>
    <row r="39" spans="1:27" ht="15.75" customHeight="1">
      <c r="A39" s="648"/>
      <c r="B39" s="571"/>
      <c r="C39" s="567" t="s">
        <v>193</v>
      </c>
      <c r="D39" s="567"/>
      <c r="E39" s="567"/>
      <c r="F39" s="567"/>
      <c r="G39" s="567"/>
      <c r="H39" s="567"/>
      <c r="I39" s="567"/>
      <c r="J39" s="567"/>
      <c r="K39" s="567"/>
      <c r="L39" s="567"/>
      <c r="M39" s="567"/>
      <c r="N39" s="567"/>
      <c r="O39" s="567"/>
      <c r="P39" s="56" t="s">
        <v>127</v>
      </c>
      <c r="Q39" s="76">
        <f>IF(N2="old tax regime",'Exemp.(HRA+Other) &amp; Other incom'!Q19,0)</f>
        <v>0</v>
      </c>
      <c r="R39" s="628"/>
    </row>
    <row r="40" spans="1:27" ht="15.75" customHeight="1">
      <c r="A40" s="648"/>
      <c r="B40" s="571"/>
      <c r="C40" s="567" t="s">
        <v>194</v>
      </c>
      <c r="D40" s="567"/>
      <c r="E40" s="567"/>
      <c r="F40" s="567"/>
      <c r="G40" s="567"/>
      <c r="H40" s="567"/>
      <c r="I40" s="567"/>
      <c r="J40" s="567"/>
      <c r="K40" s="567"/>
      <c r="L40" s="567"/>
      <c r="M40" s="567"/>
      <c r="N40" s="567"/>
      <c r="O40" s="567"/>
      <c r="P40" s="56" t="s">
        <v>127</v>
      </c>
      <c r="Q40" s="76">
        <f>IF(N2="old tax regime",'Exemp.(HRA+Other) &amp; Other incom'!Q20,0)</f>
        <v>0</v>
      </c>
      <c r="R40" s="628"/>
    </row>
    <row r="41" spans="1:27" ht="15.75" customHeight="1">
      <c r="A41" s="648"/>
      <c r="B41" s="571"/>
      <c r="C41" s="567" t="s">
        <v>195</v>
      </c>
      <c r="D41" s="567"/>
      <c r="E41" s="567"/>
      <c r="F41" s="567"/>
      <c r="G41" s="567"/>
      <c r="H41" s="567"/>
      <c r="I41" s="567"/>
      <c r="J41" s="567"/>
      <c r="K41" s="567"/>
      <c r="L41" s="567"/>
      <c r="M41" s="567"/>
      <c r="N41" s="567"/>
      <c r="O41" s="567"/>
      <c r="P41" s="56" t="s">
        <v>127</v>
      </c>
      <c r="Q41" s="76">
        <f>IF(N2="old tax regime",'Exemp.(HRA+Other) &amp; Other incom'!Q21,0)</f>
        <v>0</v>
      </c>
      <c r="R41" s="628"/>
      <c r="T41" s="96"/>
      <c r="U41" s="96"/>
      <c r="V41" s="96"/>
      <c r="W41" s="96" t="s">
        <v>227</v>
      </c>
      <c r="X41" s="96" t="s">
        <v>228</v>
      </c>
      <c r="Y41" s="97" t="s">
        <v>229</v>
      </c>
      <c r="Z41" s="196" t="s">
        <v>230</v>
      </c>
      <c r="AA41" s="196"/>
    </row>
    <row r="42" spans="1:27" ht="15.75" customHeight="1">
      <c r="A42" s="648"/>
      <c r="B42" s="571"/>
      <c r="C42" s="683" t="s">
        <v>197</v>
      </c>
      <c r="D42" s="683"/>
      <c r="E42" s="683"/>
      <c r="F42" s="683"/>
      <c r="G42" s="683"/>
      <c r="H42" s="683"/>
      <c r="I42" s="683"/>
      <c r="J42" s="683"/>
      <c r="K42" s="683"/>
      <c r="L42" s="683"/>
      <c r="M42" s="683"/>
      <c r="N42" s="683"/>
      <c r="O42" s="683"/>
      <c r="P42" s="56" t="s">
        <v>127</v>
      </c>
      <c r="Q42" s="76">
        <f>IF(N2="old tax regime",'Exemp.(HRA+Other) &amp; Other incom'!Q22,0)</f>
        <v>0</v>
      </c>
      <c r="R42" s="628"/>
      <c r="T42" s="96"/>
      <c r="U42" s="96"/>
      <c r="V42" s="96"/>
      <c r="W42" s="96">
        <f>IF($Q$48&gt;1000000,1,IF($Q$48&gt;500000,2,IF($Q$48&gt;300000,3,IF($Q$48&gt;250000,4,0))))</f>
        <v>1</v>
      </c>
      <c r="X42" s="96">
        <f>IF($Q$48&gt;1000000,1,IF($Q$48&gt;500000,2,IF($Q$48&gt;300000,3,0)))</f>
        <v>1</v>
      </c>
      <c r="Y42" s="96">
        <f>IF($Q$48&gt;1000000,1,IF($Q$48&gt;500000,2,0))</f>
        <v>1</v>
      </c>
      <c r="Z42" s="196">
        <f>IF($Q$48&gt;1000000,1,0)</f>
        <v>1</v>
      </c>
      <c r="AA42" s="196"/>
    </row>
    <row r="43" spans="1:27" ht="15.75" customHeight="1">
      <c r="A43" s="648"/>
      <c r="B43" s="571"/>
      <c r="C43" s="680" t="s">
        <v>198</v>
      </c>
      <c r="D43" s="680"/>
      <c r="E43" s="680"/>
      <c r="F43" s="680"/>
      <c r="G43" s="680"/>
      <c r="H43" s="680"/>
      <c r="I43" s="680"/>
      <c r="J43" s="680"/>
      <c r="K43" s="680"/>
      <c r="L43" s="680"/>
      <c r="M43" s="680"/>
      <c r="N43" s="680"/>
      <c r="O43" s="680"/>
      <c r="P43" s="56" t="s">
        <v>127</v>
      </c>
      <c r="Q43" s="76">
        <f>IF(N2="old tax regime",'Exemp.(HRA+Other) &amp; Other incom'!Q13,0)</f>
        <v>0</v>
      </c>
      <c r="R43" s="628"/>
      <c r="T43" s="96"/>
      <c r="U43" s="96"/>
      <c r="V43" s="96" t="s">
        <v>224</v>
      </c>
      <c r="W43" s="96">
        <f>IF(W42&gt;=1,2500,0)</f>
        <v>2500</v>
      </c>
      <c r="X43" s="96">
        <f>IF(X42=3,ROUND((Q48-300000)*0.05,0),IF(X42=0,0,10000))</f>
        <v>10000</v>
      </c>
      <c r="Y43" s="96">
        <f>IF(Y42=2,($Q$48-500000)*0.2,IF(Y42=1,100000,0))</f>
        <v>100000</v>
      </c>
      <c r="Z43" s="196">
        <f>IF(Z42&gt;0,($Q$48-1000000)*0.3,0)</f>
        <v>65958</v>
      </c>
      <c r="AA43" s="196"/>
    </row>
    <row r="44" spans="1:27" ht="15.75" customHeight="1">
      <c r="A44" s="648"/>
      <c r="B44" s="571"/>
      <c r="C44" s="567" t="s">
        <v>199</v>
      </c>
      <c r="D44" s="567"/>
      <c r="E44" s="567"/>
      <c r="F44" s="567"/>
      <c r="G44" s="567"/>
      <c r="H44" s="567"/>
      <c r="I44" s="567"/>
      <c r="J44" s="567"/>
      <c r="K44" s="567"/>
      <c r="L44" s="567"/>
      <c r="M44" s="567"/>
      <c r="N44" s="567"/>
      <c r="O44" s="567"/>
      <c r="P44" s="56" t="s">
        <v>127</v>
      </c>
      <c r="Q44" s="76">
        <f>IF(N2="old tax regime",'Exemp.(HRA+Other) &amp; Other incom'!Q23,0)</f>
        <v>0</v>
      </c>
      <c r="R44" s="628"/>
      <c r="T44" s="96"/>
      <c r="U44" s="96"/>
      <c r="V44" s="96" t="s">
        <v>123</v>
      </c>
      <c r="W44" s="97">
        <v>0</v>
      </c>
      <c r="X44" s="96">
        <f>IF(X42=3,ROUND((Q48-300000)*0.05,0),IF(X42=0,0,10000))</f>
        <v>10000</v>
      </c>
      <c r="Y44" s="96">
        <f>IF(Y42=2,($Q$48-500000)*0.2,IF(Y42=1,100000,0))</f>
        <v>100000</v>
      </c>
      <c r="Z44" s="196">
        <f>IF(Z42&gt;0,($Q$48-1000000)*0.3,0)</f>
        <v>65958</v>
      </c>
      <c r="AA44" s="196"/>
    </row>
    <row r="45" spans="1:27" ht="15.75" customHeight="1" thickBot="1">
      <c r="A45" s="648"/>
      <c r="B45" s="588"/>
      <c r="C45" s="591" t="s">
        <v>200</v>
      </c>
      <c r="D45" s="591"/>
      <c r="E45" s="591"/>
      <c r="F45" s="591"/>
      <c r="G45" s="591"/>
      <c r="H45" s="591"/>
      <c r="I45" s="591"/>
      <c r="J45" s="591"/>
      <c r="K45" s="591"/>
      <c r="L45" s="591"/>
      <c r="M45" s="591"/>
      <c r="N45" s="591"/>
      <c r="O45" s="591"/>
      <c r="P45" s="59" t="s">
        <v>127</v>
      </c>
      <c r="Q45" s="77">
        <f>SUM(Q37:Q44)</f>
        <v>0</v>
      </c>
      <c r="R45" s="628"/>
      <c r="T45" s="96"/>
      <c r="U45" s="96"/>
      <c r="V45" s="96" t="s">
        <v>223</v>
      </c>
      <c r="W45" s="97">
        <v>0</v>
      </c>
      <c r="X45" s="97">
        <v>0</v>
      </c>
      <c r="Y45" s="96">
        <f>IF(Y42=2,($Q$48-500000)*0.2,IF(Y42=1,100000,0))</f>
        <v>100000</v>
      </c>
      <c r="Z45" s="196">
        <f>IF(Z42&gt;0,($Q$48-1000000)*0.3,0)</f>
        <v>65958</v>
      </c>
      <c r="AA45" s="196"/>
    </row>
    <row r="46" spans="1:27" ht="15.75" customHeight="1" thickBot="1">
      <c r="A46" s="648"/>
      <c r="B46" s="67">
        <v>13</v>
      </c>
      <c r="C46" s="578" t="s">
        <v>201</v>
      </c>
      <c r="D46" s="578"/>
      <c r="E46" s="578"/>
      <c r="F46" s="578"/>
      <c r="G46" s="578"/>
      <c r="H46" s="578"/>
      <c r="I46" s="578"/>
      <c r="J46" s="578"/>
      <c r="K46" s="578"/>
      <c r="L46" s="578"/>
      <c r="M46" s="578"/>
      <c r="N46" s="578"/>
      <c r="O46" s="578"/>
      <c r="P46" s="65" t="s">
        <v>127</v>
      </c>
      <c r="Q46" s="78">
        <f>Q35+Q45</f>
        <v>111406</v>
      </c>
      <c r="R46" s="628"/>
      <c r="T46" s="96"/>
      <c r="U46" s="96"/>
      <c r="V46" s="96"/>
      <c r="W46" s="96"/>
      <c r="X46" s="96"/>
      <c r="Y46" s="96"/>
      <c r="Z46" s="196"/>
      <c r="AA46" s="196"/>
    </row>
    <row r="47" spans="1:27" ht="22.5">
      <c r="A47" s="648"/>
      <c r="B47" s="100">
        <v>14</v>
      </c>
      <c r="C47" s="579" t="s">
        <v>202</v>
      </c>
      <c r="D47" s="579"/>
      <c r="E47" s="579"/>
      <c r="F47" s="579"/>
      <c r="G47" s="579"/>
      <c r="H47" s="579"/>
      <c r="I47" s="579"/>
      <c r="J47" s="579"/>
      <c r="K47" s="579"/>
      <c r="L47" s="579"/>
      <c r="M47" s="579"/>
      <c r="N47" s="579"/>
      <c r="O47" s="579"/>
      <c r="P47" s="61" t="s">
        <v>127</v>
      </c>
      <c r="Q47" s="79">
        <f>Q20-Q46</f>
        <v>1219860</v>
      </c>
      <c r="R47" s="628"/>
      <c r="T47" s="96"/>
      <c r="U47" s="96"/>
      <c r="V47" s="96"/>
      <c r="W47" s="96"/>
      <c r="X47" s="96"/>
      <c r="Y47" s="96"/>
      <c r="Z47" s="196"/>
      <c r="AA47" s="196"/>
    </row>
    <row r="48" spans="1:27" ht="15.75" customHeight="1" thickBot="1">
      <c r="A48" s="648"/>
      <c r="B48" s="102">
        <v>15</v>
      </c>
      <c r="C48" s="569" t="s">
        <v>203</v>
      </c>
      <c r="D48" s="569"/>
      <c r="E48" s="569"/>
      <c r="F48" s="569"/>
      <c r="G48" s="569"/>
      <c r="H48" s="569"/>
      <c r="I48" s="569"/>
      <c r="J48" s="569"/>
      <c r="K48" s="569"/>
      <c r="L48" s="569"/>
      <c r="M48" s="569"/>
      <c r="N48" s="569"/>
      <c r="O48" s="569"/>
      <c r="P48" s="62" t="s">
        <v>127</v>
      </c>
      <c r="Q48" s="80">
        <f>ROUND(Q47,-1)</f>
        <v>1219860</v>
      </c>
      <c r="R48" s="628"/>
      <c r="T48" s="96" t="str">
        <f>'Old Regime Calc. Report'!AF48</f>
        <v>A</v>
      </c>
      <c r="U48" s="96">
        <f>'Basic Data'!F10</f>
        <v>0</v>
      </c>
      <c r="V48" s="96" t="str">
        <f>CONCATENATE(T48,U48)</f>
        <v>A0</v>
      </c>
      <c r="W48" s="97"/>
      <c r="X48" s="97"/>
      <c r="Y48" s="97"/>
      <c r="Z48" s="196"/>
      <c r="AA48" s="196"/>
    </row>
    <row r="49" spans="1:27" ht="14.25" customHeight="1">
      <c r="A49" s="648"/>
      <c r="B49" s="570">
        <v>16</v>
      </c>
      <c r="C49" s="580" t="s">
        <v>204</v>
      </c>
      <c r="D49" s="580"/>
      <c r="E49" s="580"/>
      <c r="F49" s="580"/>
      <c r="G49" s="580"/>
      <c r="H49" s="580"/>
      <c r="I49" s="580"/>
      <c r="J49" s="580"/>
      <c r="K49" s="580"/>
      <c r="L49" s="580"/>
      <c r="M49" s="580"/>
      <c r="N49" s="580"/>
      <c r="O49" s="580"/>
      <c r="P49" s="580"/>
      <c r="Q49" s="581"/>
      <c r="R49" s="628"/>
      <c r="T49" s="96"/>
      <c r="U49" s="96"/>
      <c r="V49" s="96"/>
      <c r="W49" s="96"/>
      <c r="X49" s="96"/>
      <c r="Y49" s="96"/>
      <c r="Z49" s="196"/>
      <c r="AA49" s="196"/>
    </row>
    <row r="50" spans="1:27" ht="14.25" customHeight="1">
      <c r="A50" s="648"/>
      <c r="B50" s="571"/>
      <c r="C50" s="582" t="s">
        <v>250</v>
      </c>
      <c r="D50" s="583"/>
      <c r="E50" s="583"/>
      <c r="F50" s="583"/>
      <c r="G50" s="583"/>
      <c r="H50" s="584"/>
      <c r="I50" s="582" t="s">
        <v>205</v>
      </c>
      <c r="J50" s="583"/>
      <c r="K50" s="585" t="s">
        <v>206</v>
      </c>
      <c r="L50" s="586"/>
      <c r="M50" s="582" t="s">
        <v>249</v>
      </c>
      <c r="N50" s="583"/>
      <c r="O50" s="584"/>
      <c r="P50" s="105"/>
      <c r="Q50" s="71"/>
      <c r="R50" s="628"/>
      <c r="T50" s="96"/>
      <c r="U50" s="96"/>
      <c r="V50" s="96"/>
      <c r="W50" s="96"/>
      <c r="X50" s="96"/>
      <c r="Y50" s="96"/>
      <c r="Z50" s="196"/>
      <c r="AA50" s="196"/>
    </row>
    <row r="51" spans="1:27" ht="12" customHeight="1">
      <c r="A51" s="648"/>
      <c r="B51" s="571"/>
      <c r="C51" s="572" t="str">
        <f t="shared" ref="C51" si="0">IF($N$2="old tax regime","2,50,000 तक","3,00,000 तक")</f>
        <v>2,50,000 तक</v>
      </c>
      <c r="D51" s="573"/>
      <c r="E51" s="573"/>
      <c r="F51" s="573"/>
      <c r="G51" s="573"/>
      <c r="H51" s="574"/>
      <c r="I51" s="572" t="str">
        <f t="shared" ref="I51" si="1">IF($N$2="old tax regime","Nil","Nil")</f>
        <v>Nil</v>
      </c>
      <c r="J51" s="574"/>
      <c r="K51" s="572" t="str">
        <f t="shared" ref="K51" si="2">IF($N$2="old tax regime","Nil","Nil")</f>
        <v>Nil</v>
      </c>
      <c r="L51" s="574"/>
      <c r="M51" s="572" t="str">
        <f>IF($N$2="old tax regime","Nil","Nil")</f>
        <v>Nil</v>
      </c>
      <c r="N51" s="573"/>
      <c r="O51" s="574"/>
      <c r="P51" s="56" t="s">
        <v>127</v>
      </c>
      <c r="Q51" s="73">
        <v>0</v>
      </c>
      <c r="R51" s="628"/>
      <c r="T51" s="96"/>
      <c r="U51" s="96"/>
      <c r="V51" s="96"/>
      <c r="W51" s="96"/>
      <c r="X51" s="96"/>
      <c r="Y51" s="96"/>
      <c r="Z51" s="196"/>
      <c r="AA51" s="196"/>
    </row>
    <row r="52" spans="1:27" ht="12" customHeight="1">
      <c r="A52" s="648"/>
      <c r="B52" s="571"/>
      <c r="C52" s="572" t="str">
        <f>IF($N$2="old tax regime","2,50,001 से 3,00,000 तक","3,00,001 से 6,00,000 तक")</f>
        <v>2,50,001 से 3,00,000 तक</v>
      </c>
      <c r="D52" s="573"/>
      <c r="E52" s="573"/>
      <c r="F52" s="573"/>
      <c r="G52" s="573"/>
      <c r="H52" s="574"/>
      <c r="I52" s="575" t="str">
        <f t="shared" ref="I52" si="3">IF($N$2="old tax regime","5%","5% (With Tax Rebate Under Sec.87A)")</f>
        <v>5%</v>
      </c>
      <c r="J52" s="576"/>
      <c r="K52" s="575" t="str">
        <f>IF($N$2="old tax regime","Nil","5% (With Tax Rebate Under Sec.87A)")</f>
        <v>Nil</v>
      </c>
      <c r="L52" s="576"/>
      <c r="M52" s="575" t="str">
        <f>IF($N$2="old tax regime","Nil","5% (With Tax Rebate Under Sec.87A)")</f>
        <v>Nil</v>
      </c>
      <c r="N52" s="577"/>
      <c r="O52" s="576"/>
      <c r="P52" s="56" t="s">
        <v>127</v>
      </c>
      <c r="Q52" s="74">
        <f>IF(T48="a",W43,IF(T48="B",W44,W45))</f>
        <v>2500</v>
      </c>
      <c r="R52" s="628"/>
      <c r="T52" s="96"/>
      <c r="U52" s="96"/>
      <c r="V52" s="96"/>
      <c r="W52" s="96"/>
      <c r="X52" s="96"/>
      <c r="Y52" s="96"/>
      <c r="Z52" s="196"/>
      <c r="AA52" s="196"/>
    </row>
    <row r="53" spans="1:27" ht="12" customHeight="1">
      <c r="A53" s="648"/>
      <c r="B53" s="571"/>
      <c r="C53" s="572" t="str">
        <f>IF($N$2="old tax regime","3,00,001 से 5,00,000 तक","6,00,001 से 9,00,000 तक")</f>
        <v>3,00,001 से 5,00,000 तक</v>
      </c>
      <c r="D53" s="573"/>
      <c r="E53" s="573"/>
      <c r="F53" s="573"/>
      <c r="G53" s="573"/>
      <c r="H53" s="574"/>
      <c r="I53" s="575" t="str">
        <f>IF($N$2="old tax regime","5%","10% (With Tax Rebate Under Sec.87A Up to Rs. 7 Lakh.)")</f>
        <v>5%</v>
      </c>
      <c r="J53" s="576"/>
      <c r="K53" s="575" t="str">
        <f>IF($N$2="old tax regime","5%","10% (With Tax Rebate Under Sec.87A Up to Rs. 7 Lakh.)")</f>
        <v>5%</v>
      </c>
      <c r="L53" s="576"/>
      <c r="M53" s="575" t="str">
        <f>IF($N$2="old tax regime","Nil","10% (With Tax Rebate Under Sec.87A Up to Rs. 7 Lakh.)")</f>
        <v>Nil</v>
      </c>
      <c r="N53" s="577"/>
      <c r="O53" s="576"/>
      <c r="P53" s="56" t="s">
        <v>127</v>
      </c>
      <c r="Q53" s="74">
        <f>IF(T48="a",X43,IF(T48="B",X44,X45))</f>
        <v>10000</v>
      </c>
      <c r="R53" s="628"/>
      <c r="T53" s="96"/>
      <c r="U53" s="96"/>
    </row>
    <row r="54" spans="1:27" ht="12" customHeight="1">
      <c r="A54" s="648"/>
      <c r="B54" s="571"/>
      <c r="C54" s="572" t="str">
        <f>IF($N$2="old tax regime","5,00,001 से 10,00,000 तक","9,00,001 से 12,00,000 तक")</f>
        <v>5,00,001 से 10,00,000 तक</v>
      </c>
      <c r="D54" s="573"/>
      <c r="E54" s="573"/>
      <c r="F54" s="573"/>
      <c r="G54" s="573"/>
      <c r="H54" s="574"/>
      <c r="I54" s="572" t="str">
        <f t="shared" ref="I54" si="4">IF($N$2="old tax regime","20%","15%")</f>
        <v>20%</v>
      </c>
      <c r="J54" s="574"/>
      <c r="K54" s="572" t="str">
        <f>IF($N$2="old tax regime","20%","15%")</f>
        <v>20%</v>
      </c>
      <c r="L54" s="574"/>
      <c r="M54" s="572" t="str">
        <f>IF($N$2="old tax regime","20%","15%")</f>
        <v>20%</v>
      </c>
      <c r="N54" s="573"/>
      <c r="O54" s="574"/>
      <c r="P54" s="56" t="s">
        <v>127</v>
      </c>
      <c r="Q54" s="74">
        <f>IF(T48="a",Y43,IF(T48="B",Y44,Y45))</f>
        <v>100000</v>
      </c>
      <c r="R54" s="628"/>
      <c r="T54" s="96"/>
      <c r="U54" s="96"/>
    </row>
    <row r="55" spans="1:27" ht="12" customHeight="1">
      <c r="A55" s="648"/>
      <c r="B55" s="571"/>
      <c r="C55" s="572" t="str">
        <f>IF($N$2="old tax regime","10,00,001 अथवा इससे ऊपर","12,00,001 से 15,00,000 तक")</f>
        <v>10,00,001 अथवा इससे ऊपर</v>
      </c>
      <c r="D55" s="573"/>
      <c r="E55" s="573"/>
      <c r="F55" s="573"/>
      <c r="G55" s="573"/>
      <c r="H55" s="574"/>
      <c r="I55" s="572" t="str">
        <f>IF($N$2="old tax regime","30%","20%")</f>
        <v>30%</v>
      </c>
      <c r="J55" s="574"/>
      <c r="K55" s="572" t="str">
        <f>IF($N$2="old tax regime","30%","20%")</f>
        <v>30%</v>
      </c>
      <c r="L55" s="574"/>
      <c r="M55" s="572" t="str">
        <f>IF($N$2="old tax regime","30%","20%")</f>
        <v>30%</v>
      </c>
      <c r="N55" s="573"/>
      <c r="O55" s="574"/>
      <c r="P55" s="56" t="s">
        <v>127</v>
      </c>
      <c r="Q55" s="73">
        <f>IF(T48="a",Z43,IF(T48="B",Z44,Z45))</f>
        <v>65958</v>
      </c>
      <c r="R55" s="628"/>
      <c r="T55" s="96"/>
      <c r="U55" s="96"/>
    </row>
    <row r="56" spans="1:27" ht="12" customHeight="1">
      <c r="A56" s="648"/>
      <c r="B56" s="571"/>
      <c r="C56" s="572" t="str">
        <f t="shared" ref="C56" si="5">IF($N$2="old tax regime","----","15,00,001 अथवा इससे ऊपर")</f>
        <v>----</v>
      </c>
      <c r="D56" s="573"/>
      <c r="E56" s="573"/>
      <c r="F56" s="573"/>
      <c r="G56" s="573"/>
      <c r="H56" s="574"/>
      <c r="I56" s="572" t="str">
        <f t="shared" ref="I56" si="6">IF($N$2="old tax regime","----","30%")</f>
        <v>----</v>
      </c>
      <c r="J56" s="574"/>
      <c r="K56" s="572" t="str">
        <f>IF($N$2="old tax regime","----","30%")</f>
        <v>----</v>
      </c>
      <c r="L56" s="574"/>
      <c r="M56" s="572" t="str">
        <f>IF($N$2="old tax regime","----","30%")</f>
        <v>----</v>
      </c>
      <c r="N56" s="573"/>
      <c r="O56" s="574"/>
      <c r="P56" s="56" t="s">
        <v>127</v>
      </c>
      <c r="Q56" s="73">
        <v>0</v>
      </c>
      <c r="R56" s="628"/>
      <c r="T56" s="96"/>
      <c r="U56" s="96"/>
    </row>
    <row r="57" spans="1:27" ht="14.25" customHeight="1">
      <c r="A57" s="648"/>
      <c r="B57" s="571"/>
      <c r="C57" s="521" t="s">
        <v>207</v>
      </c>
      <c r="D57" s="521"/>
      <c r="E57" s="521"/>
      <c r="F57" s="521"/>
      <c r="G57" s="521"/>
      <c r="H57" s="521"/>
      <c r="I57" s="521"/>
      <c r="J57" s="521"/>
      <c r="K57" s="521"/>
      <c r="L57" s="521"/>
      <c r="M57" s="521"/>
      <c r="N57" s="521"/>
      <c r="O57" s="521"/>
      <c r="P57" s="56" t="s">
        <v>127</v>
      </c>
      <c r="Q57" s="75">
        <f>SUM(Q51:Q56)</f>
        <v>178458</v>
      </c>
      <c r="R57" s="628"/>
      <c r="W57" s="110"/>
      <c r="X57" s="110"/>
    </row>
    <row r="58" spans="1:27" ht="14.25" customHeight="1">
      <c r="A58" s="648"/>
      <c r="B58" s="571"/>
      <c r="C58" s="662" t="s">
        <v>208</v>
      </c>
      <c r="D58" s="662"/>
      <c r="E58" s="662"/>
      <c r="F58" s="662"/>
      <c r="G58" s="662"/>
      <c r="H58" s="662"/>
      <c r="I58" s="662"/>
      <c r="J58" s="662"/>
      <c r="K58" s="662"/>
      <c r="L58" s="662"/>
      <c r="M58" s="662"/>
      <c r="N58" s="662"/>
      <c r="O58" s="662"/>
      <c r="P58" s="56" t="s">
        <v>127</v>
      </c>
      <c r="Q58" s="74">
        <f>IF(Q57&lt;=12500,Q57,0)</f>
        <v>0</v>
      </c>
      <c r="R58" s="628"/>
    </row>
    <row r="59" spans="1:27" ht="14.25" customHeight="1">
      <c r="A59" s="648"/>
      <c r="B59" s="571"/>
      <c r="C59" s="521" t="s">
        <v>209</v>
      </c>
      <c r="D59" s="521"/>
      <c r="E59" s="521"/>
      <c r="F59" s="521"/>
      <c r="G59" s="521"/>
      <c r="H59" s="521"/>
      <c r="I59" s="521"/>
      <c r="J59" s="521"/>
      <c r="K59" s="521"/>
      <c r="L59" s="521"/>
      <c r="M59" s="521"/>
      <c r="N59" s="521"/>
      <c r="O59" s="521"/>
      <c r="P59" s="56" t="s">
        <v>127</v>
      </c>
      <c r="Q59" s="75">
        <f>Q57-Q58</f>
        <v>178458</v>
      </c>
      <c r="R59" s="628"/>
    </row>
    <row r="60" spans="1:27" ht="14.25" customHeight="1">
      <c r="A60" s="648"/>
      <c r="B60" s="571"/>
      <c r="C60" s="563" t="s">
        <v>210</v>
      </c>
      <c r="D60" s="563"/>
      <c r="E60" s="563"/>
      <c r="F60" s="563"/>
      <c r="G60" s="563"/>
      <c r="H60" s="563"/>
      <c r="I60" s="563"/>
      <c r="J60" s="563"/>
      <c r="K60" s="563"/>
      <c r="L60" s="563"/>
      <c r="M60" s="563"/>
      <c r="N60" s="563"/>
      <c r="O60" s="563"/>
      <c r="P60" s="56" t="s">
        <v>127</v>
      </c>
      <c r="Q60" s="74">
        <f>ROUND(Q59*0.04,0)</f>
        <v>7138</v>
      </c>
      <c r="R60" s="628"/>
    </row>
    <row r="61" spans="1:27" ht="12.75" customHeight="1">
      <c r="A61" s="648"/>
      <c r="B61" s="571"/>
      <c r="C61" s="564" t="s">
        <v>211</v>
      </c>
      <c r="D61" s="565"/>
      <c r="E61" s="565"/>
      <c r="F61" s="565"/>
      <c r="G61" s="565"/>
      <c r="H61" s="565"/>
      <c r="I61" s="565"/>
      <c r="J61" s="565"/>
      <c r="K61" s="565"/>
      <c r="L61" s="565"/>
      <c r="M61" s="565"/>
      <c r="N61" s="565"/>
      <c r="O61" s="566"/>
      <c r="P61" s="56" t="s">
        <v>127</v>
      </c>
      <c r="Q61" s="75">
        <f>Q59+Q60</f>
        <v>185596</v>
      </c>
      <c r="R61" s="628"/>
      <c r="W61" s="110"/>
      <c r="X61" s="110"/>
    </row>
    <row r="62" spans="1:27" ht="14.25" customHeight="1">
      <c r="A62" s="648"/>
      <c r="B62" s="101">
        <v>17</v>
      </c>
      <c r="C62" s="567" t="s">
        <v>212</v>
      </c>
      <c r="D62" s="567"/>
      <c r="E62" s="567"/>
      <c r="F62" s="567"/>
      <c r="G62" s="567"/>
      <c r="H62" s="567"/>
      <c r="I62" s="567"/>
      <c r="J62" s="567"/>
      <c r="K62" s="567"/>
      <c r="L62" s="567"/>
      <c r="M62" s="567"/>
      <c r="N62" s="567"/>
      <c r="O62" s="567"/>
      <c r="P62" s="56" t="s">
        <v>127</v>
      </c>
      <c r="Q62" s="74">
        <f>'Exemp.(HRA+Other) &amp; Other incom'!Q26</f>
        <v>0</v>
      </c>
      <c r="R62" s="628"/>
    </row>
    <row r="63" spans="1:27" ht="14.25" customHeight="1">
      <c r="A63" s="648"/>
      <c r="B63" s="550">
        <v>18</v>
      </c>
      <c r="C63" s="568" t="s">
        <v>213</v>
      </c>
      <c r="D63" s="568"/>
      <c r="E63" s="568"/>
      <c r="F63" s="568"/>
      <c r="G63" s="568"/>
      <c r="H63" s="568"/>
      <c r="I63" s="568"/>
      <c r="J63" s="568"/>
      <c r="K63" s="568"/>
      <c r="L63" s="568"/>
      <c r="M63" s="568"/>
      <c r="N63" s="568"/>
      <c r="O63" s="568"/>
      <c r="P63" s="56" t="s">
        <v>127</v>
      </c>
      <c r="Q63" s="75">
        <f>Q61-Q62</f>
        <v>185596</v>
      </c>
      <c r="R63" s="628"/>
    </row>
    <row r="64" spans="1:27" ht="14.25" customHeight="1" thickBot="1">
      <c r="A64" s="648"/>
      <c r="B64" s="551"/>
      <c r="C64" s="569" t="s">
        <v>214</v>
      </c>
      <c r="D64" s="569"/>
      <c r="E64" s="569"/>
      <c r="F64" s="569"/>
      <c r="G64" s="569"/>
      <c r="H64" s="569"/>
      <c r="I64" s="569"/>
      <c r="J64" s="569"/>
      <c r="K64" s="569"/>
      <c r="L64" s="569"/>
      <c r="M64" s="569"/>
      <c r="N64" s="569"/>
      <c r="O64" s="569"/>
      <c r="P64" s="60" t="s">
        <v>127</v>
      </c>
      <c r="Q64" s="72">
        <f>ROUND(Q63,-1)</f>
        <v>185600</v>
      </c>
      <c r="R64" s="628"/>
    </row>
    <row r="65" spans="1:27" ht="44.25" customHeight="1">
      <c r="A65" s="648"/>
      <c r="B65" s="549">
        <v>19</v>
      </c>
      <c r="C65" s="552" t="s">
        <v>159</v>
      </c>
      <c r="D65" s="555" t="s">
        <v>292</v>
      </c>
      <c r="E65" s="555"/>
      <c r="F65" s="555" t="s">
        <v>293</v>
      </c>
      <c r="G65" s="555"/>
      <c r="H65" s="555"/>
      <c r="I65" s="258" t="s">
        <v>294</v>
      </c>
      <c r="J65" s="258" t="s">
        <v>295</v>
      </c>
      <c r="K65" s="258" t="s">
        <v>296</v>
      </c>
      <c r="L65" s="258" t="s">
        <v>297</v>
      </c>
      <c r="M65" s="556" t="s">
        <v>215</v>
      </c>
      <c r="N65" s="556"/>
      <c r="O65" s="103" t="s">
        <v>216</v>
      </c>
      <c r="P65" s="557" t="s">
        <v>217</v>
      </c>
      <c r="Q65" s="558"/>
      <c r="R65" s="628"/>
    </row>
    <row r="66" spans="1:27" s="10" customFormat="1" ht="13.5" customHeight="1">
      <c r="A66" s="648"/>
      <c r="B66" s="550"/>
      <c r="C66" s="553"/>
      <c r="D66" s="559">
        <f>SUM('GA-55'!AA9:AA11)</f>
        <v>0</v>
      </c>
      <c r="E66" s="559"/>
      <c r="F66" s="559">
        <f>SUM('GA-55'!AA12:AA14)</f>
        <v>0</v>
      </c>
      <c r="G66" s="559"/>
      <c r="H66" s="559"/>
      <c r="I66" s="104">
        <f>SUM('GA-55'!AA15:AA17)</f>
        <v>0</v>
      </c>
      <c r="J66" s="104">
        <f>'GA-55'!AA18</f>
        <v>0</v>
      </c>
      <c r="K66" s="104">
        <f>'GA-55'!AA19</f>
        <v>0</v>
      </c>
      <c r="L66" s="104">
        <f>'GA-55'!AA20</f>
        <v>0</v>
      </c>
      <c r="M66" s="559">
        <f>SUM('GA-55'!AA21:AA30)</f>
        <v>0</v>
      </c>
      <c r="N66" s="560"/>
      <c r="O66" s="104">
        <f>'Basic Data'!N19</f>
        <v>0</v>
      </c>
      <c r="P66" s="92" t="s">
        <v>127</v>
      </c>
      <c r="Q66" s="93">
        <f>SUM(D66:O66)</f>
        <v>0</v>
      </c>
      <c r="R66" s="628"/>
      <c r="T66" s="107"/>
      <c r="U66" s="107"/>
      <c r="W66" s="108"/>
      <c r="X66" s="108"/>
      <c r="Y66" s="108"/>
      <c r="Z66" s="108"/>
      <c r="AA66" s="108"/>
    </row>
    <row r="67" spans="1:27" ht="15.75" thickBot="1">
      <c r="A67" s="648"/>
      <c r="B67" s="551"/>
      <c r="C67" s="554"/>
      <c r="D67" s="562" t="s">
        <v>126</v>
      </c>
      <c r="E67" s="562"/>
      <c r="F67" s="562"/>
      <c r="G67" s="562"/>
      <c r="H67" s="562"/>
      <c r="I67" s="562"/>
      <c r="J67" s="562"/>
      <c r="K67" s="562"/>
      <c r="L67" s="546" t="str">
        <f>IF(Q66&gt;Q64,"(Refundable)","(Payble)")</f>
        <v>(Payble)</v>
      </c>
      <c r="M67" s="546"/>
      <c r="N67" s="546"/>
      <c r="O67" s="546"/>
      <c r="P67" s="60" t="s">
        <v>127</v>
      </c>
      <c r="Q67" s="72">
        <f>Q66-Q64</f>
        <v>-185600</v>
      </c>
      <c r="R67" s="628"/>
    </row>
    <row r="68" spans="1:27" ht="9.75" customHeight="1">
      <c r="A68" s="648"/>
      <c r="B68" s="547" t="str">
        <f>'GA-55'!B32</f>
        <v>Siganture of Employee()</v>
      </c>
      <c r="C68" s="547"/>
      <c r="D68" s="547"/>
      <c r="E68" s="547"/>
      <c r="F68" s="547"/>
      <c r="G68" s="547"/>
      <c r="H68" s="547"/>
      <c r="I68" s="547"/>
      <c r="J68" s="547"/>
      <c r="K68" s="547" t="str">
        <f>'GA-55'!P32</f>
        <v>Signature of DDO ()</v>
      </c>
      <c r="L68" s="547"/>
      <c r="M68" s="547"/>
      <c r="N68" s="547"/>
      <c r="O68" s="547"/>
      <c r="P68" s="547"/>
      <c r="Q68" s="547"/>
      <c r="R68" s="628"/>
    </row>
    <row r="69" spans="1:27" ht="15.75" customHeight="1">
      <c r="A69" s="648"/>
      <c r="B69" s="548"/>
      <c r="C69" s="548"/>
      <c r="D69" s="548"/>
      <c r="E69" s="548"/>
      <c r="F69" s="548"/>
      <c r="G69" s="548"/>
      <c r="H69" s="548"/>
      <c r="I69" s="548"/>
      <c r="J69" s="548"/>
      <c r="K69" s="548"/>
      <c r="L69" s="548"/>
      <c r="M69" s="548"/>
      <c r="N69" s="548"/>
      <c r="O69" s="548"/>
      <c r="P69" s="548"/>
      <c r="Q69" s="548"/>
      <c r="R69" s="628"/>
    </row>
    <row r="70" spans="1:27" ht="15" customHeight="1"/>
  </sheetData>
  <sheetProtection password="E8FA" sheet="1" objects="1" scenarios="1" formatCells="0" formatColumns="0" selectLockedCells="1"/>
  <mergeCells count="136">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L67:O67"/>
    <mergeCell ref="B68:J69"/>
    <mergeCell ref="K68:Q69"/>
    <mergeCell ref="B65:B67"/>
    <mergeCell ref="C65:C67"/>
    <mergeCell ref="D65:E65"/>
    <mergeCell ref="F65:H65"/>
    <mergeCell ref="M65:N65"/>
    <mergeCell ref="P65:Q65"/>
    <mergeCell ref="D66:E66"/>
    <mergeCell ref="F66:H66"/>
    <mergeCell ref="M66:N66"/>
    <mergeCell ref="D67:K67"/>
  </mergeCells>
  <conditionalFormatting sqref="L67:O67">
    <cfRule type="cellIs" dxfId="5" priority="4" operator="equal">
      <formula>"(Payble)"</formula>
    </cfRule>
    <cfRule type="cellIs" dxfId="4" priority="5" operator="equal">
      <formula>"(Refundable)"</formula>
    </cfRule>
  </conditionalFormatting>
  <conditionalFormatting sqref="Q67">
    <cfRule type="cellIs" dxfId="3" priority="2" operator="lessThan">
      <formula>0</formula>
    </cfRule>
    <cfRule type="cellIs" dxfId="2" priority="3" operator="greaterThan">
      <formula>0</formula>
    </cfRule>
  </conditionalFormatting>
  <conditionalFormatting sqref="P55:Q56">
    <cfRule type="expression" dxfId="1"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zoomScale="55" zoomScaleNormal="55" workbookViewId="0">
      <selection activeCell="K62" activeCellId="5" sqref="W7 K7 W31 K31 W62 K62"/>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3.8554687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3.85546875" style="1" customWidth="1"/>
    <col min="24" max="24" width="2.28515625" style="1" customWidth="1"/>
    <col min="25" max="25" width="4" style="1" customWidth="1"/>
    <col min="26" max="47" width="9.140625" style="1" customWidth="1"/>
    <col min="48" max="48" width="0.28515625" style="1" customWidth="1"/>
    <col min="49" max="16384" width="9.140625" style="1" hidden="1"/>
  </cols>
  <sheetData>
    <row r="1" spans="1:24" ht="35.25" customHeight="1" thickBot="1">
      <c r="A1" s="751"/>
      <c r="B1" s="751"/>
      <c r="C1" s="751"/>
      <c r="D1" s="751"/>
      <c r="E1" s="751"/>
      <c r="F1" s="751"/>
      <c r="G1" s="751"/>
      <c r="H1" s="751"/>
      <c r="I1" s="751"/>
      <c r="J1" s="751"/>
      <c r="K1" s="751"/>
      <c r="L1" s="751"/>
      <c r="M1" s="751"/>
      <c r="N1" s="751"/>
      <c r="O1" s="751"/>
      <c r="P1" s="751"/>
      <c r="Q1" s="751"/>
      <c r="R1" s="751"/>
      <c r="S1" s="751"/>
      <c r="T1" s="751"/>
      <c r="U1" s="751"/>
      <c r="V1" s="751"/>
      <c r="W1" s="751"/>
      <c r="X1" s="18"/>
    </row>
    <row r="2" spans="1:24" ht="35.25" customHeight="1">
      <c r="A2" s="751"/>
      <c r="B2" s="19">
        <v>1</v>
      </c>
      <c r="C2" s="709" t="s">
        <v>62</v>
      </c>
      <c r="D2" s="709"/>
      <c r="E2" s="709"/>
      <c r="F2" s="709"/>
      <c r="G2" s="709"/>
      <c r="H2" s="709"/>
      <c r="I2" s="709"/>
      <c r="J2" s="709"/>
      <c r="K2" s="710"/>
      <c r="L2" s="761"/>
      <c r="M2" s="751"/>
      <c r="N2" s="19">
        <v>2</v>
      </c>
      <c r="O2" s="709" t="s">
        <v>62</v>
      </c>
      <c r="P2" s="709"/>
      <c r="Q2" s="709"/>
      <c r="R2" s="709"/>
      <c r="S2" s="709"/>
      <c r="T2" s="709"/>
      <c r="U2" s="709"/>
      <c r="V2" s="709"/>
      <c r="W2" s="710"/>
      <c r="X2" s="751"/>
    </row>
    <row r="3" spans="1:24" ht="35.25" customHeight="1">
      <c r="A3" s="751"/>
      <c r="B3" s="732" t="s">
        <v>63</v>
      </c>
      <c r="C3" s="733"/>
      <c r="D3" s="733"/>
      <c r="E3" s="733"/>
      <c r="F3" s="733"/>
      <c r="G3" s="733"/>
      <c r="H3" s="733"/>
      <c r="I3" s="733"/>
      <c r="J3" s="733"/>
      <c r="K3" s="734"/>
      <c r="L3" s="761"/>
      <c r="M3" s="751"/>
      <c r="N3" s="732" t="s">
        <v>63</v>
      </c>
      <c r="O3" s="733"/>
      <c r="P3" s="733"/>
      <c r="Q3" s="733"/>
      <c r="R3" s="733"/>
      <c r="S3" s="733"/>
      <c r="T3" s="733"/>
      <c r="U3" s="733"/>
      <c r="V3" s="733"/>
      <c r="W3" s="734"/>
      <c r="X3" s="751"/>
    </row>
    <row r="4" spans="1:24" ht="35.25" customHeight="1" thickBot="1">
      <c r="A4" s="751"/>
      <c r="B4" s="756"/>
      <c r="C4" s="757"/>
      <c r="D4" s="757"/>
      <c r="E4" s="757"/>
      <c r="F4" s="757"/>
      <c r="G4" s="757"/>
      <c r="H4" s="757"/>
      <c r="I4" s="757"/>
      <c r="J4" s="757"/>
      <c r="K4" s="758"/>
      <c r="L4" s="761"/>
      <c r="M4" s="751"/>
      <c r="N4" s="756"/>
      <c r="O4" s="757"/>
      <c r="P4" s="757"/>
      <c r="Q4" s="757"/>
      <c r="R4" s="757"/>
      <c r="S4" s="757"/>
      <c r="T4" s="757"/>
      <c r="U4" s="757"/>
      <c r="V4" s="757"/>
      <c r="W4" s="758"/>
      <c r="X4" s="751"/>
    </row>
    <row r="5" spans="1:24" ht="35.25" customHeight="1">
      <c r="A5" s="751"/>
      <c r="B5" s="716"/>
      <c r="C5" s="717"/>
      <c r="D5" s="717"/>
      <c r="E5" s="717"/>
      <c r="F5" s="717"/>
      <c r="G5" s="717"/>
      <c r="H5" s="717"/>
      <c r="I5" s="715" t="s">
        <v>64</v>
      </c>
      <c r="J5" s="715"/>
      <c r="K5" s="20"/>
      <c r="L5" s="761"/>
      <c r="M5" s="751"/>
      <c r="N5" s="716"/>
      <c r="O5" s="717"/>
      <c r="P5" s="717"/>
      <c r="Q5" s="717"/>
      <c r="R5" s="717"/>
      <c r="S5" s="717"/>
      <c r="T5" s="717"/>
      <c r="U5" s="715" t="s">
        <v>64</v>
      </c>
      <c r="V5" s="715"/>
      <c r="W5" s="20"/>
      <c r="X5" s="751"/>
    </row>
    <row r="6" spans="1:24" ht="35.25" customHeight="1">
      <c r="A6" s="751"/>
      <c r="B6" s="718"/>
      <c r="C6" s="21" t="s">
        <v>65</v>
      </c>
      <c r="D6" s="711">
        <f>'Exemp.(HRA+Other) &amp; Other incom'!$O$4</f>
        <v>0</v>
      </c>
      <c r="E6" s="711"/>
      <c r="F6" s="711"/>
      <c r="G6" s="711"/>
      <c r="H6" s="711"/>
      <c r="I6" s="711"/>
      <c r="J6" s="711"/>
      <c r="K6" s="712"/>
      <c r="L6" s="761"/>
      <c r="M6" s="751"/>
      <c r="N6" s="718"/>
      <c r="O6" s="21" t="s">
        <v>65</v>
      </c>
      <c r="P6" s="711">
        <f>'Exemp.(HRA+Other) &amp; Other incom'!$O$4</f>
        <v>0</v>
      </c>
      <c r="Q6" s="711"/>
      <c r="R6" s="711"/>
      <c r="S6" s="711"/>
      <c r="T6" s="711"/>
      <c r="U6" s="711"/>
      <c r="V6" s="711"/>
      <c r="W6" s="712"/>
      <c r="X6" s="751"/>
    </row>
    <row r="7" spans="1:24" ht="35.25" customHeight="1">
      <c r="A7" s="751"/>
      <c r="B7" s="718"/>
      <c r="C7" s="21"/>
      <c r="D7" s="713" t="s">
        <v>66</v>
      </c>
      <c r="E7" s="713"/>
      <c r="F7" s="713"/>
      <c r="G7" s="713"/>
      <c r="H7" s="714">
        <f>'Exemp.(HRA+Other) &amp; Other incom'!$A$4</f>
        <v>0</v>
      </c>
      <c r="I7" s="714"/>
      <c r="J7" s="714"/>
      <c r="K7" s="284" t="str">
        <f>CONCATENATE("(",'Exemp.(HRA+Other) &amp; Other incom'!$C$4,")")</f>
        <v>(0)</v>
      </c>
      <c r="L7" s="761"/>
      <c r="M7" s="751"/>
      <c r="N7" s="718"/>
      <c r="O7" s="21"/>
      <c r="P7" s="713" t="s">
        <v>66</v>
      </c>
      <c r="Q7" s="713"/>
      <c r="R7" s="713"/>
      <c r="S7" s="713"/>
      <c r="T7" s="714">
        <f>'Exemp.(HRA+Other) &amp; Other incom'!$A$4</f>
        <v>0</v>
      </c>
      <c r="U7" s="714"/>
      <c r="V7" s="714"/>
      <c r="W7" s="284" t="str">
        <f>CONCATENATE("(",'Exemp.(HRA+Other) &amp; Other incom'!$C$4,")")</f>
        <v>(0)</v>
      </c>
      <c r="X7" s="751"/>
    </row>
    <row r="8" spans="1:24" ht="35.25" customHeight="1">
      <c r="A8" s="751"/>
      <c r="B8" s="718"/>
      <c r="C8" s="21" t="s">
        <v>67</v>
      </c>
      <c r="D8" s="711" t="str">
        <f>'Basic Data'!$I$10</f>
        <v>Govt. Sr. School Raimalwada</v>
      </c>
      <c r="E8" s="711"/>
      <c r="F8" s="711"/>
      <c r="G8" s="711"/>
      <c r="H8" s="711"/>
      <c r="I8" s="711"/>
      <c r="J8" s="711"/>
      <c r="K8" s="712"/>
      <c r="L8" s="761"/>
      <c r="M8" s="751"/>
      <c r="N8" s="718"/>
      <c r="O8" s="21" t="s">
        <v>67</v>
      </c>
      <c r="P8" s="711" t="str">
        <f>'Basic Data'!$I$10</f>
        <v>Govt. Sr. School Raimalwada</v>
      </c>
      <c r="Q8" s="711"/>
      <c r="R8" s="711"/>
      <c r="S8" s="711"/>
      <c r="T8" s="711"/>
      <c r="U8" s="711"/>
      <c r="V8" s="711"/>
      <c r="W8" s="712"/>
      <c r="X8" s="751"/>
    </row>
    <row r="9" spans="1:24" ht="35.25" customHeight="1">
      <c r="A9" s="751"/>
      <c r="B9" s="718"/>
      <c r="C9" s="750" t="s">
        <v>77</v>
      </c>
      <c r="D9" s="750"/>
      <c r="E9" s="750"/>
      <c r="F9" s="750"/>
      <c r="G9" s="746">
        <f>G10*3</f>
        <v>0</v>
      </c>
      <c r="H9" s="746"/>
      <c r="I9" s="746"/>
      <c r="J9" s="746"/>
      <c r="K9" s="747"/>
      <c r="L9" s="761"/>
      <c r="M9" s="751"/>
      <c r="N9" s="718"/>
      <c r="O9" s="750" t="s">
        <v>77</v>
      </c>
      <c r="P9" s="750"/>
      <c r="Q9" s="750"/>
      <c r="R9" s="750"/>
      <c r="S9" s="746">
        <f>G10*3</f>
        <v>0</v>
      </c>
      <c r="T9" s="746"/>
      <c r="U9" s="746"/>
      <c r="V9" s="746"/>
      <c r="W9" s="747"/>
      <c r="X9" s="751"/>
    </row>
    <row r="10" spans="1:24" ht="35.25" customHeight="1">
      <c r="A10" s="751"/>
      <c r="B10" s="718"/>
      <c r="C10" s="745" t="s">
        <v>76</v>
      </c>
      <c r="D10" s="745"/>
      <c r="E10" s="745"/>
      <c r="F10" s="745"/>
      <c r="G10" s="746">
        <f>'Exemp.(HRA+Other) &amp; Other incom'!$M$4</f>
        <v>0</v>
      </c>
      <c r="H10" s="746"/>
      <c r="I10" s="746"/>
      <c r="J10" s="746"/>
      <c r="K10" s="747"/>
      <c r="L10" s="761"/>
      <c r="M10" s="751"/>
      <c r="N10" s="718"/>
      <c r="O10" s="745" t="s">
        <v>76</v>
      </c>
      <c r="P10" s="745"/>
      <c r="Q10" s="745"/>
      <c r="R10" s="745"/>
      <c r="S10" s="746">
        <f>'Exemp.(HRA+Other) &amp; Other incom'!$M$4</f>
        <v>0</v>
      </c>
      <c r="T10" s="746"/>
      <c r="U10" s="746"/>
      <c r="V10" s="746"/>
      <c r="W10" s="747"/>
      <c r="X10" s="751"/>
    </row>
    <row r="11" spans="1:24" ht="35.25" customHeight="1">
      <c r="A11" s="751"/>
      <c r="B11" s="718"/>
      <c r="C11" s="766" t="s">
        <v>68</v>
      </c>
      <c r="D11" s="766"/>
      <c r="E11" s="748" t="s">
        <v>304</v>
      </c>
      <c r="F11" s="748"/>
      <c r="G11" s="748"/>
      <c r="H11" s="748"/>
      <c r="I11" s="748"/>
      <c r="J11" s="748"/>
      <c r="K11" s="749"/>
      <c r="L11" s="761"/>
      <c r="M11" s="751"/>
      <c r="N11" s="718"/>
      <c r="O11" s="766" t="s">
        <v>68</v>
      </c>
      <c r="P11" s="766"/>
      <c r="Q11" s="748" t="s">
        <v>305</v>
      </c>
      <c r="R11" s="748"/>
      <c r="S11" s="748"/>
      <c r="T11" s="748"/>
      <c r="U11" s="748"/>
      <c r="V11" s="748"/>
      <c r="W11" s="749"/>
      <c r="X11" s="751"/>
    </row>
    <row r="12" spans="1:24" ht="35.25" customHeight="1">
      <c r="A12" s="751"/>
      <c r="B12" s="718"/>
      <c r="C12" s="720"/>
      <c r="D12" s="720"/>
      <c r="E12" s="720"/>
      <c r="F12" s="720"/>
      <c r="G12" s="720"/>
      <c r="H12" s="720"/>
      <c r="I12" s="720"/>
      <c r="J12" s="720"/>
      <c r="K12" s="721"/>
      <c r="L12" s="761"/>
      <c r="M12" s="751"/>
      <c r="N12" s="718"/>
      <c r="O12" s="720"/>
      <c r="P12" s="720"/>
      <c r="Q12" s="720"/>
      <c r="R12" s="720"/>
      <c r="S12" s="720"/>
      <c r="T12" s="720"/>
      <c r="U12" s="720"/>
      <c r="V12" s="720"/>
      <c r="W12" s="721"/>
      <c r="X12" s="751"/>
    </row>
    <row r="13" spans="1:24" ht="35.25" customHeight="1">
      <c r="A13" s="751"/>
      <c r="B13" s="718"/>
      <c r="C13" s="21" t="s">
        <v>69</v>
      </c>
      <c r="D13" s="730">
        <f>G9</f>
        <v>0</v>
      </c>
      <c r="E13" s="730"/>
      <c r="F13" s="722"/>
      <c r="G13" s="720"/>
      <c r="H13" s="720"/>
      <c r="I13" s="720"/>
      <c r="J13" s="720"/>
      <c r="K13" s="721"/>
      <c r="L13" s="761"/>
      <c r="M13" s="751"/>
      <c r="N13" s="718"/>
      <c r="O13" s="21" t="s">
        <v>69</v>
      </c>
      <c r="P13" s="730">
        <f>G9</f>
        <v>0</v>
      </c>
      <c r="Q13" s="730"/>
      <c r="R13" s="722"/>
      <c r="S13" s="720"/>
      <c r="T13" s="720"/>
      <c r="U13" s="720"/>
      <c r="V13" s="720"/>
      <c r="W13" s="721"/>
      <c r="X13" s="751"/>
    </row>
    <row r="14" spans="1:24" ht="35.25" customHeight="1">
      <c r="A14" s="751"/>
      <c r="B14" s="718"/>
      <c r="C14" s="735"/>
      <c r="D14" s="735"/>
      <c r="E14" s="735"/>
      <c r="F14" s="735"/>
      <c r="G14" s="735"/>
      <c r="H14" s="735"/>
      <c r="I14" s="735"/>
      <c r="J14" s="735"/>
      <c r="K14" s="736"/>
      <c r="L14" s="761"/>
      <c r="M14" s="751"/>
      <c r="N14" s="718"/>
      <c r="O14" s="735"/>
      <c r="P14" s="735"/>
      <c r="Q14" s="735"/>
      <c r="R14" s="735"/>
      <c r="S14" s="735"/>
      <c r="T14" s="735"/>
      <c r="U14" s="735"/>
      <c r="V14" s="735"/>
      <c r="W14" s="736"/>
      <c r="X14" s="751"/>
    </row>
    <row r="15" spans="1:24" ht="35.25" customHeight="1">
      <c r="A15" s="751"/>
      <c r="B15" s="718"/>
      <c r="C15" s="21" t="s">
        <v>70</v>
      </c>
      <c r="D15" s="755">
        <f>K5</f>
        <v>0</v>
      </c>
      <c r="E15" s="755"/>
      <c r="F15" s="763"/>
      <c r="G15" s="764"/>
      <c r="H15" s="764"/>
      <c r="I15" s="764"/>
      <c r="J15" s="764"/>
      <c r="K15" s="765"/>
      <c r="L15" s="761"/>
      <c r="M15" s="751"/>
      <c r="N15" s="718"/>
      <c r="O15" s="21" t="s">
        <v>70</v>
      </c>
      <c r="P15" s="755">
        <f>K5</f>
        <v>0</v>
      </c>
      <c r="Q15" s="755"/>
      <c r="R15" s="763"/>
      <c r="S15" s="764"/>
      <c r="T15" s="764"/>
      <c r="U15" s="764"/>
      <c r="V15" s="764"/>
      <c r="W15" s="765"/>
      <c r="X15" s="751"/>
    </row>
    <row r="16" spans="1:24" ht="35.25" customHeight="1" thickBot="1">
      <c r="A16" s="751"/>
      <c r="B16" s="718"/>
      <c r="C16" s="735"/>
      <c r="D16" s="735"/>
      <c r="E16" s="735"/>
      <c r="F16" s="735"/>
      <c r="G16" s="735"/>
      <c r="H16" s="735"/>
      <c r="I16" s="735"/>
      <c r="J16" s="735"/>
      <c r="K16" s="736"/>
      <c r="L16" s="761"/>
      <c r="M16" s="751"/>
      <c r="N16" s="718"/>
      <c r="O16" s="735"/>
      <c r="P16" s="735"/>
      <c r="Q16" s="735"/>
      <c r="R16" s="735"/>
      <c r="S16" s="735"/>
      <c r="T16" s="735"/>
      <c r="U16" s="735"/>
      <c r="V16" s="735"/>
      <c r="W16" s="736"/>
      <c r="X16" s="751"/>
    </row>
    <row r="17" spans="1:24" ht="35.25" customHeight="1">
      <c r="A17" s="751"/>
      <c r="B17" s="718"/>
      <c r="C17" s="735"/>
      <c r="D17" s="735"/>
      <c r="E17" s="735"/>
      <c r="F17" s="735"/>
      <c r="G17" s="742" t="s">
        <v>71</v>
      </c>
      <c r="H17" s="743"/>
      <c r="I17" s="743"/>
      <c r="J17" s="743"/>
      <c r="K17" s="744"/>
      <c r="L17" s="761"/>
      <c r="M17" s="751"/>
      <c r="N17" s="718"/>
      <c r="O17" s="735"/>
      <c r="P17" s="735"/>
      <c r="Q17" s="735"/>
      <c r="R17" s="735"/>
      <c r="S17" s="742" t="s">
        <v>71</v>
      </c>
      <c r="T17" s="743"/>
      <c r="U17" s="743"/>
      <c r="V17" s="743"/>
      <c r="W17" s="744"/>
      <c r="X17" s="751"/>
    </row>
    <row r="18" spans="1:24" ht="35.25" customHeight="1">
      <c r="A18" s="751"/>
      <c r="B18" s="718"/>
      <c r="C18" s="735"/>
      <c r="D18" s="735"/>
      <c r="E18" s="735"/>
      <c r="F18" s="735"/>
      <c r="G18" s="752" t="s">
        <v>72</v>
      </c>
      <c r="H18" s="753"/>
      <c r="I18" s="753"/>
      <c r="J18" s="753"/>
      <c r="K18" s="754"/>
      <c r="L18" s="761"/>
      <c r="M18" s="751"/>
      <c r="N18" s="718"/>
      <c r="O18" s="735"/>
      <c r="P18" s="735"/>
      <c r="Q18" s="735"/>
      <c r="R18" s="735"/>
      <c r="S18" s="752" t="s">
        <v>72</v>
      </c>
      <c r="T18" s="753"/>
      <c r="U18" s="753"/>
      <c r="V18" s="753"/>
      <c r="W18" s="754"/>
      <c r="X18" s="751"/>
    </row>
    <row r="19" spans="1:24" ht="35.25" customHeight="1">
      <c r="A19" s="751"/>
      <c r="B19" s="718"/>
      <c r="C19" s="735"/>
      <c r="D19" s="735"/>
      <c r="E19" s="735"/>
      <c r="F19" s="735"/>
      <c r="G19" s="725" t="s">
        <v>73</v>
      </c>
      <c r="H19" s="726"/>
      <c r="I19" s="727">
        <f>D6</f>
        <v>0</v>
      </c>
      <c r="J19" s="727"/>
      <c r="K19" s="728"/>
      <c r="L19" s="761"/>
      <c r="M19" s="751"/>
      <c r="N19" s="718"/>
      <c r="O19" s="735"/>
      <c r="P19" s="735"/>
      <c r="Q19" s="735"/>
      <c r="R19" s="735"/>
      <c r="S19" s="725" t="s">
        <v>73</v>
      </c>
      <c r="T19" s="726"/>
      <c r="U19" s="727">
        <f>D6</f>
        <v>0</v>
      </c>
      <c r="V19" s="727"/>
      <c r="W19" s="728"/>
      <c r="X19" s="751"/>
    </row>
    <row r="20" spans="1:24" ht="35.25" customHeight="1">
      <c r="A20" s="751"/>
      <c r="B20" s="718"/>
      <c r="C20" s="735"/>
      <c r="D20" s="735"/>
      <c r="E20" s="735"/>
      <c r="F20" s="735"/>
      <c r="G20" s="729" t="s">
        <v>74</v>
      </c>
      <c r="H20" s="730"/>
      <c r="I20" s="730"/>
      <c r="J20" s="730"/>
      <c r="K20" s="731"/>
      <c r="L20" s="761"/>
      <c r="M20" s="751"/>
      <c r="N20" s="718"/>
      <c r="O20" s="735"/>
      <c r="P20" s="735"/>
      <c r="Q20" s="735"/>
      <c r="R20" s="735"/>
      <c r="S20" s="729" t="s">
        <v>74</v>
      </c>
      <c r="T20" s="730"/>
      <c r="U20" s="730"/>
      <c r="V20" s="730"/>
      <c r="W20" s="731"/>
      <c r="X20" s="751"/>
    </row>
    <row r="21" spans="1:24" ht="35.25" customHeight="1">
      <c r="A21" s="751"/>
      <c r="B21" s="718"/>
      <c r="C21" s="735"/>
      <c r="D21" s="735"/>
      <c r="E21" s="735"/>
      <c r="F21" s="735"/>
      <c r="G21" s="737">
        <f>'Exemp.(HRA+Other) &amp; Other incom'!$P$4</f>
        <v>0</v>
      </c>
      <c r="H21" s="738"/>
      <c r="I21" s="738"/>
      <c r="J21" s="738"/>
      <c r="K21" s="739"/>
      <c r="L21" s="761"/>
      <c r="M21" s="751"/>
      <c r="N21" s="718"/>
      <c r="O21" s="735"/>
      <c r="P21" s="735"/>
      <c r="Q21" s="735"/>
      <c r="R21" s="735"/>
      <c r="S21" s="737">
        <f>'Exemp.(HRA+Other) &amp; Other incom'!$P$4</f>
        <v>0</v>
      </c>
      <c r="T21" s="738"/>
      <c r="U21" s="738"/>
      <c r="V21" s="738"/>
      <c r="W21" s="739"/>
      <c r="X21" s="751"/>
    </row>
    <row r="22" spans="1:24" ht="35.25" customHeight="1">
      <c r="A22" s="751"/>
      <c r="B22" s="718"/>
      <c r="C22" s="735"/>
      <c r="D22" s="735"/>
      <c r="E22" s="735"/>
      <c r="F22" s="735"/>
      <c r="G22" s="737"/>
      <c r="H22" s="738"/>
      <c r="I22" s="738"/>
      <c r="J22" s="738"/>
      <c r="K22" s="739"/>
      <c r="L22" s="761"/>
      <c r="M22" s="751"/>
      <c r="N22" s="718"/>
      <c r="O22" s="735"/>
      <c r="P22" s="735"/>
      <c r="Q22" s="735"/>
      <c r="R22" s="735"/>
      <c r="S22" s="737"/>
      <c r="T22" s="738"/>
      <c r="U22" s="738"/>
      <c r="V22" s="738"/>
      <c r="W22" s="739"/>
      <c r="X22" s="751"/>
    </row>
    <row r="23" spans="1:24" ht="35.25" customHeight="1" thickBot="1">
      <c r="A23" s="751"/>
      <c r="B23" s="718"/>
      <c r="C23" s="735"/>
      <c r="D23" s="735"/>
      <c r="E23" s="735"/>
      <c r="F23" s="735"/>
      <c r="G23" s="740" t="s">
        <v>75</v>
      </c>
      <c r="H23" s="741"/>
      <c r="I23" s="741"/>
      <c r="J23" s="759">
        <f>'Exemp.(HRA+Other) &amp; Other incom'!$Q$4</f>
        <v>0</v>
      </c>
      <c r="K23" s="760"/>
      <c r="L23" s="761"/>
      <c r="M23" s="751"/>
      <c r="N23" s="718"/>
      <c r="O23" s="735"/>
      <c r="P23" s="735"/>
      <c r="Q23" s="735"/>
      <c r="R23" s="735"/>
      <c r="S23" s="740" t="s">
        <v>75</v>
      </c>
      <c r="T23" s="741"/>
      <c r="U23" s="741"/>
      <c r="V23" s="759">
        <f>'Exemp.(HRA+Other) &amp; Other incom'!$Q$4</f>
        <v>0</v>
      </c>
      <c r="W23" s="760"/>
      <c r="X23" s="751"/>
    </row>
    <row r="24" spans="1:24" ht="35.25" customHeight="1" thickBot="1">
      <c r="A24" s="751"/>
      <c r="B24" s="719"/>
      <c r="C24" s="723"/>
      <c r="D24" s="723"/>
      <c r="E24" s="723"/>
      <c r="F24" s="723"/>
      <c r="G24" s="723"/>
      <c r="H24" s="723"/>
      <c r="I24" s="723"/>
      <c r="J24" s="723"/>
      <c r="K24" s="724"/>
      <c r="L24" s="761"/>
      <c r="M24" s="751"/>
      <c r="N24" s="719"/>
      <c r="O24" s="723"/>
      <c r="P24" s="723"/>
      <c r="Q24" s="723"/>
      <c r="R24" s="723"/>
      <c r="S24" s="723"/>
      <c r="T24" s="723"/>
      <c r="U24" s="723"/>
      <c r="V24" s="723"/>
      <c r="W24" s="724"/>
      <c r="X24" s="751"/>
    </row>
    <row r="25" spans="1:24" ht="35.25" customHeight="1" thickBot="1">
      <c r="A25" s="751"/>
      <c r="B25" s="762"/>
      <c r="C25" s="762"/>
      <c r="D25" s="762"/>
      <c r="E25" s="762"/>
      <c r="F25" s="762"/>
      <c r="G25" s="762"/>
      <c r="H25" s="762"/>
      <c r="I25" s="762"/>
      <c r="J25" s="762"/>
      <c r="K25" s="762"/>
      <c r="L25" s="761"/>
      <c r="M25" s="751"/>
      <c r="N25" s="762"/>
      <c r="O25" s="762"/>
      <c r="P25" s="762"/>
      <c r="Q25" s="762"/>
      <c r="R25" s="762"/>
      <c r="S25" s="762"/>
      <c r="T25" s="762"/>
      <c r="U25" s="762"/>
      <c r="V25" s="762"/>
      <c r="W25" s="762"/>
      <c r="X25" s="751"/>
    </row>
    <row r="26" spans="1:24" ht="35.25" customHeight="1">
      <c r="A26" s="751"/>
      <c r="B26" s="19">
        <v>3</v>
      </c>
      <c r="C26" s="709" t="s">
        <v>62</v>
      </c>
      <c r="D26" s="709"/>
      <c r="E26" s="709"/>
      <c r="F26" s="709"/>
      <c r="G26" s="709"/>
      <c r="H26" s="709"/>
      <c r="I26" s="709"/>
      <c r="J26" s="709"/>
      <c r="K26" s="710"/>
      <c r="L26" s="761"/>
      <c r="M26" s="751"/>
      <c r="N26" s="19">
        <v>4</v>
      </c>
      <c r="O26" s="709" t="s">
        <v>62</v>
      </c>
      <c r="P26" s="709"/>
      <c r="Q26" s="709"/>
      <c r="R26" s="709"/>
      <c r="S26" s="709"/>
      <c r="T26" s="709"/>
      <c r="U26" s="709"/>
      <c r="V26" s="709"/>
      <c r="W26" s="710"/>
      <c r="X26" s="751"/>
    </row>
    <row r="27" spans="1:24" ht="35.25" customHeight="1">
      <c r="A27" s="751"/>
      <c r="B27" s="732" t="s">
        <v>63</v>
      </c>
      <c r="C27" s="733"/>
      <c r="D27" s="733"/>
      <c r="E27" s="733"/>
      <c r="F27" s="733"/>
      <c r="G27" s="733"/>
      <c r="H27" s="733"/>
      <c r="I27" s="733"/>
      <c r="J27" s="733"/>
      <c r="K27" s="734"/>
      <c r="L27" s="761"/>
      <c r="M27" s="751"/>
      <c r="N27" s="732" t="s">
        <v>63</v>
      </c>
      <c r="O27" s="733"/>
      <c r="P27" s="733"/>
      <c r="Q27" s="733"/>
      <c r="R27" s="733"/>
      <c r="S27" s="733"/>
      <c r="T27" s="733"/>
      <c r="U27" s="733"/>
      <c r="V27" s="733"/>
      <c r="W27" s="734"/>
      <c r="X27" s="751"/>
    </row>
    <row r="28" spans="1:24" ht="35.25" customHeight="1" thickBot="1">
      <c r="A28" s="751"/>
      <c r="B28" s="756"/>
      <c r="C28" s="757"/>
      <c r="D28" s="757"/>
      <c r="E28" s="757"/>
      <c r="F28" s="757"/>
      <c r="G28" s="757"/>
      <c r="H28" s="757"/>
      <c r="I28" s="757"/>
      <c r="J28" s="757"/>
      <c r="K28" s="758"/>
      <c r="L28" s="761"/>
      <c r="M28" s="751"/>
      <c r="N28" s="756"/>
      <c r="O28" s="757"/>
      <c r="P28" s="757"/>
      <c r="Q28" s="757"/>
      <c r="R28" s="757"/>
      <c r="S28" s="757"/>
      <c r="T28" s="757"/>
      <c r="U28" s="757"/>
      <c r="V28" s="757"/>
      <c r="W28" s="758"/>
      <c r="X28" s="751"/>
    </row>
    <row r="29" spans="1:24" ht="35.25" customHeight="1">
      <c r="A29" s="751"/>
      <c r="B29" s="716"/>
      <c r="C29" s="717"/>
      <c r="D29" s="717"/>
      <c r="E29" s="717"/>
      <c r="F29" s="717"/>
      <c r="G29" s="717"/>
      <c r="H29" s="717"/>
      <c r="I29" s="715" t="s">
        <v>64</v>
      </c>
      <c r="J29" s="715"/>
      <c r="K29" s="20"/>
      <c r="L29" s="761"/>
      <c r="M29" s="751"/>
      <c r="N29" s="716"/>
      <c r="O29" s="717"/>
      <c r="P29" s="717"/>
      <c r="Q29" s="717"/>
      <c r="R29" s="717"/>
      <c r="S29" s="717"/>
      <c r="T29" s="717"/>
      <c r="U29" s="715" t="s">
        <v>64</v>
      </c>
      <c r="V29" s="715"/>
      <c r="W29" s="20"/>
      <c r="X29" s="751"/>
    </row>
    <row r="30" spans="1:24" ht="35.25" customHeight="1">
      <c r="A30" s="751"/>
      <c r="B30" s="718"/>
      <c r="C30" s="21" t="s">
        <v>65</v>
      </c>
      <c r="D30" s="711">
        <f>'Exemp.(HRA+Other) &amp; Other incom'!$O$4</f>
        <v>0</v>
      </c>
      <c r="E30" s="711"/>
      <c r="F30" s="711"/>
      <c r="G30" s="711"/>
      <c r="H30" s="711"/>
      <c r="I30" s="711"/>
      <c r="J30" s="711"/>
      <c r="K30" s="712"/>
      <c r="L30" s="761"/>
      <c r="M30" s="751"/>
      <c r="N30" s="718"/>
      <c r="O30" s="21" t="s">
        <v>65</v>
      </c>
      <c r="P30" s="711">
        <f>'Exemp.(HRA+Other) &amp; Other incom'!$O$4</f>
        <v>0</v>
      </c>
      <c r="Q30" s="711"/>
      <c r="R30" s="711"/>
      <c r="S30" s="711"/>
      <c r="T30" s="711"/>
      <c r="U30" s="711"/>
      <c r="V30" s="711"/>
      <c r="W30" s="712"/>
      <c r="X30" s="751"/>
    </row>
    <row r="31" spans="1:24" ht="35.25" customHeight="1">
      <c r="A31" s="751"/>
      <c r="B31" s="718"/>
      <c r="C31" s="21"/>
      <c r="D31" s="713" t="s">
        <v>66</v>
      </c>
      <c r="E31" s="713"/>
      <c r="F31" s="713"/>
      <c r="G31" s="713"/>
      <c r="H31" s="714">
        <f>'Exemp.(HRA+Other) &amp; Other incom'!$A$4</f>
        <v>0</v>
      </c>
      <c r="I31" s="714"/>
      <c r="J31" s="714"/>
      <c r="K31" s="284" t="str">
        <f>CONCATENATE("(",'Exemp.(HRA+Other) &amp; Other incom'!$C$4,")")</f>
        <v>(0)</v>
      </c>
      <c r="L31" s="761"/>
      <c r="M31" s="751"/>
      <c r="N31" s="718"/>
      <c r="O31" s="21"/>
      <c r="P31" s="713" t="s">
        <v>66</v>
      </c>
      <c r="Q31" s="713"/>
      <c r="R31" s="713"/>
      <c r="S31" s="713"/>
      <c r="T31" s="714">
        <f>'Exemp.(HRA+Other) &amp; Other incom'!$A$4</f>
        <v>0</v>
      </c>
      <c r="U31" s="714"/>
      <c r="V31" s="714"/>
      <c r="W31" s="284" t="str">
        <f>CONCATENATE("(",'Exemp.(HRA+Other) &amp; Other incom'!$C$4,")")</f>
        <v>(0)</v>
      </c>
      <c r="X31" s="751"/>
    </row>
    <row r="32" spans="1:24" ht="35.25" customHeight="1">
      <c r="A32" s="751"/>
      <c r="B32" s="718"/>
      <c r="C32" s="21" t="s">
        <v>67</v>
      </c>
      <c r="D32" s="711" t="str">
        <f>'Basic Data'!$I$10</f>
        <v>Govt. Sr. School Raimalwada</v>
      </c>
      <c r="E32" s="711"/>
      <c r="F32" s="711"/>
      <c r="G32" s="711"/>
      <c r="H32" s="711"/>
      <c r="I32" s="711"/>
      <c r="J32" s="711"/>
      <c r="K32" s="712"/>
      <c r="L32" s="761"/>
      <c r="M32" s="751"/>
      <c r="N32" s="718"/>
      <c r="O32" s="21" t="s">
        <v>67</v>
      </c>
      <c r="P32" s="711" t="str">
        <f>'Basic Data'!$I$10</f>
        <v>Govt. Sr. School Raimalwada</v>
      </c>
      <c r="Q32" s="711"/>
      <c r="R32" s="711"/>
      <c r="S32" s="711"/>
      <c r="T32" s="711"/>
      <c r="U32" s="711"/>
      <c r="V32" s="711"/>
      <c r="W32" s="712"/>
      <c r="X32" s="751"/>
    </row>
    <row r="33" spans="1:24" ht="35.25" customHeight="1">
      <c r="A33" s="751"/>
      <c r="B33" s="718"/>
      <c r="C33" s="750" t="s">
        <v>77</v>
      </c>
      <c r="D33" s="750"/>
      <c r="E33" s="750"/>
      <c r="F33" s="750"/>
      <c r="G33" s="746">
        <f>G34*3</f>
        <v>0</v>
      </c>
      <c r="H33" s="746"/>
      <c r="I33" s="746"/>
      <c r="J33" s="746"/>
      <c r="K33" s="747"/>
      <c r="L33" s="761"/>
      <c r="M33" s="751"/>
      <c r="N33" s="718"/>
      <c r="O33" s="750" t="s">
        <v>77</v>
      </c>
      <c r="P33" s="750"/>
      <c r="Q33" s="750"/>
      <c r="R33" s="750"/>
      <c r="S33" s="746">
        <f>S34*3</f>
        <v>0</v>
      </c>
      <c r="T33" s="746"/>
      <c r="U33" s="746"/>
      <c r="V33" s="746"/>
      <c r="W33" s="747"/>
      <c r="X33" s="751"/>
    </row>
    <row r="34" spans="1:24" ht="35.25" customHeight="1">
      <c r="A34" s="751"/>
      <c r="B34" s="718"/>
      <c r="C34" s="745" t="s">
        <v>76</v>
      </c>
      <c r="D34" s="745"/>
      <c r="E34" s="745"/>
      <c r="F34" s="745"/>
      <c r="G34" s="746">
        <f>'Exemp.(HRA+Other) &amp; Other incom'!$M$4</f>
        <v>0</v>
      </c>
      <c r="H34" s="746"/>
      <c r="I34" s="746"/>
      <c r="J34" s="746"/>
      <c r="K34" s="747"/>
      <c r="L34" s="761"/>
      <c r="M34" s="751"/>
      <c r="N34" s="718"/>
      <c r="O34" s="745" t="s">
        <v>76</v>
      </c>
      <c r="P34" s="745"/>
      <c r="Q34" s="745"/>
      <c r="R34" s="745"/>
      <c r="S34" s="746">
        <f>'Exemp.(HRA+Other) &amp; Other incom'!$M$4</f>
        <v>0</v>
      </c>
      <c r="T34" s="746"/>
      <c r="U34" s="746"/>
      <c r="V34" s="746"/>
      <c r="W34" s="747"/>
      <c r="X34" s="751"/>
    </row>
    <row r="35" spans="1:24" ht="35.25" customHeight="1">
      <c r="A35" s="751"/>
      <c r="B35" s="718"/>
      <c r="C35" s="766" t="s">
        <v>68</v>
      </c>
      <c r="D35" s="766"/>
      <c r="E35" s="748" t="s">
        <v>306</v>
      </c>
      <c r="F35" s="748"/>
      <c r="G35" s="748"/>
      <c r="H35" s="748"/>
      <c r="I35" s="748"/>
      <c r="J35" s="748"/>
      <c r="K35" s="749"/>
      <c r="L35" s="761"/>
      <c r="M35" s="751"/>
      <c r="N35" s="718"/>
      <c r="O35" s="766" t="s">
        <v>68</v>
      </c>
      <c r="P35" s="766"/>
      <c r="Q35" s="748" t="s">
        <v>307</v>
      </c>
      <c r="R35" s="748"/>
      <c r="S35" s="748"/>
      <c r="T35" s="748"/>
      <c r="U35" s="748"/>
      <c r="V35" s="748"/>
      <c r="W35" s="749"/>
      <c r="X35" s="751"/>
    </row>
    <row r="36" spans="1:24" ht="35.25" customHeight="1">
      <c r="A36" s="751"/>
      <c r="B36" s="718"/>
      <c r="C36" s="720"/>
      <c r="D36" s="720"/>
      <c r="E36" s="720"/>
      <c r="F36" s="720"/>
      <c r="G36" s="720"/>
      <c r="H36" s="720"/>
      <c r="I36" s="720"/>
      <c r="J36" s="720"/>
      <c r="K36" s="721"/>
      <c r="L36" s="761"/>
      <c r="M36" s="751"/>
      <c r="N36" s="718"/>
      <c r="O36" s="720"/>
      <c r="P36" s="720"/>
      <c r="Q36" s="720"/>
      <c r="R36" s="720"/>
      <c r="S36" s="720"/>
      <c r="T36" s="720"/>
      <c r="U36" s="720"/>
      <c r="V36" s="720"/>
      <c r="W36" s="721"/>
      <c r="X36" s="751"/>
    </row>
    <row r="37" spans="1:24" ht="35.25" customHeight="1">
      <c r="A37" s="751"/>
      <c r="B37" s="718"/>
      <c r="C37" s="21" t="s">
        <v>69</v>
      </c>
      <c r="D37" s="730">
        <f>G33</f>
        <v>0</v>
      </c>
      <c r="E37" s="730"/>
      <c r="F37" s="722"/>
      <c r="G37" s="720"/>
      <c r="H37" s="720"/>
      <c r="I37" s="720"/>
      <c r="J37" s="720"/>
      <c r="K37" s="721"/>
      <c r="L37" s="761"/>
      <c r="M37" s="751"/>
      <c r="N37" s="718"/>
      <c r="O37" s="21" t="s">
        <v>69</v>
      </c>
      <c r="P37" s="730">
        <f>S33</f>
        <v>0</v>
      </c>
      <c r="Q37" s="730"/>
      <c r="R37" s="722"/>
      <c r="S37" s="720"/>
      <c r="T37" s="720"/>
      <c r="U37" s="720"/>
      <c r="V37" s="720"/>
      <c r="W37" s="721"/>
      <c r="X37" s="751"/>
    </row>
    <row r="38" spans="1:24" ht="35.25" customHeight="1">
      <c r="A38" s="751"/>
      <c r="B38" s="718"/>
      <c r="C38" s="735"/>
      <c r="D38" s="735"/>
      <c r="E38" s="735"/>
      <c r="F38" s="735"/>
      <c r="G38" s="735"/>
      <c r="H38" s="735"/>
      <c r="I38" s="735"/>
      <c r="J38" s="735"/>
      <c r="K38" s="736"/>
      <c r="L38" s="761"/>
      <c r="M38" s="751"/>
      <c r="N38" s="718"/>
      <c r="O38" s="735"/>
      <c r="P38" s="735"/>
      <c r="Q38" s="735"/>
      <c r="R38" s="735"/>
      <c r="S38" s="735"/>
      <c r="T38" s="735"/>
      <c r="U38" s="735"/>
      <c r="V38" s="735"/>
      <c r="W38" s="736"/>
      <c r="X38" s="751"/>
    </row>
    <row r="39" spans="1:24" ht="35.25" customHeight="1">
      <c r="A39" s="751"/>
      <c r="B39" s="718"/>
      <c r="C39" s="21" t="s">
        <v>70</v>
      </c>
      <c r="D39" s="755">
        <f>K29</f>
        <v>0</v>
      </c>
      <c r="E39" s="755"/>
      <c r="F39" s="763"/>
      <c r="G39" s="764"/>
      <c r="H39" s="764"/>
      <c r="I39" s="764"/>
      <c r="J39" s="764"/>
      <c r="K39" s="765"/>
      <c r="L39" s="761"/>
      <c r="M39" s="751"/>
      <c r="N39" s="718"/>
      <c r="O39" s="21" t="s">
        <v>70</v>
      </c>
      <c r="P39" s="755">
        <f>W29</f>
        <v>0</v>
      </c>
      <c r="Q39" s="755"/>
      <c r="R39" s="763"/>
      <c r="S39" s="764"/>
      <c r="T39" s="764"/>
      <c r="U39" s="764"/>
      <c r="V39" s="764"/>
      <c r="W39" s="765"/>
      <c r="X39" s="751"/>
    </row>
    <row r="40" spans="1:24" ht="35.25" customHeight="1" thickBot="1">
      <c r="A40" s="751"/>
      <c r="B40" s="718"/>
      <c r="C40" s="735"/>
      <c r="D40" s="735"/>
      <c r="E40" s="735"/>
      <c r="F40" s="735"/>
      <c r="G40" s="735"/>
      <c r="H40" s="735"/>
      <c r="I40" s="735"/>
      <c r="J40" s="735"/>
      <c r="K40" s="736"/>
      <c r="L40" s="761"/>
      <c r="M40" s="751"/>
      <c r="N40" s="718"/>
      <c r="O40" s="735"/>
      <c r="P40" s="735"/>
      <c r="Q40" s="735"/>
      <c r="R40" s="735"/>
      <c r="S40" s="735"/>
      <c r="T40" s="735"/>
      <c r="U40" s="735"/>
      <c r="V40" s="735"/>
      <c r="W40" s="736"/>
      <c r="X40" s="751"/>
    </row>
    <row r="41" spans="1:24" ht="35.25" customHeight="1">
      <c r="A41" s="751"/>
      <c r="B41" s="718"/>
      <c r="C41" s="735"/>
      <c r="D41" s="735"/>
      <c r="E41" s="735"/>
      <c r="F41" s="735"/>
      <c r="G41" s="742" t="s">
        <v>71</v>
      </c>
      <c r="H41" s="743"/>
      <c r="I41" s="743"/>
      <c r="J41" s="743"/>
      <c r="K41" s="744"/>
      <c r="L41" s="761"/>
      <c r="M41" s="751"/>
      <c r="N41" s="718"/>
      <c r="O41" s="735"/>
      <c r="P41" s="735"/>
      <c r="Q41" s="735"/>
      <c r="R41" s="735"/>
      <c r="S41" s="742" t="s">
        <v>71</v>
      </c>
      <c r="T41" s="743"/>
      <c r="U41" s="743"/>
      <c r="V41" s="743"/>
      <c r="W41" s="744"/>
      <c r="X41" s="751"/>
    </row>
    <row r="42" spans="1:24" ht="35.25" customHeight="1">
      <c r="A42" s="751"/>
      <c r="B42" s="718"/>
      <c r="C42" s="735"/>
      <c r="D42" s="735"/>
      <c r="E42" s="735"/>
      <c r="F42" s="735"/>
      <c r="G42" s="752" t="s">
        <v>72</v>
      </c>
      <c r="H42" s="753"/>
      <c r="I42" s="753"/>
      <c r="J42" s="753"/>
      <c r="K42" s="754"/>
      <c r="L42" s="761"/>
      <c r="M42" s="751"/>
      <c r="N42" s="718"/>
      <c r="O42" s="735"/>
      <c r="P42" s="735"/>
      <c r="Q42" s="735"/>
      <c r="R42" s="735"/>
      <c r="S42" s="752" t="s">
        <v>72</v>
      </c>
      <c r="T42" s="753"/>
      <c r="U42" s="753"/>
      <c r="V42" s="753"/>
      <c r="W42" s="754"/>
      <c r="X42" s="751"/>
    </row>
    <row r="43" spans="1:24" ht="35.25" customHeight="1">
      <c r="A43" s="751"/>
      <c r="B43" s="718"/>
      <c r="C43" s="735"/>
      <c r="D43" s="735"/>
      <c r="E43" s="735"/>
      <c r="F43" s="735"/>
      <c r="G43" s="725" t="s">
        <v>73</v>
      </c>
      <c r="H43" s="726"/>
      <c r="I43" s="727">
        <f>D30</f>
        <v>0</v>
      </c>
      <c r="J43" s="727"/>
      <c r="K43" s="728"/>
      <c r="L43" s="761"/>
      <c r="M43" s="751"/>
      <c r="N43" s="718"/>
      <c r="O43" s="735"/>
      <c r="P43" s="735"/>
      <c r="Q43" s="735"/>
      <c r="R43" s="735"/>
      <c r="S43" s="725" t="s">
        <v>73</v>
      </c>
      <c r="T43" s="726"/>
      <c r="U43" s="727">
        <f>P30</f>
        <v>0</v>
      </c>
      <c r="V43" s="727"/>
      <c r="W43" s="728"/>
      <c r="X43" s="751"/>
    </row>
    <row r="44" spans="1:24" ht="35.25" customHeight="1">
      <c r="A44" s="751"/>
      <c r="B44" s="718"/>
      <c r="C44" s="735"/>
      <c r="D44" s="735"/>
      <c r="E44" s="735"/>
      <c r="F44" s="735"/>
      <c r="G44" s="729" t="s">
        <v>74</v>
      </c>
      <c r="H44" s="730"/>
      <c r="I44" s="730"/>
      <c r="J44" s="730"/>
      <c r="K44" s="731"/>
      <c r="L44" s="761"/>
      <c r="M44" s="751"/>
      <c r="N44" s="718"/>
      <c r="O44" s="735"/>
      <c r="P44" s="735"/>
      <c r="Q44" s="735"/>
      <c r="R44" s="735"/>
      <c r="S44" s="729" t="s">
        <v>74</v>
      </c>
      <c r="T44" s="730"/>
      <c r="U44" s="730"/>
      <c r="V44" s="730"/>
      <c r="W44" s="731"/>
      <c r="X44" s="751"/>
    </row>
    <row r="45" spans="1:24" ht="35.25" customHeight="1">
      <c r="A45" s="751"/>
      <c r="B45" s="718"/>
      <c r="C45" s="735"/>
      <c r="D45" s="735"/>
      <c r="E45" s="735"/>
      <c r="F45" s="735"/>
      <c r="G45" s="737">
        <f>'Exemp.(HRA+Other) &amp; Other incom'!$P$4</f>
        <v>0</v>
      </c>
      <c r="H45" s="738"/>
      <c r="I45" s="738"/>
      <c r="J45" s="738"/>
      <c r="K45" s="739"/>
      <c r="L45" s="761"/>
      <c r="M45" s="751"/>
      <c r="N45" s="718"/>
      <c r="O45" s="735"/>
      <c r="P45" s="735"/>
      <c r="Q45" s="735"/>
      <c r="R45" s="735"/>
      <c r="S45" s="737">
        <f>'Exemp.(HRA+Other) &amp; Other incom'!$P$4</f>
        <v>0</v>
      </c>
      <c r="T45" s="738"/>
      <c r="U45" s="738"/>
      <c r="V45" s="738"/>
      <c r="W45" s="739"/>
      <c r="X45" s="751"/>
    </row>
    <row r="46" spans="1:24" ht="35.25" customHeight="1">
      <c r="A46" s="751"/>
      <c r="B46" s="718"/>
      <c r="C46" s="735"/>
      <c r="D46" s="735"/>
      <c r="E46" s="735"/>
      <c r="F46" s="735"/>
      <c r="G46" s="737"/>
      <c r="H46" s="738"/>
      <c r="I46" s="738"/>
      <c r="J46" s="738"/>
      <c r="K46" s="739"/>
      <c r="L46" s="761"/>
      <c r="M46" s="751"/>
      <c r="N46" s="718"/>
      <c r="O46" s="735"/>
      <c r="P46" s="735"/>
      <c r="Q46" s="735"/>
      <c r="R46" s="735"/>
      <c r="S46" s="737"/>
      <c r="T46" s="738"/>
      <c r="U46" s="738"/>
      <c r="V46" s="738"/>
      <c r="W46" s="739"/>
      <c r="X46" s="751"/>
    </row>
    <row r="47" spans="1:24" ht="35.25" customHeight="1" thickBot="1">
      <c r="A47" s="751"/>
      <c r="B47" s="718"/>
      <c r="C47" s="735"/>
      <c r="D47" s="735"/>
      <c r="E47" s="735"/>
      <c r="F47" s="735"/>
      <c r="G47" s="740" t="s">
        <v>75</v>
      </c>
      <c r="H47" s="741"/>
      <c r="I47" s="741"/>
      <c r="J47" s="759">
        <f>'Exemp.(HRA+Other) &amp; Other incom'!$Q$4</f>
        <v>0</v>
      </c>
      <c r="K47" s="760"/>
      <c r="L47" s="761"/>
      <c r="M47" s="751"/>
      <c r="N47" s="718"/>
      <c r="O47" s="735"/>
      <c r="P47" s="735"/>
      <c r="Q47" s="735"/>
      <c r="R47" s="735"/>
      <c r="S47" s="740" t="s">
        <v>75</v>
      </c>
      <c r="T47" s="741"/>
      <c r="U47" s="741"/>
      <c r="V47" s="759">
        <f>'Exemp.(HRA+Other) &amp; Other incom'!$Q$4</f>
        <v>0</v>
      </c>
      <c r="W47" s="760"/>
      <c r="X47" s="751"/>
    </row>
    <row r="48" spans="1:24" ht="35.25" customHeight="1" thickBot="1">
      <c r="A48" s="751"/>
      <c r="B48" s="719"/>
      <c r="C48" s="723"/>
      <c r="D48" s="723"/>
      <c r="E48" s="723"/>
      <c r="F48" s="723"/>
      <c r="G48" s="723"/>
      <c r="H48" s="723"/>
      <c r="I48" s="723"/>
      <c r="J48" s="723"/>
      <c r="K48" s="724"/>
      <c r="L48" s="761"/>
      <c r="M48" s="751"/>
      <c r="N48" s="719"/>
      <c r="O48" s="723"/>
      <c r="P48" s="723"/>
      <c r="Q48" s="723"/>
      <c r="R48" s="723"/>
      <c r="S48" s="723"/>
      <c r="T48" s="723"/>
      <c r="U48" s="723"/>
      <c r="V48" s="723"/>
      <c r="W48" s="724"/>
      <c r="X48" s="751"/>
    </row>
    <row r="49" spans="1:48">
      <c r="A49" s="751"/>
      <c r="B49" s="751"/>
      <c r="C49" s="751"/>
      <c r="D49" s="751"/>
      <c r="E49" s="751"/>
      <c r="F49" s="751"/>
      <c r="G49" s="751"/>
      <c r="H49" s="751"/>
      <c r="I49" s="751"/>
      <c r="J49" s="751"/>
      <c r="K49" s="751"/>
      <c r="L49" s="751"/>
      <c r="M49" s="751"/>
      <c r="N49" s="751"/>
      <c r="O49" s="751"/>
      <c r="P49" s="751"/>
      <c r="Q49" s="751"/>
      <c r="R49" s="751"/>
      <c r="S49" s="751"/>
      <c r="T49" s="751"/>
      <c r="U49" s="751"/>
      <c r="V49" s="751"/>
      <c r="W49" s="751"/>
      <c r="X49" s="751"/>
    </row>
    <row r="50" spans="1:48">
      <c r="A50" s="751"/>
      <c r="B50" s="751"/>
      <c r="C50" s="751"/>
      <c r="D50" s="751"/>
      <c r="E50" s="751"/>
      <c r="F50" s="751"/>
      <c r="G50" s="751"/>
      <c r="H50" s="751"/>
      <c r="I50" s="751"/>
      <c r="J50" s="751"/>
      <c r="K50" s="751"/>
      <c r="L50" s="751"/>
      <c r="M50" s="751"/>
      <c r="N50" s="751"/>
      <c r="O50" s="751"/>
      <c r="P50" s="751"/>
      <c r="Q50" s="751"/>
      <c r="R50" s="751"/>
      <c r="S50" s="751"/>
      <c r="T50" s="751"/>
      <c r="U50" s="751"/>
      <c r="V50" s="751"/>
      <c r="W50" s="751"/>
      <c r="X50" s="751"/>
    </row>
    <row r="51" spans="1:48">
      <c r="A51" s="751"/>
      <c r="B51" s="751"/>
      <c r="C51" s="751"/>
      <c r="D51" s="751"/>
      <c r="E51" s="751"/>
      <c r="F51" s="751"/>
      <c r="G51" s="751"/>
      <c r="H51" s="751"/>
      <c r="I51" s="751"/>
      <c r="J51" s="751"/>
      <c r="K51" s="751"/>
      <c r="L51" s="751"/>
      <c r="M51" s="751"/>
      <c r="N51" s="751"/>
      <c r="O51" s="751"/>
      <c r="P51" s="751"/>
      <c r="Q51" s="751"/>
      <c r="R51" s="751"/>
      <c r="S51" s="751"/>
      <c r="T51" s="751"/>
      <c r="U51" s="751"/>
      <c r="V51" s="751"/>
      <c r="W51" s="751"/>
      <c r="X51" s="751"/>
    </row>
    <row r="52" spans="1:48">
      <c r="A52" s="751"/>
      <c r="B52" s="751"/>
      <c r="C52" s="751"/>
      <c r="D52" s="751"/>
      <c r="E52" s="751"/>
      <c r="F52" s="751"/>
      <c r="G52" s="751"/>
      <c r="H52" s="751"/>
      <c r="I52" s="751"/>
      <c r="J52" s="751"/>
      <c r="K52" s="751"/>
      <c r="L52" s="751"/>
      <c r="M52" s="751"/>
      <c r="N52" s="751"/>
      <c r="O52" s="751"/>
      <c r="P52" s="751"/>
      <c r="Q52" s="751"/>
      <c r="R52" s="751"/>
      <c r="S52" s="751"/>
      <c r="T52" s="751"/>
      <c r="U52" s="751"/>
      <c r="V52" s="751"/>
      <c r="W52" s="751"/>
      <c r="X52" s="751"/>
    </row>
    <row r="53" spans="1:48">
      <c r="A53" s="751"/>
      <c r="B53" s="751"/>
      <c r="C53" s="751"/>
      <c r="D53" s="751"/>
      <c r="E53" s="751"/>
      <c r="F53" s="751"/>
      <c r="G53" s="751"/>
      <c r="H53" s="751"/>
      <c r="I53" s="751"/>
      <c r="J53" s="751"/>
      <c r="K53" s="751"/>
      <c r="L53" s="751"/>
      <c r="M53" s="751"/>
      <c r="N53" s="751"/>
      <c r="O53" s="751"/>
      <c r="P53" s="751"/>
      <c r="Q53" s="751"/>
      <c r="R53" s="751"/>
      <c r="S53" s="751"/>
      <c r="T53" s="751"/>
      <c r="U53" s="751"/>
      <c r="V53" s="751"/>
      <c r="W53" s="751"/>
      <c r="X53" s="751"/>
    </row>
    <row r="54" spans="1:48">
      <c r="A54" s="751"/>
      <c r="B54" s="751"/>
      <c r="C54" s="751"/>
      <c r="D54" s="751"/>
      <c r="E54" s="751"/>
      <c r="F54" s="751"/>
      <c r="G54" s="751"/>
      <c r="H54" s="751"/>
      <c r="I54" s="751"/>
      <c r="J54" s="751"/>
      <c r="K54" s="751"/>
      <c r="L54" s="751"/>
      <c r="M54" s="751"/>
      <c r="N54" s="751"/>
      <c r="O54" s="751"/>
      <c r="P54" s="751"/>
      <c r="Q54" s="751"/>
      <c r="R54" s="751"/>
      <c r="S54" s="751"/>
      <c r="T54" s="751"/>
      <c r="U54" s="751"/>
      <c r="V54" s="751"/>
      <c r="W54" s="751"/>
      <c r="X54" s="751"/>
    </row>
    <row r="55" spans="1:48">
      <c r="A55" s="751"/>
      <c r="B55" s="751"/>
      <c r="C55" s="751"/>
      <c r="D55" s="751"/>
      <c r="E55" s="751"/>
      <c r="F55" s="751"/>
      <c r="G55" s="751"/>
      <c r="H55" s="751"/>
      <c r="I55" s="751"/>
      <c r="J55" s="751"/>
      <c r="K55" s="751"/>
      <c r="L55" s="751"/>
      <c r="M55" s="751"/>
      <c r="N55" s="751"/>
      <c r="O55" s="751"/>
      <c r="P55" s="751"/>
      <c r="Q55" s="751"/>
      <c r="R55" s="751"/>
      <c r="S55" s="751"/>
      <c r="T55" s="751"/>
      <c r="U55" s="751"/>
      <c r="V55" s="751"/>
      <c r="W55" s="751"/>
      <c r="X55" s="751"/>
    </row>
    <row r="56" spans="1:48" ht="35.25" customHeight="1" thickBot="1">
      <c r="A56" s="751"/>
      <c r="B56" s="751"/>
      <c r="C56" s="751"/>
      <c r="D56" s="751"/>
      <c r="E56" s="751"/>
      <c r="F56" s="751"/>
      <c r="G56" s="751"/>
      <c r="H56" s="751"/>
      <c r="I56" s="751"/>
      <c r="J56" s="751"/>
      <c r="K56" s="751"/>
      <c r="L56" s="751"/>
      <c r="M56" s="751"/>
      <c r="N56" s="751"/>
      <c r="O56" s="751"/>
      <c r="P56" s="751"/>
      <c r="Q56" s="751"/>
      <c r="R56" s="751"/>
      <c r="S56" s="751"/>
      <c r="T56" s="751"/>
      <c r="U56" s="751"/>
      <c r="V56" s="751"/>
      <c r="W56" s="751"/>
      <c r="X56" s="772"/>
      <c r="Y56" s="772"/>
      <c r="Z56" s="772"/>
      <c r="AA56" s="772"/>
      <c r="AB56" s="772"/>
      <c r="AC56" s="772"/>
      <c r="AD56" s="772"/>
      <c r="AE56" s="772"/>
      <c r="AF56" s="772"/>
      <c r="AG56" s="772"/>
      <c r="AH56" s="772"/>
      <c r="AI56" s="772"/>
      <c r="AJ56" s="772"/>
      <c r="AK56" s="772"/>
      <c r="AL56" s="772"/>
      <c r="AM56" s="772"/>
      <c r="AN56" s="772"/>
      <c r="AO56" s="772"/>
      <c r="AP56" s="772"/>
      <c r="AQ56" s="772"/>
      <c r="AR56" s="772"/>
      <c r="AS56" s="772"/>
      <c r="AT56" s="772"/>
      <c r="AU56" s="772"/>
      <c r="AV56" s="772"/>
    </row>
    <row r="57" spans="1:48" ht="35.25" customHeight="1">
      <c r="A57" s="107"/>
      <c r="B57" s="19">
        <v>1</v>
      </c>
      <c r="C57" s="767" t="s">
        <v>62</v>
      </c>
      <c r="D57" s="767"/>
      <c r="E57" s="767"/>
      <c r="F57" s="767"/>
      <c r="G57" s="767"/>
      <c r="H57" s="767"/>
      <c r="I57" s="767"/>
      <c r="J57" s="767"/>
      <c r="K57" s="768"/>
      <c r="L57" s="107"/>
      <c r="M57" s="107"/>
      <c r="N57" s="19">
        <v>2</v>
      </c>
      <c r="O57" s="767" t="s">
        <v>62</v>
      </c>
      <c r="P57" s="767"/>
      <c r="Q57" s="767"/>
      <c r="R57" s="767"/>
      <c r="S57" s="767"/>
      <c r="T57" s="767"/>
      <c r="U57" s="767"/>
      <c r="V57" s="767"/>
      <c r="W57" s="768"/>
      <c r="X57" s="772"/>
      <c r="Y57" s="772"/>
      <c r="Z57" s="772"/>
      <c r="AA57" s="772"/>
      <c r="AB57" s="772"/>
      <c r="AC57" s="772"/>
      <c r="AD57" s="772"/>
      <c r="AE57" s="772"/>
      <c r="AF57" s="772"/>
      <c r="AG57" s="772"/>
      <c r="AH57" s="772"/>
      <c r="AI57" s="772"/>
      <c r="AJ57" s="772"/>
      <c r="AK57" s="772"/>
      <c r="AL57" s="772"/>
      <c r="AM57" s="772"/>
      <c r="AN57" s="772"/>
      <c r="AO57" s="772"/>
      <c r="AP57" s="772"/>
      <c r="AQ57" s="772"/>
      <c r="AR57" s="772"/>
      <c r="AS57" s="772"/>
      <c r="AT57" s="772"/>
      <c r="AU57" s="772"/>
      <c r="AV57" s="772"/>
    </row>
    <row r="58" spans="1:48" ht="35.25" customHeight="1">
      <c r="A58" s="107"/>
      <c r="B58" s="732" t="s">
        <v>63</v>
      </c>
      <c r="C58" s="733"/>
      <c r="D58" s="733"/>
      <c r="E58" s="733"/>
      <c r="F58" s="733"/>
      <c r="G58" s="733"/>
      <c r="H58" s="733"/>
      <c r="I58" s="733"/>
      <c r="J58" s="733"/>
      <c r="K58" s="734"/>
      <c r="L58" s="107"/>
      <c r="M58" s="107"/>
      <c r="N58" s="732" t="s">
        <v>63</v>
      </c>
      <c r="O58" s="733"/>
      <c r="P58" s="733"/>
      <c r="Q58" s="733"/>
      <c r="R58" s="733"/>
      <c r="S58" s="733"/>
      <c r="T58" s="733"/>
      <c r="U58" s="733"/>
      <c r="V58" s="733"/>
      <c r="W58" s="734"/>
      <c r="X58" s="772"/>
      <c r="Y58" s="772"/>
      <c r="Z58" s="772"/>
      <c r="AA58" s="772"/>
      <c r="AB58" s="772"/>
      <c r="AC58" s="772"/>
      <c r="AD58" s="772"/>
      <c r="AE58" s="772"/>
      <c r="AF58" s="772"/>
      <c r="AG58" s="772"/>
      <c r="AH58" s="772"/>
      <c r="AI58" s="772"/>
      <c r="AJ58" s="772"/>
      <c r="AK58" s="772"/>
      <c r="AL58" s="772"/>
      <c r="AM58" s="772"/>
      <c r="AN58" s="772"/>
      <c r="AO58" s="772"/>
      <c r="AP58" s="772"/>
      <c r="AQ58" s="772"/>
      <c r="AR58" s="772"/>
      <c r="AS58" s="772"/>
      <c r="AT58" s="772"/>
      <c r="AU58" s="772"/>
      <c r="AV58" s="772"/>
    </row>
    <row r="59" spans="1:48" ht="35.25" customHeight="1" thickBot="1">
      <c r="A59" s="107"/>
      <c r="B59" s="756"/>
      <c r="C59" s="757"/>
      <c r="D59" s="757"/>
      <c r="E59" s="757"/>
      <c r="F59" s="757"/>
      <c r="G59" s="757"/>
      <c r="H59" s="757"/>
      <c r="I59" s="757"/>
      <c r="J59" s="757"/>
      <c r="K59" s="758"/>
      <c r="L59" s="107"/>
      <c r="M59" s="107"/>
      <c r="N59" s="756"/>
      <c r="O59" s="757"/>
      <c r="P59" s="757"/>
      <c r="Q59" s="757"/>
      <c r="R59" s="757"/>
      <c r="S59" s="757"/>
      <c r="T59" s="757"/>
      <c r="U59" s="757"/>
      <c r="V59" s="757"/>
      <c r="W59" s="758"/>
      <c r="X59" s="772"/>
      <c r="Y59" s="772"/>
      <c r="Z59" s="772"/>
      <c r="AA59" s="772"/>
      <c r="AB59" s="772"/>
      <c r="AC59" s="772"/>
      <c r="AD59" s="772"/>
      <c r="AE59" s="772"/>
      <c r="AF59" s="772"/>
      <c r="AG59" s="772"/>
      <c r="AH59" s="772"/>
      <c r="AI59" s="772"/>
      <c r="AJ59" s="772"/>
      <c r="AK59" s="772"/>
      <c r="AL59" s="772"/>
      <c r="AM59" s="772"/>
      <c r="AN59" s="772"/>
      <c r="AO59" s="772"/>
      <c r="AP59" s="772"/>
      <c r="AQ59" s="772"/>
      <c r="AR59" s="772"/>
      <c r="AS59" s="772"/>
      <c r="AT59" s="772"/>
      <c r="AU59" s="772"/>
      <c r="AV59" s="772"/>
    </row>
    <row r="60" spans="1:48" ht="35.25" customHeight="1">
      <c r="A60" s="107"/>
      <c r="B60" s="716"/>
      <c r="C60" s="717"/>
      <c r="D60" s="717"/>
      <c r="E60" s="717"/>
      <c r="F60" s="717"/>
      <c r="G60" s="717"/>
      <c r="H60" s="717"/>
      <c r="I60" s="715" t="s">
        <v>64</v>
      </c>
      <c r="J60" s="715"/>
      <c r="K60" s="20"/>
      <c r="L60" s="107"/>
      <c r="M60" s="107"/>
      <c r="N60" s="716"/>
      <c r="O60" s="717"/>
      <c r="P60" s="717"/>
      <c r="Q60" s="717"/>
      <c r="R60" s="717"/>
      <c r="S60" s="717"/>
      <c r="T60" s="717"/>
      <c r="U60" s="715" t="s">
        <v>64</v>
      </c>
      <c r="V60" s="715"/>
      <c r="W60" s="20"/>
      <c r="X60" s="772"/>
      <c r="Y60" s="772"/>
      <c r="Z60" s="772"/>
      <c r="AA60" s="772"/>
      <c r="AB60" s="772"/>
      <c r="AC60" s="772"/>
      <c r="AD60" s="772"/>
      <c r="AE60" s="772"/>
      <c r="AF60" s="772"/>
      <c r="AG60" s="772"/>
      <c r="AH60" s="772"/>
      <c r="AI60" s="772"/>
      <c r="AJ60" s="772"/>
      <c r="AK60" s="772"/>
      <c r="AL60" s="772"/>
      <c r="AM60" s="772"/>
      <c r="AN60" s="772"/>
      <c r="AO60" s="772"/>
      <c r="AP60" s="772"/>
      <c r="AQ60" s="772"/>
      <c r="AR60" s="772"/>
      <c r="AS60" s="772"/>
      <c r="AT60" s="772"/>
      <c r="AU60" s="772"/>
      <c r="AV60" s="772"/>
    </row>
    <row r="61" spans="1:48" ht="35.25" customHeight="1">
      <c r="A61" s="107"/>
      <c r="B61" s="718"/>
      <c r="C61" s="21" t="s">
        <v>65</v>
      </c>
      <c r="D61" s="711">
        <f>'Exemp.(HRA+Other) &amp; Other incom'!$O$4</f>
        <v>0</v>
      </c>
      <c r="E61" s="711"/>
      <c r="F61" s="711"/>
      <c r="G61" s="711"/>
      <c r="H61" s="711"/>
      <c r="I61" s="711"/>
      <c r="J61" s="711"/>
      <c r="K61" s="712"/>
      <c r="L61" s="107"/>
      <c r="M61" s="107"/>
      <c r="N61" s="718"/>
      <c r="O61" s="21" t="s">
        <v>65</v>
      </c>
      <c r="P61" s="711">
        <f>'Exemp.(HRA+Other) &amp; Other incom'!$O$4</f>
        <v>0</v>
      </c>
      <c r="Q61" s="711"/>
      <c r="R61" s="711"/>
      <c r="S61" s="711"/>
      <c r="T61" s="711"/>
      <c r="U61" s="711"/>
      <c r="V61" s="711"/>
      <c r="W61" s="712"/>
      <c r="X61" s="772"/>
      <c r="Y61" s="772"/>
      <c r="Z61" s="772"/>
      <c r="AA61" s="772"/>
      <c r="AB61" s="772"/>
      <c r="AC61" s="772"/>
      <c r="AD61" s="772"/>
      <c r="AE61" s="772"/>
      <c r="AF61" s="772"/>
      <c r="AG61" s="772"/>
      <c r="AH61" s="772"/>
      <c r="AI61" s="772"/>
      <c r="AJ61" s="772"/>
      <c r="AK61" s="772"/>
      <c r="AL61" s="772"/>
      <c r="AM61" s="772"/>
      <c r="AN61" s="772"/>
      <c r="AO61" s="772"/>
      <c r="AP61" s="772"/>
      <c r="AQ61" s="772"/>
      <c r="AR61" s="772"/>
      <c r="AS61" s="772"/>
      <c r="AT61" s="772"/>
      <c r="AU61" s="772"/>
      <c r="AV61" s="772"/>
    </row>
    <row r="62" spans="1:48" ht="35.25" customHeight="1">
      <c r="A62" s="107"/>
      <c r="B62" s="718"/>
      <c r="C62" s="21"/>
      <c r="D62" s="713" t="s">
        <v>66</v>
      </c>
      <c r="E62" s="713"/>
      <c r="F62" s="713"/>
      <c r="G62" s="713"/>
      <c r="H62" s="714">
        <f>'Exemp.(HRA+Other) &amp; Other incom'!$A$4</f>
        <v>0</v>
      </c>
      <c r="I62" s="714"/>
      <c r="J62" s="714"/>
      <c r="K62" s="284" t="str">
        <f>CONCATENATE("(",'Exemp.(HRA+Other) &amp; Other incom'!$C$4,")")</f>
        <v>(0)</v>
      </c>
      <c r="L62" s="107"/>
      <c r="M62" s="107"/>
      <c r="N62" s="718"/>
      <c r="O62" s="21"/>
      <c r="P62" s="713" t="s">
        <v>66</v>
      </c>
      <c r="Q62" s="713"/>
      <c r="R62" s="713"/>
      <c r="S62" s="713"/>
      <c r="T62" s="714">
        <f>'Exemp.(HRA+Other) &amp; Other incom'!$A$4</f>
        <v>0</v>
      </c>
      <c r="U62" s="714"/>
      <c r="V62" s="714"/>
      <c r="W62" s="284" t="str">
        <f>CONCATENATE("(",'Exemp.(HRA+Other) &amp; Other incom'!$C$4,")")</f>
        <v>(0)</v>
      </c>
      <c r="X62" s="772"/>
      <c r="Y62" s="772"/>
      <c r="Z62" s="772"/>
      <c r="AA62" s="772"/>
      <c r="AB62" s="772"/>
      <c r="AC62" s="772"/>
      <c r="AD62" s="772"/>
      <c r="AE62" s="772"/>
      <c r="AF62" s="772"/>
      <c r="AG62" s="772"/>
      <c r="AH62" s="772"/>
      <c r="AI62" s="772"/>
      <c r="AJ62" s="772"/>
      <c r="AK62" s="772"/>
      <c r="AL62" s="772"/>
      <c r="AM62" s="772"/>
      <c r="AN62" s="772"/>
      <c r="AO62" s="772"/>
      <c r="AP62" s="772"/>
      <c r="AQ62" s="772"/>
      <c r="AR62" s="772"/>
      <c r="AS62" s="772"/>
      <c r="AT62" s="772"/>
      <c r="AU62" s="772"/>
      <c r="AV62" s="772"/>
    </row>
    <row r="63" spans="1:48" ht="35.25" customHeight="1">
      <c r="A63" s="107"/>
      <c r="B63" s="718"/>
      <c r="C63" s="21" t="s">
        <v>67</v>
      </c>
      <c r="D63" s="711" t="str">
        <f>'Basic Data'!$I$10</f>
        <v>Govt. Sr. School Raimalwada</v>
      </c>
      <c r="E63" s="711"/>
      <c r="F63" s="711"/>
      <c r="G63" s="711"/>
      <c r="H63" s="711"/>
      <c r="I63" s="711"/>
      <c r="J63" s="711"/>
      <c r="K63" s="712"/>
      <c r="L63" s="107"/>
      <c r="M63" s="107"/>
      <c r="N63" s="718"/>
      <c r="O63" s="21" t="s">
        <v>67</v>
      </c>
      <c r="P63" s="711" t="str">
        <f>'Basic Data'!$I$10</f>
        <v>Govt. Sr. School Raimalwada</v>
      </c>
      <c r="Q63" s="711"/>
      <c r="R63" s="711"/>
      <c r="S63" s="711"/>
      <c r="T63" s="711"/>
      <c r="U63" s="711"/>
      <c r="V63" s="711"/>
      <c r="W63" s="712"/>
      <c r="X63" s="772"/>
      <c r="Y63" s="772"/>
      <c r="Z63" s="772"/>
      <c r="AA63" s="772"/>
      <c r="AB63" s="772"/>
      <c r="AC63" s="772"/>
      <c r="AD63" s="772"/>
      <c r="AE63" s="772"/>
      <c r="AF63" s="772"/>
      <c r="AG63" s="772"/>
      <c r="AH63" s="772"/>
      <c r="AI63" s="772"/>
      <c r="AJ63" s="772"/>
      <c r="AK63" s="772"/>
      <c r="AL63" s="772"/>
      <c r="AM63" s="772"/>
      <c r="AN63" s="772"/>
      <c r="AO63" s="772"/>
      <c r="AP63" s="772"/>
      <c r="AQ63" s="772"/>
      <c r="AR63" s="772"/>
      <c r="AS63" s="772"/>
      <c r="AT63" s="772"/>
      <c r="AU63" s="772"/>
      <c r="AV63" s="772"/>
    </row>
    <row r="64" spans="1:48" ht="35.25" customHeight="1">
      <c r="A64" s="107"/>
      <c r="B64" s="718"/>
      <c r="C64" s="769" t="s">
        <v>78</v>
      </c>
      <c r="D64" s="769"/>
      <c r="E64" s="769"/>
      <c r="F64" s="769"/>
      <c r="G64" s="770">
        <f>G65*12</f>
        <v>0</v>
      </c>
      <c r="H64" s="770"/>
      <c r="I64" s="770"/>
      <c r="J64" s="770"/>
      <c r="K64" s="771"/>
      <c r="L64" s="107"/>
      <c r="M64" s="107"/>
      <c r="N64" s="718"/>
      <c r="O64" s="769" t="s">
        <v>78</v>
      </c>
      <c r="P64" s="769"/>
      <c r="Q64" s="769"/>
      <c r="R64" s="769"/>
      <c r="S64" s="770">
        <f>G65*12</f>
        <v>0</v>
      </c>
      <c r="T64" s="770"/>
      <c r="U64" s="770"/>
      <c r="V64" s="770"/>
      <c r="W64" s="771"/>
      <c r="X64" s="772"/>
      <c r="Y64" s="772"/>
      <c r="Z64" s="772"/>
      <c r="AA64" s="772"/>
      <c r="AB64" s="772"/>
      <c r="AC64" s="772"/>
      <c r="AD64" s="772"/>
      <c r="AE64" s="772"/>
      <c r="AF64" s="772"/>
      <c r="AG64" s="772"/>
      <c r="AH64" s="772"/>
      <c r="AI64" s="772"/>
      <c r="AJ64" s="772"/>
      <c r="AK64" s="772"/>
      <c r="AL64" s="772"/>
      <c r="AM64" s="772"/>
      <c r="AN64" s="772"/>
      <c r="AO64" s="772"/>
      <c r="AP64" s="772"/>
      <c r="AQ64" s="772"/>
      <c r="AR64" s="772"/>
      <c r="AS64" s="772"/>
      <c r="AT64" s="772"/>
      <c r="AU64" s="772"/>
      <c r="AV64" s="772"/>
    </row>
    <row r="65" spans="1:48" ht="35.25" customHeight="1">
      <c r="A65" s="107"/>
      <c r="B65" s="718"/>
      <c r="C65" s="769" t="s">
        <v>76</v>
      </c>
      <c r="D65" s="769"/>
      <c r="E65" s="769"/>
      <c r="F65" s="769"/>
      <c r="G65" s="770">
        <f>'Exemp.(HRA+Other) &amp; Other incom'!$M$4</f>
        <v>0</v>
      </c>
      <c r="H65" s="770"/>
      <c r="I65" s="770"/>
      <c r="J65" s="770"/>
      <c r="K65" s="771"/>
      <c r="L65" s="107"/>
      <c r="M65" s="107"/>
      <c r="N65" s="718"/>
      <c r="O65" s="769" t="s">
        <v>76</v>
      </c>
      <c r="P65" s="769"/>
      <c r="Q65" s="769"/>
      <c r="R65" s="769"/>
      <c r="S65" s="770">
        <f>'Exemp.(HRA+Other) &amp; Other incom'!$M$4</f>
        <v>0</v>
      </c>
      <c r="T65" s="770"/>
      <c r="U65" s="770"/>
      <c r="V65" s="770"/>
      <c r="W65" s="771"/>
      <c r="X65" s="772"/>
      <c r="Y65" s="772"/>
      <c r="Z65" s="772"/>
      <c r="AA65" s="772"/>
      <c r="AB65" s="772"/>
      <c r="AC65" s="772"/>
      <c r="AD65" s="772"/>
      <c r="AE65" s="772"/>
      <c r="AF65" s="772"/>
      <c r="AG65" s="772"/>
      <c r="AH65" s="772"/>
      <c r="AI65" s="772"/>
      <c r="AJ65" s="772"/>
      <c r="AK65" s="772"/>
      <c r="AL65" s="772"/>
      <c r="AM65" s="772"/>
      <c r="AN65" s="772"/>
      <c r="AO65" s="772"/>
      <c r="AP65" s="772"/>
      <c r="AQ65" s="772"/>
      <c r="AR65" s="772"/>
      <c r="AS65" s="772"/>
      <c r="AT65" s="772"/>
      <c r="AU65" s="772"/>
      <c r="AV65" s="772"/>
    </row>
    <row r="66" spans="1:48" ht="35.25" customHeight="1">
      <c r="A66" s="107"/>
      <c r="B66" s="718"/>
      <c r="C66" s="766" t="s">
        <v>68</v>
      </c>
      <c r="D66" s="766"/>
      <c r="E66" s="748" t="s">
        <v>316</v>
      </c>
      <c r="F66" s="748"/>
      <c r="G66" s="748"/>
      <c r="H66" s="748"/>
      <c r="I66" s="748"/>
      <c r="J66" s="748"/>
      <c r="K66" s="749"/>
      <c r="L66" s="107"/>
      <c r="M66" s="107"/>
      <c r="N66" s="718"/>
      <c r="O66" s="766" t="s">
        <v>68</v>
      </c>
      <c r="P66" s="766"/>
      <c r="Q66" s="748" t="str">
        <f>E66</f>
        <v>1 April, 2024 To 31 March, 2025</v>
      </c>
      <c r="R66" s="748"/>
      <c r="S66" s="748"/>
      <c r="T66" s="748"/>
      <c r="U66" s="748"/>
      <c r="V66" s="748"/>
      <c r="W66" s="749"/>
      <c r="X66" s="772"/>
      <c r="Y66" s="772"/>
      <c r="Z66" s="772"/>
      <c r="AA66" s="772"/>
      <c r="AB66" s="772"/>
      <c r="AC66" s="772"/>
      <c r="AD66" s="772"/>
      <c r="AE66" s="772"/>
      <c r="AF66" s="772"/>
      <c r="AG66" s="772"/>
      <c r="AH66" s="772"/>
      <c r="AI66" s="772"/>
      <c r="AJ66" s="772"/>
      <c r="AK66" s="772"/>
      <c r="AL66" s="772"/>
      <c r="AM66" s="772"/>
      <c r="AN66" s="772"/>
      <c r="AO66" s="772"/>
      <c r="AP66" s="772"/>
      <c r="AQ66" s="772"/>
      <c r="AR66" s="772"/>
      <c r="AS66" s="772"/>
      <c r="AT66" s="772"/>
      <c r="AU66" s="772"/>
      <c r="AV66" s="772"/>
    </row>
    <row r="67" spans="1:48" ht="35.25" customHeight="1">
      <c r="A67" s="107"/>
      <c r="B67" s="718"/>
      <c r="C67" s="720"/>
      <c r="D67" s="720"/>
      <c r="E67" s="720"/>
      <c r="F67" s="720"/>
      <c r="G67" s="720"/>
      <c r="H67" s="720"/>
      <c r="I67" s="720"/>
      <c r="J67" s="720"/>
      <c r="K67" s="721"/>
      <c r="L67" s="107"/>
      <c r="M67" s="107"/>
      <c r="N67" s="718"/>
      <c r="O67" s="720"/>
      <c r="P67" s="720"/>
      <c r="Q67" s="720"/>
      <c r="R67" s="720"/>
      <c r="S67" s="720"/>
      <c r="T67" s="720"/>
      <c r="U67" s="720"/>
      <c r="V67" s="720"/>
      <c r="W67" s="721"/>
      <c r="X67" s="772"/>
      <c r="Y67" s="772"/>
      <c r="Z67" s="772"/>
      <c r="AA67" s="772"/>
      <c r="AB67" s="772"/>
      <c r="AC67" s="772"/>
      <c r="AD67" s="772"/>
      <c r="AE67" s="772"/>
      <c r="AF67" s="772"/>
      <c r="AG67" s="772"/>
      <c r="AH67" s="772"/>
      <c r="AI67" s="772"/>
      <c r="AJ67" s="772"/>
      <c r="AK67" s="772"/>
      <c r="AL67" s="772"/>
      <c r="AM67" s="772"/>
      <c r="AN67" s="772"/>
      <c r="AO67" s="772"/>
      <c r="AP67" s="772"/>
      <c r="AQ67" s="772"/>
      <c r="AR67" s="772"/>
      <c r="AS67" s="772"/>
      <c r="AT67" s="772"/>
      <c r="AU67" s="772"/>
      <c r="AV67" s="772"/>
    </row>
    <row r="68" spans="1:48" ht="35.25" customHeight="1">
      <c r="A68" s="107"/>
      <c r="B68" s="718"/>
      <c r="C68" s="21" t="s">
        <v>69</v>
      </c>
      <c r="D68" s="730">
        <f>G64</f>
        <v>0</v>
      </c>
      <c r="E68" s="730"/>
      <c r="F68" s="722"/>
      <c r="G68" s="720"/>
      <c r="H68" s="720"/>
      <c r="I68" s="720"/>
      <c r="J68" s="720"/>
      <c r="K68" s="721"/>
      <c r="L68" s="107"/>
      <c r="M68" s="107"/>
      <c r="N68" s="718"/>
      <c r="O68" s="21" t="s">
        <v>69</v>
      </c>
      <c r="P68" s="730">
        <f>G64</f>
        <v>0</v>
      </c>
      <c r="Q68" s="730"/>
      <c r="R68" s="722"/>
      <c r="S68" s="720"/>
      <c r="T68" s="720"/>
      <c r="U68" s="720"/>
      <c r="V68" s="720"/>
      <c r="W68" s="721"/>
      <c r="X68" s="772"/>
      <c r="Y68" s="772"/>
      <c r="Z68" s="772"/>
      <c r="AA68" s="772"/>
      <c r="AB68" s="772"/>
      <c r="AC68" s="772"/>
      <c r="AD68" s="772"/>
      <c r="AE68" s="772"/>
      <c r="AF68" s="772"/>
      <c r="AG68" s="772"/>
      <c r="AH68" s="772"/>
      <c r="AI68" s="772"/>
      <c r="AJ68" s="772"/>
      <c r="AK68" s="772"/>
      <c r="AL68" s="772"/>
      <c r="AM68" s="772"/>
      <c r="AN68" s="772"/>
      <c r="AO68" s="772"/>
      <c r="AP68" s="772"/>
      <c r="AQ68" s="772"/>
      <c r="AR68" s="772"/>
      <c r="AS68" s="772"/>
      <c r="AT68" s="772"/>
      <c r="AU68" s="772"/>
      <c r="AV68" s="772"/>
    </row>
    <row r="69" spans="1:48" ht="35.25" customHeight="1">
      <c r="A69" s="107"/>
      <c r="B69" s="718"/>
      <c r="C69" s="735"/>
      <c r="D69" s="735"/>
      <c r="E69" s="735"/>
      <c r="F69" s="735"/>
      <c r="G69" s="735"/>
      <c r="H69" s="735"/>
      <c r="I69" s="735"/>
      <c r="J69" s="735"/>
      <c r="K69" s="736"/>
      <c r="L69" s="107"/>
      <c r="M69" s="107"/>
      <c r="N69" s="718"/>
      <c r="O69" s="735"/>
      <c r="P69" s="735"/>
      <c r="Q69" s="735"/>
      <c r="R69" s="735"/>
      <c r="S69" s="735"/>
      <c r="T69" s="735"/>
      <c r="U69" s="735"/>
      <c r="V69" s="735"/>
      <c r="W69" s="736"/>
      <c r="X69" s="772"/>
      <c r="Y69" s="772"/>
      <c r="Z69" s="772"/>
      <c r="AA69" s="772"/>
      <c r="AB69" s="772"/>
      <c r="AC69" s="772"/>
      <c r="AD69" s="772"/>
      <c r="AE69" s="772"/>
      <c r="AF69" s="772"/>
      <c r="AG69" s="772"/>
      <c r="AH69" s="772"/>
      <c r="AI69" s="772"/>
      <c r="AJ69" s="772"/>
      <c r="AK69" s="772"/>
      <c r="AL69" s="772"/>
      <c r="AM69" s="772"/>
      <c r="AN69" s="772"/>
      <c r="AO69" s="772"/>
      <c r="AP69" s="772"/>
      <c r="AQ69" s="772"/>
      <c r="AR69" s="772"/>
      <c r="AS69" s="772"/>
      <c r="AT69" s="772"/>
      <c r="AU69" s="772"/>
      <c r="AV69" s="772"/>
    </row>
    <row r="70" spans="1:48" ht="35.25" customHeight="1">
      <c r="A70" s="107"/>
      <c r="B70" s="718"/>
      <c r="C70" s="21" t="s">
        <v>70</v>
      </c>
      <c r="D70" s="755">
        <f>K60</f>
        <v>0</v>
      </c>
      <c r="E70" s="755"/>
      <c r="F70" s="763"/>
      <c r="G70" s="764"/>
      <c r="H70" s="764"/>
      <c r="I70" s="764"/>
      <c r="J70" s="764"/>
      <c r="K70" s="765"/>
      <c r="L70" s="107"/>
      <c r="M70" s="107"/>
      <c r="N70" s="718"/>
      <c r="O70" s="21" t="s">
        <v>70</v>
      </c>
      <c r="P70" s="755">
        <f>K60</f>
        <v>0</v>
      </c>
      <c r="Q70" s="755"/>
      <c r="R70" s="763"/>
      <c r="S70" s="764"/>
      <c r="T70" s="764"/>
      <c r="U70" s="764"/>
      <c r="V70" s="764"/>
      <c r="W70" s="765"/>
      <c r="X70" s="772"/>
      <c r="Y70" s="772"/>
      <c r="Z70" s="772"/>
      <c r="AA70" s="772"/>
      <c r="AB70" s="772"/>
      <c r="AC70" s="772"/>
      <c r="AD70" s="772"/>
      <c r="AE70" s="772"/>
      <c r="AF70" s="772"/>
      <c r="AG70" s="772"/>
      <c r="AH70" s="772"/>
      <c r="AI70" s="772"/>
      <c r="AJ70" s="772"/>
      <c r="AK70" s="772"/>
      <c r="AL70" s="772"/>
      <c r="AM70" s="772"/>
      <c r="AN70" s="772"/>
      <c r="AO70" s="772"/>
      <c r="AP70" s="772"/>
      <c r="AQ70" s="772"/>
      <c r="AR70" s="772"/>
      <c r="AS70" s="772"/>
      <c r="AT70" s="772"/>
      <c r="AU70" s="772"/>
      <c r="AV70" s="772"/>
    </row>
    <row r="71" spans="1:48" ht="35.25" customHeight="1" thickBot="1">
      <c r="A71" s="107"/>
      <c r="B71" s="718"/>
      <c r="C71" s="735"/>
      <c r="D71" s="735"/>
      <c r="E71" s="735"/>
      <c r="F71" s="735"/>
      <c r="G71" s="735"/>
      <c r="H71" s="735"/>
      <c r="I71" s="735"/>
      <c r="J71" s="735"/>
      <c r="K71" s="736"/>
      <c r="L71" s="107"/>
      <c r="M71" s="107"/>
      <c r="N71" s="718"/>
      <c r="O71" s="735"/>
      <c r="P71" s="735"/>
      <c r="Q71" s="735"/>
      <c r="R71" s="735"/>
      <c r="S71" s="735"/>
      <c r="T71" s="735"/>
      <c r="U71" s="735"/>
      <c r="V71" s="735"/>
      <c r="W71" s="736"/>
      <c r="X71" s="772"/>
      <c r="Y71" s="772"/>
      <c r="Z71" s="772"/>
      <c r="AA71" s="772"/>
      <c r="AB71" s="772"/>
      <c r="AC71" s="772"/>
      <c r="AD71" s="772"/>
      <c r="AE71" s="772"/>
      <c r="AF71" s="772"/>
      <c r="AG71" s="772"/>
      <c r="AH71" s="772"/>
      <c r="AI71" s="772"/>
      <c r="AJ71" s="772"/>
      <c r="AK71" s="772"/>
      <c r="AL71" s="772"/>
      <c r="AM71" s="772"/>
      <c r="AN71" s="772"/>
      <c r="AO71" s="772"/>
      <c r="AP71" s="772"/>
      <c r="AQ71" s="772"/>
      <c r="AR71" s="772"/>
      <c r="AS71" s="772"/>
      <c r="AT71" s="772"/>
      <c r="AU71" s="772"/>
      <c r="AV71" s="772"/>
    </row>
    <row r="72" spans="1:48" ht="35.25" customHeight="1">
      <c r="A72" s="107"/>
      <c r="B72" s="718"/>
      <c r="C72" s="735"/>
      <c r="D72" s="735"/>
      <c r="E72" s="735"/>
      <c r="F72" s="735"/>
      <c r="G72" s="742" t="s">
        <v>71</v>
      </c>
      <c r="H72" s="743"/>
      <c r="I72" s="743"/>
      <c r="J72" s="743"/>
      <c r="K72" s="744"/>
      <c r="L72" s="107"/>
      <c r="M72" s="107"/>
      <c r="N72" s="718"/>
      <c r="O72" s="735"/>
      <c r="P72" s="735"/>
      <c r="Q72" s="735"/>
      <c r="R72" s="735"/>
      <c r="S72" s="742" t="s">
        <v>71</v>
      </c>
      <c r="T72" s="743"/>
      <c r="U72" s="743"/>
      <c r="V72" s="743"/>
      <c r="W72" s="744"/>
      <c r="X72" s="772"/>
      <c r="Y72" s="772"/>
      <c r="Z72" s="772"/>
      <c r="AA72" s="772"/>
      <c r="AB72" s="772"/>
      <c r="AC72" s="772"/>
      <c r="AD72" s="772"/>
      <c r="AE72" s="772"/>
      <c r="AF72" s="772"/>
      <c r="AG72" s="772"/>
      <c r="AH72" s="772"/>
      <c r="AI72" s="772"/>
      <c r="AJ72" s="772"/>
      <c r="AK72" s="772"/>
      <c r="AL72" s="772"/>
      <c r="AM72" s="772"/>
      <c r="AN72" s="772"/>
      <c r="AO72" s="772"/>
      <c r="AP72" s="772"/>
      <c r="AQ72" s="772"/>
      <c r="AR72" s="772"/>
      <c r="AS72" s="772"/>
      <c r="AT72" s="772"/>
      <c r="AU72" s="772"/>
      <c r="AV72" s="772"/>
    </row>
    <row r="73" spans="1:48" ht="35.25" customHeight="1">
      <c r="A73" s="107"/>
      <c r="B73" s="718"/>
      <c r="C73" s="735"/>
      <c r="D73" s="735"/>
      <c r="E73" s="735"/>
      <c r="F73" s="735"/>
      <c r="G73" s="752" t="s">
        <v>72</v>
      </c>
      <c r="H73" s="753"/>
      <c r="I73" s="753"/>
      <c r="J73" s="753"/>
      <c r="K73" s="754"/>
      <c r="L73" s="107"/>
      <c r="M73" s="107"/>
      <c r="N73" s="718"/>
      <c r="O73" s="735"/>
      <c r="P73" s="735"/>
      <c r="Q73" s="735"/>
      <c r="R73" s="735"/>
      <c r="S73" s="752" t="s">
        <v>72</v>
      </c>
      <c r="T73" s="753"/>
      <c r="U73" s="753"/>
      <c r="V73" s="753"/>
      <c r="W73" s="754"/>
      <c r="X73" s="772"/>
      <c r="Y73" s="772"/>
      <c r="Z73" s="772"/>
      <c r="AA73" s="772"/>
      <c r="AB73" s="772"/>
      <c r="AC73" s="772"/>
      <c r="AD73" s="772"/>
      <c r="AE73" s="772"/>
      <c r="AF73" s="772"/>
      <c r="AG73" s="772"/>
      <c r="AH73" s="772"/>
      <c r="AI73" s="772"/>
      <c r="AJ73" s="772"/>
      <c r="AK73" s="772"/>
      <c r="AL73" s="772"/>
      <c r="AM73" s="772"/>
      <c r="AN73" s="772"/>
      <c r="AO73" s="772"/>
      <c r="AP73" s="772"/>
      <c r="AQ73" s="772"/>
      <c r="AR73" s="772"/>
      <c r="AS73" s="772"/>
      <c r="AT73" s="772"/>
      <c r="AU73" s="772"/>
      <c r="AV73" s="772"/>
    </row>
    <row r="74" spans="1:48" ht="35.25" customHeight="1">
      <c r="A74" s="107"/>
      <c r="B74" s="718"/>
      <c r="C74" s="735"/>
      <c r="D74" s="735"/>
      <c r="E74" s="735"/>
      <c r="F74" s="735"/>
      <c r="G74" s="725" t="s">
        <v>73</v>
      </c>
      <c r="H74" s="726"/>
      <c r="I74" s="727">
        <f>D61</f>
        <v>0</v>
      </c>
      <c r="J74" s="727"/>
      <c r="K74" s="728"/>
      <c r="L74" s="107"/>
      <c r="M74" s="107"/>
      <c r="N74" s="718"/>
      <c r="O74" s="735"/>
      <c r="P74" s="735"/>
      <c r="Q74" s="735"/>
      <c r="R74" s="735"/>
      <c r="S74" s="725" t="s">
        <v>73</v>
      </c>
      <c r="T74" s="726"/>
      <c r="U74" s="727">
        <f>D61</f>
        <v>0</v>
      </c>
      <c r="V74" s="727"/>
      <c r="W74" s="728"/>
      <c r="X74" s="772"/>
      <c r="Y74" s="772"/>
      <c r="Z74" s="772"/>
      <c r="AA74" s="772"/>
      <c r="AB74" s="772"/>
      <c r="AC74" s="772"/>
      <c r="AD74" s="772"/>
      <c r="AE74" s="772"/>
      <c r="AF74" s="772"/>
      <c r="AG74" s="772"/>
      <c r="AH74" s="772"/>
      <c r="AI74" s="772"/>
      <c r="AJ74" s="772"/>
      <c r="AK74" s="772"/>
      <c r="AL74" s="772"/>
      <c r="AM74" s="772"/>
      <c r="AN74" s="772"/>
      <c r="AO74" s="772"/>
      <c r="AP74" s="772"/>
      <c r="AQ74" s="772"/>
      <c r="AR74" s="772"/>
      <c r="AS74" s="772"/>
      <c r="AT74" s="772"/>
      <c r="AU74" s="772"/>
      <c r="AV74" s="772"/>
    </row>
    <row r="75" spans="1:48" ht="35.25" customHeight="1">
      <c r="A75" s="107"/>
      <c r="B75" s="718"/>
      <c r="C75" s="735"/>
      <c r="D75" s="735"/>
      <c r="E75" s="735"/>
      <c r="F75" s="735"/>
      <c r="G75" s="729" t="s">
        <v>74</v>
      </c>
      <c r="H75" s="730"/>
      <c r="I75" s="730"/>
      <c r="J75" s="730"/>
      <c r="K75" s="731"/>
      <c r="L75" s="107"/>
      <c r="M75" s="107"/>
      <c r="N75" s="718"/>
      <c r="O75" s="735"/>
      <c r="P75" s="735"/>
      <c r="Q75" s="735"/>
      <c r="R75" s="735"/>
      <c r="S75" s="729" t="s">
        <v>74</v>
      </c>
      <c r="T75" s="730"/>
      <c r="U75" s="730"/>
      <c r="V75" s="730"/>
      <c r="W75" s="731"/>
      <c r="X75" s="772"/>
      <c r="Y75" s="772"/>
      <c r="Z75" s="772"/>
      <c r="AA75" s="772"/>
      <c r="AB75" s="772"/>
      <c r="AC75" s="772"/>
      <c r="AD75" s="772"/>
      <c r="AE75" s="772"/>
      <c r="AF75" s="772"/>
      <c r="AG75" s="772"/>
      <c r="AH75" s="772"/>
      <c r="AI75" s="772"/>
      <c r="AJ75" s="772"/>
      <c r="AK75" s="772"/>
      <c r="AL75" s="772"/>
      <c r="AM75" s="772"/>
      <c r="AN75" s="772"/>
      <c r="AO75" s="772"/>
      <c r="AP75" s="772"/>
      <c r="AQ75" s="772"/>
      <c r="AR75" s="772"/>
      <c r="AS75" s="772"/>
      <c r="AT75" s="772"/>
      <c r="AU75" s="772"/>
      <c r="AV75" s="772"/>
    </row>
    <row r="76" spans="1:48" ht="35.25" customHeight="1">
      <c r="A76" s="107"/>
      <c r="B76" s="718"/>
      <c r="C76" s="735"/>
      <c r="D76" s="735"/>
      <c r="E76" s="735"/>
      <c r="F76" s="735"/>
      <c r="G76" s="737">
        <f>'Exemp.(HRA+Other) &amp; Other incom'!$P$4</f>
        <v>0</v>
      </c>
      <c r="H76" s="738"/>
      <c r="I76" s="738"/>
      <c r="J76" s="738"/>
      <c r="K76" s="739"/>
      <c r="L76" s="107"/>
      <c r="M76" s="107"/>
      <c r="N76" s="718"/>
      <c r="O76" s="735"/>
      <c r="P76" s="735"/>
      <c r="Q76" s="735"/>
      <c r="R76" s="735"/>
      <c r="S76" s="737">
        <f>'Exemp.(HRA+Other) &amp; Other incom'!$P$4</f>
        <v>0</v>
      </c>
      <c r="T76" s="738"/>
      <c r="U76" s="738"/>
      <c r="V76" s="738"/>
      <c r="W76" s="739"/>
      <c r="X76" s="772"/>
      <c r="Y76" s="772"/>
      <c r="Z76" s="772"/>
      <c r="AA76" s="772"/>
      <c r="AB76" s="772"/>
      <c r="AC76" s="772"/>
      <c r="AD76" s="772"/>
      <c r="AE76" s="772"/>
      <c r="AF76" s="772"/>
      <c r="AG76" s="772"/>
      <c r="AH76" s="772"/>
      <c r="AI76" s="772"/>
      <c r="AJ76" s="772"/>
      <c r="AK76" s="772"/>
      <c r="AL76" s="772"/>
      <c r="AM76" s="772"/>
      <c r="AN76" s="772"/>
      <c r="AO76" s="772"/>
      <c r="AP76" s="772"/>
      <c r="AQ76" s="772"/>
      <c r="AR76" s="772"/>
      <c r="AS76" s="772"/>
      <c r="AT76" s="772"/>
      <c r="AU76" s="772"/>
      <c r="AV76" s="772"/>
    </row>
    <row r="77" spans="1:48" ht="35.25" customHeight="1">
      <c r="A77" s="107"/>
      <c r="B77" s="718"/>
      <c r="C77" s="735"/>
      <c r="D77" s="735"/>
      <c r="E77" s="735"/>
      <c r="F77" s="735"/>
      <c r="G77" s="737"/>
      <c r="H77" s="738"/>
      <c r="I77" s="738"/>
      <c r="J77" s="738"/>
      <c r="K77" s="739"/>
      <c r="L77" s="107"/>
      <c r="M77" s="107"/>
      <c r="N77" s="718"/>
      <c r="O77" s="735"/>
      <c r="P77" s="735"/>
      <c r="Q77" s="735"/>
      <c r="R77" s="735"/>
      <c r="S77" s="737"/>
      <c r="T77" s="738"/>
      <c r="U77" s="738"/>
      <c r="V77" s="738"/>
      <c r="W77" s="739"/>
      <c r="X77" s="772"/>
      <c r="Y77" s="772"/>
      <c r="Z77" s="772"/>
      <c r="AA77" s="772"/>
      <c r="AB77" s="772"/>
      <c r="AC77" s="772"/>
      <c r="AD77" s="772"/>
      <c r="AE77" s="772"/>
      <c r="AF77" s="772"/>
      <c r="AG77" s="772"/>
      <c r="AH77" s="772"/>
      <c r="AI77" s="772"/>
      <c r="AJ77" s="772"/>
      <c r="AK77" s="772"/>
      <c r="AL77" s="772"/>
      <c r="AM77" s="772"/>
      <c r="AN77" s="772"/>
      <c r="AO77" s="772"/>
      <c r="AP77" s="772"/>
      <c r="AQ77" s="772"/>
      <c r="AR77" s="772"/>
      <c r="AS77" s="772"/>
      <c r="AT77" s="772"/>
      <c r="AU77" s="772"/>
      <c r="AV77" s="772"/>
    </row>
    <row r="78" spans="1:48" ht="35.25" customHeight="1" thickBot="1">
      <c r="A78" s="107"/>
      <c r="B78" s="718"/>
      <c r="C78" s="735"/>
      <c r="D78" s="735"/>
      <c r="E78" s="735"/>
      <c r="F78" s="735"/>
      <c r="G78" s="740" t="s">
        <v>75</v>
      </c>
      <c r="H78" s="741"/>
      <c r="I78" s="741"/>
      <c r="J78" s="759">
        <f>'Exemp.(HRA+Other) &amp; Other incom'!$Q$4</f>
        <v>0</v>
      </c>
      <c r="K78" s="760"/>
      <c r="L78" s="107"/>
      <c r="M78" s="107"/>
      <c r="N78" s="718"/>
      <c r="O78" s="735"/>
      <c r="P78" s="735"/>
      <c r="Q78" s="735"/>
      <c r="R78" s="735"/>
      <c r="S78" s="740" t="s">
        <v>75</v>
      </c>
      <c r="T78" s="741"/>
      <c r="U78" s="741"/>
      <c r="V78" s="759">
        <f>'Exemp.(HRA+Other) &amp; Other incom'!$Q$4</f>
        <v>0</v>
      </c>
      <c r="W78" s="760"/>
      <c r="X78" s="772"/>
      <c r="Y78" s="772"/>
      <c r="Z78" s="772"/>
      <c r="AA78" s="772"/>
      <c r="AB78" s="772"/>
      <c r="AC78" s="772"/>
      <c r="AD78" s="772"/>
      <c r="AE78" s="772"/>
      <c r="AF78" s="772"/>
      <c r="AG78" s="772"/>
      <c r="AH78" s="772"/>
      <c r="AI78" s="772"/>
      <c r="AJ78" s="772"/>
      <c r="AK78" s="772"/>
      <c r="AL78" s="772"/>
      <c r="AM78" s="772"/>
      <c r="AN78" s="772"/>
      <c r="AO78" s="772"/>
      <c r="AP78" s="772"/>
      <c r="AQ78" s="772"/>
      <c r="AR78" s="772"/>
      <c r="AS78" s="772"/>
      <c r="AT78" s="772"/>
      <c r="AU78" s="772"/>
      <c r="AV78" s="772"/>
    </row>
    <row r="79" spans="1:48" ht="35.25" customHeight="1" thickBot="1">
      <c r="A79" s="107"/>
      <c r="B79" s="719"/>
      <c r="C79" s="723"/>
      <c r="D79" s="723"/>
      <c r="E79" s="723"/>
      <c r="F79" s="723"/>
      <c r="G79" s="723"/>
      <c r="H79" s="723"/>
      <c r="I79" s="723"/>
      <c r="J79" s="723"/>
      <c r="K79" s="724"/>
      <c r="L79" s="107"/>
      <c r="M79" s="107"/>
      <c r="N79" s="719"/>
      <c r="O79" s="723"/>
      <c r="P79" s="723"/>
      <c r="Q79" s="723"/>
      <c r="R79" s="723"/>
      <c r="S79" s="723"/>
      <c r="T79" s="723"/>
      <c r="U79" s="723"/>
      <c r="V79" s="723"/>
      <c r="W79" s="724"/>
      <c r="X79" s="772"/>
      <c r="Y79" s="772"/>
      <c r="Z79" s="772"/>
      <c r="AA79" s="772"/>
      <c r="AB79" s="772"/>
      <c r="AC79" s="772"/>
      <c r="AD79" s="772"/>
      <c r="AE79" s="772"/>
      <c r="AF79" s="772"/>
      <c r="AG79" s="772"/>
      <c r="AH79" s="772"/>
      <c r="AI79" s="772"/>
      <c r="AJ79" s="772"/>
      <c r="AK79" s="772"/>
      <c r="AL79" s="772"/>
      <c r="AM79" s="772"/>
      <c r="AN79" s="772"/>
      <c r="AO79" s="772"/>
      <c r="AP79" s="772"/>
      <c r="AQ79" s="772"/>
      <c r="AR79" s="772"/>
      <c r="AS79" s="772"/>
      <c r="AT79" s="772"/>
      <c r="AU79" s="772"/>
      <c r="AV79" s="772"/>
    </row>
    <row r="80" spans="1:48">
      <c r="A80" s="751"/>
      <c r="B80" s="751"/>
      <c r="C80" s="751"/>
      <c r="D80" s="751"/>
      <c r="E80" s="751"/>
      <c r="F80" s="751"/>
      <c r="G80" s="751"/>
      <c r="H80" s="751"/>
      <c r="I80" s="751"/>
      <c r="J80" s="751"/>
      <c r="K80" s="751"/>
      <c r="L80" s="751"/>
      <c r="M80" s="751"/>
      <c r="N80" s="751"/>
      <c r="O80" s="751"/>
      <c r="P80" s="751"/>
      <c r="Q80" s="751"/>
      <c r="R80" s="751"/>
      <c r="S80" s="751"/>
      <c r="T80" s="751"/>
      <c r="U80" s="751"/>
      <c r="V80" s="751"/>
      <c r="W80" s="751"/>
      <c r="X80" s="772"/>
      <c r="Y80" s="772"/>
      <c r="Z80" s="772"/>
      <c r="AA80" s="772"/>
      <c r="AB80" s="772"/>
      <c r="AC80" s="772"/>
      <c r="AD80" s="772"/>
      <c r="AE80" s="772"/>
      <c r="AF80" s="772"/>
      <c r="AG80" s="772"/>
      <c r="AH80" s="772"/>
      <c r="AI80" s="772"/>
      <c r="AJ80" s="772"/>
      <c r="AK80" s="772"/>
      <c r="AL80" s="772"/>
      <c r="AM80" s="772"/>
      <c r="AN80" s="772"/>
      <c r="AO80" s="772"/>
      <c r="AP80" s="772"/>
      <c r="AQ80" s="772"/>
      <c r="AR80" s="772"/>
      <c r="AS80" s="772"/>
      <c r="AT80" s="772"/>
      <c r="AU80" s="772"/>
      <c r="AV80" s="772"/>
    </row>
    <row r="81"/>
    <row r="82"/>
    <row r="83"/>
    <row r="84"/>
  </sheetData>
  <sheetProtection password="E8FA" sheet="1" objects="1" scenarios="1" formatCells="0" formatColumns="0" formatRows="0" selectLockedCells="1"/>
  <mergeCells count="209">
    <mergeCell ref="G74:H74"/>
    <mergeCell ref="I74:K74"/>
    <mergeCell ref="E66:K66"/>
    <mergeCell ref="Q66:W66"/>
    <mergeCell ref="A80:W80"/>
    <mergeCell ref="X56:AV80"/>
    <mergeCell ref="G78:I78"/>
    <mergeCell ref="J78:K78"/>
    <mergeCell ref="S78:U78"/>
    <mergeCell ref="V78:W78"/>
    <mergeCell ref="G79:K79"/>
    <mergeCell ref="S79:W79"/>
    <mergeCell ref="S74:T74"/>
    <mergeCell ref="U74:W74"/>
    <mergeCell ref="G75:K75"/>
    <mergeCell ref="S75:W75"/>
    <mergeCell ref="G76:K77"/>
    <mergeCell ref="S76:W77"/>
    <mergeCell ref="C71:K71"/>
    <mergeCell ref="O71:W71"/>
    <mergeCell ref="C72:F79"/>
    <mergeCell ref="G72:K72"/>
    <mergeCell ref="O72:R79"/>
    <mergeCell ref="S72:W72"/>
    <mergeCell ref="G73:K73"/>
    <mergeCell ref="S73:W73"/>
    <mergeCell ref="C69:K69"/>
    <mergeCell ref="O69:W69"/>
    <mergeCell ref="D70:E70"/>
    <mergeCell ref="F70:K70"/>
    <mergeCell ref="P70:Q70"/>
    <mergeCell ref="R70:W70"/>
    <mergeCell ref="C67:K67"/>
    <mergeCell ref="O67:W67"/>
    <mergeCell ref="D68:E68"/>
    <mergeCell ref="F68:K68"/>
    <mergeCell ref="P68:Q68"/>
    <mergeCell ref="R68:W68"/>
    <mergeCell ref="P62:S62"/>
    <mergeCell ref="T62:V62"/>
    <mergeCell ref="D63:K63"/>
    <mergeCell ref="P63:W63"/>
    <mergeCell ref="C64:F64"/>
    <mergeCell ref="G64:K64"/>
    <mergeCell ref="O64:R64"/>
    <mergeCell ref="S64:W64"/>
    <mergeCell ref="B60:H60"/>
    <mergeCell ref="I60:J60"/>
    <mergeCell ref="N60:T60"/>
    <mergeCell ref="U60:V60"/>
    <mergeCell ref="B61:B79"/>
    <mergeCell ref="D61:K61"/>
    <mergeCell ref="N61:N79"/>
    <mergeCell ref="P61:W61"/>
    <mergeCell ref="D62:G62"/>
    <mergeCell ref="H62:J62"/>
    <mergeCell ref="C65:F65"/>
    <mergeCell ref="G65:K65"/>
    <mergeCell ref="O65:R65"/>
    <mergeCell ref="S65:W65"/>
    <mergeCell ref="C66:D66"/>
    <mergeCell ref="O66:P66"/>
    <mergeCell ref="B6:B24"/>
    <mergeCell ref="C12:K12"/>
    <mergeCell ref="S17:W17"/>
    <mergeCell ref="S18:W18"/>
    <mergeCell ref="S9:W9"/>
    <mergeCell ref="O11:P11"/>
    <mergeCell ref="P13:Q13"/>
    <mergeCell ref="P15:Q15"/>
    <mergeCell ref="B59:K59"/>
    <mergeCell ref="N59:W59"/>
    <mergeCell ref="N28:W28"/>
    <mergeCell ref="N29:T29"/>
    <mergeCell ref="U29:V29"/>
    <mergeCell ref="N30:N48"/>
    <mergeCell ref="O36:W36"/>
    <mergeCell ref="R37:W37"/>
    <mergeCell ref="O38:W38"/>
    <mergeCell ref="R39:W39"/>
    <mergeCell ref="O40:W40"/>
    <mergeCell ref="C36:K36"/>
    <mergeCell ref="F37:K37"/>
    <mergeCell ref="C38:K38"/>
    <mergeCell ref="A56:W56"/>
    <mergeCell ref="C57:K57"/>
    <mergeCell ref="O57:W57"/>
    <mergeCell ref="B58:K58"/>
    <mergeCell ref="N58:W58"/>
    <mergeCell ref="C26:K26"/>
    <mergeCell ref="O26:W26"/>
    <mergeCell ref="B27:K27"/>
    <mergeCell ref="N27:W27"/>
    <mergeCell ref="P37:Q37"/>
    <mergeCell ref="Q35:W35"/>
    <mergeCell ref="E35:K35"/>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T7:V7"/>
    <mergeCell ref="P8:W8"/>
    <mergeCell ref="O10:R10"/>
    <mergeCell ref="S10:W10"/>
    <mergeCell ref="O17:R24"/>
    <mergeCell ref="Q11:W11"/>
    <mergeCell ref="S21:W22"/>
    <mergeCell ref="O9:R9"/>
    <mergeCell ref="A49:X55"/>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s>
  <conditionalFormatting sqref="O57:W57 X56 C57:K57 B57:B61 K60:K65 F61:J65 D68:F68 D70:F70 C61:C72 G72:K79 N57:N79 R67:W79 D63:K63 D61:E66 O59:Q79 R59:W65 N2:N4 N2:W2 X1 C2:K2 B2:B6 K5:K10 R12:W34 D13:F13 D15:F15 C6:C17 R36:W48 D32:K32 N4:Q48 F36:K48 B25:E48 F25:F34 G17:K34 R4:W10 D6:E11 F6:J10">
    <cfRule type="cellIs" dxfId="0"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For Help</vt:lpstr>
      <vt:lpstr>Basic Data</vt:lpstr>
      <vt:lpstr>Exemp.(HRA+Other) &amp; Other incom</vt:lpstr>
      <vt:lpstr>GA-55</vt:lpstr>
      <vt:lpstr>New Regime Calc. Report</vt:lpstr>
      <vt:lpstr>Old Regime Calc. Report</vt:lpstr>
      <vt:lpstr>OLD REGIME</vt:lpstr>
      <vt:lpstr>HRA Receipt</vt:lpstr>
      <vt:lpstr>'Exemp.(HRA+Other) &amp; Other incom'!Print_Area</vt:lpstr>
      <vt:lpstr>'GA-55'!Print_Area</vt:lpstr>
      <vt:lpstr>'HRA Receipt'!Print_Area</vt:lpstr>
      <vt:lpstr>'New Regime Calc. Report'!Print_Area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2024-10-30T16:48:12Z</cp:lastPrinted>
  <dcterms:created xsi:type="dcterms:W3CDTF">2022-11-02T01:51:38Z</dcterms:created>
  <dcterms:modified xsi:type="dcterms:W3CDTF">2024-10-30T17:01:05Z</dcterms:modified>
</cp:coreProperties>
</file>