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ThisWorkbook" defaultThemeVersion="124226"/>
  <workbookProtection workbookPassword="FF64" lockStructure="1"/>
  <bookViews>
    <workbookView xWindow="480" yWindow="45" windowWidth="9405" windowHeight="6015"/>
  </bookViews>
  <sheets>
    <sheet name=" Data Form" sheetId="17" r:id="rId1"/>
    <sheet name="Salary Report" sheetId="10" r:id="rId2"/>
    <sheet name="Tax Report Old Regime" sheetId="7" r:id="rId3"/>
    <sheet name="Tax Report New Regime" sheetId="18" r:id="rId4"/>
    <sheet name="HRA" sheetId="13" r:id="rId5"/>
    <sheet name="F" sheetId="11" state="hidden" r:id="rId6"/>
  </sheets>
  <definedNames>
    <definedName name="_xlnm.Print_Area" localSheetId="1">'Salary Report'!$A$1:$X$28</definedName>
  </definedNames>
  <calcPr calcId="144525"/>
</workbook>
</file>

<file path=xl/calcChain.xml><?xml version="1.0" encoding="utf-8"?>
<calcChain xmlns="http://schemas.openxmlformats.org/spreadsheetml/2006/main">
  <c r="F5" i="17" l="1"/>
  <c r="F6" i="17" s="1"/>
  <c r="K5" i="7"/>
  <c r="K4" i="7"/>
  <c r="K3" i="7"/>
  <c r="L5" i="17"/>
  <c r="L6" i="17" s="1"/>
  <c r="L7" i="17" s="1"/>
  <c r="L8" i="17" s="1"/>
  <c r="L9" i="17" s="1"/>
  <c r="L10" i="17" s="1"/>
  <c r="L11" i="17" s="1"/>
  <c r="L12" i="17" s="1"/>
  <c r="L13" i="17" s="1"/>
  <c r="L14" i="17" s="1"/>
  <c r="L15" i="17" s="1"/>
  <c r="O6" i="17"/>
  <c r="O7" i="17" s="1"/>
  <c r="O8" i="17" s="1"/>
  <c r="O9" i="17" s="1"/>
  <c r="O10" i="17" s="1"/>
  <c r="O11" i="17" s="1"/>
  <c r="O12" i="17" s="1"/>
  <c r="O13" i="17" s="1"/>
  <c r="O14" i="17" s="1"/>
  <c r="O15" i="17" s="1"/>
  <c r="O5" i="17"/>
  <c r="G19" i="17"/>
  <c r="M19" i="17" s="1"/>
  <c r="K5" i="18"/>
  <c r="M3" i="18"/>
  <c r="K4" i="18"/>
  <c r="M4" i="18"/>
  <c r="K3" i="18"/>
  <c r="D64" i="18"/>
  <c r="D61" i="7"/>
  <c r="B28" i="10" l="1"/>
  <c r="T5" i="17" l="1"/>
  <c r="T6" i="17" s="1"/>
  <c r="T7" i="17" s="1"/>
  <c r="T8" i="17" s="1"/>
  <c r="T9" i="17" s="1"/>
  <c r="T10" i="17" s="1"/>
  <c r="T11" i="17" s="1"/>
  <c r="T12" i="17" s="1"/>
  <c r="T13" i="17" s="1"/>
  <c r="T14" i="17" s="1"/>
  <c r="T15" i="17" s="1"/>
  <c r="S5" i="17"/>
  <c r="S6" i="17" s="1"/>
  <c r="S7" i="17" s="1"/>
  <c r="S8" i="17" s="1"/>
  <c r="S9" i="17" s="1"/>
  <c r="S10" i="17" s="1"/>
  <c r="S11" i="17" s="1"/>
  <c r="S12" i="17" s="1"/>
  <c r="S13" i="17" s="1"/>
  <c r="S14" i="17" s="1"/>
  <c r="S15" i="17" s="1"/>
  <c r="N5" i="17"/>
  <c r="N6" i="17" s="1"/>
  <c r="N7" i="17" s="1"/>
  <c r="N8" i="17" s="1"/>
  <c r="N9" i="17" s="1"/>
  <c r="N10" i="17" s="1"/>
  <c r="M5" i="17"/>
  <c r="M6" i="17" s="1"/>
  <c r="M7" i="17" s="1"/>
  <c r="M8" i="17" s="1"/>
  <c r="M9" i="17" s="1"/>
  <c r="M10" i="17" s="1"/>
  <c r="M11" i="17" s="1"/>
  <c r="M12" i="17" s="1"/>
  <c r="M13" i="17" s="1"/>
  <c r="M14" i="17" s="1"/>
  <c r="M15" i="17" s="1"/>
  <c r="K5" i="17"/>
  <c r="F7" i="17"/>
  <c r="F8" i="17" s="1"/>
  <c r="C48" i="18"/>
  <c r="M7" i="10"/>
  <c r="M8" i="10"/>
  <c r="M9" i="10"/>
  <c r="M10" i="10"/>
  <c r="M11" i="10"/>
  <c r="M12" i="10"/>
  <c r="M13" i="10"/>
  <c r="M14" i="10"/>
  <c r="M15" i="10"/>
  <c r="M16" i="10"/>
  <c r="M6" i="10"/>
  <c r="M5" i="10"/>
  <c r="K14" i="18"/>
  <c r="H14" i="18"/>
  <c r="O14" i="10"/>
  <c r="O25" i="10" s="1"/>
  <c r="M37" i="7"/>
  <c r="K37" i="7"/>
  <c r="J17" i="10"/>
  <c r="R24" i="10"/>
  <c r="R21" i="10"/>
  <c r="R22" i="10"/>
  <c r="R23" i="10"/>
  <c r="R20" i="10"/>
  <c r="R19" i="10"/>
  <c r="R18" i="10"/>
  <c r="R17" i="10"/>
  <c r="R6" i="10"/>
  <c r="R7" i="10"/>
  <c r="R8" i="10"/>
  <c r="R9" i="10"/>
  <c r="R10" i="10"/>
  <c r="R11" i="10"/>
  <c r="R12" i="10"/>
  <c r="R13" i="10"/>
  <c r="R14" i="10"/>
  <c r="R15" i="10"/>
  <c r="R16" i="10"/>
  <c r="R5" i="10"/>
  <c r="M18" i="18"/>
  <c r="M18" i="7"/>
  <c r="M58" i="18"/>
  <c r="M55" i="7"/>
  <c r="H9" i="13"/>
  <c r="N11" i="17" l="1"/>
  <c r="N12" i="17" s="1"/>
  <c r="N13" i="17" s="1"/>
  <c r="N14" i="17" s="1"/>
  <c r="N15" i="17" s="1"/>
  <c r="F9" i="17"/>
  <c r="F10" i="17" s="1"/>
  <c r="F11" i="17" s="1"/>
  <c r="F12" i="17" s="1"/>
  <c r="F13" i="17" s="1"/>
  <c r="F14" i="17" s="1"/>
  <c r="F15" i="17" s="1"/>
  <c r="G20" i="17"/>
  <c r="M20" i="17" s="1"/>
  <c r="J20" i="10" s="1"/>
  <c r="K19" i="17"/>
  <c r="K20" i="17"/>
  <c r="K6" i="17"/>
  <c r="K7" i="17" s="1"/>
  <c r="K8" i="17" s="1"/>
  <c r="K9" i="17" s="1"/>
  <c r="K10" i="17" s="1"/>
  <c r="K11" i="17" s="1"/>
  <c r="K12" i="17" s="1"/>
  <c r="K13" i="17" s="1"/>
  <c r="K14" i="17" s="1"/>
  <c r="K15" i="17" s="1"/>
  <c r="K27" i="7"/>
  <c r="H12" i="7"/>
  <c r="H11" i="7"/>
  <c r="K14" i="7"/>
  <c r="H14" i="7"/>
  <c r="F24" i="10"/>
  <c r="J24" i="10"/>
  <c r="J23" i="10"/>
  <c r="M24" i="10"/>
  <c r="J22" i="10"/>
  <c r="J21" i="10"/>
  <c r="J19" i="10"/>
  <c r="J18" i="10"/>
  <c r="P6" i="10"/>
  <c r="J6" i="10"/>
  <c r="J7" i="10"/>
  <c r="J8" i="10"/>
  <c r="J9" i="10"/>
  <c r="J10" i="10"/>
  <c r="J11" i="10"/>
  <c r="J12" i="10"/>
  <c r="J13" i="10"/>
  <c r="J14" i="10"/>
  <c r="J15" i="10"/>
  <c r="J16" i="10"/>
  <c r="J5" i="10"/>
  <c r="J25" i="10" l="1"/>
  <c r="F25" i="7" s="1"/>
  <c r="K29" i="7" l="1"/>
  <c r="W24" i="10"/>
  <c r="X24" i="10"/>
  <c r="V24" i="10"/>
  <c r="S24" i="10"/>
  <c r="I24" i="10"/>
  <c r="K24" i="10"/>
  <c r="L24" i="10"/>
  <c r="N24" i="10"/>
  <c r="Q24" i="10"/>
  <c r="B24" i="10"/>
  <c r="H24" i="10" l="1"/>
  <c r="C24" i="10"/>
  <c r="E24" i="10" l="1"/>
  <c r="D24" i="10"/>
  <c r="N23" i="10"/>
  <c r="N22" i="10"/>
  <c r="N21" i="10"/>
  <c r="Q23" i="10" l="1"/>
  <c r="Q22" i="10"/>
  <c r="Q21" i="10"/>
  <c r="M27" i="10" l="1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6" i="10"/>
  <c r="F5" i="10"/>
  <c r="H18" i="10"/>
  <c r="S2" i="10"/>
  <c r="K2" i="10"/>
  <c r="I61" i="18"/>
  <c r="G61" i="18"/>
  <c r="E61" i="18"/>
  <c r="C61" i="18"/>
  <c r="M41" i="18"/>
  <c r="M42" i="18" s="1"/>
  <c r="I28" i="18"/>
  <c r="H12" i="18"/>
  <c r="H11" i="18"/>
  <c r="F5" i="18"/>
  <c r="F4" i="18"/>
  <c r="L22" i="10"/>
  <c r="L21" i="10"/>
  <c r="K22" i="10"/>
  <c r="K23" i="10"/>
  <c r="I22" i="10"/>
  <c r="I23" i="10"/>
  <c r="I21" i="10"/>
  <c r="C18" i="10"/>
  <c r="C21" i="10"/>
  <c r="C22" i="10"/>
  <c r="C23" i="10"/>
  <c r="D21" i="10"/>
  <c r="D20" i="10"/>
  <c r="D22" i="10"/>
  <c r="D23" i="10"/>
  <c r="E23" i="10"/>
  <c r="E22" i="10"/>
  <c r="E21" i="10"/>
  <c r="H21" i="10"/>
  <c r="H22" i="10"/>
  <c r="H23" i="10"/>
  <c r="J8" i="13"/>
  <c r="D4" i="13"/>
  <c r="D2" i="13"/>
  <c r="D3" i="13"/>
  <c r="M23" i="10"/>
  <c r="M22" i="10"/>
  <c r="K21" i="10"/>
  <c r="M21" i="10"/>
  <c r="S20" i="10"/>
  <c r="S19" i="10"/>
  <c r="D19" i="10"/>
  <c r="X23" i="10"/>
  <c r="W23" i="10"/>
  <c r="V23" i="10"/>
  <c r="X22" i="10"/>
  <c r="W22" i="10"/>
  <c r="V22" i="10"/>
  <c r="X21" i="10"/>
  <c r="W21" i="10"/>
  <c r="V21" i="10"/>
  <c r="X20" i="10"/>
  <c r="W20" i="10"/>
  <c r="V20" i="10"/>
  <c r="X19" i="10"/>
  <c r="W19" i="10"/>
  <c r="V19" i="10"/>
  <c r="X18" i="10"/>
  <c r="V18" i="10"/>
  <c r="W18" i="10"/>
  <c r="S18" i="10"/>
  <c r="X17" i="10"/>
  <c r="W17" i="10"/>
  <c r="V17" i="10"/>
  <c r="S17" i="10"/>
  <c r="H17" i="10"/>
  <c r="C17" i="10"/>
  <c r="D17" i="10" s="1"/>
  <c r="K46" i="18" l="1"/>
  <c r="C47" i="18" s="1"/>
  <c r="P25" i="10"/>
  <c r="K26" i="7" s="1"/>
  <c r="F25" i="10"/>
  <c r="T24" i="10"/>
  <c r="G18" i="10"/>
  <c r="G20" i="10"/>
  <c r="K12" i="18"/>
  <c r="M12" i="18" s="1"/>
  <c r="I16" i="18"/>
  <c r="M16" i="18" s="1"/>
  <c r="G21" i="10"/>
  <c r="C46" i="18" l="1"/>
  <c r="G24" i="10"/>
  <c r="H20" i="10"/>
  <c r="U24" i="10" l="1"/>
  <c r="S23" i="10"/>
  <c r="T23" i="10" s="1"/>
  <c r="F27" i="10"/>
  <c r="G23" i="10" l="1"/>
  <c r="H19" i="10"/>
  <c r="U23" i="10" l="1"/>
  <c r="I28" i="7"/>
  <c r="F5" i="7" l="1"/>
  <c r="C16" i="7"/>
  <c r="C7" i="10" l="1"/>
  <c r="K6" i="10" l="1"/>
  <c r="S21" i="10"/>
  <c r="G17" i="10"/>
  <c r="S22" i="10"/>
  <c r="C58" i="7"/>
  <c r="M34" i="7"/>
  <c r="M35" i="7"/>
  <c r="M36" i="7"/>
  <c r="M38" i="7"/>
  <c r="M39" i="7"/>
  <c r="M40" i="7"/>
  <c r="M33" i="7"/>
  <c r="K34" i="7"/>
  <c r="K35" i="7"/>
  <c r="K36" i="7"/>
  <c r="K38" i="7"/>
  <c r="K39" i="7"/>
  <c r="K40" i="7"/>
  <c r="K33" i="7"/>
  <c r="F29" i="7"/>
  <c r="K24" i="7"/>
  <c r="K28" i="7"/>
  <c r="C8" i="10"/>
  <c r="D7" i="10"/>
  <c r="A12" i="11"/>
  <c r="B15" i="11" s="1"/>
  <c r="M3" i="7"/>
  <c r="K46" i="7" s="1"/>
  <c r="F4" i="7"/>
  <c r="K12" i="7"/>
  <c r="M12" i="7" s="1"/>
  <c r="K22" i="7"/>
  <c r="K23" i="7"/>
  <c r="K25" i="7"/>
  <c r="F27" i="7"/>
  <c r="F28" i="7"/>
  <c r="M31" i="7"/>
  <c r="E58" i="7"/>
  <c r="I58" i="7"/>
  <c r="C2" i="10"/>
  <c r="F3" i="18" s="1"/>
  <c r="C5" i="10"/>
  <c r="H5" i="10"/>
  <c r="I5" i="10"/>
  <c r="K5" i="10"/>
  <c r="L5" i="10"/>
  <c r="N5" i="10"/>
  <c r="Q5" i="10"/>
  <c r="S5" i="10"/>
  <c r="V5" i="10"/>
  <c r="W5" i="10"/>
  <c r="X5" i="10"/>
  <c r="H6" i="10"/>
  <c r="I6" i="10"/>
  <c r="L6" i="10"/>
  <c r="N6" i="10"/>
  <c r="Q6" i="10"/>
  <c r="S6" i="10"/>
  <c r="V6" i="10"/>
  <c r="W6" i="10"/>
  <c r="X6" i="10"/>
  <c r="I7" i="10"/>
  <c r="L7" i="10"/>
  <c r="N7" i="10"/>
  <c r="Q7" i="10"/>
  <c r="S7" i="10"/>
  <c r="V7" i="10"/>
  <c r="W7" i="10"/>
  <c r="X7" i="10"/>
  <c r="I8" i="10"/>
  <c r="L8" i="10"/>
  <c r="N8" i="10"/>
  <c r="Q8" i="10"/>
  <c r="S8" i="10"/>
  <c r="V8" i="10"/>
  <c r="W8" i="10"/>
  <c r="X8" i="10"/>
  <c r="I9" i="10"/>
  <c r="L9" i="10"/>
  <c r="N9" i="10"/>
  <c r="Q9" i="10"/>
  <c r="S9" i="10"/>
  <c r="V9" i="10"/>
  <c r="W9" i="10"/>
  <c r="X9" i="10"/>
  <c r="I10" i="10"/>
  <c r="L10" i="10"/>
  <c r="N10" i="10"/>
  <c r="Q10" i="10"/>
  <c r="S10" i="10"/>
  <c r="V10" i="10"/>
  <c r="W10" i="10"/>
  <c r="X10" i="10"/>
  <c r="I11" i="10"/>
  <c r="L11" i="10"/>
  <c r="N11" i="10"/>
  <c r="Q11" i="10"/>
  <c r="S11" i="10"/>
  <c r="V11" i="10"/>
  <c r="W11" i="10"/>
  <c r="X11" i="10"/>
  <c r="I12" i="10"/>
  <c r="L12" i="10"/>
  <c r="N12" i="10"/>
  <c r="Q12" i="10"/>
  <c r="S12" i="10"/>
  <c r="V12" i="10"/>
  <c r="W12" i="10"/>
  <c r="X12" i="10"/>
  <c r="I13" i="10"/>
  <c r="L13" i="10"/>
  <c r="N13" i="10"/>
  <c r="Q13" i="10"/>
  <c r="S13" i="10"/>
  <c r="V13" i="10"/>
  <c r="W13" i="10"/>
  <c r="X13" i="10"/>
  <c r="I14" i="10"/>
  <c r="L14" i="10"/>
  <c r="N14" i="10"/>
  <c r="Q14" i="10"/>
  <c r="S14" i="10"/>
  <c r="V14" i="10"/>
  <c r="W14" i="10"/>
  <c r="X14" i="10"/>
  <c r="I15" i="10"/>
  <c r="L15" i="10"/>
  <c r="N15" i="10"/>
  <c r="Q15" i="10"/>
  <c r="S15" i="10"/>
  <c r="V15" i="10"/>
  <c r="W15" i="10"/>
  <c r="X15" i="10"/>
  <c r="I16" i="10"/>
  <c r="L16" i="10"/>
  <c r="N16" i="10"/>
  <c r="Q16" i="10"/>
  <c r="S16" i="10"/>
  <c r="V16" i="10"/>
  <c r="W16" i="10"/>
  <c r="X16" i="10"/>
  <c r="G19" i="10"/>
  <c r="T19" i="10"/>
  <c r="T20" i="10"/>
  <c r="T21" i="10"/>
  <c r="D3" i="17"/>
  <c r="B6" i="18" s="1"/>
  <c r="E4" i="17"/>
  <c r="B5" i="10" s="1"/>
  <c r="E5" i="17"/>
  <c r="B6" i="10" s="1"/>
  <c r="C6" i="10"/>
  <c r="E6" i="17"/>
  <c r="B7" i="10" s="1"/>
  <c r="E7" i="17"/>
  <c r="B8" i="10" s="1"/>
  <c r="E8" i="17"/>
  <c r="B9" i="10" s="1"/>
  <c r="E9" i="17"/>
  <c r="B10" i="10" s="1"/>
  <c r="E10" i="17"/>
  <c r="B11" i="10" s="1"/>
  <c r="E11" i="17"/>
  <c r="B12" i="10" s="1"/>
  <c r="E12" i="17"/>
  <c r="B13" i="10" s="1"/>
  <c r="E13" i="17"/>
  <c r="B14" i="10" s="1"/>
  <c r="E14" i="17"/>
  <c r="B15" i="10" s="1"/>
  <c r="E15" i="17"/>
  <c r="B16" i="10" s="1"/>
  <c r="T17" i="10"/>
  <c r="G59" i="7" l="1"/>
  <c r="G62" i="18"/>
  <c r="I59" i="7"/>
  <c r="J59" i="7" s="1"/>
  <c r="M59" i="7" s="1"/>
  <c r="D5" i="10"/>
  <c r="T5" i="10" s="1"/>
  <c r="Q25" i="10"/>
  <c r="L25" i="10"/>
  <c r="S25" i="10"/>
  <c r="M25" i="10"/>
  <c r="I25" i="10"/>
  <c r="N25" i="10"/>
  <c r="F24" i="7" s="1"/>
  <c r="I62" i="18"/>
  <c r="J62" i="18" s="1"/>
  <c r="M62" i="18" s="1"/>
  <c r="A1" i="7"/>
  <c r="A1" i="18"/>
  <c r="E62" i="18"/>
  <c r="C62" i="18"/>
  <c r="B6" i="7"/>
  <c r="A1" i="10"/>
  <c r="H7" i="10"/>
  <c r="K7" i="10"/>
  <c r="K8" i="10"/>
  <c r="C59" i="7"/>
  <c r="U19" i="10"/>
  <c r="C46" i="7"/>
  <c r="C47" i="7"/>
  <c r="M41" i="7"/>
  <c r="F3" i="7"/>
  <c r="G58" i="7"/>
  <c r="E59" i="7"/>
  <c r="E5" i="10"/>
  <c r="U20" i="10"/>
  <c r="A16" i="11"/>
  <c r="B16" i="11"/>
  <c r="C15" i="11"/>
  <c r="D15" i="11" s="1"/>
  <c r="E6" i="10"/>
  <c r="D6" i="10"/>
  <c r="E8" i="10"/>
  <c r="D8" i="10"/>
  <c r="E7" i="10"/>
  <c r="F26" i="7" l="1"/>
  <c r="E16" i="7"/>
  <c r="T22" i="10"/>
  <c r="G5" i="10"/>
  <c r="U5" i="10" s="1"/>
  <c r="F16" i="7"/>
  <c r="I16" i="7" s="1"/>
  <c r="M16" i="7" s="1"/>
  <c r="E16" i="18"/>
  <c r="U17" i="10"/>
  <c r="H8" i="10"/>
  <c r="T7" i="10"/>
  <c r="K9" i="10"/>
  <c r="C9" i="10"/>
  <c r="G22" i="10"/>
  <c r="U21" i="10"/>
  <c r="F16" i="11"/>
  <c r="E16" i="11"/>
  <c r="E15" i="11"/>
  <c r="G16" i="11" s="1"/>
  <c r="D16" i="11"/>
  <c r="H16" i="11" s="1"/>
  <c r="C16" i="11"/>
  <c r="G6" i="10"/>
  <c r="C10" i="10"/>
  <c r="G8" i="10"/>
  <c r="G7" i="10"/>
  <c r="T6" i="10" l="1"/>
  <c r="U6" i="10" s="1"/>
  <c r="E9" i="10"/>
  <c r="U22" i="10"/>
  <c r="H9" i="10"/>
  <c r="K10" i="10"/>
  <c r="D9" i="10"/>
  <c r="D10" i="10"/>
  <c r="E10" i="10"/>
  <c r="C11" i="10"/>
  <c r="T8" i="10"/>
  <c r="U7" i="10"/>
  <c r="H10" i="10" l="1"/>
  <c r="K11" i="10"/>
  <c r="G9" i="10"/>
  <c r="T18" i="10"/>
  <c r="D11" i="10"/>
  <c r="E11" i="10"/>
  <c r="C12" i="10"/>
  <c r="G10" i="10"/>
  <c r="U8" i="10"/>
  <c r="T9" i="10" l="1"/>
  <c r="H11" i="10"/>
  <c r="T11" i="10" s="1"/>
  <c r="K12" i="10"/>
  <c r="U18" i="10"/>
  <c r="G11" i="10"/>
  <c r="D12" i="10"/>
  <c r="E12" i="10"/>
  <c r="T10" i="10"/>
  <c r="U10" i="10" s="1"/>
  <c r="C13" i="10"/>
  <c r="U9" i="10" l="1"/>
  <c r="U11" i="10"/>
  <c r="H12" i="10"/>
  <c r="T12" i="10" s="1"/>
  <c r="K13" i="10"/>
  <c r="E13" i="10"/>
  <c r="D13" i="10"/>
  <c r="C14" i="10"/>
  <c r="G12" i="10"/>
  <c r="H13" i="10" l="1"/>
  <c r="K14" i="10"/>
  <c r="D14" i="10"/>
  <c r="E14" i="10"/>
  <c r="G13" i="10"/>
  <c r="U12" i="10"/>
  <c r="C16" i="10"/>
  <c r="C15" i="10"/>
  <c r="C25" i="10" l="1"/>
  <c r="T13" i="10"/>
  <c r="U13" i="10" s="1"/>
  <c r="H14" i="10"/>
  <c r="T14" i="10" s="1"/>
  <c r="K16" i="10"/>
  <c r="K15" i="10"/>
  <c r="E16" i="10"/>
  <c r="D16" i="10"/>
  <c r="G14" i="10"/>
  <c r="E15" i="10"/>
  <c r="D15" i="10"/>
  <c r="K25" i="10" l="1"/>
  <c r="F23" i="7" s="1"/>
  <c r="E25" i="10"/>
  <c r="J6" i="13" s="1"/>
  <c r="D25" i="10"/>
  <c r="J10" i="13" s="1"/>
  <c r="J13" i="13" s="1"/>
  <c r="H15" i="10"/>
  <c r="H16" i="10"/>
  <c r="G15" i="10"/>
  <c r="G16" i="10"/>
  <c r="U14" i="10"/>
  <c r="H25" i="10" l="1"/>
  <c r="F22" i="7" s="1"/>
  <c r="G25" i="10"/>
  <c r="R25" i="10"/>
  <c r="F30" i="7" s="1"/>
  <c r="T16" i="10"/>
  <c r="T15" i="10"/>
  <c r="J15" i="13"/>
  <c r="M6" i="18" l="1"/>
  <c r="M8" i="18" s="1"/>
  <c r="J9" i="18" s="1"/>
  <c r="K9" i="18" s="1"/>
  <c r="U16" i="10"/>
  <c r="T25" i="10"/>
  <c r="M7" i="7"/>
  <c r="K30" i="7"/>
  <c r="M22" i="7" s="1"/>
  <c r="M42" i="7" s="1"/>
  <c r="M6" i="7"/>
  <c r="U15" i="10"/>
  <c r="U25" i="10" l="1"/>
  <c r="M8" i="7"/>
  <c r="J9" i="7" s="1"/>
  <c r="K9" i="7" s="1"/>
  <c r="M9" i="18"/>
  <c r="M10" i="18" s="1"/>
  <c r="M13" i="18" s="1"/>
  <c r="M17" i="18" s="1"/>
  <c r="M19" i="18" s="1"/>
  <c r="M43" i="18" s="1"/>
  <c r="M9" i="7" l="1"/>
  <c r="M10" i="7" s="1"/>
  <c r="M13" i="7" s="1"/>
  <c r="M17" i="7" s="1"/>
  <c r="M19" i="7" s="1"/>
  <c r="M43" i="7" s="1"/>
  <c r="M44" i="18"/>
  <c r="M49" i="18" s="1"/>
  <c r="I55" i="18"/>
  <c r="K55" i="18" s="1"/>
  <c r="M51" i="18" l="1"/>
  <c r="M52" i="18"/>
  <c r="M48" i="18"/>
  <c r="M50" i="18"/>
  <c r="M47" i="18"/>
  <c r="M55" i="18"/>
  <c r="M44" i="7"/>
  <c r="I52" i="7"/>
  <c r="K52" i="7" s="1"/>
  <c r="I53" i="18" l="1"/>
  <c r="J53" i="18" s="1"/>
  <c r="K53" i="18" s="1"/>
  <c r="M53" i="18" s="1"/>
  <c r="M54" i="18" s="1"/>
  <c r="M49" i="7"/>
  <c r="M52" i="7"/>
  <c r="M48" i="7"/>
  <c r="I50" i="7"/>
  <c r="K50" i="7" s="1"/>
  <c r="M50" i="7" s="1"/>
  <c r="M47" i="7"/>
  <c r="M51" i="7" l="1"/>
  <c r="M53" i="7" s="1"/>
  <c r="M54" i="7" l="1"/>
  <c r="M56" i="7" s="1"/>
  <c r="M60" i="7" s="1"/>
  <c r="M56" i="18"/>
  <c r="M57" i="18" s="1"/>
  <c r="M59" i="18" s="1"/>
  <c r="M63" i="18" s="1"/>
</calcChain>
</file>

<file path=xl/comments1.xml><?xml version="1.0" encoding="utf-8"?>
<comments xmlns="http://schemas.openxmlformats.org/spreadsheetml/2006/main">
  <authors>
    <author>Preksha</author>
    <author>Rayla</author>
  </authors>
  <commentList>
    <comment ref="E17" authorId="0">
      <text>
        <r>
          <rPr>
            <b/>
            <sz val="8"/>
            <color indexed="81"/>
            <rFont val="Tahoma"/>
            <family val="2"/>
          </rPr>
          <t>Preksha:</t>
        </r>
        <r>
          <rPr>
            <sz val="8"/>
            <color indexed="81"/>
            <rFont val="Tahoma"/>
            <family val="2"/>
          </rPr>
          <t xml:space="preserve">
Fill DA Rate
In Y16</t>
        </r>
      </text>
    </comment>
    <comment ref="M19" authorId="1">
      <text>
        <r>
          <rPr>
            <b/>
            <sz val="9"/>
            <color indexed="81"/>
            <rFont val="Tahoma"/>
            <family val="2"/>
          </rPr>
          <t>Rayla:</t>
        </r>
        <r>
          <rPr>
            <sz val="9"/>
            <color indexed="81"/>
            <rFont val="Tahoma"/>
            <family val="2"/>
          </rPr>
          <t xml:space="preserve">
Fill NPS Amount</t>
        </r>
      </text>
    </comment>
    <comment ref="M20" authorId="1">
      <text>
        <r>
          <rPr>
            <b/>
            <sz val="9"/>
            <color indexed="81"/>
            <rFont val="Tahoma"/>
            <family val="2"/>
          </rPr>
          <t>Rayla:</t>
        </r>
        <r>
          <rPr>
            <sz val="9"/>
            <color indexed="81"/>
            <rFont val="Tahoma"/>
            <family val="2"/>
          </rPr>
          <t xml:space="preserve">
Fill NPS Amount</t>
        </r>
      </text>
    </comment>
  </commentList>
</comments>
</file>

<file path=xl/sharedStrings.xml><?xml version="1.0" encoding="utf-8"?>
<sst xmlns="http://schemas.openxmlformats.org/spreadsheetml/2006/main" count="636" uniqueCount="357">
  <si>
    <t>(a)</t>
  </si>
  <si>
    <t>LIC</t>
  </si>
  <si>
    <t>PPF</t>
  </si>
  <si>
    <t>(b)</t>
  </si>
  <si>
    <t>NAME</t>
  </si>
  <si>
    <t>Total</t>
  </si>
  <si>
    <t>(Rupees</t>
  </si>
  <si>
    <t>LAC</t>
  </si>
  <si>
    <t>THOUSAND</t>
  </si>
  <si>
    <t>HUNDRED</t>
  </si>
  <si>
    <t>TENS</t>
  </si>
  <si>
    <t xml:space="preserve"> </t>
  </si>
  <si>
    <t>Rs.</t>
  </si>
  <si>
    <t>(A)</t>
  </si>
  <si>
    <t>(B)</t>
  </si>
  <si>
    <t>Tax Calculation:</t>
  </si>
  <si>
    <t xml:space="preserve">( i ) </t>
  </si>
  <si>
    <t xml:space="preserve">( ii ) </t>
  </si>
  <si>
    <t xml:space="preserve">( iii ) </t>
  </si>
  <si>
    <t xml:space="preserve">( iv ) </t>
  </si>
  <si>
    <t>ULIP/PLI</t>
  </si>
  <si>
    <t>Interest on NSC</t>
  </si>
  <si>
    <t>POST</t>
  </si>
  <si>
    <t>OFFICE</t>
  </si>
  <si>
    <t>Payments</t>
  </si>
  <si>
    <t>S.No.</t>
  </si>
  <si>
    <t>MONTH</t>
  </si>
  <si>
    <t>BASIC</t>
  </si>
  <si>
    <t>HRA</t>
  </si>
  <si>
    <t>Gross Pay</t>
  </si>
  <si>
    <t>SI               Premium</t>
  </si>
  <si>
    <t>General Insurance</t>
  </si>
  <si>
    <t>Income tax</t>
  </si>
  <si>
    <t>Total Deductions</t>
  </si>
  <si>
    <t>Net Payment</t>
  </si>
  <si>
    <t>(i)</t>
  </si>
  <si>
    <t>(ii)</t>
  </si>
  <si>
    <t>U/S 16(ii) Entertainment Allowance</t>
  </si>
  <si>
    <t>U/S 16(iii) Professional Tax</t>
  </si>
  <si>
    <t xml:space="preserve">(ii) Rent Earned </t>
  </si>
  <si>
    <t>Interest on House Loan</t>
  </si>
  <si>
    <t>House Tax</t>
  </si>
  <si>
    <t>(iii)</t>
  </si>
  <si>
    <t>(iv)</t>
  </si>
  <si>
    <t>(v)</t>
  </si>
  <si>
    <t>(vi)</t>
  </si>
  <si>
    <t>(vii)</t>
  </si>
  <si>
    <t>(viii)</t>
  </si>
  <si>
    <t>(ix)</t>
  </si>
  <si>
    <t>(x)</t>
  </si>
  <si>
    <t>(xi)</t>
  </si>
  <si>
    <t>(xii)</t>
  </si>
  <si>
    <t>(xiii)</t>
  </si>
  <si>
    <t>Tuition Fees</t>
  </si>
  <si>
    <t>OTHER</t>
  </si>
  <si>
    <t>Deductions</t>
  </si>
  <si>
    <t>Bonus</t>
  </si>
  <si>
    <t xml:space="preserve">BILL NO </t>
  </si>
  <si>
    <t>DATE</t>
  </si>
  <si>
    <t>Encashment  Date</t>
  </si>
  <si>
    <t xml:space="preserve">one </t>
  </si>
  <si>
    <t>two</t>
  </si>
  <si>
    <t>three</t>
  </si>
  <si>
    <t>four</t>
  </si>
  <si>
    <t>five</t>
  </si>
  <si>
    <t xml:space="preserve">six </t>
  </si>
  <si>
    <t>seven</t>
  </si>
  <si>
    <t>eight</t>
  </si>
  <si>
    <t>nine</t>
  </si>
  <si>
    <t>ten</t>
  </si>
  <si>
    <t>eleven</t>
  </si>
  <si>
    <t>twelve</t>
  </si>
  <si>
    <t>thirteen</t>
  </si>
  <si>
    <t>fourteen</t>
  </si>
  <si>
    <t>fifteen</t>
  </si>
  <si>
    <t>sixteen</t>
  </si>
  <si>
    <t>seventeen</t>
  </si>
  <si>
    <t>eighteen</t>
  </si>
  <si>
    <t>nineteen</t>
  </si>
  <si>
    <t>twenty</t>
  </si>
  <si>
    <t>twenty one</t>
  </si>
  <si>
    <t>twenty two</t>
  </si>
  <si>
    <t>twenty three</t>
  </si>
  <si>
    <t>twenty four</t>
  </si>
  <si>
    <t>twenty five</t>
  </si>
  <si>
    <t>twenty six</t>
  </si>
  <si>
    <t>twenty seven</t>
  </si>
  <si>
    <t>twenty eight</t>
  </si>
  <si>
    <t>twenty nine</t>
  </si>
  <si>
    <t>thirty</t>
  </si>
  <si>
    <t>thirty one</t>
  </si>
  <si>
    <t>thirty two</t>
  </si>
  <si>
    <t>thirty three</t>
  </si>
  <si>
    <t>thirty four</t>
  </si>
  <si>
    <t>thirty five</t>
  </si>
  <si>
    <t>thirty six</t>
  </si>
  <si>
    <t>thirty seven</t>
  </si>
  <si>
    <t>thirty eight</t>
  </si>
  <si>
    <t>thirty nine</t>
  </si>
  <si>
    <t>fourty</t>
  </si>
  <si>
    <t>fourty one</t>
  </si>
  <si>
    <t xml:space="preserve">fourty two </t>
  </si>
  <si>
    <t>fourty three</t>
  </si>
  <si>
    <t>fourty four</t>
  </si>
  <si>
    <t>fourty five</t>
  </si>
  <si>
    <t>fourty six</t>
  </si>
  <si>
    <t>fourty seven</t>
  </si>
  <si>
    <t>fourty eight</t>
  </si>
  <si>
    <t>fourty nine</t>
  </si>
  <si>
    <t>fifty</t>
  </si>
  <si>
    <t>fifty one</t>
  </si>
  <si>
    <t>fifty two</t>
  </si>
  <si>
    <t>fifty three</t>
  </si>
  <si>
    <t>fifty four</t>
  </si>
  <si>
    <t>fifty five</t>
  </si>
  <si>
    <t>fifty six</t>
  </si>
  <si>
    <t>fifty seven</t>
  </si>
  <si>
    <t>fifty eight</t>
  </si>
  <si>
    <t>fifty nine</t>
  </si>
  <si>
    <t>sixty</t>
  </si>
  <si>
    <t>sixty one</t>
  </si>
  <si>
    <t>sixty two</t>
  </si>
  <si>
    <t>sixty three</t>
  </si>
  <si>
    <t>sixty four</t>
  </si>
  <si>
    <t>sixty five</t>
  </si>
  <si>
    <t>sixty six</t>
  </si>
  <si>
    <t>sixty seven</t>
  </si>
  <si>
    <t>sixty eight</t>
  </si>
  <si>
    <t>sixty nine</t>
  </si>
  <si>
    <t>seventy</t>
  </si>
  <si>
    <t>seventy one</t>
  </si>
  <si>
    <t>seventy two</t>
  </si>
  <si>
    <t>seventy three</t>
  </si>
  <si>
    <t xml:space="preserve">seventy four </t>
  </si>
  <si>
    <t>seventy five</t>
  </si>
  <si>
    <t>seventy six</t>
  </si>
  <si>
    <t>seventy seven</t>
  </si>
  <si>
    <t>seventy eight</t>
  </si>
  <si>
    <t>seventy nine</t>
  </si>
  <si>
    <t>eighty</t>
  </si>
  <si>
    <t>eighty one</t>
  </si>
  <si>
    <t>eighty two</t>
  </si>
  <si>
    <t>eighty three</t>
  </si>
  <si>
    <t>eighty four</t>
  </si>
  <si>
    <t>eighty five</t>
  </si>
  <si>
    <t>eighty six</t>
  </si>
  <si>
    <t>eighty seven</t>
  </si>
  <si>
    <t>eighty eight</t>
  </si>
  <si>
    <t>eighty nine</t>
  </si>
  <si>
    <t>ninety</t>
  </si>
  <si>
    <t>ninety one</t>
  </si>
  <si>
    <t>ninety two</t>
  </si>
  <si>
    <t>ninety three</t>
  </si>
  <si>
    <t>ninety four</t>
  </si>
  <si>
    <t>ninety five</t>
  </si>
  <si>
    <t>ninety six</t>
  </si>
  <si>
    <t>ninety seven</t>
  </si>
  <si>
    <t>ninety eight</t>
  </si>
  <si>
    <t>ninety nine</t>
  </si>
  <si>
    <t>hundred</t>
  </si>
  <si>
    <t>House Rent Allowance U/S. 10(13-A)Other Exempted Allowance U/S10(14)</t>
  </si>
  <si>
    <t>Any Other Income</t>
  </si>
  <si>
    <t>Month</t>
  </si>
  <si>
    <t>Basic</t>
  </si>
  <si>
    <t>GPF</t>
  </si>
  <si>
    <t xml:space="preserve">NAME </t>
  </si>
  <si>
    <t>Post</t>
  </si>
  <si>
    <t>NSC</t>
  </si>
  <si>
    <t>U/S 80 D</t>
  </si>
  <si>
    <t>U/S 80 DD</t>
  </si>
  <si>
    <t>U/S 80 DDB</t>
  </si>
  <si>
    <t>U/S 80 E</t>
  </si>
  <si>
    <t>U/S 80 G</t>
  </si>
  <si>
    <t>U/S 80 GG</t>
  </si>
  <si>
    <t>U/S 80 U</t>
  </si>
  <si>
    <t>Medical Insruance Policy Premium</t>
  </si>
  <si>
    <t>Medical treatment dependent handicapped person</t>
  </si>
  <si>
    <t>Physically  handicapped person or blind person</t>
  </si>
  <si>
    <t>Interest on Higher Education Loan</t>
  </si>
  <si>
    <t>Spl ded. to the guardian of a patient suffering from cancer or Aids</t>
  </si>
  <si>
    <t>Other sections  80D,80DD,80DDB,80E,80G,80GG,80GGA,80U etc. under Chapter VI-A</t>
  </si>
  <si>
    <t>Deduction</t>
  </si>
  <si>
    <t>Qualifying amount</t>
  </si>
  <si>
    <t>Deduction of Payment about Building Rent</t>
  </si>
  <si>
    <t>Net Taxable Income rounded to multiple of 10 (U/S 288A)</t>
  </si>
  <si>
    <t>Net Taxable Income [10-12]</t>
  </si>
  <si>
    <t>Relief under section 89 (attach details)</t>
  </si>
  <si>
    <t>TAX PAYABLE (17-18)</t>
  </si>
  <si>
    <t>House Loan Prem.</t>
  </si>
  <si>
    <t>Name</t>
  </si>
  <si>
    <t>PAN No.</t>
  </si>
  <si>
    <t>SEX</t>
  </si>
  <si>
    <t>NPS</t>
  </si>
  <si>
    <t>Balance (2-3)</t>
  </si>
  <si>
    <t>Total 7(i) + 7(ii)</t>
  </si>
  <si>
    <t>Income From House Property (i) For self Use</t>
  </si>
  <si>
    <t>Balance 7(A)-7(B)</t>
  </si>
  <si>
    <t>Total Balance (6+7)</t>
  </si>
  <si>
    <t>Less 30% of Rent</t>
  </si>
  <si>
    <t>Financial Year</t>
  </si>
  <si>
    <t>Rate DA %</t>
  </si>
  <si>
    <t>Rate HRA %</t>
  </si>
  <si>
    <t xml:space="preserve">GOVT QTR </t>
  </si>
  <si>
    <t xml:space="preserve">DA </t>
  </si>
  <si>
    <t>CLACULATION OF HOUSE RENT OF HOUSE RENT ALLOWENCE   [U/S-10-13-A]</t>
  </si>
  <si>
    <t>Surender</t>
  </si>
  <si>
    <t>DA Arr 1</t>
  </si>
  <si>
    <t>DA Arr 2</t>
  </si>
  <si>
    <t>HOUSE RENT ACTUALLY PAID -10% (SALARY+DP+DA)</t>
  </si>
  <si>
    <t>SIGNATURE OF GOVERNMENT SERVANT</t>
  </si>
  <si>
    <t>(xv)</t>
  </si>
  <si>
    <t>Other</t>
  </si>
  <si>
    <t xml:space="preserve">OtherDeductons </t>
  </si>
  <si>
    <t>Total Deductions [(12) to (19) ]</t>
  </si>
  <si>
    <t>Aggragate of deductible Amount  [11+20]</t>
  </si>
  <si>
    <t>TOTAL INCOME TAX PAYABLE [(a)+(b)+(c)]</t>
  </si>
  <si>
    <t>(xiv)</t>
  </si>
  <si>
    <t>Total TDS</t>
  </si>
  <si>
    <t>Tax Deducted at Source[ u/s 192(i) ] as under Up To-</t>
  </si>
  <si>
    <t xml:space="preserve">INCOME TAX PAYABLE / REFUNDABLE </t>
  </si>
  <si>
    <t>Name  :</t>
  </si>
  <si>
    <t>Designation</t>
  </si>
  <si>
    <t>Where the total income  exceed Rs.500000 but does not exceed Rs.1000000 @ 20%</t>
  </si>
  <si>
    <t>GPF Loan</t>
  </si>
  <si>
    <t>GPF
LOAN</t>
  </si>
  <si>
    <t>SI
LOAN</t>
  </si>
  <si>
    <t>N</t>
  </si>
  <si>
    <t>(xvi)</t>
  </si>
  <si>
    <t>ACP Arrear</t>
  </si>
  <si>
    <t>ACP Arr</t>
  </si>
  <si>
    <t>NET INCOME TAX PAYABLE : [(i)+(ii)+(iii)+(iv)-(v)]</t>
  </si>
  <si>
    <t>A</t>
  </si>
  <si>
    <t>B</t>
  </si>
  <si>
    <t>D.A.</t>
  </si>
  <si>
    <t>H.R.A.</t>
  </si>
  <si>
    <t>Where the total income  exceed Rs.1000000  @ 30%</t>
  </si>
  <si>
    <t>SI               Prem</t>
  </si>
  <si>
    <t>Gross Total Income</t>
  </si>
  <si>
    <t xml:space="preserve">DEDUCTION UNDER SECTION 80 C, 80 CCC, 80 CCD(1) </t>
  </si>
  <si>
    <t>MAXIMUM LIMIT Rs 150000 (Under Section 80 CCE</t>
  </si>
  <si>
    <t>Sukanya Samridhhi Yojana</t>
  </si>
  <si>
    <t xml:space="preserve"> Pension Plan 80CCC</t>
  </si>
  <si>
    <t>State Ins Premium</t>
  </si>
  <si>
    <t>Bank FDR 5 Yrs &amp; Above</t>
  </si>
  <si>
    <t>U/S 80 TTA</t>
  </si>
  <si>
    <t>Interest From Saving Bank Account Max 10000</t>
  </si>
  <si>
    <t>Fill Personel Details</t>
  </si>
  <si>
    <t>Fill Basic Pay Of Per month in colum G</t>
  </si>
  <si>
    <t>Balance (6 -7)</t>
  </si>
  <si>
    <t xml:space="preserve"> NPS 10% By Employee</t>
  </si>
  <si>
    <t>Health and Education cess @4%(Income tax)</t>
  </si>
  <si>
    <t xml:space="preserve">(c) </t>
  </si>
  <si>
    <t>Life Insurance Premium</t>
  </si>
  <si>
    <t>House Loan Interest</t>
  </si>
  <si>
    <t>House Loan Premium</t>
  </si>
  <si>
    <t>DDO Name</t>
  </si>
  <si>
    <t xml:space="preserve">                                                                                                                 Signature Of Employee </t>
  </si>
  <si>
    <t>Gen Provident Fund</t>
  </si>
  <si>
    <t>Less -U/S 80 CCE 80 CCD(1B)Contribution in NPS by Indivividual upto Rs 50000</t>
  </si>
  <si>
    <t>Donation to charitable institutions 50% or 100%</t>
  </si>
  <si>
    <t>Less Standard Deduction ( Under Section 24 )</t>
  </si>
  <si>
    <t>Balance Income(4-5)</t>
  </si>
  <si>
    <t>Self Use</t>
  </si>
  <si>
    <t>Rent Earned</t>
  </si>
  <si>
    <t>TOTAL DEDUCTIONS ( i to xvi )</t>
  </si>
  <si>
    <t>TOTAL ELIGIBLE DEDUCTIONS Max. amount Rs 150000</t>
  </si>
  <si>
    <t>TAN</t>
  </si>
  <si>
    <t>PAN</t>
  </si>
  <si>
    <t>Subject</t>
  </si>
  <si>
    <t>Self Deductions</t>
  </si>
  <si>
    <t xml:space="preserve">Office TAN </t>
  </si>
  <si>
    <t xml:space="preserve">                       DDO</t>
  </si>
  <si>
    <t xml:space="preserve">EMPLOYEE                                                                                                                                                                                                                                                   SIGNATURE OF DDO WITH SEAL                                                                                                                                                            </t>
  </si>
  <si>
    <t>Rebate U/S 87A If Income is Less Than Rs.500000</t>
  </si>
  <si>
    <t>Conf. Arrear</t>
  </si>
  <si>
    <t>Income Tax</t>
  </si>
  <si>
    <t>QualifiyAmt</t>
  </si>
  <si>
    <t xml:space="preserve">Other </t>
  </si>
  <si>
    <t>OLD REGIME  (OLD TAX SCHEME)</t>
  </si>
  <si>
    <t>Fill Other Income &amp; Arreares Amount if any.</t>
  </si>
  <si>
    <r>
      <t xml:space="preserve">How To Use </t>
    </r>
    <r>
      <rPr>
        <b/>
        <sz val="11"/>
        <color rgb="FFFF0000"/>
        <rFont val="Calibri"/>
        <family val="2"/>
        <scheme val="minor"/>
      </rPr>
      <t>( All Entries to be filled in Data Form)</t>
    </r>
  </si>
  <si>
    <t>Tution Fees</t>
  </si>
  <si>
    <t>ELSS</t>
  </si>
  <si>
    <t>(xvii)</t>
  </si>
  <si>
    <t>TOTAL DEDUCTIONS ( i to xvii )</t>
  </si>
  <si>
    <t>Medical treatment dependent handicapted person</t>
  </si>
  <si>
    <t>Spl ded. to the guardian of a patient suffering from Cancer or Aids</t>
  </si>
  <si>
    <t>Gen Ins Premium</t>
  </si>
  <si>
    <t>Relief U/S 89</t>
  </si>
  <si>
    <t>H.R.Paid Per Month</t>
  </si>
  <si>
    <t>OTHER INCOME</t>
  </si>
  <si>
    <t>Bank FDR Interest</t>
  </si>
  <si>
    <t>Proffesional Tax</t>
  </si>
  <si>
    <t>GPF 
2004</t>
  </si>
  <si>
    <t>Income from House Property</t>
  </si>
  <si>
    <t>Entertenmt Allowance</t>
  </si>
  <si>
    <t>SB Interest</t>
  </si>
  <si>
    <t>HBA 
Int</t>
  </si>
  <si>
    <t>HBA
Amt</t>
  </si>
  <si>
    <t>Surrender Leave</t>
  </si>
  <si>
    <t>DA Arrear 1</t>
  </si>
  <si>
    <t>DA Arrear 2</t>
  </si>
  <si>
    <t>BILL 
DATE</t>
  </si>
  <si>
    <t>Encash 
Date</t>
  </si>
  <si>
    <t>GPF 2004</t>
  </si>
  <si>
    <t>ConfArr</t>
  </si>
  <si>
    <t>Sukanya Samriddhi Yojna</t>
  </si>
  <si>
    <t>RGHS</t>
  </si>
  <si>
    <t>SI Loan
SI Int</t>
  </si>
  <si>
    <t>NPS  Prem. U/S 80ccd(1b)</t>
  </si>
  <si>
    <t>Fill All Typeof Deductions in Column  K to Column  U</t>
  </si>
  <si>
    <t xml:space="preserve">Fill Bill No &amp; Dates In Column  V,W, X </t>
  </si>
  <si>
    <t>If Necessary Edit DA Rates And HRA Rates in Column Y , Z</t>
  </si>
  <si>
    <t>Fill Deductions Under Sec  80/80C/80 CCC in D 11 to D 23</t>
  </si>
  <si>
    <t>Fill Deductions Under Chapter VI A in Column J &amp; K</t>
  </si>
  <si>
    <t>Fill Other  Details of All.and Deductions in Col O24 to O35</t>
  </si>
  <si>
    <t xml:space="preserve">Any Other write Here </t>
  </si>
  <si>
    <t>Donation to Charitable institutions 50% and 100%</t>
  </si>
  <si>
    <t xml:space="preserve">Interest From Saving Bank Account </t>
  </si>
  <si>
    <t xml:space="preserve">Deduct
Amt </t>
  </si>
  <si>
    <t>GIS Premium</t>
  </si>
  <si>
    <t>G P F</t>
  </si>
  <si>
    <t>Any Other Income / Income from Other Sources</t>
  </si>
  <si>
    <t>Other Arr</t>
  </si>
  <si>
    <t>OTHER DEDUCTION</t>
  </si>
  <si>
    <t>PERSONAL DETAILS</t>
  </si>
  <si>
    <t>Office Name</t>
  </si>
  <si>
    <t>HITKARI NIDHI</t>
  </si>
  <si>
    <t>Hitkari Nidhi</t>
  </si>
  <si>
    <t>Fill/Edit DA &amp; HRA Rates in Y4:Y17  and  Z4:Z17</t>
  </si>
  <si>
    <t>Surcharge of 10% if Net Income above Rs. 5000000</t>
  </si>
  <si>
    <t>Less Standard Deduction (Under Section 24)</t>
  </si>
  <si>
    <t>HINDI</t>
  </si>
  <si>
    <t>JDHG05056C</t>
  </si>
  <si>
    <t>AAAPI9582K</t>
  </si>
  <si>
    <t>NEW TAX REGIME</t>
  </si>
  <si>
    <t>Tax Saving Bank FDR 5 Yr</t>
  </si>
  <si>
    <t>HBA Premium/Int</t>
  </si>
  <si>
    <t>Where the total income  exceed Rs.120000 but does not exceed Rs.1600000 @ 15%</t>
  </si>
  <si>
    <t>Where the total income  exceed Rs.1600000 but does not exceed Rs.2000000 @ 20%</t>
  </si>
  <si>
    <t>Where the total income  exceed Rs.2000000 but does not exceed Rs.2400000 @ 25%</t>
  </si>
  <si>
    <t>Where the total income  exceed Rs.2400000  @ 30%</t>
  </si>
  <si>
    <t>NET INCOME TAX PAYABLE : [(i)+(ii)+(iii)+(iv)-(v)+(vi)+(vii)-(viii]</t>
  </si>
  <si>
    <t>REBATE U/S 27 A  IF INCOME IS LESS THAN RS 1200000</t>
  </si>
  <si>
    <t>HOUSE RENT RECEIVED IN FINANCIAL YEER    2025-2026</t>
  </si>
  <si>
    <t xml:space="preserve">HOUSE RENT PAID IN THE FINANCIAL YEER     2025-2026 </t>
  </si>
  <si>
    <t>(SALARY+DP+DA)10% IN FINANCIAL YEER    2025-2026</t>
  </si>
  <si>
    <t xml:space="preserve"> THE HOUSE RENT AMOUNT ACTUAL   DELIVERED 
  IN FINANCIAL YEAR 2025-2026  </t>
  </si>
  <si>
    <t xml:space="preserve">                                                                                                      Signature Of Employee </t>
  </si>
  <si>
    <t>SUB</t>
  </si>
  <si>
    <t>TEACHER LEVEL 2</t>
  </si>
  <si>
    <t>INCOME TAX CALCULATION SYSTEM FOR GOVT. EMPLOYEES F.Y. 2025-26</t>
  </si>
  <si>
    <t>AVANISH CHANDRA GUPTA</t>
  </si>
  <si>
    <t>GOVT HIGHER SEC SCHOOL RAILA</t>
  </si>
  <si>
    <t>M</t>
  </si>
  <si>
    <t xml:space="preserve">RAJNISH KUMAR </t>
  </si>
  <si>
    <r>
      <t xml:space="preserve">DEVELOPED  BY 
</t>
    </r>
    <r>
      <rPr>
        <b/>
        <sz val="12"/>
        <color rgb="FF002060"/>
        <rFont val="Calibri"/>
        <family val="2"/>
      </rPr>
      <t>RAJENDRA KUMAR GAGGAR</t>
    </r>
    <r>
      <rPr>
        <b/>
        <sz val="12"/>
        <color indexed="60"/>
        <rFont val="Calibri"/>
        <family val="2"/>
      </rPr>
      <t xml:space="preserve">
</t>
    </r>
    <r>
      <rPr>
        <b/>
        <sz val="12"/>
        <color rgb="FFFF0000"/>
        <rFont val="Calibri"/>
        <family val="2"/>
      </rPr>
      <t>Dist.Edu.Officer
(H.Q.) Secondary
BHILWARA</t>
    </r>
    <r>
      <rPr>
        <b/>
        <sz val="12"/>
        <color indexed="60"/>
        <rFont val="Calibri"/>
        <family val="2"/>
      </rPr>
      <t xml:space="preserve">
EMAIL : </t>
    </r>
    <r>
      <rPr>
        <b/>
        <sz val="10"/>
        <color indexed="17"/>
        <rFont val="Calibri"/>
        <family val="2"/>
      </rPr>
      <t xml:space="preserve">rajendrakgaggar@gmail.com
</t>
    </r>
    <r>
      <rPr>
        <b/>
        <sz val="10"/>
        <color rgb="FFFF0066"/>
        <rFont val="Calibri"/>
        <family val="2"/>
      </rPr>
      <t>Last Updated 08-11-2025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</si>
</sst>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\-yy;@"/>
    <numFmt numFmtId="165" formatCode="0.0%"/>
    <numFmt numFmtId="166" formatCode="[$-14009]dd/mm/yy;@"/>
  </numFmts>
  <fonts count="74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sz val="9"/>
      <color indexed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11"/>
      <name val="Shuriken Boy"/>
      <family val="2"/>
    </font>
    <font>
      <b/>
      <sz val="11"/>
      <name val="Arial"/>
      <family val="2"/>
    </font>
    <font>
      <sz val="8"/>
      <color indexed="12"/>
      <name val="Times New Roman"/>
      <family val="1"/>
    </font>
    <font>
      <sz val="9"/>
      <color indexed="12"/>
      <name val="Times New Roman"/>
      <family val="1"/>
    </font>
    <font>
      <sz val="10"/>
      <color indexed="12"/>
      <name val="Times New Roman"/>
      <family val="1"/>
    </font>
    <font>
      <b/>
      <sz val="10"/>
      <name val="Comic Sans MS"/>
      <family val="4"/>
    </font>
    <font>
      <sz val="11"/>
      <name val="Comic Sans MS"/>
      <family val="4"/>
    </font>
    <font>
      <b/>
      <sz val="11"/>
      <name val="Comic Sans MS"/>
      <family val="4"/>
    </font>
    <font>
      <i/>
      <sz val="11"/>
      <name val="Comic Sans MS"/>
      <family val="4"/>
    </font>
    <font>
      <sz val="11"/>
      <color indexed="10"/>
      <name val="Comic Sans MS"/>
      <family val="4"/>
    </font>
    <font>
      <sz val="11"/>
      <color indexed="9"/>
      <name val="Comic Sans MS"/>
      <family val="4"/>
    </font>
    <font>
      <b/>
      <sz val="8"/>
      <color indexed="58"/>
      <name val="Times New Roman"/>
      <family val="1"/>
    </font>
    <font>
      <b/>
      <sz val="8"/>
      <color indexed="16"/>
      <name val="Times New Roman"/>
      <family val="1"/>
    </font>
    <font>
      <b/>
      <sz val="10"/>
      <color indexed="16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0.5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indexed="60"/>
      <name val="Calibri"/>
      <family val="2"/>
    </font>
    <font>
      <b/>
      <sz val="8"/>
      <color rgb="FFC00000"/>
      <name val="Calibri"/>
      <family val="2"/>
      <scheme val="minor"/>
    </font>
    <font>
      <b/>
      <sz val="12"/>
      <color theme="1"/>
      <name val="Aharoni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Comic Sans MS"/>
      <family val="4"/>
    </font>
    <font>
      <b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7030A0"/>
      <name val="Calibri"/>
      <family val="2"/>
      <scheme val="minor"/>
    </font>
    <font>
      <b/>
      <sz val="10"/>
      <color indexed="17"/>
      <name val="Calibri"/>
      <family val="2"/>
    </font>
    <font>
      <sz val="9"/>
      <name val="Times New Roman"/>
      <family val="1"/>
    </font>
    <font>
      <b/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1"/>
      <color rgb="FFFF0000"/>
      <name val="Comic Sans MS"/>
      <family val="4"/>
    </font>
    <font>
      <sz val="8"/>
      <name val="Times New Roman"/>
      <family val="1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66"/>
      <name val="Calibri"/>
      <family val="2"/>
    </font>
    <font>
      <b/>
      <sz val="12"/>
      <color rgb="FFFF0000"/>
      <name val="Calibri"/>
      <family val="2"/>
    </font>
    <font>
      <b/>
      <sz val="12"/>
      <color rgb="FF00206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89">
    <xf numFmtId="0" fontId="0" fillId="0" borderId="0" xfId="0"/>
    <xf numFmtId="0" fontId="2" fillId="0" borderId="0" xfId="0" applyFont="1"/>
    <xf numFmtId="0" fontId="0" fillId="0" borderId="0" xfId="0" applyBorder="1"/>
    <xf numFmtId="0" fontId="7" fillId="0" borderId="0" xfId="0" applyFont="1"/>
    <xf numFmtId="0" fontId="3" fillId="0" borderId="0" xfId="1"/>
    <xf numFmtId="0" fontId="3" fillId="0" borderId="0" xfId="1" applyAlignment="1">
      <alignment shrinkToFit="1"/>
    </xf>
    <xf numFmtId="1" fontId="3" fillId="0" borderId="1" xfId="1" applyNumberFormat="1" applyBorder="1"/>
    <xf numFmtId="0" fontId="3" fillId="0" borderId="2" xfId="1" applyBorder="1" applyAlignment="1"/>
    <xf numFmtId="0" fontId="3" fillId="0" borderId="2" xfId="1" applyBorder="1"/>
    <xf numFmtId="0" fontId="3" fillId="0" borderId="3" xfId="1" applyBorder="1"/>
    <xf numFmtId="0" fontId="4" fillId="0" borderId="4" xfId="1" applyFont="1" applyBorder="1"/>
    <xf numFmtId="0" fontId="3" fillId="0" borderId="0" xfId="1" applyBorder="1"/>
    <xf numFmtId="0" fontId="3" fillId="0" borderId="0" xfId="1" applyBorder="1" applyAlignment="1">
      <alignment horizontal="center"/>
    </xf>
    <xf numFmtId="0" fontId="4" fillId="0" borderId="0" xfId="1" applyFont="1" applyBorder="1"/>
    <xf numFmtId="0" fontId="3" fillId="0" borderId="5" xfId="1" applyBorder="1"/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3" fillId="0" borderId="4" xfId="1" applyBorder="1" applyAlignment="1">
      <alignment horizontal="center"/>
    </xf>
    <xf numFmtId="0" fontId="3" fillId="0" borderId="0" xfId="1" applyBorder="1" applyAlignment="1"/>
    <xf numFmtId="0" fontId="3" fillId="0" borderId="6" xfId="1" applyBorder="1"/>
    <xf numFmtId="0" fontId="3" fillId="0" borderId="7" xfId="1" applyBorder="1"/>
    <xf numFmtId="0" fontId="3" fillId="0" borderId="8" xfId="1" applyBorder="1"/>
    <xf numFmtId="0" fontId="3" fillId="0" borderId="0" xfId="1" quotePrefix="1" applyBorder="1"/>
    <xf numFmtId="0" fontId="8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top" wrapText="1"/>
    </xf>
    <xf numFmtId="0" fontId="10" fillId="0" borderId="0" xfId="0" applyFont="1" applyBorder="1"/>
    <xf numFmtId="0" fontId="11" fillId="0" borderId="0" xfId="0" applyFont="1"/>
    <xf numFmtId="0" fontId="12" fillId="0" borderId="0" xfId="0" applyFont="1"/>
    <xf numFmtId="0" fontId="9" fillId="0" borderId="0" xfId="0" applyFont="1" applyBorder="1"/>
    <xf numFmtId="0" fontId="11" fillId="0" borderId="0" xfId="0" applyFont="1" applyBorder="1"/>
    <xf numFmtId="0" fontId="13" fillId="0" borderId="0" xfId="0" applyFont="1" applyBorder="1"/>
    <xf numFmtId="0" fontId="12" fillId="0" borderId="0" xfId="0" applyFont="1" applyBorder="1"/>
    <xf numFmtId="0" fontId="9" fillId="0" borderId="0" xfId="0" applyFont="1" applyBorder="1" applyAlignment="1">
      <alignment vertical="center"/>
    </xf>
    <xf numFmtId="0" fontId="7" fillId="0" borderId="0" xfId="0" applyFont="1" applyFill="1"/>
    <xf numFmtId="0" fontId="18" fillId="0" borderId="0" xfId="0" applyFont="1"/>
    <xf numFmtId="0" fontId="18" fillId="0" borderId="0" xfId="0" applyFont="1" applyBorder="1"/>
    <xf numFmtId="0" fontId="21" fillId="2" borderId="0" xfId="0" applyFont="1" applyFill="1" applyBorder="1"/>
    <xf numFmtId="0" fontId="18" fillId="0" borderId="0" xfId="0" applyFont="1" applyBorder="1" applyAlignment="1"/>
    <xf numFmtId="0" fontId="22" fillId="0" borderId="0" xfId="0" applyFont="1" applyBorder="1"/>
    <xf numFmtId="0" fontId="19" fillId="0" borderId="0" xfId="0" applyFont="1" applyAlignment="1">
      <alignment horizontal="left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/>
    <xf numFmtId="0" fontId="24" fillId="0" borderId="0" xfId="0" applyFont="1" applyFill="1" applyBorder="1" applyAlignment="1">
      <alignment horizontal="left"/>
    </xf>
    <xf numFmtId="0" fontId="2" fillId="0" borderId="0" xfId="0" applyFont="1" applyFill="1"/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/>
    <xf numFmtId="0" fontId="16" fillId="0" borderId="0" xfId="0" applyFont="1" applyFill="1" applyBorder="1" applyAlignment="1"/>
    <xf numFmtId="0" fontId="14" fillId="0" borderId="0" xfId="0" applyFont="1" applyFill="1" applyBorder="1" applyAlignment="1"/>
    <xf numFmtId="14" fontId="16" fillId="0" borderId="0" xfId="0" applyNumberFormat="1" applyFont="1" applyFill="1" applyBorder="1" applyAlignment="1"/>
    <xf numFmtId="0" fontId="25" fillId="0" borderId="0" xfId="0" applyFont="1" applyFill="1" applyBorder="1" applyAlignment="1"/>
    <xf numFmtId="14" fontId="15" fillId="0" borderId="0" xfId="0" applyNumberFormat="1" applyFont="1" applyFill="1" applyBorder="1" applyAlignment="1"/>
    <xf numFmtId="0" fontId="0" fillId="0" borderId="0" xfId="0" applyAlignment="1">
      <alignment horizontal="left" vertical="center"/>
    </xf>
    <xf numFmtId="0" fontId="43" fillId="0" borderId="0" xfId="0" applyFont="1" applyFill="1" applyBorder="1" applyAlignment="1" applyProtection="1">
      <alignment horizontal="right" vertical="center"/>
      <protection hidden="1"/>
    </xf>
    <xf numFmtId="0" fontId="30" fillId="4" borderId="10" xfId="0" applyFont="1" applyFill="1" applyBorder="1" applyAlignment="1" applyProtection="1">
      <alignment vertical="center"/>
      <protection hidden="1"/>
    </xf>
    <xf numFmtId="0" fontId="30" fillId="26" borderId="0" xfId="0" applyFont="1" applyFill="1" applyAlignment="1" applyProtection="1">
      <alignment vertical="center"/>
      <protection hidden="1"/>
    </xf>
    <xf numFmtId="0" fontId="30" fillId="23" borderId="0" xfId="0" applyFont="1" applyFill="1" applyAlignment="1" applyProtection="1">
      <alignment vertical="center"/>
      <protection hidden="1"/>
    </xf>
    <xf numFmtId="0" fontId="31" fillId="0" borderId="11" xfId="0" applyFont="1" applyBorder="1" applyProtection="1">
      <protection locked="0" hidden="1"/>
    </xf>
    <xf numFmtId="0" fontId="29" fillId="0" borderId="10" xfId="0" applyFont="1" applyBorder="1" applyProtection="1">
      <protection locked="0" hidden="1"/>
    </xf>
    <xf numFmtId="0" fontId="33" fillId="0" borderId="10" xfId="0" applyFont="1" applyFill="1" applyBorder="1" applyAlignment="1" applyProtection="1">
      <alignment horizontal="right" vertical="center" wrapText="1"/>
      <protection locked="0" hidden="1"/>
    </xf>
    <xf numFmtId="166" fontId="36" fillId="0" borderId="10" xfId="0" applyNumberFormat="1" applyFont="1" applyFill="1" applyBorder="1" applyAlignment="1" applyProtection="1">
      <alignment horizontal="right" vertical="center" wrapText="1"/>
      <protection locked="0" hidden="1"/>
    </xf>
    <xf numFmtId="9" fontId="30" fillId="2" borderId="10" xfId="0" applyNumberFormat="1" applyFont="1" applyFill="1" applyBorder="1" applyProtection="1">
      <protection locked="0" hidden="1"/>
    </xf>
    <xf numFmtId="165" fontId="30" fillId="2" borderId="10" xfId="0" applyNumberFormat="1" applyFont="1" applyFill="1" applyBorder="1" applyProtection="1">
      <protection locked="0" hidden="1"/>
    </xf>
    <xf numFmtId="0" fontId="37" fillId="18" borderId="15" xfId="0" applyFont="1" applyFill="1" applyBorder="1" applyAlignment="1" applyProtection="1">
      <alignment vertical="center"/>
      <protection hidden="1"/>
    </xf>
    <xf numFmtId="0" fontId="37" fillId="18" borderId="10" xfId="0" applyFont="1" applyFill="1" applyBorder="1" applyAlignment="1" applyProtection="1">
      <alignment vertical="center"/>
      <protection hidden="1"/>
    </xf>
    <xf numFmtId="0" fontId="31" fillId="18" borderId="10" xfId="0" applyFont="1" applyFill="1" applyBorder="1" applyAlignment="1" applyProtection="1">
      <alignment vertical="center"/>
      <protection locked="0" hidden="1"/>
    </xf>
    <xf numFmtId="0" fontId="29" fillId="6" borderId="10" xfId="0" applyFont="1" applyFill="1" applyBorder="1" applyAlignment="1" applyProtection="1">
      <alignment horizontal="center" vertical="center"/>
      <protection hidden="1"/>
    </xf>
    <xf numFmtId="0" fontId="30" fillId="15" borderId="10" xfId="0" applyFont="1" applyFill="1" applyBorder="1" applyProtection="1">
      <protection hidden="1"/>
    </xf>
    <xf numFmtId="0" fontId="31" fillId="0" borderId="14" xfId="0" applyFont="1" applyFill="1" applyBorder="1" applyAlignment="1" applyProtection="1">
      <protection locked="0" hidden="1"/>
    </xf>
    <xf numFmtId="0" fontId="31" fillId="0" borderId="10" xfId="0" applyFont="1" applyFill="1" applyBorder="1" applyAlignment="1" applyProtection="1">
      <protection locked="0" hidden="1"/>
    </xf>
    <xf numFmtId="0" fontId="31" fillId="0" borderId="10" xfId="0" applyFont="1" applyBorder="1" applyProtection="1">
      <protection locked="0" hidden="1"/>
    </xf>
    <xf numFmtId="0" fontId="31" fillId="0" borderId="12" xfId="0" applyFont="1" applyBorder="1" applyProtection="1">
      <protection locked="0" hidden="1"/>
    </xf>
    <xf numFmtId="0" fontId="31" fillId="0" borderId="10" xfId="0" applyFont="1" applyFill="1" applyBorder="1" applyAlignment="1" applyProtection="1">
      <alignment horizontal="right" vertical="center" wrapText="1"/>
      <protection locked="0" hidden="1"/>
    </xf>
    <xf numFmtId="0" fontId="31" fillId="0" borderId="12" xfId="0" applyFont="1" applyFill="1" applyBorder="1" applyAlignment="1" applyProtection="1">
      <alignment horizontal="right" vertical="center" wrapText="1"/>
      <protection locked="0" hidden="1"/>
    </xf>
    <xf numFmtId="0" fontId="31" fillId="0" borderId="10" xfId="0" applyFont="1" applyBorder="1" applyAlignment="1" applyProtection="1">
      <alignment horizontal="right" vertical="center"/>
      <protection locked="0" hidden="1"/>
    </xf>
    <xf numFmtId="0" fontId="29" fillId="6" borderId="13" xfId="0" applyFont="1" applyFill="1" applyBorder="1" applyAlignment="1" applyProtection="1">
      <alignment horizontal="center" vertical="center"/>
      <protection hidden="1"/>
    </xf>
    <xf numFmtId="0" fontId="33" fillId="16" borderId="23" xfId="0" applyFont="1" applyFill="1" applyBorder="1" applyAlignment="1" applyProtection="1">
      <alignment horizontal="center" vertical="center"/>
      <protection hidden="1"/>
    </xf>
    <xf numFmtId="0" fontId="37" fillId="16" borderId="17" xfId="0" applyFont="1" applyFill="1" applyBorder="1" applyAlignment="1" applyProtection="1">
      <alignment vertical="center"/>
      <protection hidden="1"/>
    </xf>
    <xf numFmtId="0" fontId="37" fillId="16" borderId="14" xfId="0" applyFont="1" applyFill="1" applyBorder="1" applyAlignment="1" applyProtection="1">
      <alignment vertical="center"/>
      <protection hidden="1"/>
    </xf>
    <xf numFmtId="0" fontId="37" fillId="16" borderId="14" xfId="0" applyFont="1" applyFill="1" applyBorder="1" applyProtection="1">
      <protection hidden="1"/>
    </xf>
    <xf numFmtId="0" fontId="33" fillId="16" borderId="24" xfId="0" applyFont="1" applyFill="1" applyBorder="1" applyAlignment="1" applyProtection="1">
      <alignment horizontal="center" vertical="center"/>
      <protection hidden="1"/>
    </xf>
    <xf numFmtId="0" fontId="37" fillId="16" borderId="11" xfId="0" applyFont="1" applyFill="1" applyBorder="1" applyAlignment="1" applyProtection="1">
      <alignment vertical="center"/>
      <protection hidden="1"/>
    </xf>
    <xf numFmtId="0" fontId="37" fillId="16" borderId="15" xfId="0" applyFont="1" applyFill="1" applyBorder="1" applyAlignment="1" applyProtection="1">
      <alignment vertical="center"/>
      <protection hidden="1"/>
    </xf>
    <xf numFmtId="0" fontId="37" fillId="16" borderId="15" xfId="0" applyFont="1" applyFill="1" applyBorder="1" applyProtection="1">
      <protection hidden="1"/>
    </xf>
    <xf numFmtId="0" fontId="33" fillId="16" borderId="25" xfId="0" applyFont="1" applyFill="1" applyBorder="1" applyAlignment="1" applyProtection="1">
      <alignment horizontal="center" vertical="center"/>
      <protection hidden="1"/>
    </xf>
    <xf numFmtId="0" fontId="30" fillId="0" borderId="0" xfId="0" applyFont="1" applyBorder="1" applyAlignment="1" applyProtection="1">
      <alignment vertical="center"/>
      <protection hidden="1"/>
    </xf>
    <xf numFmtId="0" fontId="42" fillId="0" borderId="0" xfId="0" applyFont="1" applyBorder="1" applyAlignment="1" applyProtection="1">
      <alignment vertical="center"/>
      <protection hidden="1"/>
    </xf>
    <xf numFmtId="1" fontId="42" fillId="0" borderId="0" xfId="0" applyNumberFormat="1" applyFont="1" applyBorder="1" applyAlignment="1" applyProtection="1">
      <alignment vertical="center"/>
      <protection hidden="1"/>
    </xf>
    <xf numFmtId="1" fontId="30" fillId="0" borderId="0" xfId="0" applyNumberFormat="1" applyFont="1" applyBorder="1" applyAlignment="1" applyProtection="1">
      <alignment vertical="center" wrapText="1"/>
      <protection hidden="1"/>
    </xf>
    <xf numFmtId="0" fontId="44" fillId="0" borderId="0" xfId="0" applyFont="1" applyBorder="1" applyAlignment="1" applyProtection="1">
      <alignment horizontal="right" vertical="center"/>
      <protection hidden="1"/>
    </xf>
    <xf numFmtId="166" fontId="44" fillId="0" borderId="0" xfId="0" applyNumberFormat="1" applyFont="1" applyBorder="1" applyAlignment="1" applyProtection="1">
      <alignment horizontal="right" vertical="center"/>
      <protection hidden="1"/>
    </xf>
    <xf numFmtId="166" fontId="44" fillId="0" borderId="16" xfId="0" applyNumberFormat="1" applyFont="1" applyBorder="1" applyAlignment="1" applyProtection="1">
      <alignment horizontal="right" vertical="center"/>
      <protection hidden="1"/>
    </xf>
    <xf numFmtId="0" fontId="45" fillId="0" borderId="0" xfId="0" applyFont="1" applyBorder="1" applyAlignment="1" applyProtection="1">
      <alignment horizontal="right" vertical="center"/>
      <protection hidden="1"/>
    </xf>
    <xf numFmtId="166" fontId="45" fillId="0" borderId="16" xfId="0" applyNumberFormat="1" applyFont="1" applyBorder="1" applyAlignment="1" applyProtection="1">
      <alignment horizontal="right" vertical="center"/>
      <protection hidden="1"/>
    </xf>
    <xf numFmtId="166" fontId="45" fillId="0" borderId="0" xfId="0" applyNumberFormat="1" applyFont="1" applyBorder="1" applyAlignment="1" applyProtection="1">
      <alignment horizontal="right" vertical="center"/>
      <protection hidden="1"/>
    </xf>
    <xf numFmtId="1" fontId="30" fillId="0" borderId="0" xfId="0" applyNumberFormat="1" applyFont="1" applyBorder="1" applyAlignment="1" applyProtection="1">
      <alignment vertical="center"/>
      <protection hidden="1"/>
    </xf>
    <xf numFmtId="0" fontId="30" fillId="0" borderId="0" xfId="0" applyFont="1" applyBorder="1" applyAlignment="1" applyProtection="1">
      <alignment vertical="center" wrapText="1"/>
      <protection hidden="1"/>
    </xf>
    <xf numFmtId="0" fontId="43" fillId="0" borderId="0" xfId="0" applyFont="1" applyBorder="1" applyAlignment="1" applyProtection="1">
      <alignment horizontal="right" vertical="center"/>
      <protection hidden="1"/>
    </xf>
    <xf numFmtId="0" fontId="43" fillId="0" borderId="16" xfId="0" applyFont="1" applyBorder="1" applyAlignment="1" applyProtection="1">
      <alignment horizontal="right" vertical="center"/>
      <protection hidden="1"/>
    </xf>
    <xf numFmtId="0" fontId="47" fillId="0" borderId="0" xfId="0" applyFont="1" applyBorder="1" applyProtection="1">
      <protection hidden="1"/>
    </xf>
    <xf numFmtId="0" fontId="47" fillId="0" borderId="0" xfId="0" applyFont="1" applyFill="1" applyBorder="1" applyAlignment="1" applyProtection="1">
      <alignment vertical="center"/>
      <protection hidden="1"/>
    </xf>
    <xf numFmtId="0" fontId="43" fillId="0" borderId="0" xfId="0" applyFont="1" applyFill="1" applyBorder="1" applyAlignment="1" applyProtection="1">
      <alignment vertical="center"/>
      <protection hidden="1"/>
    </xf>
    <xf numFmtId="0" fontId="43" fillId="0" borderId="0" xfId="0" applyFont="1" applyBorder="1" applyAlignment="1" applyProtection="1">
      <alignment vertical="center"/>
      <protection hidden="1"/>
    </xf>
    <xf numFmtId="0" fontId="46" fillId="0" borderId="0" xfId="0" applyFont="1" applyFill="1" applyBorder="1" applyAlignment="1" applyProtection="1">
      <alignment horizontal="right" vertical="center"/>
      <protection hidden="1"/>
    </xf>
    <xf numFmtId="0" fontId="41" fillId="0" borderId="0" xfId="0" applyFont="1" applyBorder="1" applyAlignment="1" applyProtection="1">
      <alignment horizontal="right" vertical="center"/>
      <protection hidden="1"/>
    </xf>
    <xf numFmtId="0" fontId="47" fillId="0" borderId="0" xfId="0" applyFont="1" applyBorder="1" applyAlignment="1" applyProtection="1">
      <alignment vertical="center"/>
      <protection hidden="1"/>
    </xf>
    <xf numFmtId="0" fontId="32" fillId="0" borderId="0" xfId="0" applyFont="1" applyBorder="1" applyProtection="1">
      <protection hidden="1"/>
    </xf>
    <xf numFmtId="0" fontId="43" fillId="0" borderId="0" xfId="0" applyFont="1" applyBorder="1" applyProtection="1">
      <protection hidden="1"/>
    </xf>
    <xf numFmtId="0" fontId="40" fillId="0" borderId="0" xfId="0" applyFont="1" applyFill="1" applyBorder="1" applyAlignment="1" applyProtection="1">
      <protection hidden="1"/>
    </xf>
    <xf numFmtId="0" fontId="32" fillId="0" borderId="0" xfId="0" applyFont="1" applyBorder="1" applyAlignment="1" applyProtection="1">
      <alignment horizontal="left" vertical="center"/>
      <protection hidden="1"/>
    </xf>
    <xf numFmtId="1" fontId="43" fillId="0" borderId="0" xfId="0" applyNumberFormat="1" applyFont="1" applyFill="1" applyBorder="1" applyProtection="1">
      <protection hidden="1"/>
    </xf>
    <xf numFmtId="0" fontId="47" fillId="0" borderId="0" xfId="0" applyFont="1" applyBorder="1" applyAlignment="1" applyProtection="1">
      <alignment horizontal="left"/>
      <protection hidden="1"/>
    </xf>
    <xf numFmtId="0" fontId="45" fillId="0" borderId="0" xfId="0" applyFont="1" applyBorder="1" applyProtection="1">
      <protection hidden="1"/>
    </xf>
    <xf numFmtId="0" fontId="45" fillId="0" borderId="0" xfId="0" applyFont="1" applyBorder="1" applyAlignment="1" applyProtection="1">
      <alignment horizontal="right"/>
      <protection hidden="1"/>
    </xf>
    <xf numFmtId="1" fontId="32" fillId="0" borderId="0" xfId="0" applyNumberFormat="1" applyFont="1" applyBorder="1" applyProtection="1">
      <protection hidden="1"/>
    </xf>
    <xf numFmtId="0" fontId="45" fillId="0" borderId="0" xfId="0" applyFont="1" applyBorder="1" applyAlignment="1" applyProtection="1">
      <protection hidden="1"/>
    </xf>
    <xf numFmtId="0" fontId="45" fillId="0" borderId="0" xfId="0" applyFont="1" applyBorder="1" applyAlignment="1" applyProtection="1">
      <protection locked="0" hidden="1"/>
    </xf>
    <xf numFmtId="0" fontId="32" fillId="0" borderId="0" xfId="0" applyFont="1" applyBorder="1" applyProtection="1">
      <protection locked="0" hidden="1"/>
    </xf>
    <xf numFmtId="0" fontId="32" fillId="0" borderId="0" xfId="0" applyFont="1" applyAlignment="1" applyProtection="1">
      <protection hidden="1"/>
    </xf>
    <xf numFmtId="0" fontId="32" fillId="0" borderId="0" xfId="0" applyFont="1" applyProtection="1">
      <protection hidden="1"/>
    </xf>
    <xf numFmtId="0" fontId="45" fillId="0" borderId="0" xfId="0" applyFont="1" applyBorder="1" applyAlignment="1" applyProtection="1">
      <alignment horizontal="left" vertical="center"/>
      <protection hidden="1"/>
    </xf>
    <xf numFmtId="0" fontId="30" fillId="0" borderId="0" xfId="0" applyFont="1" applyAlignment="1" applyProtection="1">
      <alignment vertical="center"/>
      <protection hidden="1"/>
    </xf>
    <xf numFmtId="0" fontId="44" fillId="0" borderId="0" xfId="0" applyFont="1" applyBorder="1" applyAlignment="1" applyProtection="1">
      <alignment horizontal="left" vertical="center" wrapText="1"/>
      <protection hidden="1"/>
    </xf>
    <xf numFmtId="0" fontId="32" fillId="0" borderId="0" xfId="0" applyFont="1" applyBorder="1" applyAlignment="1" applyProtection="1">
      <alignment vertical="center"/>
      <protection hidden="1"/>
    </xf>
    <xf numFmtId="0" fontId="47" fillId="0" borderId="0" xfId="0" applyFont="1" applyProtection="1">
      <protection hidden="1"/>
    </xf>
    <xf numFmtId="0" fontId="42" fillId="0" borderId="0" xfId="0" applyFont="1" applyBorder="1" applyProtection="1">
      <protection hidden="1"/>
    </xf>
    <xf numFmtId="0" fontId="42" fillId="0" borderId="0" xfId="0" applyFont="1" applyBorder="1" applyAlignment="1" applyProtection="1">
      <alignment horizontal="left"/>
      <protection hidden="1"/>
    </xf>
    <xf numFmtId="0" fontId="47" fillId="0" borderId="0" xfId="0" applyFont="1" applyFill="1" applyBorder="1" applyAlignment="1" applyProtection="1">
      <alignment horizontal="right" vertical="center"/>
      <protection hidden="1"/>
    </xf>
    <xf numFmtId="0" fontId="30" fillId="0" borderId="0" xfId="0" applyFont="1" applyBorder="1" applyProtection="1">
      <protection hidden="1"/>
    </xf>
    <xf numFmtId="0" fontId="48" fillId="0" borderId="0" xfId="0" applyFont="1" applyBorder="1" applyAlignment="1" applyProtection="1">
      <alignment horizontal="left" vertical="center"/>
      <protection hidden="1"/>
    </xf>
    <xf numFmtId="0" fontId="41" fillId="0" borderId="0" xfId="0" applyFont="1" applyFill="1" applyBorder="1" applyAlignment="1" applyProtection="1">
      <alignment horizontal="left" vertical="center"/>
      <protection hidden="1"/>
    </xf>
    <xf numFmtId="0" fontId="41" fillId="0" borderId="0" xfId="0" applyFont="1" applyBorder="1" applyAlignment="1" applyProtection="1">
      <alignment horizontal="left" vertical="center"/>
      <protection hidden="1"/>
    </xf>
    <xf numFmtId="0" fontId="47" fillId="0" borderId="0" xfId="0" applyFont="1" applyBorder="1" applyAlignment="1" applyProtection="1">
      <protection hidden="1"/>
    </xf>
    <xf numFmtId="0" fontId="41" fillId="0" borderId="0" xfId="0" applyFont="1" applyBorder="1" applyAlignment="1" applyProtection="1">
      <protection hidden="1"/>
    </xf>
    <xf numFmtId="1" fontId="43" fillId="0" borderId="0" xfId="0" applyNumberFormat="1" applyFont="1" applyFill="1" applyBorder="1" applyAlignment="1" applyProtection="1">
      <alignment horizontal="right" vertical="center"/>
      <protection hidden="1"/>
    </xf>
    <xf numFmtId="1" fontId="43" fillId="0" borderId="0" xfId="0" applyNumberFormat="1" applyFont="1" applyBorder="1" applyAlignment="1" applyProtection="1">
      <alignment horizontal="center"/>
      <protection hidden="1"/>
    </xf>
    <xf numFmtId="0" fontId="43" fillId="0" borderId="0" xfId="0" applyFont="1" applyFill="1" applyAlignment="1" applyProtection="1">
      <alignment horizontal="right" vertical="center"/>
      <protection hidden="1"/>
    </xf>
    <xf numFmtId="0" fontId="45" fillId="0" borderId="0" xfId="0" applyFont="1" applyBorder="1" applyAlignment="1" applyProtection="1">
      <alignment horizontal="right" vertical="center"/>
      <protection hidden="1"/>
    </xf>
    <xf numFmtId="0" fontId="54" fillId="0" borderId="0" xfId="0" applyFont="1" applyBorder="1" applyAlignment="1" applyProtection="1">
      <alignment horizontal="left" vertical="center"/>
      <protection hidden="1"/>
    </xf>
    <xf numFmtId="0" fontId="37" fillId="16" borderId="14" xfId="0" applyFont="1" applyFill="1" applyBorder="1" applyAlignment="1" applyProtection="1">
      <protection hidden="1"/>
    </xf>
    <xf numFmtId="0" fontId="37" fillId="16" borderId="15" xfId="0" applyFont="1" applyFill="1" applyBorder="1" applyAlignment="1" applyProtection="1">
      <protection hidden="1"/>
    </xf>
    <xf numFmtId="0" fontId="37" fillId="16" borderId="10" xfId="0" applyFont="1" applyFill="1" applyBorder="1" applyAlignment="1" applyProtection="1">
      <alignment vertical="center"/>
      <protection hidden="1"/>
    </xf>
    <xf numFmtId="0" fontId="56" fillId="0" borderId="0" xfId="0" applyFont="1" applyBorder="1" applyAlignment="1"/>
    <xf numFmtId="0" fontId="56" fillId="27" borderId="0" xfId="0" applyFont="1" applyFill="1" applyBorder="1"/>
    <xf numFmtId="0" fontId="31" fillId="0" borderId="22" xfId="0" applyFont="1" applyBorder="1" applyProtection="1">
      <protection locked="0" hidden="1"/>
    </xf>
    <xf numFmtId="0" fontId="31" fillId="0" borderId="18" xfId="0" applyFont="1" applyBorder="1" applyProtection="1">
      <protection locked="0" hidden="1"/>
    </xf>
    <xf numFmtId="0" fontId="30" fillId="28" borderId="13" xfId="0" applyFont="1" applyFill="1" applyBorder="1" applyAlignment="1" applyProtection="1">
      <alignment vertical="center"/>
      <protection hidden="1"/>
    </xf>
    <xf numFmtId="0" fontId="30" fillId="28" borderId="18" xfId="0" applyFont="1" applyFill="1" applyBorder="1" applyAlignment="1" applyProtection="1">
      <alignment vertical="center"/>
      <protection hidden="1"/>
    </xf>
    <xf numFmtId="0" fontId="37" fillId="16" borderId="0" xfId="0" applyFont="1" applyFill="1" applyBorder="1" applyProtection="1">
      <protection hidden="1"/>
    </xf>
    <xf numFmtId="0" fontId="35" fillId="16" borderId="0" xfId="0" applyFont="1" applyFill="1" applyBorder="1" applyAlignment="1" applyProtection="1">
      <alignment horizontal="right" vertical="center"/>
      <protection hidden="1"/>
    </xf>
    <xf numFmtId="0" fontId="35" fillId="16" borderId="15" xfId="0" applyFont="1" applyFill="1" applyBorder="1" applyAlignment="1" applyProtection="1">
      <alignment horizontal="right" vertical="center"/>
      <protection hidden="1"/>
    </xf>
    <xf numFmtId="0" fontId="29" fillId="27" borderId="10" xfId="0" applyFont="1" applyFill="1" applyBorder="1" applyAlignment="1" applyProtection="1">
      <alignment horizontal="right" vertical="center"/>
      <protection locked="0" hidden="1"/>
    </xf>
    <xf numFmtId="0" fontId="29" fillId="27" borderId="11" xfId="0" applyFont="1" applyFill="1" applyBorder="1" applyProtection="1">
      <protection locked="0" hidden="1"/>
    </xf>
    <xf numFmtId="0" fontId="29" fillId="27" borderId="10" xfId="0" applyFont="1" applyFill="1" applyBorder="1" applyProtection="1">
      <protection locked="0" hidden="1"/>
    </xf>
    <xf numFmtId="0" fontId="31" fillId="27" borderId="10" xfId="0" applyFont="1" applyFill="1" applyBorder="1" applyAlignment="1" applyProtection="1">
      <alignment vertical="center"/>
      <protection locked="0" hidden="1"/>
    </xf>
    <xf numFmtId="0" fontId="47" fillId="0" borderId="0" xfId="0" applyFont="1" applyBorder="1" applyAlignment="1" applyProtection="1">
      <alignment horizontal="left"/>
      <protection hidden="1"/>
    </xf>
    <xf numFmtId="0" fontId="45" fillId="0" borderId="0" xfId="0" applyFont="1" applyBorder="1" applyAlignment="1" applyProtection="1">
      <alignment horizontal="right" vertical="center"/>
      <protection hidden="1"/>
    </xf>
    <xf numFmtId="0" fontId="11" fillId="0" borderId="0" xfId="0" applyFont="1" applyAlignment="1">
      <alignment vertical="center"/>
    </xf>
    <xf numFmtId="0" fontId="45" fillId="0" borderId="0" xfId="0" applyFont="1" applyBorder="1" applyAlignment="1" applyProtection="1">
      <alignment horizontal="right" vertical="center"/>
      <protection hidden="1"/>
    </xf>
    <xf numFmtId="0" fontId="42" fillId="0" borderId="0" xfId="0" applyFont="1" applyBorder="1" applyAlignment="1" applyProtection="1">
      <alignment vertical="center"/>
      <protection hidden="1"/>
    </xf>
    <xf numFmtId="0" fontId="29" fillId="0" borderId="18" xfId="0" applyFont="1" applyBorder="1" applyProtection="1">
      <protection locked="0" hidden="1"/>
    </xf>
    <xf numFmtId="0" fontId="0" fillId="0" borderId="10" xfId="0" applyBorder="1" applyAlignment="1" applyProtection="1">
      <protection locked="0" hidden="1"/>
    </xf>
    <xf numFmtId="0" fontId="32" fillId="0" borderId="0" xfId="0" applyFont="1" applyAlignment="1" applyProtection="1">
      <alignment vertical="center"/>
      <protection hidden="1"/>
    </xf>
    <xf numFmtId="0" fontId="31" fillId="27" borderId="11" xfId="0" applyFont="1" applyFill="1" applyBorder="1" applyAlignment="1" applyProtection="1">
      <alignment vertical="center"/>
      <protection locked="0" hidden="1"/>
    </xf>
    <xf numFmtId="0" fontId="42" fillId="0" borderId="0" xfId="0" applyFont="1" applyBorder="1" applyAlignment="1" applyProtection="1">
      <alignment vertical="center"/>
      <protection hidden="1"/>
    </xf>
    <xf numFmtId="0" fontId="37" fillId="16" borderId="0" xfId="0" applyFont="1" applyFill="1" applyBorder="1" applyAlignment="1" applyProtection="1">
      <alignment vertical="center"/>
      <protection hidden="1"/>
    </xf>
    <xf numFmtId="0" fontId="33" fillId="16" borderId="10" xfId="0" applyFont="1" applyFill="1" applyBorder="1" applyAlignment="1" applyProtection="1">
      <alignment horizontal="center" vertical="center"/>
      <protection hidden="1"/>
    </xf>
    <xf numFmtId="0" fontId="52" fillId="25" borderId="12" xfId="0" applyFont="1" applyFill="1" applyBorder="1" applyAlignment="1" applyProtection="1">
      <alignment horizontal="center" wrapText="1"/>
      <protection hidden="1"/>
    </xf>
    <xf numFmtId="0" fontId="0" fillId="0" borderId="13" xfId="0" applyBorder="1" applyAlignment="1" applyProtection="1">
      <protection locked="0" hidden="1"/>
    </xf>
    <xf numFmtId="0" fontId="31" fillId="0" borderId="13" xfId="0" applyFont="1" applyBorder="1" applyProtection="1">
      <protection locked="0" hidden="1"/>
    </xf>
    <xf numFmtId="164" fontId="28" fillId="21" borderId="10" xfId="0" applyNumberFormat="1" applyFont="1" applyFill="1" applyBorder="1" applyAlignment="1" applyProtection="1">
      <alignment horizontal="center" vertical="center"/>
      <protection hidden="1"/>
    </xf>
    <xf numFmtId="164" fontId="28" fillId="21" borderId="12" xfId="0" applyNumberFormat="1" applyFont="1" applyFill="1" applyBorder="1" applyAlignment="1" applyProtection="1">
      <alignment horizontal="center" vertical="center"/>
      <protection hidden="1"/>
    </xf>
    <xf numFmtId="164" fontId="28" fillId="21" borderId="20" xfId="0" applyNumberFormat="1" applyFont="1" applyFill="1" applyBorder="1" applyAlignment="1" applyProtection="1">
      <alignment horizontal="center" vertical="center"/>
      <protection hidden="1"/>
    </xf>
    <xf numFmtId="0" fontId="30" fillId="35" borderId="11" xfId="0" applyFont="1" applyFill="1" applyBorder="1" applyAlignment="1" applyProtection="1">
      <alignment vertical="center"/>
      <protection hidden="1"/>
    </xf>
    <xf numFmtId="0" fontId="30" fillId="35" borderId="10" xfId="0" applyFont="1" applyFill="1" applyBorder="1" applyAlignment="1" applyProtection="1">
      <alignment horizontal="left" vertical="center" wrapText="1"/>
      <protection hidden="1"/>
    </xf>
    <xf numFmtId="0" fontId="30" fillId="35" borderId="10" xfId="0" applyFont="1" applyFill="1" applyBorder="1" applyAlignment="1" applyProtection="1">
      <alignment horizontal="left" vertical="center"/>
      <protection hidden="1"/>
    </xf>
    <xf numFmtId="0" fontId="30" fillId="35" borderId="18" xfId="0" applyFont="1" applyFill="1" applyBorder="1" applyAlignment="1" applyProtection="1">
      <alignment horizontal="left" vertical="center" wrapText="1"/>
      <protection hidden="1"/>
    </xf>
    <xf numFmtId="0" fontId="30" fillId="35" borderId="11" xfId="0" applyFont="1" applyFill="1" applyBorder="1" applyAlignment="1" applyProtection="1">
      <alignment horizontal="left" vertical="center" wrapText="1"/>
      <protection hidden="1"/>
    </xf>
    <xf numFmtId="0" fontId="63" fillId="0" borderId="0" xfId="0" applyFont="1"/>
    <xf numFmtId="9" fontId="30" fillId="2" borderId="13" xfId="0" applyNumberFormat="1" applyFont="1" applyFill="1" applyBorder="1" applyProtection="1">
      <protection locked="0" hidden="1"/>
    </xf>
    <xf numFmtId="165" fontId="30" fillId="2" borderId="13" xfId="0" applyNumberFormat="1" applyFont="1" applyFill="1" applyBorder="1" applyProtection="1">
      <protection locked="0" hidden="1"/>
    </xf>
    <xf numFmtId="0" fontId="42" fillId="35" borderId="10" xfId="0" applyFont="1" applyFill="1" applyBorder="1" applyAlignment="1" applyProtection="1">
      <alignment horizontal="left" vertical="center" wrapText="1"/>
      <protection hidden="1"/>
    </xf>
    <xf numFmtId="164" fontId="64" fillId="21" borderId="20" xfId="0" applyNumberFormat="1" applyFont="1" applyFill="1" applyBorder="1" applyAlignment="1" applyProtection="1">
      <alignment horizontal="center" vertical="center"/>
      <protection locked="0"/>
    </xf>
    <xf numFmtId="0" fontId="31" fillId="6" borderId="11" xfId="0" applyFont="1" applyFill="1" applyBorder="1" applyAlignment="1" applyProtection="1">
      <alignment horizontal="left" vertical="center"/>
      <protection hidden="1"/>
    </xf>
    <xf numFmtId="0" fontId="31" fillId="6" borderId="12" xfId="0" applyFont="1" applyFill="1" applyBorder="1" applyAlignment="1" applyProtection="1">
      <alignment horizontal="left" vertical="center"/>
      <protection hidden="1"/>
    </xf>
    <xf numFmtId="0" fontId="65" fillId="6" borderId="22" xfId="0" applyFont="1" applyFill="1" applyBorder="1" applyAlignment="1" applyProtection="1">
      <protection hidden="1"/>
    </xf>
    <xf numFmtId="0" fontId="65" fillId="27" borderId="10" xfId="0" applyFont="1" applyFill="1" applyBorder="1" applyAlignment="1" applyProtection="1">
      <protection locked="0" hidden="1"/>
    </xf>
    <xf numFmtId="0" fontId="37" fillId="16" borderId="22" xfId="0" applyFont="1" applyFill="1" applyBorder="1" applyAlignment="1" applyProtection="1">
      <alignment vertical="center"/>
      <protection hidden="1"/>
    </xf>
    <xf numFmtId="0" fontId="2" fillId="0" borderId="15" xfId="0" applyFont="1" applyBorder="1"/>
    <xf numFmtId="0" fontId="66" fillId="16" borderId="15" xfId="0" applyFont="1" applyFill="1" applyBorder="1" applyAlignment="1" applyProtection="1">
      <protection hidden="1"/>
    </xf>
    <xf numFmtId="0" fontId="29" fillId="28" borderId="11" xfId="0" applyFont="1" applyFill="1" applyBorder="1" applyProtection="1">
      <protection locked="0" hidden="1"/>
    </xf>
    <xf numFmtId="0" fontId="42" fillId="0" borderId="0" xfId="0" applyFont="1" applyBorder="1" applyAlignment="1" applyProtection="1">
      <alignment vertical="center"/>
      <protection hidden="1"/>
    </xf>
    <xf numFmtId="0" fontId="67" fillId="33" borderId="0" xfId="0" applyFont="1" applyFill="1" applyBorder="1"/>
    <xf numFmtId="0" fontId="42" fillId="4" borderId="10" xfId="0" applyFont="1" applyFill="1" applyBorder="1" applyAlignment="1" applyProtection="1">
      <alignment vertical="center"/>
      <protection hidden="1"/>
    </xf>
    <xf numFmtId="0" fontId="42" fillId="0" borderId="0" xfId="0" applyFont="1" applyBorder="1" applyAlignment="1" applyProtection="1">
      <alignment vertical="top"/>
      <protection hidden="1"/>
    </xf>
    <xf numFmtId="1" fontId="31" fillId="27" borderId="10" xfId="0" applyNumberFormat="1" applyFont="1" applyFill="1" applyBorder="1" applyAlignment="1" applyProtection="1">
      <alignment vertical="center"/>
      <protection locked="0" hidden="1"/>
    </xf>
    <xf numFmtId="0" fontId="42" fillId="0" borderId="0" xfId="0" applyFont="1" applyBorder="1" applyAlignment="1" applyProtection="1">
      <alignment vertical="center"/>
      <protection hidden="1"/>
    </xf>
    <xf numFmtId="0" fontId="43" fillId="0" borderId="0" xfId="0" applyFont="1" applyFill="1" applyBorder="1" applyAlignment="1" applyProtection="1">
      <alignment horizontal="right" vertical="center"/>
      <protection hidden="1"/>
    </xf>
    <xf numFmtId="0" fontId="69" fillId="0" borderId="0" xfId="0" applyFont="1" applyBorder="1" applyAlignment="1" applyProtection="1">
      <alignment vertical="center"/>
      <protection hidden="1"/>
    </xf>
    <xf numFmtId="0" fontId="42" fillId="0" borderId="9" xfId="0" applyFont="1" applyBorder="1" applyAlignment="1" applyProtection="1">
      <alignment horizontal="center" vertical="center"/>
      <protection hidden="1"/>
    </xf>
    <xf numFmtId="0" fontId="42" fillId="0" borderId="0" xfId="0" applyFont="1" applyFill="1" applyBorder="1" applyAlignment="1" applyProtection="1">
      <alignment horizontal="center" vertical="center" textRotation="90" wrapText="1"/>
      <protection hidden="1"/>
    </xf>
    <xf numFmtId="0" fontId="43" fillId="0" borderId="9" xfId="0" applyFont="1" applyFill="1" applyBorder="1" applyAlignment="1" applyProtection="1">
      <alignment horizontal="center" vertical="center" textRotation="90" wrapText="1"/>
      <protection hidden="1"/>
    </xf>
    <xf numFmtId="0" fontId="43" fillId="0" borderId="0" xfId="0" applyFont="1" applyFill="1" applyBorder="1" applyAlignment="1" applyProtection="1">
      <alignment horizontal="center" vertical="center" textRotation="90" wrapText="1"/>
      <protection hidden="1"/>
    </xf>
    <xf numFmtId="0" fontId="43" fillId="0" borderId="0" xfId="0" applyFont="1" applyFill="1" applyBorder="1" applyAlignment="1" applyProtection="1">
      <alignment horizontal="center" vertical="center" textRotation="90"/>
      <protection hidden="1"/>
    </xf>
    <xf numFmtId="0" fontId="43" fillId="0" borderId="0" xfId="0" applyFont="1" applyBorder="1" applyAlignment="1" applyProtection="1">
      <alignment horizontal="left"/>
      <protection hidden="1"/>
    </xf>
    <xf numFmtId="0" fontId="43" fillId="0" borderId="0" xfId="0" applyFont="1" applyFill="1" applyBorder="1" applyAlignment="1" applyProtection="1">
      <alignment horizontal="right" vertical="center"/>
      <protection hidden="1"/>
    </xf>
    <xf numFmtId="0" fontId="42" fillId="0" borderId="0" xfId="0" applyFont="1" applyBorder="1" applyAlignment="1"/>
    <xf numFmtId="0" fontId="40" fillId="0" borderId="0" xfId="0" applyFont="1" applyBorder="1" applyAlignment="1" applyProtection="1">
      <alignment horizontal="left"/>
      <protection hidden="1"/>
    </xf>
    <xf numFmtId="0" fontId="30" fillId="0" borderId="14" xfId="0" applyFont="1" applyBorder="1" applyAlignment="1">
      <alignment vertical="center"/>
    </xf>
    <xf numFmtId="0" fontId="43" fillId="0" borderId="0" xfId="0" applyFont="1" applyBorder="1" applyAlignment="1" applyProtection="1">
      <protection hidden="1"/>
    </xf>
    <xf numFmtId="14" fontId="43" fillId="0" borderId="0" xfId="0" applyNumberFormat="1" applyFont="1" applyBorder="1" applyAlignment="1" applyProtection="1">
      <alignment horizontal="left"/>
      <protection hidden="1"/>
    </xf>
    <xf numFmtId="0" fontId="40" fillId="0" borderId="19" xfId="0" applyFont="1" applyFill="1" applyBorder="1" applyAlignment="1" applyProtection="1">
      <alignment vertical="center"/>
      <protection hidden="1"/>
    </xf>
    <xf numFmtId="0" fontId="31" fillId="18" borderId="10" xfId="0" applyFont="1" applyFill="1" applyBorder="1" applyAlignment="1" applyProtection="1">
      <alignment vertical="center"/>
      <protection locked="0" hidden="1"/>
    </xf>
    <xf numFmtId="0" fontId="43" fillId="0" borderId="0" xfId="0" applyFont="1" applyFill="1" applyBorder="1" applyAlignment="1" applyProtection="1">
      <alignment horizontal="left" vertical="center"/>
      <protection hidden="1"/>
    </xf>
    <xf numFmtId="0" fontId="43" fillId="0" borderId="0" xfId="0" applyFont="1" applyFill="1" applyBorder="1" applyAlignment="1" applyProtection="1">
      <alignment vertical="center"/>
      <protection hidden="1"/>
    </xf>
    <xf numFmtId="0" fontId="31" fillId="18" borderId="12" xfId="0" applyFont="1" applyFill="1" applyBorder="1" applyAlignment="1" applyProtection="1">
      <alignment vertical="center"/>
      <protection locked="0" hidden="1"/>
    </xf>
    <xf numFmtId="0" fontId="46" fillId="0" borderId="0" xfId="0" applyFont="1" applyFill="1" applyBorder="1" applyAlignment="1" applyProtection="1">
      <alignment vertical="center"/>
      <protection hidden="1"/>
    </xf>
    <xf numFmtId="0" fontId="41" fillId="0" borderId="0" xfId="0" applyFont="1" applyBorder="1" applyAlignment="1" applyProtection="1">
      <alignment horizontal="center" vertical="center"/>
      <protection hidden="1"/>
    </xf>
    <xf numFmtId="0" fontId="40" fillId="0" borderId="0" xfId="0" applyFont="1" applyFill="1" applyBorder="1" applyAlignment="1" applyProtection="1">
      <alignment horizontal="center"/>
      <protection hidden="1"/>
    </xf>
    <xf numFmtId="0" fontId="47" fillId="0" borderId="0" xfId="0" applyFont="1" applyFill="1" applyBorder="1" applyAlignment="1" applyProtection="1">
      <alignment horizontal="left" vertical="center"/>
      <protection hidden="1"/>
    </xf>
    <xf numFmtId="0" fontId="30" fillId="24" borderId="6" xfId="0" applyFont="1" applyFill="1" applyBorder="1" applyAlignment="1" applyProtection="1">
      <alignment horizontal="center" wrapText="1"/>
      <protection hidden="1"/>
    </xf>
    <xf numFmtId="0" fontId="30" fillId="24" borderId="7" xfId="0" applyFont="1" applyFill="1" applyBorder="1" applyAlignment="1" applyProtection="1">
      <alignment horizontal="center" wrapText="1"/>
      <protection hidden="1"/>
    </xf>
    <xf numFmtId="0" fontId="31" fillId="6" borderId="11" xfId="0" applyFont="1" applyFill="1" applyBorder="1" applyAlignment="1" applyProtection="1">
      <alignment horizontal="left"/>
      <protection hidden="1"/>
    </xf>
    <xf numFmtId="0" fontId="31" fillId="6" borderId="12" xfId="0" applyFont="1" applyFill="1" applyBorder="1" applyAlignment="1" applyProtection="1">
      <alignment horizontal="left"/>
      <protection hidden="1"/>
    </xf>
    <xf numFmtId="0" fontId="52" fillId="33" borderId="11" xfId="0" applyFont="1" applyFill="1" applyBorder="1" applyAlignment="1" applyProtection="1">
      <alignment wrapText="1"/>
      <protection hidden="1"/>
    </xf>
    <xf numFmtId="0" fontId="52" fillId="33" borderId="15" xfId="0" applyFont="1" applyFill="1" applyBorder="1" applyAlignment="1" applyProtection="1">
      <alignment wrapText="1"/>
      <protection hidden="1"/>
    </xf>
    <xf numFmtId="0" fontId="52" fillId="33" borderId="12" xfId="0" applyFont="1" applyFill="1" applyBorder="1" applyAlignment="1" applyProtection="1">
      <alignment wrapText="1"/>
      <protection hidden="1"/>
    </xf>
    <xf numFmtId="14" fontId="36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14" fontId="36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30" fillId="12" borderId="21" xfId="0" applyFont="1" applyFill="1" applyBorder="1" applyAlignment="1" applyProtection="1">
      <alignment horizontal="center" vertical="center" wrapText="1"/>
      <protection hidden="1"/>
    </xf>
    <xf numFmtId="0" fontId="30" fillId="12" borderId="18" xfId="0" applyFont="1" applyFill="1" applyBorder="1" applyAlignment="1" applyProtection="1">
      <alignment horizontal="center" vertical="center" wrapText="1"/>
      <protection hidden="1"/>
    </xf>
    <xf numFmtId="0" fontId="33" fillId="22" borderId="19" xfId="0" applyFont="1" applyFill="1" applyBorder="1" applyAlignment="1" applyProtection="1">
      <alignment horizontal="center" vertical="center"/>
      <protection hidden="1"/>
    </xf>
    <xf numFmtId="0" fontId="33" fillId="22" borderId="20" xfId="0" applyFont="1" applyFill="1" applyBorder="1" applyAlignment="1" applyProtection="1">
      <alignment horizontal="center" vertical="center"/>
      <protection hidden="1"/>
    </xf>
    <xf numFmtId="0" fontId="33" fillId="22" borderId="14" xfId="0" applyFont="1" applyFill="1" applyBorder="1" applyAlignment="1" applyProtection="1">
      <alignment horizontal="center" vertical="center"/>
      <protection hidden="1"/>
    </xf>
    <xf numFmtId="0" fontId="33" fillId="22" borderId="0" xfId="0" applyFont="1" applyFill="1" applyBorder="1" applyAlignment="1" applyProtection="1">
      <alignment horizontal="center" vertical="center"/>
      <protection hidden="1"/>
    </xf>
    <xf numFmtId="0" fontId="33" fillId="22" borderId="16" xfId="0" applyFont="1" applyFill="1" applyBorder="1" applyAlignment="1" applyProtection="1">
      <alignment horizontal="center" vertical="center"/>
      <protection hidden="1"/>
    </xf>
    <xf numFmtId="1" fontId="31" fillId="27" borderId="11" xfId="0" applyNumberFormat="1" applyFont="1" applyFill="1" applyBorder="1" applyAlignment="1" applyProtection="1">
      <alignment horizontal="center" vertical="center" wrapText="1"/>
      <protection locked="0" hidden="1"/>
    </xf>
    <xf numFmtId="1" fontId="31" fillId="27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52" fillId="33" borderId="11" xfId="0" applyFont="1" applyFill="1" applyBorder="1" applyAlignment="1" applyProtection="1">
      <alignment horizontal="left" wrapText="1"/>
      <protection hidden="1"/>
    </xf>
    <xf numFmtId="0" fontId="52" fillId="33" borderId="15" xfId="0" applyFont="1" applyFill="1" applyBorder="1" applyAlignment="1" applyProtection="1">
      <alignment horizontal="left" wrapText="1"/>
      <protection hidden="1"/>
    </xf>
    <xf numFmtId="0" fontId="52" fillId="33" borderId="12" xfId="0" applyFont="1" applyFill="1" applyBorder="1" applyAlignment="1" applyProtection="1">
      <alignment horizontal="left" wrapText="1"/>
      <protection hidden="1"/>
    </xf>
    <xf numFmtId="0" fontId="37" fillId="16" borderId="15" xfId="0" applyFont="1" applyFill="1" applyBorder="1" applyAlignment="1" applyProtection="1">
      <alignment horizontal="center" vertical="center"/>
      <protection hidden="1"/>
    </xf>
    <xf numFmtId="0" fontId="31" fillId="0" borderId="24" xfId="0" applyFont="1" applyBorder="1" applyAlignment="1" applyProtection="1">
      <alignment horizontal="center"/>
      <protection hidden="1"/>
    </xf>
    <xf numFmtId="0" fontId="31" fillId="0" borderId="15" xfId="0" applyFont="1" applyBorder="1" applyAlignment="1" applyProtection="1">
      <alignment horizontal="center"/>
      <protection hidden="1"/>
    </xf>
    <xf numFmtId="0" fontId="31" fillId="0" borderId="12" xfId="0" applyFont="1" applyBorder="1" applyAlignment="1" applyProtection="1">
      <alignment horizontal="center"/>
      <protection hidden="1"/>
    </xf>
    <xf numFmtId="0" fontId="28" fillId="21" borderId="15" xfId="0" applyFont="1" applyFill="1" applyBorder="1" applyAlignment="1" applyProtection="1">
      <alignment horizontal="center" wrapText="1"/>
      <protection hidden="1"/>
    </xf>
    <xf numFmtId="0" fontId="55" fillId="21" borderId="15" xfId="0" applyFont="1" applyFill="1" applyBorder="1" applyAlignment="1" applyProtection="1">
      <protection hidden="1"/>
    </xf>
    <xf numFmtId="0" fontId="55" fillId="21" borderId="12" xfId="0" applyFont="1" applyFill="1" applyBorder="1" applyAlignment="1" applyProtection="1">
      <protection hidden="1"/>
    </xf>
    <xf numFmtId="0" fontId="33" fillId="17" borderId="13" xfId="0" applyFont="1" applyFill="1" applyBorder="1" applyAlignment="1" applyProtection="1">
      <alignment horizontal="center" vertical="center" wrapText="1"/>
      <protection hidden="1"/>
    </xf>
    <xf numFmtId="0" fontId="33" fillId="17" borderId="18" xfId="0" applyFont="1" applyFill="1" applyBorder="1" applyAlignment="1" applyProtection="1">
      <alignment horizontal="center" vertical="center"/>
      <protection hidden="1"/>
    </xf>
    <xf numFmtId="0" fontId="30" fillId="2" borderId="22" xfId="0" applyFont="1" applyFill="1" applyBorder="1" applyAlignment="1" applyProtection="1">
      <alignment horizontal="center" vertical="center" wrapText="1"/>
      <protection hidden="1"/>
    </xf>
    <xf numFmtId="0" fontId="30" fillId="2" borderId="17" xfId="0" applyFont="1" applyFill="1" applyBorder="1" applyAlignment="1" applyProtection="1">
      <alignment horizontal="center" vertical="center" wrapText="1"/>
      <protection hidden="1"/>
    </xf>
    <xf numFmtId="0" fontId="61" fillId="37" borderId="11" xfId="0" applyFont="1" applyFill="1" applyBorder="1" applyProtection="1">
      <protection hidden="1"/>
    </xf>
    <xf numFmtId="0" fontId="61" fillId="37" borderId="15" xfId="0" applyFont="1" applyFill="1" applyBorder="1" applyProtection="1">
      <protection hidden="1"/>
    </xf>
    <xf numFmtId="0" fontId="61" fillId="37" borderId="12" xfId="0" applyFont="1" applyFill="1" applyBorder="1" applyProtection="1">
      <protection hidden="1"/>
    </xf>
    <xf numFmtId="0" fontId="31" fillId="21" borderId="11" xfId="0" applyFont="1" applyFill="1" applyBorder="1" applyAlignment="1" applyProtection="1">
      <alignment horizontal="center"/>
      <protection hidden="1"/>
    </xf>
    <xf numFmtId="0" fontId="31" fillId="21" borderId="15" xfId="0" applyFont="1" applyFill="1" applyBorder="1" applyAlignment="1" applyProtection="1">
      <alignment horizontal="center"/>
      <protection hidden="1"/>
    </xf>
    <xf numFmtId="0" fontId="57" fillId="21" borderId="0" xfId="0" applyFont="1" applyFill="1" applyAlignment="1" applyProtection="1">
      <alignment horizontal="center" vertical="center"/>
      <protection hidden="1"/>
    </xf>
    <xf numFmtId="0" fontId="53" fillId="21" borderId="0" xfId="0" applyFont="1" applyFill="1" applyAlignment="1" applyProtection="1">
      <alignment horizontal="center" vertical="center"/>
      <protection hidden="1"/>
    </xf>
    <xf numFmtId="0" fontId="34" fillId="7" borderId="10" xfId="0" applyFont="1" applyFill="1" applyBorder="1" applyAlignment="1" applyProtection="1">
      <alignment horizontal="center" vertical="center"/>
      <protection hidden="1"/>
    </xf>
    <xf numFmtId="0" fontId="38" fillId="14" borderId="10" xfId="0" applyFont="1" applyFill="1" applyBorder="1" applyAlignment="1" applyProtection="1">
      <alignment horizontal="center" vertical="center" wrapText="1"/>
      <protection hidden="1"/>
    </xf>
    <xf numFmtId="0" fontId="30" fillId="28" borderId="10" xfId="0" applyFont="1" applyFill="1" applyBorder="1" applyAlignment="1" applyProtection="1">
      <alignment horizontal="center" vertical="center" wrapText="1"/>
      <protection hidden="1"/>
    </xf>
    <xf numFmtId="0" fontId="34" fillId="11" borderId="10" xfId="0" applyFont="1" applyFill="1" applyBorder="1" applyAlignment="1" applyProtection="1">
      <alignment horizontal="center" vertical="center" wrapText="1"/>
      <protection hidden="1"/>
    </xf>
    <xf numFmtId="0" fontId="34" fillId="9" borderId="10" xfId="0" applyFont="1" applyFill="1" applyBorder="1" applyAlignment="1" applyProtection="1">
      <alignment horizontal="center" vertical="center" wrapText="1"/>
      <protection hidden="1"/>
    </xf>
    <xf numFmtId="0" fontId="34" fillId="9" borderId="18" xfId="0" applyFont="1" applyFill="1" applyBorder="1" applyAlignment="1" applyProtection="1">
      <alignment horizontal="center" vertical="center" wrapText="1"/>
      <protection hidden="1"/>
    </xf>
    <xf numFmtId="0" fontId="64" fillId="40" borderId="10" xfId="0" applyFont="1" applyFill="1" applyBorder="1" applyAlignment="1" applyProtection="1">
      <alignment horizontal="center" vertical="center" wrapText="1"/>
      <protection hidden="1"/>
    </xf>
    <xf numFmtId="0" fontId="34" fillId="9" borderId="13" xfId="0" applyFont="1" applyFill="1" applyBorder="1" applyAlignment="1" applyProtection="1">
      <alignment horizontal="center" vertical="center" wrapText="1"/>
      <protection hidden="1"/>
    </xf>
    <xf numFmtId="0" fontId="34" fillId="10" borderId="10" xfId="0" applyFont="1" applyFill="1" applyBorder="1" applyAlignment="1" applyProtection="1">
      <alignment horizontal="center" vertical="center" wrapText="1"/>
      <protection hidden="1"/>
    </xf>
    <xf numFmtId="0" fontId="34" fillId="6" borderId="10" xfId="0" applyFont="1" applyFill="1" applyBorder="1" applyAlignment="1" applyProtection="1">
      <alignment horizontal="center" vertical="center" wrapText="1"/>
      <protection hidden="1"/>
    </xf>
    <xf numFmtId="0" fontId="34" fillId="34" borderId="10" xfId="0" applyFont="1" applyFill="1" applyBorder="1" applyAlignment="1" applyProtection="1">
      <alignment horizontal="center" vertical="center"/>
      <protection hidden="1"/>
    </xf>
    <xf numFmtId="0" fontId="34" fillId="34" borderId="13" xfId="0" applyFont="1" applyFill="1" applyBorder="1" applyAlignment="1" applyProtection="1">
      <alignment horizontal="center" vertical="center"/>
      <protection hidden="1"/>
    </xf>
    <xf numFmtId="0" fontId="34" fillId="20" borderId="10" xfId="0" applyFont="1" applyFill="1" applyBorder="1" applyAlignment="1" applyProtection="1">
      <alignment horizontal="center" vertical="center"/>
      <protection hidden="1"/>
    </xf>
    <xf numFmtId="0" fontId="34" fillId="21" borderId="10" xfId="0" applyFont="1" applyFill="1" applyBorder="1" applyAlignment="1" applyProtection="1">
      <alignment horizontal="center" vertical="center"/>
      <protection hidden="1"/>
    </xf>
    <xf numFmtId="0" fontId="34" fillId="21" borderId="13" xfId="0" applyFont="1" applyFill="1" applyBorder="1" applyAlignment="1" applyProtection="1">
      <alignment horizontal="center" vertical="center"/>
      <protection hidden="1"/>
    </xf>
    <xf numFmtId="0" fontId="34" fillId="5" borderId="10" xfId="0" applyFont="1" applyFill="1" applyBorder="1" applyAlignment="1" applyProtection="1">
      <alignment horizontal="center" vertical="center" wrapText="1"/>
      <protection hidden="1"/>
    </xf>
    <xf numFmtId="0" fontId="38" fillId="8" borderId="13" xfId="0" applyFont="1" applyFill="1" applyBorder="1" applyAlignment="1" applyProtection="1">
      <alignment horizontal="center" vertical="center" wrapText="1"/>
      <protection hidden="1"/>
    </xf>
    <xf numFmtId="0" fontId="38" fillId="8" borderId="18" xfId="0" applyFont="1" applyFill="1" applyBorder="1" applyAlignment="1" applyProtection="1">
      <alignment horizontal="center" vertical="center" wrapText="1"/>
      <protection hidden="1"/>
    </xf>
    <xf numFmtId="0" fontId="34" fillId="13" borderId="10" xfId="0" applyFont="1" applyFill="1" applyBorder="1" applyAlignment="1" applyProtection="1">
      <alignment horizontal="center" vertical="center" wrapText="1"/>
      <protection hidden="1"/>
    </xf>
    <xf numFmtId="0" fontId="34" fillId="2" borderId="10" xfId="0" applyFont="1" applyFill="1" applyBorder="1" applyAlignment="1" applyProtection="1">
      <alignment horizontal="center" vertical="center" wrapText="1"/>
      <protection hidden="1"/>
    </xf>
    <xf numFmtId="0" fontId="31" fillId="18" borderId="12" xfId="0" applyFont="1" applyFill="1" applyBorder="1" applyAlignment="1" applyProtection="1">
      <alignment vertical="center"/>
      <protection locked="0" hidden="1"/>
    </xf>
    <xf numFmtId="0" fontId="31" fillId="18" borderId="10" xfId="0" applyFont="1" applyFill="1" applyBorder="1" applyAlignment="1" applyProtection="1">
      <alignment vertical="center"/>
      <protection locked="0" hidden="1"/>
    </xf>
    <xf numFmtId="0" fontId="31" fillId="6" borderId="11" xfId="0" applyFont="1" applyFill="1" applyBorder="1" applyAlignment="1" applyProtection="1">
      <alignment horizontal="left" vertical="center"/>
      <protection hidden="1"/>
    </xf>
    <xf numFmtId="0" fontId="31" fillId="6" borderId="12" xfId="0" applyFont="1" applyFill="1" applyBorder="1" applyAlignment="1" applyProtection="1">
      <alignment horizontal="left" vertical="center"/>
      <protection hidden="1"/>
    </xf>
    <xf numFmtId="0" fontId="58" fillId="30" borderId="14" xfId="0" applyFont="1" applyFill="1" applyBorder="1" applyAlignment="1" applyProtection="1">
      <alignment horizontal="center" vertical="center"/>
      <protection hidden="1"/>
    </xf>
    <xf numFmtId="0" fontId="58" fillId="30" borderId="21" xfId="0" applyFont="1" applyFill="1" applyBorder="1" applyAlignment="1" applyProtection="1">
      <alignment horizontal="center" vertical="center"/>
      <protection hidden="1"/>
    </xf>
    <xf numFmtId="0" fontId="34" fillId="19" borderId="10" xfId="0" applyFont="1" applyFill="1" applyBorder="1" applyAlignment="1" applyProtection="1">
      <alignment horizontal="center" vertical="center" wrapText="1"/>
      <protection hidden="1"/>
    </xf>
    <xf numFmtId="0" fontId="30" fillId="39" borderId="11" xfId="0" applyFont="1" applyFill="1" applyBorder="1" applyAlignment="1" applyProtection="1">
      <alignment horizontal="center" vertical="center"/>
      <protection locked="0"/>
    </xf>
    <xf numFmtId="0" fontId="30" fillId="39" borderId="15" xfId="0" applyFont="1" applyFill="1" applyBorder="1" applyAlignment="1" applyProtection="1">
      <alignment horizontal="center" vertical="center"/>
      <protection locked="0"/>
    </xf>
    <xf numFmtId="0" fontId="30" fillId="39" borderId="12" xfId="0" applyFont="1" applyFill="1" applyBorder="1" applyAlignment="1" applyProtection="1">
      <alignment horizontal="center" vertical="center"/>
      <protection locked="0"/>
    </xf>
    <xf numFmtId="14" fontId="30" fillId="27" borderId="11" xfId="0" applyNumberFormat="1" applyFont="1" applyFill="1" applyBorder="1" applyAlignment="1" applyProtection="1">
      <alignment horizontal="center" vertical="center" wrapText="1"/>
      <protection locked="0" hidden="1"/>
    </xf>
    <xf numFmtId="14" fontId="30" fillId="27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30" fillId="27" borderId="10" xfId="0" applyFont="1" applyFill="1" applyBorder="1" applyAlignment="1" applyProtection="1">
      <alignment horizontal="center"/>
      <protection hidden="1"/>
    </xf>
    <xf numFmtId="0" fontId="68" fillId="29" borderId="10" xfId="0" applyFont="1" applyFill="1" applyBorder="1" applyAlignment="1" applyProtection="1">
      <alignment horizontal="center"/>
      <protection hidden="1"/>
    </xf>
    <xf numFmtId="0" fontId="30" fillId="27" borderId="11" xfId="0" applyFont="1" applyFill="1" applyBorder="1" applyAlignment="1" applyProtection="1">
      <alignment horizontal="center"/>
      <protection hidden="1"/>
    </xf>
    <xf numFmtId="0" fontId="30" fillId="27" borderId="12" xfId="0" applyFont="1" applyFill="1" applyBorder="1" applyAlignment="1" applyProtection="1">
      <alignment horizontal="center"/>
      <protection hidden="1"/>
    </xf>
    <xf numFmtId="0" fontId="50" fillId="38" borderId="27" xfId="0" applyFont="1" applyFill="1" applyBorder="1" applyAlignment="1" applyProtection="1">
      <alignment horizontal="center" vertical="center" wrapText="1"/>
      <protection hidden="1"/>
    </xf>
    <xf numFmtId="0" fontId="50" fillId="38" borderId="2" xfId="0" applyFont="1" applyFill="1" applyBorder="1" applyAlignment="1" applyProtection="1">
      <alignment horizontal="center" vertical="center" wrapText="1"/>
      <protection hidden="1"/>
    </xf>
    <xf numFmtId="0" fontId="50" fillId="38" borderId="3" xfId="0" applyFont="1" applyFill="1" applyBorder="1" applyAlignment="1" applyProtection="1">
      <alignment horizontal="center" vertical="center" wrapText="1"/>
      <protection hidden="1"/>
    </xf>
    <xf numFmtId="0" fontId="50" fillId="38" borderId="4" xfId="0" applyFont="1" applyFill="1" applyBorder="1" applyAlignment="1" applyProtection="1">
      <alignment horizontal="center" vertical="center" wrapText="1"/>
      <protection hidden="1"/>
    </xf>
    <xf numFmtId="0" fontId="50" fillId="38" borderId="0" xfId="0" applyFont="1" applyFill="1" applyBorder="1" applyAlignment="1" applyProtection="1">
      <alignment horizontal="center" vertical="center" wrapText="1"/>
      <protection hidden="1"/>
    </xf>
    <xf numFmtId="0" fontId="50" fillId="38" borderId="5" xfId="0" applyFont="1" applyFill="1" applyBorder="1" applyAlignment="1" applyProtection="1">
      <alignment horizontal="center" vertical="center" wrapText="1"/>
      <protection hidden="1"/>
    </xf>
    <xf numFmtId="0" fontId="50" fillId="38" borderId="6" xfId="0" applyFont="1" applyFill="1" applyBorder="1" applyAlignment="1" applyProtection="1">
      <alignment horizontal="center" vertical="center" wrapText="1"/>
      <protection hidden="1"/>
    </xf>
    <xf numFmtId="0" fontId="50" fillId="38" borderId="7" xfId="0" applyFont="1" applyFill="1" applyBorder="1" applyAlignment="1" applyProtection="1">
      <alignment horizontal="center" vertical="center" wrapText="1"/>
      <protection hidden="1"/>
    </xf>
    <xf numFmtId="0" fontId="50" fillId="38" borderId="8" xfId="0" applyFont="1" applyFill="1" applyBorder="1" applyAlignment="1" applyProtection="1">
      <alignment horizontal="center" vertical="center" wrapText="1"/>
      <protection hidden="1"/>
    </xf>
    <xf numFmtId="0" fontId="61" fillId="15" borderId="11" xfId="0" applyFont="1" applyFill="1" applyBorder="1" applyProtection="1">
      <protection hidden="1"/>
    </xf>
    <xf numFmtId="0" fontId="61" fillId="15" borderId="15" xfId="0" applyFont="1" applyFill="1" applyBorder="1" applyProtection="1">
      <protection hidden="1"/>
    </xf>
    <xf numFmtId="0" fontId="61" fillId="15" borderId="12" xfId="0" applyFont="1" applyFill="1" applyBorder="1" applyProtection="1">
      <protection hidden="1"/>
    </xf>
    <xf numFmtId="0" fontId="61" fillId="36" borderId="11" xfId="0" applyFont="1" applyFill="1" applyBorder="1" applyAlignment="1" applyProtection="1">
      <alignment horizontal="left"/>
      <protection hidden="1"/>
    </xf>
    <xf numFmtId="0" fontId="61" fillId="36" borderId="15" xfId="0" applyFont="1" applyFill="1" applyBorder="1" applyAlignment="1" applyProtection="1">
      <alignment horizontal="left"/>
      <protection hidden="1"/>
    </xf>
    <xf numFmtId="0" fontId="61" fillId="36" borderId="12" xfId="0" applyFont="1" applyFill="1" applyBorder="1" applyAlignment="1" applyProtection="1">
      <alignment horizontal="left"/>
      <protection hidden="1"/>
    </xf>
    <xf numFmtId="0" fontId="38" fillId="8" borderId="10" xfId="0" applyFont="1" applyFill="1" applyBorder="1" applyAlignment="1" applyProtection="1">
      <alignment horizontal="center" vertical="center" wrapText="1"/>
      <protection hidden="1"/>
    </xf>
    <xf numFmtId="0" fontId="34" fillId="5" borderId="10" xfId="0" applyFont="1" applyFill="1" applyBorder="1" applyAlignment="1" applyProtection="1">
      <alignment horizontal="center" vertical="center"/>
      <protection hidden="1"/>
    </xf>
    <xf numFmtId="0" fontId="34" fillId="5" borderId="13" xfId="0" applyFont="1" applyFill="1" applyBorder="1" applyAlignment="1" applyProtection="1">
      <alignment horizontal="center" vertical="center"/>
      <protection hidden="1"/>
    </xf>
    <xf numFmtId="0" fontId="30" fillId="4" borderId="18" xfId="0" applyFont="1" applyFill="1" applyBorder="1" applyAlignment="1" applyProtection="1">
      <alignment horizontal="left" vertical="center"/>
      <protection hidden="1"/>
    </xf>
    <xf numFmtId="0" fontId="39" fillId="18" borderId="12" xfId="0" applyFont="1" applyFill="1" applyBorder="1" applyAlignment="1" applyProtection="1">
      <alignment vertical="center"/>
      <protection locked="0" hidden="1"/>
    </xf>
    <xf numFmtId="0" fontId="39" fillId="18" borderId="10" xfId="0" applyFont="1" applyFill="1" applyBorder="1" applyAlignment="1" applyProtection="1">
      <alignment vertical="center"/>
      <protection locked="0" hidden="1"/>
    </xf>
    <xf numFmtId="0" fontId="0" fillId="0" borderId="18" xfId="0" applyBorder="1"/>
    <xf numFmtId="0" fontId="31" fillId="19" borderId="13" xfId="0" applyFont="1" applyFill="1" applyBorder="1" applyAlignment="1" applyProtection="1">
      <alignment horizontal="center"/>
      <protection hidden="1"/>
    </xf>
    <xf numFmtId="0" fontId="31" fillId="19" borderId="26" xfId="0" applyFont="1" applyFill="1" applyBorder="1" applyAlignment="1" applyProtection="1">
      <alignment horizontal="center"/>
      <protection hidden="1"/>
    </xf>
    <xf numFmtId="0" fontId="31" fillId="19" borderId="18" xfId="0" applyFont="1" applyFill="1" applyBorder="1" applyAlignment="1" applyProtection="1">
      <alignment horizontal="center"/>
      <protection hidden="1"/>
    </xf>
    <xf numFmtId="0" fontId="31" fillId="19" borderId="20" xfId="0" applyFont="1" applyFill="1" applyBorder="1" applyAlignment="1" applyProtection="1">
      <alignment horizontal="center"/>
      <protection hidden="1"/>
    </xf>
    <xf numFmtId="0" fontId="31" fillId="19" borderId="16" xfId="0" applyFont="1" applyFill="1" applyBorder="1" applyAlignment="1" applyProtection="1">
      <alignment horizontal="center"/>
      <protection hidden="1"/>
    </xf>
    <xf numFmtId="0" fontId="31" fillId="19" borderId="21" xfId="0" applyFont="1" applyFill="1" applyBorder="1" applyAlignment="1" applyProtection="1">
      <alignment horizontal="center"/>
      <protection hidden="1"/>
    </xf>
    <xf numFmtId="0" fontId="70" fillId="3" borderId="22" xfId="0" applyFont="1" applyFill="1" applyBorder="1" applyAlignment="1" applyProtection="1">
      <alignment horizontal="center"/>
      <protection hidden="1"/>
    </xf>
    <xf numFmtId="0" fontId="70" fillId="3" borderId="19" xfId="0" applyFont="1" applyFill="1" applyBorder="1" applyAlignment="1" applyProtection="1">
      <alignment horizontal="center"/>
      <protection hidden="1"/>
    </xf>
    <xf numFmtId="0" fontId="70" fillId="3" borderId="20" xfId="0" applyFont="1" applyFill="1" applyBorder="1" applyAlignment="1" applyProtection="1">
      <alignment horizontal="center"/>
      <protection hidden="1"/>
    </xf>
    <xf numFmtId="0" fontId="43" fillId="0" borderId="0" xfId="0" applyFont="1" applyFill="1" applyBorder="1" applyAlignment="1" applyProtection="1">
      <alignment horizontal="center" vertical="center" textRotation="90" wrapText="1"/>
      <protection hidden="1"/>
    </xf>
    <xf numFmtId="0" fontId="43" fillId="0" borderId="16" xfId="0" applyFont="1" applyFill="1" applyBorder="1" applyAlignment="1" applyProtection="1">
      <alignment horizontal="center" vertical="center" textRotation="90" wrapText="1"/>
      <protection hidden="1"/>
    </xf>
    <xf numFmtId="0" fontId="43" fillId="0" borderId="0" xfId="0" applyFont="1" applyFill="1" applyBorder="1" applyAlignment="1" applyProtection="1">
      <alignment horizontal="center" vertical="center"/>
      <protection hidden="1"/>
    </xf>
    <xf numFmtId="0" fontId="46" fillId="0" borderId="0" xfId="0" applyFont="1" applyFill="1" applyBorder="1" applyAlignment="1" applyProtection="1">
      <alignment horizontal="center" vertical="center"/>
      <protection hidden="1"/>
    </xf>
    <xf numFmtId="0" fontId="45" fillId="0" borderId="9" xfId="0" applyFont="1" applyFill="1" applyBorder="1" applyAlignment="1" applyProtection="1">
      <alignment horizontal="center" vertical="center"/>
      <protection hidden="1"/>
    </xf>
    <xf numFmtId="0" fontId="45" fillId="0" borderId="0" xfId="0" applyFont="1" applyFill="1" applyBorder="1" applyAlignment="1" applyProtection="1">
      <alignment horizontal="center" vertical="center"/>
      <protection hidden="1"/>
    </xf>
    <xf numFmtId="0" fontId="46" fillId="0" borderId="0" xfId="0" applyFont="1" applyFill="1" applyBorder="1" applyAlignment="1" applyProtection="1">
      <alignment horizontal="left" vertical="center"/>
      <protection hidden="1"/>
    </xf>
    <xf numFmtId="0" fontId="46" fillId="0" borderId="16" xfId="0" applyFont="1" applyFill="1" applyBorder="1" applyAlignment="1" applyProtection="1">
      <alignment horizontal="center" vertical="center"/>
      <protection hidden="1"/>
    </xf>
    <xf numFmtId="0" fontId="30" fillId="0" borderId="14" xfId="0" applyFont="1" applyBorder="1" applyAlignment="1">
      <alignment horizontal="right"/>
    </xf>
    <xf numFmtId="0" fontId="43" fillId="0" borderId="9" xfId="0" applyFont="1" applyFill="1" applyBorder="1" applyAlignment="1" applyProtection="1">
      <alignment horizontal="center" vertical="center"/>
      <protection hidden="1"/>
    </xf>
    <xf numFmtId="1" fontId="43" fillId="0" borderId="0" xfId="0" applyNumberFormat="1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2" fillId="0" borderId="0" xfId="0" applyFont="1" applyBorder="1" applyAlignment="1">
      <alignment horizontal="right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4" fontId="30" fillId="0" borderId="14" xfId="0" applyNumberFormat="1" applyFont="1" applyBorder="1" applyAlignment="1">
      <alignment horizontal="center" vertical="center"/>
    </xf>
    <xf numFmtId="0" fontId="42" fillId="0" borderId="0" xfId="0" applyFont="1" applyBorder="1" applyAlignment="1">
      <alignment horizontal="center"/>
    </xf>
    <xf numFmtId="0" fontId="43" fillId="0" borderId="0" xfId="0" applyFont="1" applyFill="1" applyBorder="1" applyAlignment="1" applyProtection="1">
      <alignment horizontal="left" vertical="center"/>
      <protection hidden="1"/>
    </xf>
    <xf numFmtId="0" fontId="28" fillId="0" borderId="0" xfId="0" applyFont="1" applyFill="1" applyBorder="1" applyAlignment="1" applyProtection="1">
      <alignment horizontal="center"/>
      <protection hidden="1"/>
    </xf>
    <xf numFmtId="14" fontId="43" fillId="0" borderId="0" xfId="0" applyNumberFormat="1" applyFont="1" applyFill="1" applyBorder="1" applyAlignment="1" applyProtection="1">
      <alignment horizontal="center" vertical="center"/>
      <protection hidden="1"/>
    </xf>
    <xf numFmtId="0" fontId="49" fillId="0" borderId="0" xfId="0" applyFont="1" applyBorder="1" applyAlignment="1" applyProtection="1">
      <alignment horizontal="left"/>
      <protection hidden="1"/>
    </xf>
    <xf numFmtId="0" fontId="43" fillId="0" borderId="0" xfId="0" applyFont="1" applyBorder="1" applyAlignment="1" applyProtection="1">
      <alignment horizontal="left" vertical="center"/>
      <protection hidden="1"/>
    </xf>
    <xf numFmtId="1" fontId="43" fillId="0" borderId="0" xfId="0" applyNumberFormat="1" applyFont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" fontId="43" fillId="0" borderId="0" xfId="0" applyNumberFormat="1" applyFont="1" applyBorder="1" applyAlignment="1" applyProtection="1">
      <alignment horizontal="center" vertical="center"/>
      <protection hidden="1"/>
    </xf>
    <xf numFmtId="0" fontId="47" fillId="0" borderId="0" xfId="0" applyFont="1" applyBorder="1" applyAlignment="1" applyProtection="1">
      <alignment horizontal="center" vertical="center"/>
      <protection hidden="1"/>
    </xf>
    <xf numFmtId="0" fontId="47" fillId="0" borderId="0" xfId="0" applyFont="1" applyBorder="1" applyAlignment="1" applyProtection="1">
      <alignment horizontal="left" vertical="center"/>
      <protection hidden="1"/>
    </xf>
    <xf numFmtId="0" fontId="47" fillId="0" borderId="0" xfId="0" applyFont="1" applyFill="1" applyBorder="1" applyAlignment="1" applyProtection="1">
      <alignment horizontal="left"/>
      <protection hidden="1"/>
    </xf>
    <xf numFmtId="0" fontId="43" fillId="0" borderId="0" xfId="0" applyFont="1" applyBorder="1" applyAlignment="1" applyProtection="1">
      <alignment horizontal="left"/>
      <protection hidden="1"/>
    </xf>
    <xf numFmtId="0" fontId="42" fillId="0" borderId="0" xfId="0" applyFont="1" applyBorder="1" applyAlignment="1" applyProtection="1">
      <alignment horizontal="left" vertical="center"/>
      <protection hidden="1"/>
    </xf>
    <xf numFmtId="0" fontId="43" fillId="0" borderId="0" xfId="0" applyFont="1" applyFill="1" applyBorder="1" applyAlignment="1" applyProtection="1">
      <alignment horizontal="right" vertical="center"/>
      <protection hidden="1"/>
    </xf>
    <xf numFmtId="0" fontId="43" fillId="0" borderId="0" xfId="0" applyFont="1" applyBorder="1" applyAlignment="1" applyProtection="1">
      <alignment horizontal="center"/>
      <protection hidden="1"/>
    </xf>
    <xf numFmtId="0" fontId="32" fillId="0" borderId="0" xfId="0" applyFont="1" applyAlignment="1" applyProtection="1">
      <alignment horizontal="left" vertical="center"/>
      <protection hidden="1"/>
    </xf>
    <xf numFmtId="0" fontId="45" fillId="0" borderId="0" xfId="0" applyFont="1" applyBorder="1" applyAlignment="1" applyProtection="1">
      <alignment horizontal="left"/>
      <protection hidden="1"/>
    </xf>
    <xf numFmtId="0" fontId="47" fillId="0" borderId="0" xfId="0" applyFont="1" applyBorder="1" applyAlignment="1" applyProtection="1">
      <alignment horizontal="center"/>
      <protection hidden="1"/>
    </xf>
    <xf numFmtId="0" fontId="47" fillId="0" borderId="0" xfId="0" applyFont="1" applyBorder="1" applyAlignment="1" applyProtection="1">
      <alignment horizontal="left"/>
      <protection hidden="1"/>
    </xf>
    <xf numFmtId="0" fontId="47" fillId="0" borderId="0" xfId="0" applyFont="1" applyBorder="1" applyAlignment="1" applyProtection="1">
      <alignment horizontal="right"/>
      <protection hidden="1"/>
    </xf>
    <xf numFmtId="0" fontId="46" fillId="0" borderId="10" xfId="0" applyFont="1" applyFill="1" applyBorder="1" applyAlignment="1" applyProtection="1">
      <alignment horizontal="center" vertical="center"/>
      <protection hidden="1"/>
    </xf>
    <xf numFmtId="0" fontId="47" fillId="0" borderId="0" xfId="0" applyFont="1" applyBorder="1" applyAlignment="1" applyProtection="1">
      <alignment horizontal="right" vertical="center"/>
      <protection hidden="1"/>
    </xf>
    <xf numFmtId="0" fontId="32" fillId="0" borderId="0" xfId="0" applyFont="1" applyBorder="1" applyAlignment="1" applyProtection="1">
      <alignment horizontal="center" vertical="center"/>
      <protection hidden="1"/>
    </xf>
    <xf numFmtId="0" fontId="43" fillId="0" borderId="0" xfId="0" applyFont="1" applyBorder="1" applyAlignment="1" applyProtection="1">
      <alignment horizontal="center" wrapText="1"/>
      <protection hidden="1"/>
    </xf>
    <xf numFmtId="0" fontId="46" fillId="32" borderId="10" xfId="0" applyFont="1" applyFill="1" applyBorder="1" applyAlignment="1" applyProtection="1">
      <alignment horizontal="center" vertical="center"/>
      <protection hidden="1"/>
    </xf>
    <xf numFmtId="0" fontId="32" fillId="0" borderId="0" xfId="0" applyFont="1" applyBorder="1" applyAlignment="1" applyProtection="1">
      <alignment horizontal="right" vertical="center"/>
      <protection hidden="1"/>
    </xf>
    <xf numFmtId="0" fontId="45" fillId="0" borderId="0" xfId="0" applyFont="1" applyBorder="1" applyAlignment="1" applyProtection="1">
      <alignment horizontal="left" vertical="center" wrapText="1"/>
      <protection hidden="1"/>
    </xf>
    <xf numFmtId="0" fontId="45" fillId="0" borderId="0" xfId="0" applyFont="1" applyBorder="1" applyAlignment="1" applyProtection="1">
      <alignment horizontal="right" vertical="center"/>
      <protection hidden="1"/>
    </xf>
    <xf numFmtId="0" fontId="32" fillId="0" borderId="0" xfId="0" applyFont="1" applyBorder="1" applyAlignment="1" applyProtection="1">
      <alignment horizontal="left"/>
      <protection hidden="1"/>
    </xf>
    <xf numFmtId="0" fontId="43" fillId="0" borderId="0" xfId="0" applyFont="1" applyBorder="1" applyAlignment="1" applyProtection="1">
      <alignment horizontal="center" vertical="center"/>
      <protection hidden="1"/>
    </xf>
    <xf numFmtId="0" fontId="43" fillId="0" borderId="0" xfId="0" applyFont="1" applyFill="1" applyBorder="1" applyAlignment="1" applyProtection="1">
      <alignment horizontal="right"/>
      <protection hidden="1"/>
    </xf>
    <xf numFmtId="0" fontId="42" fillId="0" borderId="0" xfId="0" applyFont="1" applyBorder="1" applyAlignment="1" applyProtection="1">
      <alignment vertical="center"/>
      <protection hidden="1"/>
    </xf>
    <xf numFmtId="0" fontId="46" fillId="0" borderId="0" xfId="0" applyFont="1" applyAlignment="1">
      <alignment horizontal="center"/>
    </xf>
    <xf numFmtId="0" fontId="46" fillId="31" borderId="10" xfId="0" applyFont="1" applyFill="1" applyBorder="1" applyAlignment="1" applyProtection="1">
      <alignment horizontal="center" vertical="center"/>
      <protection hidden="1"/>
    </xf>
    <xf numFmtId="0" fontId="43" fillId="0" borderId="0" xfId="0" applyFont="1" applyFill="1" applyBorder="1" applyAlignment="1" applyProtection="1">
      <alignment vertical="center"/>
      <protection hidden="1"/>
    </xf>
    <xf numFmtId="0" fontId="43" fillId="0" borderId="19" xfId="0" applyFont="1" applyFill="1" applyBorder="1" applyAlignment="1" applyProtection="1">
      <alignment horizontal="center" vertical="center"/>
      <protection hidden="1"/>
    </xf>
    <xf numFmtId="0" fontId="18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</cellXfs>
  <cellStyles count="2">
    <cellStyle name="Normal" xfId="0" builtinId="0"/>
    <cellStyle name="Normal_Pay_Feb2005" xfId="1"/>
  </cellStyles>
  <dxfs count="0"/>
  <tableStyles count="0" defaultTableStyle="TableStyleMedium2" defaultPivotStyle="PivotStyleLight16"/>
  <colors>
    <mruColors>
      <color rgb="FFFF0066"/>
      <color rgb="FF8000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33</xdr:row>
      <xdr:rowOff>57150</xdr:rowOff>
    </xdr:from>
    <xdr:to>
      <xdr:col>3</xdr:col>
      <xdr:colOff>600075</xdr:colOff>
      <xdr:row>33</xdr:row>
      <xdr:rowOff>102869</xdr:rowOff>
    </xdr:to>
    <xdr:sp macro="" textlink="">
      <xdr:nvSpPr>
        <xdr:cNvPr id="2" name="Right Arrow 1"/>
        <xdr:cNvSpPr/>
      </xdr:nvSpPr>
      <xdr:spPr>
        <a:xfrm>
          <a:off x="2533650" y="5153025"/>
          <a:ext cx="123825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 enableFormatConditionsCalculation="0">
    <tabColor rgb="FFFFFF00"/>
  </sheetPr>
  <dimension ref="A1:Z51"/>
  <sheetViews>
    <sheetView tabSelected="1" workbookViewId="0">
      <selection activeCell="P7" sqref="P7"/>
    </sheetView>
  </sheetViews>
  <sheetFormatPr defaultRowHeight="12.75"/>
  <cols>
    <col min="1" max="1" width="9.5703125" style="1" customWidth="1"/>
    <col min="2" max="2" width="11.42578125" style="1" customWidth="1"/>
    <col min="3" max="3" width="9" style="1" customWidth="1"/>
    <col min="4" max="4" width="7.7109375" style="1" customWidth="1"/>
    <col min="5" max="5" width="10.7109375" style="1" customWidth="1"/>
    <col min="6" max="6" width="6.85546875" style="1" customWidth="1"/>
    <col min="7" max="9" width="6.140625" style="1" customWidth="1"/>
    <col min="10" max="10" width="6.7109375" style="1" customWidth="1"/>
    <col min="11" max="11" width="7.42578125" style="1" customWidth="1"/>
    <col min="12" max="12" width="6.42578125" style="1" customWidth="1"/>
    <col min="13" max="13" width="6.28515625" style="1" customWidth="1"/>
    <col min="14" max="14" width="8.28515625" style="1" customWidth="1"/>
    <col min="15" max="15" width="6.7109375" style="1" customWidth="1"/>
    <col min="16" max="16" width="6.5703125" style="1" customWidth="1"/>
    <col min="17" max="17" width="6" style="1" customWidth="1"/>
    <col min="18" max="18" width="5.7109375" style="1" customWidth="1"/>
    <col min="19" max="19" width="5.28515625" style="1" customWidth="1"/>
    <col min="20" max="20" width="6.42578125" style="1" customWidth="1"/>
    <col min="21" max="21" width="6" style="1" customWidth="1"/>
    <col min="22" max="22" width="10.7109375" style="1" customWidth="1"/>
    <col min="23" max="23" width="7.28515625" style="1" bestFit="1" customWidth="1"/>
    <col min="24" max="24" width="7.5703125" style="1" bestFit="1" customWidth="1"/>
    <col min="25" max="25" width="6.42578125" style="1" customWidth="1"/>
    <col min="26" max="26" width="6.5703125" style="1" customWidth="1"/>
    <col min="27" max="30" width="9.140625" style="1"/>
    <col min="31" max="31" width="15.5703125" style="1" customWidth="1"/>
    <col min="32" max="32" width="20.5703125" style="1" customWidth="1"/>
    <col min="33" max="16384" width="9.140625" style="1"/>
  </cols>
  <sheetData>
    <row r="1" spans="1:26" ht="15.75">
      <c r="A1" s="260" t="s">
        <v>351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</row>
    <row r="2" spans="1:26" ht="12.75" customHeight="1">
      <c r="A2" s="289" t="s">
        <v>325</v>
      </c>
      <c r="B2" s="290"/>
      <c r="C2" s="290"/>
      <c r="D2" s="291"/>
      <c r="E2" s="262" t="s">
        <v>162</v>
      </c>
      <c r="F2" s="274" t="s">
        <v>163</v>
      </c>
      <c r="G2" s="275" t="s">
        <v>233</v>
      </c>
      <c r="H2" s="272" t="s">
        <v>234</v>
      </c>
      <c r="I2" s="314" t="s">
        <v>54</v>
      </c>
      <c r="J2" s="273" t="s">
        <v>192</v>
      </c>
      <c r="K2" s="281" t="s">
        <v>164</v>
      </c>
      <c r="L2" s="288" t="s">
        <v>224</v>
      </c>
      <c r="M2" s="281" t="s">
        <v>293</v>
      </c>
      <c r="N2" s="271" t="s">
        <v>236</v>
      </c>
      <c r="O2" s="281" t="s">
        <v>225</v>
      </c>
      <c r="P2" s="313" t="s">
        <v>298</v>
      </c>
      <c r="Q2" s="278" t="s">
        <v>297</v>
      </c>
      <c r="R2" s="280" t="s">
        <v>1</v>
      </c>
      <c r="S2" s="277" t="s">
        <v>307</v>
      </c>
      <c r="T2" s="266" t="s">
        <v>275</v>
      </c>
      <c r="U2" s="269" t="s">
        <v>54</v>
      </c>
      <c r="V2" s="265" t="s">
        <v>57</v>
      </c>
      <c r="W2" s="270" t="s">
        <v>302</v>
      </c>
      <c r="X2" s="263" t="s">
        <v>303</v>
      </c>
      <c r="Y2" s="264" t="s">
        <v>200</v>
      </c>
      <c r="Z2" s="268" t="s">
        <v>201</v>
      </c>
    </row>
    <row r="3" spans="1:26" ht="12" customHeight="1">
      <c r="A3" s="316" t="s">
        <v>199</v>
      </c>
      <c r="B3" s="316"/>
      <c r="C3" s="58">
        <v>2025</v>
      </c>
      <c r="D3" s="59" t="str">
        <f>"-"&amp;(C3+1)</f>
        <v>-2026</v>
      </c>
      <c r="E3" s="262"/>
      <c r="F3" s="274"/>
      <c r="G3" s="276"/>
      <c r="H3" s="273"/>
      <c r="I3" s="315"/>
      <c r="J3" s="319"/>
      <c r="K3" s="281"/>
      <c r="L3" s="288"/>
      <c r="M3" s="281"/>
      <c r="N3" s="271"/>
      <c r="O3" s="281"/>
      <c r="P3" s="313"/>
      <c r="Q3" s="279"/>
      <c r="R3" s="280"/>
      <c r="S3" s="277"/>
      <c r="T3" s="267"/>
      <c r="U3" s="267"/>
      <c r="V3" s="265"/>
      <c r="W3" s="270"/>
      <c r="X3" s="263"/>
      <c r="Y3" s="264"/>
      <c r="Z3" s="268"/>
    </row>
    <row r="4" spans="1:26" ht="12" customHeight="1">
      <c r="A4" s="57" t="s">
        <v>189</v>
      </c>
      <c r="B4" s="317" t="s">
        <v>352</v>
      </c>
      <c r="C4" s="318"/>
      <c r="D4" s="318"/>
      <c r="E4" s="173" t="str">
        <f>"Mar-"&amp;$C$3</f>
        <v>Mar-2025</v>
      </c>
      <c r="F4" s="60">
        <v>83900</v>
      </c>
      <c r="G4" s="320"/>
      <c r="H4" s="323"/>
      <c r="I4" s="61"/>
      <c r="J4" s="320"/>
      <c r="K4" s="61">
        <v>0</v>
      </c>
      <c r="L4" s="61">
        <v>0</v>
      </c>
      <c r="M4" s="61">
        <v>20000</v>
      </c>
      <c r="N4" s="61">
        <v>7000</v>
      </c>
      <c r="O4" s="61">
        <v>0</v>
      </c>
      <c r="P4" s="61"/>
      <c r="Q4" s="61"/>
      <c r="R4" s="61"/>
      <c r="S4" s="61">
        <v>875</v>
      </c>
      <c r="T4" s="61">
        <v>8000</v>
      </c>
      <c r="U4" s="61"/>
      <c r="V4" s="62">
        <v>500422296</v>
      </c>
      <c r="W4" s="63">
        <v>45741</v>
      </c>
      <c r="X4" s="63">
        <v>45749</v>
      </c>
      <c r="Y4" s="64">
        <v>0.53</v>
      </c>
      <c r="Z4" s="65">
        <v>0.1</v>
      </c>
    </row>
    <row r="5" spans="1:26" ht="12" customHeight="1">
      <c r="A5" s="57" t="s">
        <v>166</v>
      </c>
      <c r="B5" s="215" t="s">
        <v>350</v>
      </c>
      <c r="C5" s="66" t="s">
        <v>268</v>
      </c>
      <c r="D5" s="215" t="s">
        <v>332</v>
      </c>
      <c r="E5" s="173" t="str">
        <f>"Apr-"&amp;$C$3</f>
        <v>Apr-2025</v>
      </c>
      <c r="F5" s="60">
        <f>F4</f>
        <v>83900</v>
      </c>
      <c r="G5" s="321"/>
      <c r="H5" s="324"/>
      <c r="I5" s="61"/>
      <c r="J5" s="321"/>
      <c r="K5" s="61">
        <f t="shared" ref="K5:K15" si="0">K4</f>
        <v>0</v>
      </c>
      <c r="L5" s="61">
        <f t="shared" ref="L5:L15" si="1">L4</f>
        <v>0</v>
      </c>
      <c r="M5" s="61">
        <f t="shared" ref="M5:M15" si="2">M4</f>
        <v>20000</v>
      </c>
      <c r="N5" s="61">
        <f t="shared" ref="N5:N15" si="3">N4</f>
        <v>7000</v>
      </c>
      <c r="O5" s="61">
        <f t="shared" ref="O5:O15" si="4">O4</f>
        <v>0</v>
      </c>
      <c r="P5" s="61"/>
      <c r="Q5" s="61"/>
      <c r="R5" s="61"/>
      <c r="S5" s="61">
        <f t="shared" ref="S5:S15" si="5">S4</f>
        <v>875</v>
      </c>
      <c r="T5" s="61">
        <f t="shared" ref="T5:T15" si="6">T4</f>
        <v>8000</v>
      </c>
      <c r="U5" s="61"/>
      <c r="V5" s="62">
        <v>500626381</v>
      </c>
      <c r="W5" s="63">
        <v>45770</v>
      </c>
      <c r="X5" s="63">
        <v>45778</v>
      </c>
      <c r="Y5" s="64">
        <v>0.55000000000000004</v>
      </c>
      <c r="Z5" s="65">
        <v>0.1</v>
      </c>
    </row>
    <row r="6" spans="1:26" ht="12" customHeight="1">
      <c r="A6" s="57" t="s">
        <v>190</v>
      </c>
      <c r="B6" s="282" t="s">
        <v>334</v>
      </c>
      <c r="C6" s="283"/>
      <c r="D6" s="283"/>
      <c r="E6" s="173" t="str">
        <f>"May-"&amp;$C$3</f>
        <v>May-2025</v>
      </c>
      <c r="F6" s="60">
        <f>F5</f>
        <v>83900</v>
      </c>
      <c r="G6" s="321"/>
      <c r="H6" s="324"/>
      <c r="I6" s="61"/>
      <c r="J6" s="321"/>
      <c r="K6" s="61">
        <f t="shared" si="0"/>
        <v>0</v>
      </c>
      <c r="L6" s="61">
        <f t="shared" si="1"/>
        <v>0</v>
      </c>
      <c r="M6" s="61">
        <f t="shared" si="2"/>
        <v>20000</v>
      </c>
      <c r="N6" s="61">
        <f t="shared" si="3"/>
        <v>7000</v>
      </c>
      <c r="O6" s="61">
        <f t="shared" si="4"/>
        <v>0</v>
      </c>
      <c r="P6" s="61"/>
      <c r="Q6" s="61"/>
      <c r="R6" s="61"/>
      <c r="S6" s="61">
        <f t="shared" si="5"/>
        <v>875</v>
      </c>
      <c r="T6" s="61">
        <f t="shared" si="6"/>
        <v>8000</v>
      </c>
      <c r="U6" s="61"/>
      <c r="V6" s="62">
        <v>500880968</v>
      </c>
      <c r="W6" s="63">
        <v>45800</v>
      </c>
      <c r="X6" s="63">
        <v>45809</v>
      </c>
      <c r="Y6" s="64">
        <v>0.55000000000000004</v>
      </c>
      <c r="Z6" s="65">
        <v>0.1</v>
      </c>
    </row>
    <row r="7" spans="1:26" ht="12" customHeight="1">
      <c r="A7" s="196" t="s">
        <v>326</v>
      </c>
      <c r="B7" s="282" t="s">
        <v>353</v>
      </c>
      <c r="C7" s="283"/>
      <c r="D7" s="283"/>
      <c r="E7" s="173" t="str">
        <f>"Jun-"&amp;$C$3</f>
        <v>Jun-2025</v>
      </c>
      <c r="F7" s="60">
        <f>F6</f>
        <v>83900</v>
      </c>
      <c r="G7" s="321"/>
      <c r="H7" s="324"/>
      <c r="I7" s="61"/>
      <c r="J7" s="321"/>
      <c r="K7" s="61">
        <f t="shared" si="0"/>
        <v>0</v>
      </c>
      <c r="L7" s="61">
        <f t="shared" si="1"/>
        <v>0</v>
      </c>
      <c r="M7" s="61">
        <f t="shared" si="2"/>
        <v>20000</v>
      </c>
      <c r="N7" s="61">
        <f t="shared" si="3"/>
        <v>7000</v>
      </c>
      <c r="O7" s="61">
        <f t="shared" si="4"/>
        <v>0</v>
      </c>
      <c r="P7" s="61"/>
      <c r="Q7" s="61"/>
      <c r="R7" s="61"/>
      <c r="S7" s="61">
        <f t="shared" si="5"/>
        <v>875</v>
      </c>
      <c r="T7" s="61">
        <f t="shared" si="6"/>
        <v>8000</v>
      </c>
      <c r="U7" s="61"/>
      <c r="V7" s="62">
        <v>501093946</v>
      </c>
      <c r="W7" s="63">
        <v>45831</v>
      </c>
      <c r="X7" s="63">
        <v>45839</v>
      </c>
      <c r="Y7" s="64">
        <v>0.55000000000000004</v>
      </c>
      <c r="Z7" s="65">
        <v>0.1</v>
      </c>
    </row>
    <row r="8" spans="1:26" ht="12" customHeight="1">
      <c r="A8" s="57" t="s">
        <v>191</v>
      </c>
      <c r="B8" s="218" t="s">
        <v>354</v>
      </c>
      <c r="C8" s="67" t="s">
        <v>202</v>
      </c>
      <c r="D8" s="68" t="s">
        <v>226</v>
      </c>
      <c r="E8" s="173" t="str">
        <f>"July-"&amp;$C$3</f>
        <v>July-2025</v>
      </c>
      <c r="F8" s="60">
        <f>(ROUND(F7*103%,-2))</f>
        <v>86400</v>
      </c>
      <c r="G8" s="321"/>
      <c r="H8" s="324"/>
      <c r="I8" s="61"/>
      <c r="J8" s="321"/>
      <c r="K8" s="61">
        <f t="shared" si="0"/>
        <v>0</v>
      </c>
      <c r="L8" s="61">
        <f t="shared" si="1"/>
        <v>0</v>
      </c>
      <c r="M8" s="61">
        <f t="shared" si="2"/>
        <v>20000</v>
      </c>
      <c r="N8" s="61">
        <f t="shared" si="3"/>
        <v>7000</v>
      </c>
      <c r="O8" s="61">
        <f t="shared" si="4"/>
        <v>0</v>
      </c>
      <c r="P8" s="61"/>
      <c r="Q8" s="61"/>
      <c r="R8" s="61"/>
      <c r="S8" s="61">
        <f t="shared" si="5"/>
        <v>875</v>
      </c>
      <c r="T8" s="61">
        <f t="shared" si="6"/>
        <v>8000</v>
      </c>
      <c r="U8" s="61"/>
      <c r="V8" s="62">
        <v>501343607</v>
      </c>
      <c r="W8" s="63">
        <v>45862</v>
      </c>
      <c r="X8" s="63">
        <v>45870</v>
      </c>
      <c r="Y8" s="64">
        <v>0.55000000000000004</v>
      </c>
      <c r="Z8" s="65">
        <v>0.1</v>
      </c>
    </row>
    <row r="9" spans="1:26" ht="12" customHeight="1">
      <c r="A9" s="57" t="s">
        <v>255</v>
      </c>
      <c r="B9" s="282" t="s">
        <v>355</v>
      </c>
      <c r="C9" s="283"/>
      <c r="D9" s="283"/>
      <c r="E9" s="173" t="str">
        <f>"Aug-"&amp;$C$3</f>
        <v>Aug-2025</v>
      </c>
      <c r="F9" s="60">
        <f t="shared" ref="F9:F15" si="7">F8</f>
        <v>86400</v>
      </c>
      <c r="G9" s="321"/>
      <c r="H9" s="324"/>
      <c r="I9" s="61"/>
      <c r="J9" s="321"/>
      <c r="K9" s="61">
        <f t="shared" si="0"/>
        <v>0</v>
      </c>
      <c r="L9" s="61">
        <f t="shared" si="1"/>
        <v>0</v>
      </c>
      <c r="M9" s="61">
        <f t="shared" si="2"/>
        <v>20000</v>
      </c>
      <c r="N9" s="61">
        <f t="shared" si="3"/>
        <v>7000</v>
      </c>
      <c r="O9" s="61">
        <f t="shared" si="4"/>
        <v>0</v>
      </c>
      <c r="P9" s="61"/>
      <c r="Q9" s="61"/>
      <c r="R9" s="61"/>
      <c r="S9" s="61">
        <f t="shared" si="5"/>
        <v>875</v>
      </c>
      <c r="T9" s="61">
        <f t="shared" si="6"/>
        <v>8000</v>
      </c>
      <c r="U9" s="61"/>
      <c r="V9" s="62">
        <v>501584204</v>
      </c>
      <c r="W9" s="63">
        <v>45892</v>
      </c>
      <c r="X9" s="63">
        <v>45901</v>
      </c>
      <c r="Y9" s="64">
        <v>0.55000000000000004</v>
      </c>
      <c r="Z9" s="65">
        <v>0.1</v>
      </c>
    </row>
    <row r="10" spans="1:26" ht="12" customHeight="1">
      <c r="A10" s="286" t="s">
        <v>269</v>
      </c>
      <c r="B10" s="286"/>
      <c r="C10" s="286"/>
      <c r="D10" s="287"/>
      <c r="E10" s="173" t="str">
        <f>"Sep-"&amp;$C$3</f>
        <v>Sep-2025</v>
      </c>
      <c r="F10" s="60">
        <f t="shared" si="7"/>
        <v>86400</v>
      </c>
      <c r="G10" s="321"/>
      <c r="H10" s="324"/>
      <c r="I10" s="61"/>
      <c r="J10" s="321"/>
      <c r="K10" s="61">
        <f t="shared" si="0"/>
        <v>0</v>
      </c>
      <c r="L10" s="61">
        <f t="shared" si="1"/>
        <v>0</v>
      </c>
      <c r="M10" s="61">
        <f t="shared" si="2"/>
        <v>20000</v>
      </c>
      <c r="N10" s="61">
        <f t="shared" si="3"/>
        <v>7000</v>
      </c>
      <c r="O10" s="61">
        <f t="shared" si="4"/>
        <v>0</v>
      </c>
      <c r="P10" s="61"/>
      <c r="Q10" s="61"/>
      <c r="R10" s="61"/>
      <c r="S10" s="61">
        <f t="shared" si="5"/>
        <v>875</v>
      </c>
      <c r="T10" s="61">
        <f t="shared" si="6"/>
        <v>8000</v>
      </c>
      <c r="U10" s="61"/>
      <c r="V10" s="62">
        <v>501816721</v>
      </c>
      <c r="W10" s="63">
        <v>45923</v>
      </c>
      <c r="X10" s="63">
        <v>45931</v>
      </c>
      <c r="Y10" s="64">
        <v>0.55000000000000004</v>
      </c>
      <c r="Z10" s="65">
        <v>0.1</v>
      </c>
    </row>
    <row r="11" spans="1:26" ht="12" customHeight="1">
      <c r="A11" s="284" t="s">
        <v>20</v>
      </c>
      <c r="B11" s="285"/>
      <c r="C11" s="69" t="s">
        <v>12</v>
      </c>
      <c r="D11" s="154"/>
      <c r="E11" s="174" t="str">
        <f>"Oct-"&amp;$C$3</f>
        <v>Oct-2025</v>
      </c>
      <c r="F11" s="60">
        <f t="shared" si="7"/>
        <v>86400</v>
      </c>
      <c r="G11" s="321"/>
      <c r="H11" s="324"/>
      <c r="I11" s="61"/>
      <c r="J11" s="321"/>
      <c r="K11" s="61">
        <f t="shared" si="0"/>
        <v>0</v>
      </c>
      <c r="L11" s="61">
        <f t="shared" si="1"/>
        <v>0</v>
      </c>
      <c r="M11" s="61">
        <f t="shared" si="2"/>
        <v>20000</v>
      </c>
      <c r="N11" s="61">
        <f t="shared" si="3"/>
        <v>7000</v>
      </c>
      <c r="O11" s="61">
        <f t="shared" si="4"/>
        <v>0</v>
      </c>
      <c r="P11" s="61"/>
      <c r="Q11" s="61"/>
      <c r="R11" s="61"/>
      <c r="S11" s="61">
        <f t="shared" si="5"/>
        <v>875</v>
      </c>
      <c r="T11" s="61">
        <f t="shared" si="6"/>
        <v>8000</v>
      </c>
      <c r="U11" s="61"/>
      <c r="V11" s="62">
        <v>502155928</v>
      </c>
      <c r="W11" s="63">
        <v>45953</v>
      </c>
      <c r="X11" s="63"/>
      <c r="Y11" s="64">
        <v>0.57999999999999996</v>
      </c>
      <c r="Z11" s="65">
        <v>0.1</v>
      </c>
    </row>
    <row r="12" spans="1:26" ht="12" customHeight="1">
      <c r="A12" s="284" t="s">
        <v>2</v>
      </c>
      <c r="B12" s="285"/>
      <c r="C12" s="69" t="s">
        <v>12</v>
      </c>
      <c r="D12" s="154"/>
      <c r="E12" s="174" t="str">
        <f>"Nov-"&amp;$C$3</f>
        <v>Nov-2025</v>
      </c>
      <c r="F12" s="60">
        <f t="shared" si="7"/>
        <v>86400</v>
      </c>
      <c r="G12" s="321"/>
      <c r="H12" s="324"/>
      <c r="I12" s="61"/>
      <c r="J12" s="321"/>
      <c r="K12" s="61">
        <f t="shared" si="0"/>
        <v>0</v>
      </c>
      <c r="L12" s="61">
        <f t="shared" si="1"/>
        <v>0</v>
      </c>
      <c r="M12" s="61">
        <f t="shared" si="2"/>
        <v>20000</v>
      </c>
      <c r="N12" s="61">
        <f t="shared" si="3"/>
        <v>7000</v>
      </c>
      <c r="O12" s="61">
        <f t="shared" si="4"/>
        <v>0</v>
      </c>
      <c r="P12" s="61"/>
      <c r="Q12" s="61"/>
      <c r="R12" s="61"/>
      <c r="S12" s="61">
        <f t="shared" si="5"/>
        <v>875</v>
      </c>
      <c r="T12" s="61">
        <f t="shared" si="6"/>
        <v>8000</v>
      </c>
      <c r="U12" s="61"/>
      <c r="V12" s="62"/>
      <c r="W12" s="63"/>
      <c r="X12" s="63"/>
      <c r="Y12" s="64">
        <v>0.57999999999999996</v>
      </c>
      <c r="Z12" s="65">
        <v>0.1</v>
      </c>
    </row>
    <row r="13" spans="1:26" ht="12" customHeight="1">
      <c r="A13" s="284" t="s">
        <v>281</v>
      </c>
      <c r="B13" s="285"/>
      <c r="C13" s="69" t="s">
        <v>12</v>
      </c>
      <c r="D13" s="154"/>
      <c r="E13" s="174" t="str">
        <f>"Dec-"&amp;$C$3</f>
        <v>Dec-2025</v>
      </c>
      <c r="F13" s="60">
        <f t="shared" si="7"/>
        <v>86400</v>
      </c>
      <c r="G13" s="321"/>
      <c r="H13" s="324"/>
      <c r="I13" s="61"/>
      <c r="J13" s="321"/>
      <c r="K13" s="61">
        <f t="shared" si="0"/>
        <v>0</v>
      </c>
      <c r="L13" s="61">
        <f t="shared" si="1"/>
        <v>0</v>
      </c>
      <c r="M13" s="61">
        <f t="shared" si="2"/>
        <v>20000</v>
      </c>
      <c r="N13" s="61">
        <f t="shared" si="3"/>
        <v>7000</v>
      </c>
      <c r="O13" s="61">
        <f t="shared" si="4"/>
        <v>0</v>
      </c>
      <c r="P13" s="61"/>
      <c r="Q13" s="61"/>
      <c r="R13" s="61"/>
      <c r="S13" s="61">
        <f t="shared" si="5"/>
        <v>875</v>
      </c>
      <c r="T13" s="61">
        <f t="shared" si="6"/>
        <v>8000</v>
      </c>
      <c r="U13" s="61"/>
      <c r="V13" s="62"/>
      <c r="W13" s="63"/>
      <c r="X13" s="63"/>
      <c r="Y13" s="64">
        <v>0.57999999999999996</v>
      </c>
      <c r="Z13" s="65">
        <v>0.1</v>
      </c>
    </row>
    <row r="14" spans="1:26" ht="12" customHeight="1">
      <c r="A14" s="284" t="s">
        <v>167</v>
      </c>
      <c r="B14" s="285"/>
      <c r="C14" s="69" t="s">
        <v>12</v>
      </c>
      <c r="D14" s="154"/>
      <c r="E14" s="174" t="str">
        <f>"Jan-"&amp;$C$3+1</f>
        <v>Jan-2026</v>
      </c>
      <c r="F14" s="60">
        <f t="shared" si="7"/>
        <v>86400</v>
      </c>
      <c r="G14" s="321"/>
      <c r="H14" s="324"/>
      <c r="I14" s="61"/>
      <c r="J14" s="321"/>
      <c r="K14" s="61">
        <f t="shared" si="0"/>
        <v>0</v>
      </c>
      <c r="L14" s="61">
        <f t="shared" si="1"/>
        <v>0</v>
      </c>
      <c r="M14" s="61">
        <f t="shared" si="2"/>
        <v>20000</v>
      </c>
      <c r="N14" s="61">
        <f t="shared" si="3"/>
        <v>7000</v>
      </c>
      <c r="O14" s="61">
        <f t="shared" si="4"/>
        <v>0</v>
      </c>
      <c r="P14" s="61"/>
      <c r="Q14" s="61"/>
      <c r="R14" s="61"/>
      <c r="S14" s="61">
        <f t="shared" si="5"/>
        <v>875</v>
      </c>
      <c r="T14" s="61">
        <f t="shared" si="6"/>
        <v>8000</v>
      </c>
      <c r="U14" s="61"/>
      <c r="V14" s="62"/>
      <c r="W14" s="63"/>
      <c r="X14" s="63"/>
      <c r="Y14" s="64">
        <v>0.57999999999999996</v>
      </c>
      <c r="Z14" s="65">
        <v>0.1</v>
      </c>
    </row>
    <row r="15" spans="1:26" ht="12" customHeight="1">
      <c r="A15" s="284" t="s">
        <v>336</v>
      </c>
      <c r="B15" s="285"/>
      <c r="C15" s="69" t="s">
        <v>12</v>
      </c>
      <c r="D15" s="154"/>
      <c r="E15" s="175" t="str">
        <f>"Feb-"&amp;$C$3+1</f>
        <v>Feb-2026</v>
      </c>
      <c r="F15" s="60">
        <f t="shared" si="7"/>
        <v>86400</v>
      </c>
      <c r="G15" s="321"/>
      <c r="H15" s="324"/>
      <c r="I15" s="61"/>
      <c r="J15" s="321"/>
      <c r="K15" s="61">
        <f t="shared" si="0"/>
        <v>0</v>
      </c>
      <c r="L15" s="61">
        <f t="shared" si="1"/>
        <v>0</v>
      </c>
      <c r="M15" s="61">
        <f t="shared" si="2"/>
        <v>20000</v>
      </c>
      <c r="N15" s="61">
        <f t="shared" si="3"/>
        <v>7000</v>
      </c>
      <c r="O15" s="61">
        <f t="shared" si="4"/>
        <v>0</v>
      </c>
      <c r="P15" s="61"/>
      <c r="Q15" s="61"/>
      <c r="R15" s="61"/>
      <c r="S15" s="61">
        <f t="shared" si="5"/>
        <v>875</v>
      </c>
      <c r="T15" s="61">
        <f t="shared" si="6"/>
        <v>8000</v>
      </c>
      <c r="U15" s="61"/>
      <c r="V15" s="62"/>
      <c r="W15" s="63"/>
      <c r="X15" s="63"/>
      <c r="Y15" s="64">
        <v>0.57999999999999996</v>
      </c>
      <c r="Z15" s="65">
        <v>0.1</v>
      </c>
    </row>
    <row r="16" spans="1:26" ht="12" customHeight="1">
      <c r="A16" s="186" t="s">
        <v>282</v>
      </c>
      <c r="B16" s="187"/>
      <c r="C16" s="69" t="s">
        <v>12</v>
      </c>
      <c r="D16" s="154"/>
      <c r="E16" s="185"/>
      <c r="F16" s="60"/>
      <c r="G16" s="321"/>
      <c r="H16" s="324"/>
      <c r="I16" s="61"/>
      <c r="J16" s="32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2"/>
      <c r="W16" s="63"/>
      <c r="X16" s="63"/>
      <c r="Y16" s="182"/>
      <c r="Z16" s="183"/>
    </row>
    <row r="17" spans="1:26" ht="12" customHeight="1">
      <c r="A17" s="186" t="s">
        <v>21</v>
      </c>
      <c r="B17" s="187"/>
      <c r="C17" s="69" t="s">
        <v>12</v>
      </c>
      <c r="D17" s="154"/>
      <c r="E17" s="184" t="s">
        <v>299</v>
      </c>
      <c r="F17" s="60">
        <v>0</v>
      </c>
      <c r="G17" s="321"/>
      <c r="H17" s="324"/>
      <c r="I17" s="61"/>
      <c r="J17" s="322"/>
      <c r="K17" s="163"/>
      <c r="L17" s="61"/>
      <c r="M17" s="61"/>
      <c r="N17" s="61"/>
      <c r="O17" s="61"/>
      <c r="P17" s="61"/>
      <c r="Q17" s="61"/>
      <c r="R17" s="61"/>
      <c r="S17" s="61"/>
      <c r="T17" s="163"/>
      <c r="U17" s="163"/>
      <c r="V17" s="62"/>
      <c r="W17" s="63"/>
      <c r="X17" s="63"/>
      <c r="Y17" s="64">
        <v>0.55000000000000004</v>
      </c>
      <c r="Z17" s="70"/>
    </row>
    <row r="18" spans="1:26" ht="12" customHeight="1">
      <c r="A18" s="186" t="s">
        <v>306</v>
      </c>
      <c r="B18" s="187"/>
      <c r="C18" s="69" t="s">
        <v>12</v>
      </c>
      <c r="D18" s="154"/>
      <c r="E18" s="176" t="s">
        <v>56</v>
      </c>
      <c r="F18" s="147">
        <v>6774</v>
      </c>
      <c r="G18" s="322"/>
      <c r="H18" s="324"/>
      <c r="I18" s="61"/>
      <c r="J18" s="73"/>
      <c r="K18" s="61"/>
      <c r="L18" s="61"/>
      <c r="M18" s="61">
        <v>1694</v>
      </c>
      <c r="N18" s="61"/>
      <c r="O18" s="61"/>
      <c r="P18" s="61"/>
      <c r="Q18" s="61"/>
      <c r="R18" s="61"/>
      <c r="S18" s="61"/>
      <c r="T18" s="61"/>
      <c r="U18" s="61"/>
      <c r="V18" s="62">
        <v>502201687</v>
      </c>
      <c r="W18" s="63">
        <v>45946</v>
      </c>
      <c r="X18" s="63">
        <v>45947</v>
      </c>
      <c r="Y18" s="294"/>
      <c r="Z18" s="294"/>
    </row>
    <row r="19" spans="1:26" ht="12" customHeight="1">
      <c r="A19" s="186" t="s">
        <v>309</v>
      </c>
      <c r="B19" s="187"/>
      <c r="C19" s="69" t="s">
        <v>12</v>
      </c>
      <c r="D19" s="154"/>
      <c r="E19" s="178" t="s">
        <v>300</v>
      </c>
      <c r="F19" s="149"/>
      <c r="G19" s="71">
        <f>ROUND(F4*2%,0)*3</f>
        <v>5034</v>
      </c>
      <c r="H19" s="324"/>
      <c r="I19" s="61"/>
      <c r="J19" s="73"/>
      <c r="K19" s="72" t="str">
        <f>IF(K5&gt;0,G19,"")</f>
        <v/>
      </c>
      <c r="L19" s="61"/>
      <c r="M19" s="73">
        <f>IF(M4&gt;0,G19,"")</f>
        <v>5034</v>
      </c>
      <c r="N19" s="61"/>
      <c r="O19" s="61"/>
      <c r="P19" s="61"/>
      <c r="Q19" s="61"/>
      <c r="R19" s="61"/>
      <c r="S19" s="61"/>
      <c r="T19" s="61"/>
      <c r="U19" s="61"/>
      <c r="V19" s="62">
        <v>500917488</v>
      </c>
      <c r="W19" s="63">
        <v>45802</v>
      </c>
      <c r="X19" s="63">
        <v>45804</v>
      </c>
      <c r="Y19" s="296" t="s">
        <v>58</v>
      </c>
      <c r="Z19" s="297"/>
    </row>
    <row r="20" spans="1:26" ht="12" customHeight="1">
      <c r="A20" s="186" t="s">
        <v>252</v>
      </c>
      <c r="B20" s="187"/>
      <c r="C20" s="69" t="s">
        <v>12</v>
      </c>
      <c r="D20" s="155"/>
      <c r="E20" s="178" t="s">
        <v>301</v>
      </c>
      <c r="F20" s="150"/>
      <c r="G20" s="71">
        <f>ROUND(F8*3%,0)*3</f>
        <v>7776</v>
      </c>
      <c r="H20" s="325"/>
      <c r="I20" s="61"/>
      <c r="J20" s="73"/>
      <c r="K20" s="72" t="str">
        <f>IF(K5&gt;0,G20,"")</f>
        <v/>
      </c>
      <c r="L20" s="61"/>
      <c r="M20" s="73">
        <f>IF(M4&gt;0,G20,"")</f>
        <v>7776</v>
      </c>
      <c r="N20" s="61"/>
      <c r="O20" s="61"/>
      <c r="P20" s="61"/>
      <c r="Q20" s="61"/>
      <c r="R20" s="61"/>
      <c r="S20" s="61"/>
      <c r="T20" s="61"/>
      <c r="U20" s="61"/>
      <c r="V20" s="62">
        <v>502325316</v>
      </c>
      <c r="W20" s="63">
        <v>45936</v>
      </c>
      <c r="X20" s="63">
        <v>45938</v>
      </c>
      <c r="Y20" s="292">
        <v>45954</v>
      </c>
      <c r="Z20" s="293"/>
    </row>
    <row r="21" spans="1:26" ht="12" customHeight="1">
      <c r="A21" s="186" t="s">
        <v>253</v>
      </c>
      <c r="B21" s="187"/>
      <c r="C21" s="69" t="s">
        <v>12</v>
      </c>
      <c r="D21" s="156"/>
      <c r="E21" s="179" t="s">
        <v>228</v>
      </c>
      <c r="F21" s="148"/>
      <c r="G21" s="74"/>
      <c r="H21" s="73"/>
      <c r="I21" s="61"/>
      <c r="J21" s="73"/>
      <c r="K21" s="77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62"/>
      <c r="W21" s="63"/>
      <c r="X21" s="63"/>
      <c r="Y21" s="295" t="s">
        <v>327</v>
      </c>
      <c r="Z21" s="295"/>
    </row>
    <row r="22" spans="1:26" ht="12" customHeight="1">
      <c r="A22" s="225" t="s">
        <v>254</v>
      </c>
      <c r="B22" s="226"/>
      <c r="C22" s="69" t="s">
        <v>12</v>
      </c>
      <c r="D22" s="156"/>
      <c r="E22" s="177" t="s">
        <v>274</v>
      </c>
      <c r="F22" s="75"/>
      <c r="G22" s="76"/>
      <c r="H22" s="75"/>
      <c r="I22" s="61"/>
      <c r="J22" s="73"/>
      <c r="K22" s="77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62"/>
      <c r="W22" s="63"/>
      <c r="X22" s="63"/>
      <c r="Y22" s="239">
        <v>250</v>
      </c>
      <c r="Z22" s="240"/>
    </row>
    <row r="23" spans="1:26" ht="12" customHeight="1" thickBot="1">
      <c r="A23" s="188" t="s">
        <v>277</v>
      </c>
      <c r="B23" s="189"/>
      <c r="C23" s="78" t="s">
        <v>12</v>
      </c>
      <c r="D23" s="156"/>
      <c r="E23" s="180" t="s">
        <v>323</v>
      </c>
      <c r="F23" s="73"/>
      <c r="G23" s="73"/>
      <c r="H23" s="73"/>
      <c r="I23" s="61"/>
      <c r="J23" s="73"/>
      <c r="K23" s="73"/>
      <c r="L23" s="73"/>
      <c r="M23" s="73"/>
      <c r="N23" s="73"/>
      <c r="O23" s="164"/>
      <c r="P23" s="171"/>
      <c r="Q23" s="171"/>
      <c r="R23" s="171"/>
      <c r="S23" s="172"/>
      <c r="T23" s="73"/>
      <c r="U23" s="61"/>
      <c r="V23" s="62"/>
      <c r="W23" s="63"/>
      <c r="X23" s="63"/>
      <c r="Y23" s="232" t="s">
        <v>270</v>
      </c>
      <c r="Z23" s="233"/>
    </row>
    <row r="24" spans="1:26" ht="12.75" customHeight="1">
      <c r="A24" s="234" t="s">
        <v>180</v>
      </c>
      <c r="B24" s="234"/>
      <c r="C24" s="234"/>
      <c r="D24" s="234"/>
      <c r="E24" s="234"/>
      <c r="F24" s="234"/>
      <c r="G24" s="234"/>
      <c r="H24" s="234"/>
      <c r="I24" s="235"/>
      <c r="J24" s="251" t="s">
        <v>319</v>
      </c>
      <c r="K24" s="253" t="s">
        <v>276</v>
      </c>
      <c r="L24" s="307" t="s">
        <v>295</v>
      </c>
      <c r="M24" s="308"/>
      <c r="N24" s="309"/>
      <c r="O24" s="155"/>
      <c r="P24" s="298" t="s">
        <v>356</v>
      </c>
      <c r="Q24" s="299"/>
      <c r="R24" s="299"/>
      <c r="S24" s="300"/>
      <c r="T24" s="245"/>
      <c r="U24" s="246"/>
      <c r="V24" s="246"/>
      <c r="W24" s="246"/>
      <c r="X24" s="247"/>
      <c r="Y24" s="230" t="s">
        <v>333</v>
      </c>
      <c r="Z24" s="231"/>
    </row>
    <row r="25" spans="1:26" ht="12" customHeight="1">
      <c r="A25" s="236"/>
      <c r="B25" s="236"/>
      <c r="C25" s="236"/>
      <c r="D25" s="236"/>
      <c r="E25" s="236"/>
      <c r="F25" s="237"/>
      <c r="G25" s="237"/>
      <c r="H25" s="237"/>
      <c r="I25" s="238"/>
      <c r="J25" s="252"/>
      <c r="K25" s="254"/>
      <c r="L25" s="307" t="s">
        <v>292</v>
      </c>
      <c r="M25" s="308"/>
      <c r="N25" s="309"/>
      <c r="O25" s="155"/>
      <c r="P25" s="301"/>
      <c r="Q25" s="302"/>
      <c r="R25" s="302"/>
      <c r="S25" s="303"/>
      <c r="T25" s="248" t="s">
        <v>280</v>
      </c>
      <c r="U25" s="248"/>
      <c r="V25" s="249"/>
      <c r="W25" s="249"/>
      <c r="X25" s="249"/>
      <c r="Y25" s="249"/>
      <c r="Z25" s="250"/>
    </row>
    <row r="26" spans="1:26" ht="12" customHeight="1">
      <c r="A26" s="79">
        <v>1</v>
      </c>
      <c r="B26" s="80" t="s">
        <v>168</v>
      </c>
      <c r="C26" s="142" t="s">
        <v>175</v>
      </c>
      <c r="D26" s="81"/>
      <c r="E26" s="81"/>
      <c r="F26" s="86"/>
      <c r="G26" s="86"/>
      <c r="H26" s="86"/>
      <c r="I26" s="153" t="s">
        <v>12</v>
      </c>
      <c r="J26" s="157">
        <v>0</v>
      </c>
      <c r="K26" s="166">
        <v>0</v>
      </c>
      <c r="L26" s="307" t="s">
        <v>287</v>
      </c>
      <c r="M26" s="308"/>
      <c r="N26" s="309"/>
      <c r="O26" s="155">
        <v>2100</v>
      </c>
      <c r="P26" s="301"/>
      <c r="Q26" s="302"/>
      <c r="R26" s="302"/>
      <c r="S26" s="303"/>
      <c r="T26" s="170">
        <v>1</v>
      </c>
      <c r="U26" s="227" t="s">
        <v>246</v>
      </c>
      <c r="V26" s="228"/>
      <c r="W26" s="228"/>
      <c r="X26" s="228"/>
      <c r="Y26" s="228"/>
      <c r="Z26" s="229"/>
    </row>
    <row r="27" spans="1:26" ht="12" customHeight="1">
      <c r="A27" s="83">
        <v>2</v>
      </c>
      <c r="B27" s="84" t="s">
        <v>169</v>
      </c>
      <c r="C27" s="143" t="s">
        <v>285</v>
      </c>
      <c r="D27" s="85"/>
      <c r="E27" s="144"/>
      <c r="F27" s="86"/>
      <c r="G27" s="86"/>
      <c r="H27" s="86"/>
      <c r="I27" s="153" t="s">
        <v>12</v>
      </c>
      <c r="J27" s="157">
        <v>0</v>
      </c>
      <c r="K27" s="166">
        <v>0</v>
      </c>
      <c r="L27" s="307" t="s">
        <v>288</v>
      </c>
      <c r="M27" s="308"/>
      <c r="N27" s="309"/>
      <c r="O27" s="155"/>
      <c r="P27" s="301"/>
      <c r="Q27" s="302"/>
      <c r="R27" s="302"/>
      <c r="S27" s="303"/>
      <c r="T27" s="170">
        <v>2</v>
      </c>
      <c r="U27" s="227" t="s">
        <v>247</v>
      </c>
      <c r="V27" s="228"/>
      <c r="W27" s="228"/>
      <c r="X27" s="228"/>
      <c r="Y27" s="228"/>
      <c r="Z27" s="229"/>
    </row>
    <row r="28" spans="1:26" ht="12" customHeight="1">
      <c r="A28" s="83">
        <v>3</v>
      </c>
      <c r="B28" s="84" t="s">
        <v>170</v>
      </c>
      <c r="C28" s="192" t="s">
        <v>286</v>
      </c>
      <c r="D28" s="85"/>
      <c r="E28" s="85"/>
      <c r="F28" s="82"/>
      <c r="G28" s="86"/>
      <c r="H28" s="86"/>
      <c r="I28" s="153" t="s">
        <v>12</v>
      </c>
      <c r="J28" s="157">
        <v>0</v>
      </c>
      <c r="K28" s="166">
        <v>0</v>
      </c>
      <c r="L28" s="307" t="s">
        <v>289</v>
      </c>
      <c r="M28" s="308"/>
      <c r="N28" s="309"/>
      <c r="O28" s="155"/>
      <c r="P28" s="301"/>
      <c r="Q28" s="302"/>
      <c r="R28" s="302"/>
      <c r="S28" s="303"/>
      <c r="T28" s="170">
        <v>3</v>
      </c>
      <c r="U28" s="227" t="s">
        <v>310</v>
      </c>
      <c r="V28" s="228"/>
      <c r="W28" s="228"/>
      <c r="X28" s="228"/>
      <c r="Y28" s="228"/>
      <c r="Z28" s="229"/>
    </row>
    <row r="29" spans="1:26" ht="12" customHeight="1">
      <c r="A29" s="83">
        <v>4</v>
      </c>
      <c r="B29" s="84" t="s">
        <v>171</v>
      </c>
      <c r="C29" s="143" t="s">
        <v>178</v>
      </c>
      <c r="D29" s="85"/>
      <c r="E29" s="85"/>
      <c r="F29" s="86"/>
      <c r="G29" s="86"/>
      <c r="H29" s="86"/>
      <c r="I29" s="153" t="s">
        <v>12</v>
      </c>
      <c r="J29" s="157">
        <v>0</v>
      </c>
      <c r="K29" s="166">
        <v>0</v>
      </c>
      <c r="L29" s="258" t="s">
        <v>294</v>
      </c>
      <c r="M29" s="259"/>
      <c r="N29" s="259"/>
      <c r="O29" s="259"/>
      <c r="P29" s="301"/>
      <c r="Q29" s="302"/>
      <c r="R29" s="302"/>
      <c r="S29" s="303"/>
      <c r="T29" s="170">
        <v>4</v>
      </c>
      <c r="U29" s="227" t="s">
        <v>311</v>
      </c>
      <c r="V29" s="228"/>
      <c r="W29" s="228"/>
      <c r="X29" s="228"/>
      <c r="Y29" s="228"/>
      <c r="Z29" s="229"/>
    </row>
    <row r="30" spans="1:26" ht="12" customHeight="1">
      <c r="A30" s="83">
        <v>5</v>
      </c>
      <c r="B30" s="84" t="s">
        <v>172</v>
      </c>
      <c r="C30" s="143" t="s">
        <v>317</v>
      </c>
      <c r="D30" s="85"/>
      <c r="E30" s="85"/>
      <c r="F30" s="86"/>
      <c r="G30" s="86"/>
      <c r="H30" s="86"/>
      <c r="I30" s="153" t="s">
        <v>12</v>
      </c>
      <c r="J30" s="157">
        <v>0</v>
      </c>
      <c r="K30" s="166">
        <v>0</v>
      </c>
      <c r="L30" s="255" t="s">
        <v>262</v>
      </c>
      <c r="M30" s="256"/>
      <c r="N30" s="257"/>
      <c r="O30" s="193">
        <v>0</v>
      </c>
      <c r="P30" s="301"/>
      <c r="Q30" s="302"/>
      <c r="R30" s="302"/>
      <c r="S30" s="303"/>
      <c r="T30" s="170">
        <v>5</v>
      </c>
      <c r="U30" s="227" t="s">
        <v>312</v>
      </c>
      <c r="V30" s="228"/>
      <c r="W30" s="228"/>
      <c r="X30" s="228"/>
      <c r="Y30" s="228"/>
      <c r="Z30" s="229"/>
    </row>
    <row r="31" spans="1:26" ht="12" customHeight="1">
      <c r="A31" s="83">
        <v>6</v>
      </c>
      <c r="B31" s="84" t="s">
        <v>173</v>
      </c>
      <c r="C31" s="143" t="s">
        <v>183</v>
      </c>
      <c r="D31" s="85"/>
      <c r="E31" s="85"/>
      <c r="F31" s="82"/>
      <c r="G31" s="151"/>
      <c r="H31" s="151"/>
      <c r="I31" s="152" t="s">
        <v>12</v>
      </c>
      <c r="J31" s="157">
        <v>0</v>
      </c>
      <c r="K31" s="166">
        <v>0</v>
      </c>
      <c r="L31" s="255" t="s">
        <v>263</v>
      </c>
      <c r="M31" s="256"/>
      <c r="N31" s="257"/>
      <c r="O31" s="155">
        <v>0</v>
      </c>
      <c r="P31" s="301"/>
      <c r="Q31" s="302"/>
      <c r="R31" s="302"/>
      <c r="S31" s="303"/>
      <c r="T31" s="170">
        <v>6</v>
      </c>
      <c r="U31" s="227" t="s">
        <v>313</v>
      </c>
      <c r="V31" s="228"/>
      <c r="W31" s="228"/>
      <c r="X31" s="228"/>
      <c r="Y31" s="228"/>
      <c r="Z31" s="229"/>
    </row>
    <row r="32" spans="1:26" ht="12" customHeight="1">
      <c r="A32" s="83">
        <v>7</v>
      </c>
      <c r="B32" s="84" t="s">
        <v>244</v>
      </c>
      <c r="C32" s="143" t="s">
        <v>318</v>
      </c>
      <c r="D32" s="85"/>
      <c r="E32" s="85"/>
      <c r="F32" s="86"/>
      <c r="G32" s="86"/>
      <c r="H32" s="86"/>
      <c r="I32" s="153" t="s">
        <v>12</v>
      </c>
      <c r="J32" s="198">
        <v>0</v>
      </c>
      <c r="K32" s="166">
        <v>0</v>
      </c>
      <c r="L32" s="258" t="s">
        <v>290</v>
      </c>
      <c r="M32" s="259"/>
      <c r="N32" s="259"/>
      <c r="O32" s="259"/>
      <c r="P32" s="301"/>
      <c r="Q32" s="302"/>
      <c r="R32" s="302"/>
      <c r="S32" s="303"/>
      <c r="T32" s="170">
        <v>7</v>
      </c>
      <c r="U32" s="227" t="s">
        <v>314</v>
      </c>
      <c r="V32" s="228"/>
      <c r="W32" s="228"/>
      <c r="X32" s="228"/>
      <c r="Y32" s="228"/>
      <c r="Z32" s="229"/>
    </row>
    <row r="33" spans="1:26" ht="12" customHeight="1">
      <c r="A33" s="87">
        <v>8</v>
      </c>
      <c r="B33" s="190" t="s">
        <v>174</v>
      </c>
      <c r="C33" s="143" t="s">
        <v>177</v>
      </c>
      <c r="D33" s="85"/>
      <c r="E33" s="85"/>
      <c r="F33" s="86"/>
      <c r="G33" s="86"/>
      <c r="H33" s="86"/>
      <c r="I33" s="153" t="s">
        <v>12</v>
      </c>
      <c r="J33" s="157">
        <v>0</v>
      </c>
      <c r="K33" s="157">
        <v>0</v>
      </c>
      <c r="L33" s="310" t="s">
        <v>296</v>
      </c>
      <c r="M33" s="311"/>
      <c r="N33" s="312"/>
      <c r="O33" s="155">
        <v>0</v>
      </c>
      <c r="P33" s="301"/>
      <c r="Q33" s="302"/>
      <c r="R33" s="302"/>
      <c r="S33" s="303"/>
      <c r="T33" s="170">
        <v>8</v>
      </c>
      <c r="U33" s="241" t="s">
        <v>315</v>
      </c>
      <c r="V33" s="242"/>
      <c r="W33" s="242"/>
      <c r="X33" s="242"/>
      <c r="Y33" s="242"/>
      <c r="Z33" s="243"/>
    </row>
    <row r="34" spans="1:26" ht="12" customHeight="1">
      <c r="A34" s="169">
        <v>9</v>
      </c>
      <c r="B34" s="85"/>
      <c r="C34" s="192" t="s">
        <v>316</v>
      </c>
      <c r="D34" s="191"/>
      <c r="E34" s="244"/>
      <c r="F34" s="244"/>
      <c r="G34" s="244"/>
      <c r="H34" s="244"/>
      <c r="I34" s="153" t="s">
        <v>12</v>
      </c>
      <c r="J34" s="157">
        <v>0</v>
      </c>
      <c r="K34" s="157">
        <v>0</v>
      </c>
      <c r="L34" s="310" t="s">
        <v>291</v>
      </c>
      <c r="M34" s="311"/>
      <c r="N34" s="312"/>
      <c r="O34" s="155">
        <v>0</v>
      </c>
      <c r="P34" s="301"/>
      <c r="Q34" s="302"/>
      <c r="R34" s="302"/>
      <c r="S34" s="303"/>
      <c r="T34" s="170">
        <v>9</v>
      </c>
      <c r="U34" s="227" t="s">
        <v>279</v>
      </c>
      <c r="V34" s="228"/>
      <c r="W34" s="228"/>
      <c r="X34" s="228"/>
      <c r="Y34" s="228"/>
      <c r="Z34" s="229"/>
    </row>
    <row r="35" spans="1:26" ht="12" customHeight="1" thickBot="1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310" t="s">
        <v>161</v>
      </c>
      <c r="M35" s="311"/>
      <c r="N35" s="312"/>
      <c r="O35" s="155">
        <v>0</v>
      </c>
      <c r="P35" s="304"/>
      <c r="Q35" s="305"/>
      <c r="R35" s="305"/>
      <c r="S35" s="306"/>
      <c r="T35" s="170">
        <v>10</v>
      </c>
      <c r="U35" s="227" t="s">
        <v>329</v>
      </c>
      <c r="V35" s="228"/>
      <c r="W35" s="228"/>
      <c r="X35" s="228"/>
      <c r="Y35" s="228"/>
      <c r="Z35" s="229"/>
    </row>
    <row r="36" spans="1:26">
      <c r="A36" s="46"/>
      <c r="B36" s="46"/>
      <c r="C36" s="46"/>
      <c r="D36" s="168"/>
      <c r="E36" s="46"/>
      <c r="P36" s="181"/>
      <c r="Q36" s="181"/>
    </row>
    <row r="37" spans="1:26">
      <c r="A37" s="47"/>
      <c r="B37" s="47"/>
      <c r="C37" s="47"/>
      <c r="D37" s="48"/>
      <c r="E37" s="48"/>
    </row>
    <row r="38" spans="1:26">
      <c r="A38" s="47"/>
      <c r="B38" s="47"/>
      <c r="C38" s="47"/>
      <c r="D38" s="48"/>
      <c r="E38" s="48"/>
    </row>
    <row r="39" spans="1:26">
      <c r="A39" s="41"/>
      <c r="B39" s="42"/>
      <c r="C39" s="42"/>
      <c r="D39" s="48"/>
      <c r="E39" s="48"/>
    </row>
    <row r="40" spans="1:26">
      <c r="A40" s="47"/>
      <c r="B40" s="47"/>
      <c r="C40" s="47"/>
      <c r="D40" s="48"/>
      <c r="E40" s="48"/>
    </row>
    <row r="41" spans="1:26">
      <c r="A41" s="47"/>
      <c r="B41" s="47"/>
      <c r="C41" s="47"/>
      <c r="D41" s="48"/>
      <c r="E41" s="48"/>
    </row>
    <row r="42" spans="1:26">
      <c r="A42" s="47"/>
      <c r="B42" s="47"/>
      <c r="C42" s="47"/>
      <c r="D42" s="48"/>
      <c r="E42" s="48"/>
    </row>
    <row r="43" spans="1:26">
      <c r="A43" s="43"/>
      <c r="B43" s="43"/>
      <c r="C43" s="43"/>
      <c r="D43" s="49"/>
      <c r="E43" s="49"/>
    </row>
    <row r="44" spans="1:26">
      <c r="A44" s="43"/>
      <c r="B44" s="44"/>
      <c r="C44" s="50"/>
      <c r="D44" s="50"/>
      <c r="E44" s="50"/>
    </row>
    <row r="45" spans="1:26">
      <c r="A45" s="43"/>
      <c r="B45" s="43"/>
      <c r="C45" s="43"/>
      <c r="D45" s="50"/>
      <c r="E45" s="50"/>
    </row>
    <row r="46" spans="1:26">
      <c r="A46" s="43"/>
      <c r="B46" s="43"/>
      <c r="C46" s="43"/>
      <c r="D46" s="50"/>
      <c r="E46" s="50"/>
    </row>
    <row r="47" spans="1:26">
      <c r="A47" s="43"/>
      <c r="B47" s="44"/>
      <c r="C47" s="51"/>
      <c r="D47" s="51"/>
      <c r="E47" s="51"/>
    </row>
    <row r="48" spans="1:26">
      <c r="A48" s="43"/>
      <c r="B48" s="44"/>
      <c r="C48" s="44"/>
      <c r="D48" s="52"/>
      <c r="E48" s="52"/>
    </row>
    <row r="49" spans="1:5">
      <c r="A49" s="53"/>
      <c r="B49" s="53"/>
      <c r="C49" s="49"/>
      <c r="D49" s="49"/>
      <c r="E49" s="49"/>
    </row>
    <row r="50" spans="1:5">
      <c r="A50" s="53"/>
      <c r="B50" s="53"/>
      <c r="C50" s="54"/>
      <c r="D50" s="49"/>
      <c r="E50" s="49"/>
    </row>
    <row r="51" spans="1:5">
      <c r="A51" s="45"/>
      <c r="B51" s="45"/>
      <c r="C51" s="45"/>
      <c r="D51" s="45"/>
      <c r="E51" s="45"/>
    </row>
  </sheetData>
  <sheetProtection password="FF64" sheet="1" objects="1" scenarios="1"/>
  <mergeCells count="76">
    <mergeCell ref="U35:Z35"/>
    <mergeCell ref="P2:P3"/>
    <mergeCell ref="B7:D7"/>
    <mergeCell ref="K2:K3"/>
    <mergeCell ref="I2:I3"/>
    <mergeCell ref="A3:B3"/>
    <mergeCell ref="B4:D4"/>
    <mergeCell ref="O2:O3"/>
    <mergeCell ref="B6:D6"/>
    <mergeCell ref="J2:J3"/>
    <mergeCell ref="J4:J17"/>
    <mergeCell ref="H4:H20"/>
    <mergeCell ref="A11:B11"/>
    <mergeCell ref="A14:B14"/>
    <mergeCell ref="A15:B15"/>
    <mergeCell ref="G4:G18"/>
    <mergeCell ref="P24:S35"/>
    <mergeCell ref="L24:N24"/>
    <mergeCell ref="L25:N25"/>
    <mergeCell ref="L26:N26"/>
    <mergeCell ref="L27:N27"/>
    <mergeCell ref="L28:N28"/>
    <mergeCell ref="L34:N34"/>
    <mergeCell ref="L32:O32"/>
    <mergeCell ref="L33:N33"/>
    <mergeCell ref="L35:N35"/>
    <mergeCell ref="Y20:Z20"/>
    <mergeCell ref="Y18:Z18"/>
    <mergeCell ref="Y21:Z21"/>
    <mergeCell ref="U32:Z32"/>
    <mergeCell ref="U34:Z34"/>
    <mergeCell ref="U30:Z30"/>
    <mergeCell ref="U27:Z27"/>
    <mergeCell ref="U28:Z28"/>
    <mergeCell ref="U29:Z29"/>
    <mergeCell ref="U31:Z31"/>
    <mergeCell ref="Y19:Z19"/>
    <mergeCell ref="M2:M3"/>
    <mergeCell ref="B9:D9"/>
    <mergeCell ref="A13:B13"/>
    <mergeCell ref="A12:B12"/>
    <mergeCell ref="A10:D10"/>
    <mergeCell ref="L2:L3"/>
    <mergeCell ref="A2:D2"/>
    <mergeCell ref="A1:Z1"/>
    <mergeCell ref="E2:E3"/>
    <mergeCell ref="X2:X3"/>
    <mergeCell ref="Y2:Y3"/>
    <mergeCell ref="V2:V3"/>
    <mergeCell ref="T2:T3"/>
    <mergeCell ref="Z2:Z3"/>
    <mergeCell ref="U2:U3"/>
    <mergeCell ref="W2:W3"/>
    <mergeCell ref="N2:N3"/>
    <mergeCell ref="H2:H3"/>
    <mergeCell ref="F2:F3"/>
    <mergeCell ref="G2:G3"/>
    <mergeCell ref="S2:S3"/>
    <mergeCell ref="Q2:Q3"/>
    <mergeCell ref="R2:R3"/>
    <mergeCell ref="A35:K35"/>
    <mergeCell ref="A22:B22"/>
    <mergeCell ref="U26:Z26"/>
    <mergeCell ref="Y24:Z24"/>
    <mergeCell ref="Y23:Z23"/>
    <mergeCell ref="A24:I25"/>
    <mergeCell ref="Y22:Z22"/>
    <mergeCell ref="U33:Z33"/>
    <mergeCell ref="E34:H34"/>
    <mergeCell ref="T24:X24"/>
    <mergeCell ref="T25:Z25"/>
    <mergeCell ref="J24:J25"/>
    <mergeCell ref="K24:K25"/>
    <mergeCell ref="L30:N30"/>
    <mergeCell ref="L31:N31"/>
    <mergeCell ref="L29:O29"/>
  </mergeCells>
  <phoneticPr fontId="1" type="noConversion"/>
  <pageMargins left="0.75" right="0.75" top="1" bottom="1" header="0.5" footer="0.5"/>
  <pageSetup orientation="portrait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indexed="52"/>
  </sheetPr>
  <dimension ref="A1:X28"/>
  <sheetViews>
    <sheetView view="pageBreakPreview" zoomScaleNormal="75" zoomScaleSheetLayoutView="100" workbookViewId="0">
      <selection activeCell="P13" sqref="P13"/>
    </sheetView>
  </sheetViews>
  <sheetFormatPr defaultRowHeight="12.75"/>
  <cols>
    <col min="1" max="1" width="3" customWidth="1"/>
    <col min="2" max="2" width="7.28515625" customWidth="1"/>
    <col min="3" max="3" width="6.85546875" customWidth="1"/>
    <col min="4" max="4" width="6.42578125" customWidth="1"/>
    <col min="5" max="5" width="6" customWidth="1"/>
    <col min="6" max="6" width="4.7109375" customWidth="1"/>
    <col min="7" max="7" width="7" customWidth="1"/>
    <col min="8" max="10" width="5.85546875" customWidth="1"/>
    <col min="11" max="11" width="5" customWidth="1"/>
    <col min="12" max="12" width="5.85546875" customWidth="1"/>
    <col min="13" max="13" width="5.140625" customWidth="1"/>
    <col min="14" max="14" width="6.140625" customWidth="1"/>
    <col min="15" max="15" width="4" customWidth="1"/>
    <col min="16" max="16" width="4.140625" customWidth="1"/>
    <col min="17" max="17" width="5.42578125" customWidth="1"/>
    <col min="18" max="18" width="4.42578125" customWidth="1"/>
    <col min="19" max="19" width="6" customWidth="1"/>
    <col min="20" max="20" width="6.85546875" customWidth="1"/>
    <col min="21" max="21" width="7.5703125" customWidth="1"/>
    <col min="22" max="22" width="9" customWidth="1"/>
    <col min="23" max="23" width="7.7109375" customWidth="1"/>
    <col min="24" max="24" width="7.5703125" customWidth="1"/>
  </cols>
  <sheetData>
    <row r="1" spans="1:24" ht="18.75">
      <c r="A1" s="326" t="str">
        <f>"STATEMENT OF SALARY FINENCIAL YEAR  "&amp;' Data Form'!C3&amp;' Data Form'!D3</f>
        <v>STATEMENT OF SALARY FINENCIAL YEAR  2025-2026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8"/>
    </row>
    <row r="2" spans="1:24" s="55" customFormat="1" ht="21" customHeight="1">
      <c r="A2" s="333" t="s">
        <v>4</v>
      </c>
      <c r="B2" s="334"/>
      <c r="C2" s="335" t="str">
        <f>' Data Form'!B4&amp;' Data Form'!C4&amp;' Data Form'!D4</f>
        <v>AVANISH CHANDRA GUPTA</v>
      </c>
      <c r="D2" s="335"/>
      <c r="E2" s="335"/>
      <c r="F2" s="335"/>
      <c r="G2" s="335"/>
      <c r="H2" s="335"/>
      <c r="I2" s="332" t="s">
        <v>22</v>
      </c>
      <c r="J2" s="332"/>
      <c r="K2" s="219" t="str">
        <f>' Data Form'!B5</f>
        <v>TEACHER LEVEL 2</v>
      </c>
      <c r="L2" s="219"/>
      <c r="M2" s="219"/>
      <c r="N2" s="219"/>
      <c r="O2" s="219"/>
      <c r="Q2" s="219"/>
      <c r="R2" s="219"/>
      <c r="S2" s="332" t="str">
        <f>' Data Form'!B7</f>
        <v>GOVT HIGHER SEC SCHOOL RAILA</v>
      </c>
      <c r="T2" s="332"/>
      <c r="U2" s="332"/>
      <c r="V2" s="332"/>
      <c r="W2" s="332"/>
      <c r="X2" s="336"/>
    </row>
    <row r="3" spans="1:24" s="34" customFormat="1" ht="13.5" customHeight="1">
      <c r="A3" s="338" t="s">
        <v>24</v>
      </c>
      <c r="B3" s="331"/>
      <c r="C3" s="331"/>
      <c r="D3" s="331"/>
      <c r="E3" s="331"/>
      <c r="F3" s="331"/>
      <c r="G3" s="331"/>
      <c r="H3" s="331" t="s">
        <v>55</v>
      </c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29" t="s">
        <v>34</v>
      </c>
      <c r="V3" s="329" t="s">
        <v>57</v>
      </c>
      <c r="W3" s="329" t="s">
        <v>58</v>
      </c>
      <c r="X3" s="330" t="s">
        <v>59</v>
      </c>
    </row>
    <row r="4" spans="1:24" s="34" customFormat="1" ht="58.5" customHeight="1">
      <c r="A4" s="204" t="s">
        <v>25</v>
      </c>
      <c r="B4" s="205" t="s">
        <v>26</v>
      </c>
      <c r="C4" s="205" t="s">
        <v>27</v>
      </c>
      <c r="D4" s="205" t="s">
        <v>203</v>
      </c>
      <c r="E4" s="205" t="s">
        <v>28</v>
      </c>
      <c r="F4" s="205" t="s">
        <v>54</v>
      </c>
      <c r="G4" s="205" t="s">
        <v>29</v>
      </c>
      <c r="H4" s="205" t="s">
        <v>164</v>
      </c>
      <c r="I4" s="205" t="s">
        <v>223</v>
      </c>
      <c r="J4" s="205" t="s">
        <v>304</v>
      </c>
      <c r="K4" s="205" t="s">
        <v>30</v>
      </c>
      <c r="L4" s="205" t="s">
        <v>308</v>
      </c>
      <c r="M4" s="203" t="s">
        <v>337</v>
      </c>
      <c r="N4" s="205" t="s">
        <v>1</v>
      </c>
      <c r="O4" s="206" t="s">
        <v>328</v>
      </c>
      <c r="P4" s="205" t="s">
        <v>31</v>
      </c>
      <c r="Q4" s="205" t="s">
        <v>307</v>
      </c>
      <c r="R4" s="205" t="s">
        <v>54</v>
      </c>
      <c r="S4" s="205" t="s">
        <v>32</v>
      </c>
      <c r="T4" s="205" t="s">
        <v>33</v>
      </c>
      <c r="U4" s="329"/>
      <c r="V4" s="329"/>
      <c r="W4" s="329"/>
      <c r="X4" s="330"/>
    </row>
    <row r="5" spans="1:24" ht="18" customHeight="1">
      <c r="A5" s="202">
        <v>1</v>
      </c>
      <c r="B5" s="201" t="str">
        <f>' Data Form'!$E4</f>
        <v>Mar-2025</v>
      </c>
      <c r="C5" s="88">
        <f>' Data Form'!$F4</f>
        <v>83900</v>
      </c>
      <c r="D5" s="88">
        <f>ROUND((C5)*' Data Form'!Y4,0)</f>
        <v>44467</v>
      </c>
      <c r="E5" s="88">
        <f>IF(' Data Form'!$D$8="Y",0,ROUND((C5)*' Data Form'!Z4,0))</f>
        <v>8390</v>
      </c>
      <c r="F5" s="88">
        <f>' Data Form'!I4</f>
        <v>0</v>
      </c>
      <c r="G5" s="88">
        <f>SUM(C5:F5)</f>
        <v>136757</v>
      </c>
      <c r="H5" s="89">
        <f>' Data Form'!K4</f>
        <v>0</v>
      </c>
      <c r="I5" s="89">
        <f>' Data Form'!L4</f>
        <v>0</v>
      </c>
      <c r="J5" s="167">
        <f>' Data Form'!M4</f>
        <v>20000</v>
      </c>
      <c r="K5" s="89">
        <f>' Data Form'!N4</f>
        <v>7000</v>
      </c>
      <c r="L5" s="89">
        <f>' Data Form'!O4</f>
        <v>0</v>
      </c>
      <c r="M5" s="89">
        <f>' Data Form'!P4+' Data Form'!Q4</f>
        <v>0</v>
      </c>
      <c r="N5" s="89">
        <f>' Data Form'!R4</f>
        <v>0</v>
      </c>
      <c r="O5" s="194"/>
      <c r="P5" s="90"/>
      <c r="Q5" s="89">
        <f>' Data Form'!S4</f>
        <v>875</v>
      </c>
      <c r="R5" s="90">
        <f>' Data Form'!U4</f>
        <v>0</v>
      </c>
      <c r="S5" s="89">
        <f>' Data Form'!$T4</f>
        <v>8000</v>
      </c>
      <c r="T5" s="91">
        <f t="shared" ref="T5:T21" si="0">SUM(H5:S5)</f>
        <v>35875</v>
      </c>
      <c r="U5" s="98">
        <f t="shared" ref="U5:U24" si="1">G5-T5</f>
        <v>100882</v>
      </c>
      <c r="V5" s="92">
        <f>IF(' Data Form'!V4="","",' Data Form'!V4)</f>
        <v>500422296</v>
      </c>
      <c r="W5" s="93">
        <f>IF(' Data Form'!W4="","",' Data Form'!W4)</f>
        <v>45741</v>
      </c>
      <c r="X5" s="94">
        <f>IF(' Data Form'!X4="","",' Data Form'!X4)</f>
        <v>45749</v>
      </c>
    </row>
    <row r="6" spans="1:24" ht="18" customHeight="1">
      <c r="A6" s="202">
        <v>2</v>
      </c>
      <c r="B6" s="201" t="str">
        <f>' Data Form'!$E5</f>
        <v>Apr-2025</v>
      </c>
      <c r="C6" s="88">
        <f>' Data Form'!$F5</f>
        <v>83900</v>
      </c>
      <c r="D6" s="88">
        <f>ROUND((C6)*' Data Form'!Y5,0)</f>
        <v>46145</v>
      </c>
      <c r="E6" s="88">
        <f>IF(' Data Form'!$D$8="Y",0,ROUND((C6)*' Data Form'!Z5,0))</f>
        <v>8390</v>
      </c>
      <c r="F6" s="88">
        <f>' Data Form'!I5</f>
        <v>0</v>
      </c>
      <c r="G6" s="88">
        <f t="shared" ref="G6:G24" si="2">SUM(C6:F6)</f>
        <v>138435</v>
      </c>
      <c r="H6" s="89">
        <f>' Data Form'!K5</f>
        <v>0</v>
      </c>
      <c r="I6" s="89">
        <f>' Data Form'!L5</f>
        <v>0</v>
      </c>
      <c r="J6" s="167">
        <f>' Data Form'!M5</f>
        <v>20000</v>
      </c>
      <c r="K6" s="89">
        <f>' Data Form'!N5</f>
        <v>7000</v>
      </c>
      <c r="L6" s="89">
        <f>' Data Form'!O5</f>
        <v>0</v>
      </c>
      <c r="M6" s="199">
        <f>' Data Form'!P5+' Data Form'!Q5</f>
        <v>0</v>
      </c>
      <c r="N6" s="89">
        <f>' Data Form'!R5</f>
        <v>0</v>
      </c>
      <c r="O6" s="194"/>
      <c r="P6" s="90">
        <f>' Data Form'!O26</f>
        <v>2100</v>
      </c>
      <c r="Q6" s="89">
        <f>' Data Form'!S5</f>
        <v>875</v>
      </c>
      <c r="R6" s="90">
        <f>' Data Form'!U5</f>
        <v>0</v>
      </c>
      <c r="S6" s="89">
        <f>' Data Form'!$T5</f>
        <v>8000</v>
      </c>
      <c r="T6" s="91">
        <f t="shared" si="0"/>
        <v>37975</v>
      </c>
      <c r="U6" s="98">
        <f t="shared" si="1"/>
        <v>100460</v>
      </c>
      <c r="V6" s="95">
        <f>IF(' Data Form'!V5="","",' Data Form'!V5)</f>
        <v>500626381</v>
      </c>
      <c r="W6" s="93">
        <f>IF(' Data Form'!W5="","",' Data Form'!W5)</f>
        <v>45770</v>
      </c>
      <c r="X6" s="96">
        <f>IF(' Data Form'!X5="","",' Data Form'!X5)</f>
        <v>45778</v>
      </c>
    </row>
    <row r="7" spans="1:24" ht="18" customHeight="1">
      <c r="A7" s="202">
        <v>3</v>
      </c>
      <c r="B7" s="201" t="str">
        <f>' Data Form'!$E6</f>
        <v>May-2025</v>
      </c>
      <c r="C7" s="88">
        <f>' Data Form'!$F6</f>
        <v>83900</v>
      </c>
      <c r="D7" s="88">
        <f>ROUND((C7)*' Data Form'!Y6,0)</f>
        <v>46145</v>
      </c>
      <c r="E7" s="88">
        <f>IF(' Data Form'!$D$8="Y",0,ROUND((C7)*' Data Form'!Z6,0))</f>
        <v>8390</v>
      </c>
      <c r="F7" s="88">
        <f>' Data Form'!I6</f>
        <v>0</v>
      </c>
      <c r="G7" s="88">
        <f t="shared" si="2"/>
        <v>138435</v>
      </c>
      <c r="H7" s="89">
        <f>' Data Form'!K6</f>
        <v>0</v>
      </c>
      <c r="I7" s="89">
        <f>' Data Form'!L6</f>
        <v>0</v>
      </c>
      <c r="J7" s="167">
        <f>' Data Form'!M6</f>
        <v>20000</v>
      </c>
      <c r="K7" s="89">
        <f>' Data Form'!N6</f>
        <v>7000</v>
      </c>
      <c r="L7" s="89">
        <f>' Data Form'!O6</f>
        <v>0</v>
      </c>
      <c r="M7" s="199">
        <f>' Data Form'!P6+' Data Form'!Q6</f>
        <v>0</v>
      </c>
      <c r="N7" s="89">
        <f>' Data Form'!R6</f>
        <v>0</v>
      </c>
      <c r="O7" s="194"/>
      <c r="P7" s="90"/>
      <c r="Q7" s="89">
        <f>' Data Form'!S6</f>
        <v>875</v>
      </c>
      <c r="R7" s="90">
        <f>' Data Form'!U6</f>
        <v>0</v>
      </c>
      <c r="S7" s="89">
        <f>' Data Form'!$T6</f>
        <v>8000</v>
      </c>
      <c r="T7" s="91">
        <f t="shared" si="0"/>
        <v>35875</v>
      </c>
      <c r="U7" s="98">
        <f t="shared" si="1"/>
        <v>102560</v>
      </c>
      <c r="V7" s="95">
        <f>IF(' Data Form'!V6="","",' Data Form'!V6)</f>
        <v>500880968</v>
      </c>
      <c r="W7" s="93">
        <f>IF(' Data Form'!W6="","",' Data Form'!W6)</f>
        <v>45800</v>
      </c>
      <c r="X7" s="96">
        <f>IF(' Data Form'!X6="","",' Data Form'!X6)</f>
        <v>45809</v>
      </c>
    </row>
    <row r="8" spans="1:24" ht="18" customHeight="1">
      <c r="A8" s="202">
        <v>4</v>
      </c>
      <c r="B8" s="201" t="str">
        <f>' Data Form'!$E7</f>
        <v>Jun-2025</v>
      </c>
      <c r="C8" s="88">
        <f>' Data Form'!$F7</f>
        <v>83900</v>
      </c>
      <c r="D8" s="88">
        <f>ROUND((C8)*' Data Form'!Y7,0)</f>
        <v>46145</v>
      </c>
      <c r="E8" s="88">
        <f>IF(' Data Form'!$D$8="Y",0,ROUND((C8)*' Data Form'!Z7,0))</f>
        <v>8390</v>
      </c>
      <c r="F8" s="88">
        <f>' Data Form'!I7</f>
        <v>0</v>
      </c>
      <c r="G8" s="88">
        <f t="shared" si="2"/>
        <v>138435</v>
      </c>
      <c r="H8" s="89">
        <f>' Data Form'!K7</f>
        <v>0</v>
      </c>
      <c r="I8" s="89">
        <f>' Data Form'!L7</f>
        <v>0</v>
      </c>
      <c r="J8" s="167">
        <f>' Data Form'!M7</f>
        <v>20000</v>
      </c>
      <c r="K8" s="89">
        <f>' Data Form'!N7</f>
        <v>7000</v>
      </c>
      <c r="L8" s="89">
        <f>' Data Form'!O7</f>
        <v>0</v>
      </c>
      <c r="M8" s="199">
        <f>' Data Form'!P7+' Data Form'!Q7</f>
        <v>0</v>
      </c>
      <c r="N8" s="89">
        <f>' Data Form'!R7</f>
        <v>0</v>
      </c>
      <c r="O8" s="194"/>
      <c r="P8" s="90"/>
      <c r="Q8" s="89">
        <f>' Data Form'!S7</f>
        <v>875</v>
      </c>
      <c r="R8" s="90">
        <f>' Data Form'!U7</f>
        <v>0</v>
      </c>
      <c r="S8" s="89">
        <f>' Data Form'!$T7</f>
        <v>8000</v>
      </c>
      <c r="T8" s="91">
        <f t="shared" si="0"/>
        <v>35875</v>
      </c>
      <c r="U8" s="98">
        <f t="shared" si="1"/>
        <v>102560</v>
      </c>
      <c r="V8" s="95">
        <f>IF(' Data Form'!V7="","",' Data Form'!V7)</f>
        <v>501093946</v>
      </c>
      <c r="W8" s="93">
        <f>IF(' Data Form'!W7="","",' Data Form'!W7)</f>
        <v>45831</v>
      </c>
      <c r="X8" s="96">
        <f>IF(' Data Form'!X7="","",' Data Form'!X7)</f>
        <v>45839</v>
      </c>
    </row>
    <row r="9" spans="1:24" ht="18" customHeight="1">
      <c r="A9" s="202">
        <v>5</v>
      </c>
      <c r="B9" s="201" t="str">
        <f>' Data Form'!$E8</f>
        <v>July-2025</v>
      </c>
      <c r="C9" s="88">
        <f>' Data Form'!$F8</f>
        <v>86400</v>
      </c>
      <c r="D9" s="88">
        <f>ROUND((C9)*' Data Form'!Y8,0)</f>
        <v>47520</v>
      </c>
      <c r="E9" s="88">
        <f>IF(' Data Form'!$D$8="Y",0,ROUND((C9)*' Data Form'!Z8,0))</f>
        <v>8640</v>
      </c>
      <c r="F9" s="88">
        <f>' Data Form'!I8</f>
        <v>0</v>
      </c>
      <c r="G9" s="88">
        <f t="shared" si="2"/>
        <v>142560</v>
      </c>
      <c r="H9" s="89">
        <f>' Data Form'!K8</f>
        <v>0</v>
      </c>
      <c r="I9" s="89">
        <f>' Data Form'!L8</f>
        <v>0</v>
      </c>
      <c r="J9" s="167">
        <f>' Data Form'!M8</f>
        <v>20000</v>
      </c>
      <c r="K9" s="89">
        <f>' Data Form'!N8</f>
        <v>7000</v>
      </c>
      <c r="L9" s="89">
        <f>' Data Form'!O8</f>
        <v>0</v>
      </c>
      <c r="M9" s="199">
        <f>' Data Form'!P8+' Data Form'!Q8</f>
        <v>0</v>
      </c>
      <c r="N9" s="89">
        <f>' Data Form'!R8</f>
        <v>0</v>
      </c>
      <c r="O9" s="194"/>
      <c r="P9" s="90"/>
      <c r="Q9" s="89">
        <f>' Data Form'!S8</f>
        <v>875</v>
      </c>
      <c r="R9" s="90">
        <f>' Data Form'!U8</f>
        <v>0</v>
      </c>
      <c r="S9" s="89">
        <f>' Data Form'!$T8</f>
        <v>8000</v>
      </c>
      <c r="T9" s="91">
        <f t="shared" si="0"/>
        <v>35875</v>
      </c>
      <c r="U9" s="98">
        <f t="shared" si="1"/>
        <v>106685</v>
      </c>
      <c r="V9" s="95">
        <f>IF(' Data Form'!V8="","",' Data Form'!V8)</f>
        <v>501343607</v>
      </c>
      <c r="W9" s="93">
        <f>IF(' Data Form'!W8="","",' Data Form'!W8)</f>
        <v>45862</v>
      </c>
      <c r="X9" s="96">
        <f>IF(' Data Form'!X8="","",' Data Form'!X8)</f>
        <v>45870</v>
      </c>
    </row>
    <row r="10" spans="1:24" ht="18" customHeight="1">
      <c r="A10" s="202">
        <v>6</v>
      </c>
      <c r="B10" s="201" t="str">
        <f>' Data Form'!$E9</f>
        <v>Aug-2025</v>
      </c>
      <c r="C10" s="88">
        <f>' Data Form'!$F9</f>
        <v>86400</v>
      </c>
      <c r="D10" s="88">
        <f>ROUND((C10)*' Data Form'!Y9,0)</f>
        <v>47520</v>
      </c>
      <c r="E10" s="88">
        <f>IF(' Data Form'!$D$8="Y",0,ROUND((C10)*' Data Form'!Z9,0))</f>
        <v>8640</v>
      </c>
      <c r="F10" s="88">
        <f>' Data Form'!I9</f>
        <v>0</v>
      </c>
      <c r="G10" s="88">
        <f t="shared" si="2"/>
        <v>142560</v>
      </c>
      <c r="H10" s="89">
        <f>' Data Form'!K9</f>
        <v>0</v>
      </c>
      <c r="I10" s="89">
        <f>' Data Form'!L9</f>
        <v>0</v>
      </c>
      <c r="J10" s="167">
        <f>' Data Form'!M9</f>
        <v>20000</v>
      </c>
      <c r="K10" s="89">
        <f>' Data Form'!N9</f>
        <v>7000</v>
      </c>
      <c r="L10" s="89">
        <f>' Data Form'!O9</f>
        <v>0</v>
      </c>
      <c r="M10" s="199">
        <f>' Data Form'!P9+' Data Form'!Q9</f>
        <v>0</v>
      </c>
      <c r="N10" s="89">
        <f>' Data Form'!R9</f>
        <v>0</v>
      </c>
      <c r="O10" s="197"/>
      <c r="P10" s="90"/>
      <c r="Q10" s="89">
        <f>' Data Form'!S9</f>
        <v>875</v>
      </c>
      <c r="R10" s="90">
        <f>' Data Form'!U9</f>
        <v>0</v>
      </c>
      <c r="S10" s="89">
        <f>' Data Form'!$T9</f>
        <v>8000</v>
      </c>
      <c r="T10" s="91">
        <f t="shared" si="0"/>
        <v>35875</v>
      </c>
      <c r="U10" s="98">
        <f t="shared" si="1"/>
        <v>106685</v>
      </c>
      <c r="V10" s="95">
        <f>IF(' Data Form'!V9="","",' Data Form'!V9)</f>
        <v>501584204</v>
      </c>
      <c r="W10" s="93">
        <f>IF(' Data Form'!W9="","",' Data Form'!W9)</f>
        <v>45892</v>
      </c>
      <c r="X10" s="96">
        <f>IF(' Data Form'!X9="","",' Data Form'!X9)</f>
        <v>45901</v>
      </c>
    </row>
    <row r="11" spans="1:24" ht="18" customHeight="1">
      <c r="A11" s="202">
        <v>7</v>
      </c>
      <c r="B11" s="201" t="str">
        <f>' Data Form'!$E10</f>
        <v>Sep-2025</v>
      </c>
      <c r="C11" s="88">
        <f>' Data Form'!$F10</f>
        <v>86400</v>
      </c>
      <c r="D11" s="88">
        <f>ROUND((C11)*' Data Form'!Y10,0)</f>
        <v>47520</v>
      </c>
      <c r="E11" s="88">
        <f>IF(' Data Form'!$D$8="Y",0,ROUND((C11)*' Data Form'!Z10,0))</f>
        <v>8640</v>
      </c>
      <c r="F11" s="88">
        <f>' Data Form'!I10</f>
        <v>0</v>
      </c>
      <c r="G11" s="88">
        <f t="shared" si="2"/>
        <v>142560</v>
      </c>
      <c r="H11" s="89">
        <f>' Data Form'!K10</f>
        <v>0</v>
      </c>
      <c r="I11" s="89">
        <f>' Data Form'!L10</f>
        <v>0</v>
      </c>
      <c r="J11" s="167">
        <f>' Data Form'!M10</f>
        <v>20000</v>
      </c>
      <c r="K11" s="89">
        <f>' Data Form'!N10</f>
        <v>7000</v>
      </c>
      <c r="L11" s="89">
        <f>' Data Form'!O10</f>
        <v>0</v>
      </c>
      <c r="M11" s="199">
        <f>' Data Form'!P10+' Data Form'!Q10</f>
        <v>0</v>
      </c>
      <c r="N11" s="89">
        <f>' Data Form'!R10</f>
        <v>0</v>
      </c>
      <c r="O11" s="194"/>
      <c r="P11" s="90"/>
      <c r="Q11" s="89">
        <f>' Data Form'!S10</f>
        <v>875</v>
      </c>
      <c r="R11" s="90">
        <f>' Data Form'!U10</f>
        <v>0</v>
      </c>
      <c r="S11" s="89">
        <f>' Data Form'!$T10</f>
        <v>8000</v>
      </c>
      <c r="T11" s="91">
        <f t="shared" si="0"/>
        <v>35875</v>
      </c>
      <c r="U11" s="98">
        <f t="shared" si="1"/>
        <v>106685</v>
      </c>
      <c r="V11" s="95">
        <f>IF(' Data Form'!V10="","",' Data Form'!V10)</f>
        <v>501816721</v>
      </c>
      <c r="W11" s="93">
        <f>IF(' Data Form'!W10="","",' Data Form'!W10)</f>
        <v>45923</v>
      </c>
      <c r="X11" s="96">
        <f>IF(' Data Form'!X10="","",' Data Form'!X10)</f>
        <v>45931</v>
      </c>
    </row>
    <row r="12" spans="1:24" ht="18" customHeight="1">
      <c r="A12" s="202">
        <v>8</v>
      </c>
      <c r="B12" s="201" t="str">
        <f>' Data Form'!$E11</f>
        <v>Oct-2025</v>
      </c>
      <c r="C12" s="88">
        <f>' Data Form'!$F11</f>
        <v>86400</v>
      </c>
      <c r="D12" s="88">
        <f>ROUND((C12)*' Data Form'!Y11,0)</f>
        <v>50112</v>
      </c>
      <c r="E12" s="88">
        <f>IF(' Data Form'!$D$8="Y",0,ROUND((C12)*' Data Form'!Z11,0))</f>
        <v>8640</v>
      </c>
      <c r="F12" s="88">
        <f>' Data Form'!I11</f>
        <v>0</v>
      </c>
      <c r="G12" s="88">
        <f t="shared" si="2"/>
        <v>145152</v>
      </c>
      <c r="H12" s="89">
        <f>' Data Form'!K11</f>
        <v>0</v>
      </c>
      <c r="I12" s="89">
        <f>' Data Form'!L11</f>
        <v>0</v>
      </c>
      <c r="J12" s="167">
        <f>' Data Form'!M11</f>
        <v>20000</v>
      </c>
      <c r="K12" s="89">
        <f>' Data Form'!N11</f>
        <v>7000</v>
      </c>
      <c r="L12" s="89">
        <f>' Data Form'!O11</f>
        <v>0</v>
      </c>
      <c r="M12" s="199">
        <f>' Data Form'!P11+' Data Form'!Q11</f>
        <v>0</v>
      </c>
      <c r="N12" s="89">
        <f>' Data Form'!R11</f>
        <v>0</v>
      </c>
      <c r="O12" s="194"/>
      <c r="P12" s="90"/>
      <c r="Q12" s="89">
        <f>' Data Form'!S11</f>
        <v>875</v>
      </c>
      <c r="R12" s="90">
        <f>' Data Form'!U11</f>
        <v>0</v>
      </c>
      <c r="S12" s="89">
        <f>' Data Form'!$T11</f>
        <v>8000</v>
      </c>
      <c r="T12" s="91">
        <f t="shared" si="0"/>
        <v>35875</v>
      </c>
      <c r="U12" s="98">
        <f t="shared" si="1"/>
        <v>109277</v>
      </c>
      <c r="V12" s="95">
        <f>IF(' Data Form'!V11="","",' Data Form'!V11)</f>
        <v>502155928</v>
      </c>
      <c r="W12" s="93">
        <f>IF(' Data Form'!W11="","",' Data Form'!W11)</f>
        <v>45953</v>
      </c>
      <c r="X12" s="96" t="str">
        <f>IF(' Data Form'!X11="","",' Data Form'!X11)</f>
        <v/>
      </c>
    </row>
    <row r="13" spans="1:24" ht="18" customHeight="1">
      <c r="A13" s="202">
        <v>9</v>
      </c>
      <c r="B13" s="201" t="str">
        <f>' Data Form'!$E12</f>
        <v>Nov-2025</v>
      </c>
      <c r="C13" s="88">
        <f>' Data Form'!$F12</f>
        <v>86400</v>
      </c>
      <c r="D13" s="88">
        <f>ROUND((C13)*' Data Form'!Y12,0)</f>
        <v>50112</v>
      </c>
      <c r="E13" s="88">
        <f>IF(' Data Form'!$D$8="Y",0,ROUND((C13)*' Data Form'!Z12,0))</f>
        <v>8640</v>
      </c>
      <c r="F13" s="88">
        <f>' Data Form'!I12</f>
        <v>0</v>
      </c>
      <c r="G13" s="88">
        <f t="shared" si="2"/>
        <v>145152</v>
      </c>
      <c r="H13" s="89">
        <f>' Data Form'!K12</f>
        <v>0</v>
      </c>
      <c r="I13" s="89">
        <f>' Data Form'!L12</f>
        <v>0</v>
      </c>
      <c r="J13" s="167">
        <f>' Data Form'!M12</f>
        <v>20000</v>
      </c>
      <c r="K13" s="89">
        <f>' Data Form'!N12</f>
        <v>7000</v>
      </c>
      <c r="L13" s="89">
        <f>' Data Form'!O12</f>
        <v>0</v>
      </c>
      <c r="M13" s="199">
        <f>' Data Form'!P12+' Data Form'!Q12</f>
        <v>0</v>
      </c>
      <c r="N13" s="89">
        <f>' Data Form'!R12</f>
        <v>0</v>
      </c>
      <c r="O13" s="194"/>
      <c r="P13" s="90"/>
      <c r="Q13" s="89">
        <f>' Data Form'!S12</f>
        <v>875</v>
      </c>
      <c r="R13" s="90">
        <f>' Data Form'!U12</f>
        <v>0</v>
      </c>
      <c r="S13" s="89">
        <f>' Data Form'!$T12</f>
        <v>8000</v>
      </c>
      <c r="T13" s="91">
        <f t="shared" si="0"/>
        <v>35875</v>
      </c>
      <c r="U13" s="98">
        <f t="shared" si="1"/>
        <v>109277</v>
      </c>
      <c r="V13" s="95" t="str">
        <f>IF(' Data Form'!V12="","",' Data Form'!V12)</f>
        <v/>
      </c>
      <c r="W13" s="97" t="str">
        <f>IF(' Data Form'!W12="","",' Data Form'!W12)</f>
        <v/>
      </c>
      <c r="X13" s="96" t="str">
        <f>IF(' Data Form'!X12="","",' Data Form'!X12)</f>
        <v/>
      </c>
    </row>
    <row r="14" spans="1:24" ht="18" customHeight="1">
      <c r="A14" s="202">
        <v>10</v>
      </c>
      <c r="B14" s="201" t="str">
        <f>' Data Form'!$E13</f>
        <v>Dec-2025</v>
      </c>
      <c r="C14" s="88">
        <f>' Data Form'!$F13</f>
        <v>86400</v>
      </c>
      <c r="D14" s="88">
        <f>ROUND((C14)*' Data Form'!Y13,0)</f>
        <v>50112</v>
      </c>
      <c r="E14" s="88">
        <f>IF(' Data Form'!$D$8="Y",0,ROUND((C14)*' Data Form'!Z13,0))</f>
        <v>8640</v>
      </c>
      <c r="F14" s="88">
        <f>' Data Form'!I13</f>
        <v>0</v>
      </c>
      <c r="G14" s="88">
        <f t="shared" si="2"/>
        <v>145152</v>
      </c>
      <c r="H14" s="89">
        <f>' Data Form'!K13</f>
        <v>0</v>
      </c>
      <c r="I14" s="89">
        <f>' Data Form'!L13</f>
        <v>0</v>
      </c>
      <c r="J14" s="167">
        <f>' Data Form'!M13</f>
        <v>20000</v>
      </c>
      <c r="K14" s="89">
        <f>' Data Form'!N13</f>
        <v>7000</v>
      </c>
      <c r="L14" s="89">
        <f>' Data Form'!O13</f>
        <v>0</v>
      </c>
      <c r="M14" s="199">
        <f>' Data Form'!P13+' Data Form'!Q13</f>
        <v>0</v>
      </c>
      <c r="N14" s="89">
        <f>' Data Form'!R13</f>
        <v>0</v>
      </c>
      <c r="O14" s="90">
        <f>' Data Form'!Y22</f>
        <v>250</v>
      </c>
      <c r="P14" s="90"/>
      <c r="Q14" s="89">
        <f>' Data Form'!S13</f>
        <v>875</v>
      </c>
      <c r="R14" s="90">
        <f>' Data Form'!U13</f>
        <v>0</v>
      </c>
      <c r="S14" s="89">
        <f>' Data Form'!$T13</f>
        <v>8000</v>
      </c>
      <c r="T14" s="91">
        <f t="shared" si="0"/>
        <v>36125</v>
      </c>
      <c r="U14" s="98">
        <f t="shared" si="1"/>
        <v>109027</v>
      </c>
      <c r="V14" s="95" t="str">
        <f>IF(' Data Form'!V13="","",' Data Form'!V13)</f>
        <v/>
      </c>
      <c r="W14" s="97" t="str">
        <f>IF(' Data Form'!W13="","",' Data Form'!W13)</f>
        <v/>
      </c>
      <c r="X14" s="96" t="str">
        <f>IF(' Data Form'!X13="","",' Data Form'!X13)</f>
        <v/>
      </c>
    </row>
    <row r="15" spans="1:24" ht="18" customHeight="1">
      <c r="A15" s="202">
        <v>11</v>
      </c>
      <c r="B15" s="201" t="str">
        <f>' Data Form'!$E14</f>
        <v>Jan-2026</v>
      </c>
      <c r="C15" s="88">
        <f>' Data Form'!$F14</f>
        <v>86400</v>
      </c>
      <c r="D15" s="88">
        <f>ROUND((C15)*' Data Form'!Y14,0)</f>
        <v>50112</v>
      </c>
      <c r="E15" s="88">
        <f>IF(' Data Form'!$D$8="Y",0,ROUND((C15)*' Data Form'!Z14,0))</f>
        <v>8640</v>
      </c>
      <c r="F15" s="88">
        <f>' Data Form'!I14</f>
        <v>0</v>
      </c>
      <c r="G15" s="88">
        <f t="shared" si="2"/>
        <v>145152</v>
      </c>
      <c r="H15" s="89">
        <f>' Data Form'!K14</f>
        <v>0</v>
      </c>
      <c r="I15" s="89">
        <f>' Data Form'!L14</f>
        <v>0</v>
      </c>
      <c r="J15" s="167">
        <f>' Data Form'!M14</f>
        <v>20000</v>
      </c>
      <c r="K15" s="89">
        <f>' Data Form'!N14</f>
        <v>7000</v>
      </c>
      <c r="L15" s="89">
        <f>' Data Form'!O14</f>
        <v>0</v>
      </c>
      <c r="M15" s="199">
        <f>' Data Form'!P14+' Data Form'!Q14</f>
        <v>0</v>
      </c>
      <c r="N15" s="89">
        <f>' Data Form'!R14</f>
        <v>0</v>
      </c>
      <c r="O15" s="194"/>
      <c r="P15" s="90"/>
      <c r="Q15" s="89">
        <f>' Data Form'!S14</f>
        <v>875</v>
      </c>
      <c r="R15" s="90">
        <f>' Data Form'!U14</f>
        <v>0</v>
      </c>
      <c r="S15" s="89">
        <f>' Data Form'!$T14</f>
        <v>8000</v>
      </c>
      <c r="T15" s="91">
        <f t="shared" si="0"/>
        <v>35875</v>
      </c>
      <c r="U15" s="98">
        <f t="shared" si="1"/>
        <v>109277</v>
      </c>
      <c r="V15" s="95" t="str">
        <f>IF(' Data Form'!V14="","",' Data Form'!V14)</f>
        <v/>
      </c>
      <c r="W15" s="97" t="str">
        <f>IF(' Data Form'!W14="","",' Data Form'!W14)</f>
        <v/>
      </c>
      <c r="X15" s="96" t="str">
        <f>IF(' Data Form'!X14="","",' Data Form'!X14)</f>
        <v/>
      </c>
    </row>
    <row r="16" spans="1:24" ht="18" customHeight="1">
      <c r="A16" s="202">
        <v>12</v>
      </c>
      <c r="B16" s="201" t="str">
        <f>' Data Form'!$E15</f>
        <v>Feb-2026</v>
      </c>
      <c r="C16" s="88">
        <f>' Data Form'!$F15</f>
        <v>86400</v>
      </c>
      <c r="D16" s="88">
        <f>ROUND((C16)*' Data Form'!Y15,0)</f>
        <v>50112</v>
      </c>
      <c r="E16" s="88">
        <f>IF(' Data Form'!$D$8="Y",0,ROUND((C16)*' Data Form'!Z15,0))</f>
        <v>8640</v>
      </c>
      <c r="F16" s="88">
        <f>' Data Form'!I15</f>
        <v>0</v>
      </c>
      <c r="G16" s="88">
        <f t="shared" si="2"/>
        <v>145152</v>
      </c>
      <c r="H16" s="89">
        <f>' Data Form'!K15</f>
        <v>0</v>
      </c>
      <c r="I16" s="89">
        <f>' Data Form'!L15</f>
        <v>0</v>
      </c>
      <c r="J16" s="167">
        <f>' Data Form'!M15</f>
        <v>20000</v>
      </c>
      <c r="K16" s="89">
        <f>' Data Form'!N15</f>
        <v>7000</v>
      </c>
      <c r="L16" s="89">
        <f>' Data Form'!O15</f>
        <v>0</v>
      </c>
      <c r="M16" s="199">
        <f>' Data Form'!P15+' Data Form'!Q15</f>
        <v>0</v>
      </c>
      <c r="N16" s="89">
        <f>' Data Form'!R15</f>
        <v>0</v>
      </c>
      <c r="O16" s="194"/>
      <c r="P16" s="90"/>
      <c r="Q16" s="89">
        <f>' Data Form'!S15</f>
        <v>875</v>
      </c>
      <c r="R16" s="90">
        <f>' Data Form'!U15</f>
        <v>0</v>
      </c>
      <c r="S16" s="89">
        <f>' Data Form'!$T15</f>
        <v>8000</v>
      </c>
      <c r="T16" s="91">
        <f t="shared" si="0"/>
        <v>35875</v>
      </c>
      <c r="U16" s="98">
        <f t="shared" si="1"/>
        <v>109277</v>
      </c>
      <c r="V16" s="95" t="str">
        <f>IF(' Data Form'!V15="","",' Data Form'!V15)</f>
        <v/>
      </c>
      <c r="W16" s="97" t="str">
        <f>IF(' Data Form'!W15="","",' Data Form'!W15)</f>
        <v/>
      </c>
      <c r="X16" s="96" t="str">
        <f>IF(' Data Form'!X15="","",' Data Form'!X15)</f>
        <v/>
      </c>
    </row>
    <row r="17" spans="1:24" ht="18" customHeight="1">
      <c r="A17" s="202">
        <v>13</v>
      </c>
      <c r="B17" s="201" t="s">
        <v>205</v>
      </c>
      <c r="C17" s="88">
        <f>' Data Form'!F17</f>
        <v>0</v>
      </c>
      <c r="D17" s="88">
        <f>ROUND((C17)*' Data Form'!Y17,0)</f>
        <v>0</v>
      </c>
      <c r="E17" s="88">
        <v>0</v>
      </c>
      <c r="F17" s="88">
        <f>' Data Form'!I17</f>
        <v>0</v>
      </c>
      <c r="G17" s="88">
        <f t="shared" si="2"/>
        <v>0</v>
      </c>
      <c r="H17" s="89">
        <f>' Data Form'!K17</f>
        <v>0</v>
      </c>
      <c r="I17" s="89"/>
      <c r="J17" s="167">
        <f>' Data Form'!M17</f>
        <v>0</v>
      </c>
      <c r="K17" s="89">
        <v>0</v>
      </c>
      <c r="L17" s="89">
        <v>0</v>
      </c>
      <c r="M17" s="89">
        <v>0</v>
      </c>
      <c r="N17" s="89">
        <v>0</v>
      </c>
      <c r="O17" s="194"/>
      <c r="P17" s="90"/>
      <c r="Q17" s="90">
        <v>0</v>
      </c>
      <c r="R17" s="90">
        <f>' Data Form'!U17</f>
        <v>0</v>
      </c>
      <c r="S17" s="89">
        <f>' Data Form'!T17</f>
        <v>0</v>
      </c>
      <c r="T17" s="99">
        <f t="shared" si="0"/>
        <v>0</v>
      </c>
      <c r="U17" s="98">
        <f t="shared" si="1"/>
        <v>0</v>
      </c>
      <c r="V17" s="95" t="str">
        <f>IF(' Data Form'!V17="","",' Data Form'!V17)</f>
        <v/>
      </c>
      <c r="W17" s="97" t="str">
        <f>IF(' Data Form'!W17="","",' Data Form'!W17)</f>
        <v/>
      </c>
      <c r="X17" s="96" t="str">
        <f>IF(' Data Form'!X17="","",' Data Form'!X17)</f>
        <v/>
      </c>
    </row>
    <row r="18" spans="1:24" ht="18" customHeight="1">
      <c r="A18" s="202">
        <v>14</v>
      </c>
      <c r="B18" s="201" t="s">
        <v>56</v>
      </c>
      <c r="C18" s="88">
        <f>' Data Form'!F18</f>
        <v>6774</v>
      </c>
      <c r="D18" s="88"/>
      <c r="E18" s="88"/>
      <c r="F18" s="88">
        <f>' Data Form'!I18</f>
        <v>0</v>
      </c>
      <c r="G18" s="88">
        <f t="shared" si="2"/>
        <v>6774</v>
      </c>
      <c r="H18" s="89">
        <f>' Data Form'!K18</f>
        <v>0</v>
      </c>
      <c r="I18" s="89"/>
      <c r="J18" s="167">
        <f>' Data Form'!M18</f>
        <v>1694</v>
      </c>
      <c r="K18" s="89"/>
      <c r="L18" s="89"/>
      <c r="M18" s="89"/>
      <c r="N18" s="89"/>
      <c r="O18" s="194"/>
      <c r="P18" s="90"/>
      <c r="Q18" s="90"/>
      <c r="R18" s="90">
        <f>' Data Form'!U18</f>
        <v>0</v>
      </c>
      <c r="S18" s="89">
        <f>' Data Form'!T18</f>
        <v>0</v>
      </c>
      <c r="T18" s="99">
        <f t="shared" si="0"/>
        <v>1694</v>
      </c>
      <c r="U18" s="98">
        <f t="shared" si="1"/>
        <v>5080</v>
      </c>
      <c r="V18" s="95">
        <f>IF(' Data Form'!V18="","",' Data Form'!V18)</f>
        <v>502201687</v>
      </c>
      <c r="W18" s="97">
        <f>IF(' Data Form'!W18="","",' Data Form'!W18)</f>
        <v>45946</v>
      </c>
      <c r="X18" s="96">
        <f>IF(' Data Form'!X18="","",' Data Form'!X18)</f>
        <v>45947</v>
      </c>
    </row>
    <row r="19" spans="1:24" ht="18" customHeight="1">
      <c r="A19" s="202">
        <v>15</v>
      </c>
      <c r="B19" s="201" t="s">
        <v>206</v>
      </c>
      <c r="C19" s="88"/>
      <c r="D19" s="88">
        <f>' Data Form'!G19</f>
        <v>5034</v>
      </c>
      <c r="E19" s="88"/>
      <c r="F19" s="88">
        <f>' Data Form'!I19</f>
        <v>0</v>
      </c>
      <c r="G19" s="88">
        <f t="shared" si="2"/>
        <v>5034</v>
      </c>
      <c r="H19" s="89" t="str">
        <f>' Data Form'!K19</f>
        <v/>
      </c>
      <c r="I19" s="89"/>
      <c r="J19" s="167">
        <f>' Data Form'!M19</f>
        <v>5034</v>
      </c>
      <c r="K19" s="89"/>
      <c r="L19" s="89"/>
      <c r="M19" s="89"/>
      <c r="N19" s="89"/>
      <c r="O19" s="194"/>
      <c r="P19" s="89"/>
      <c r="Q19" s="89"/>
      <c r="R19" s="90">
        <f>' Data Form'!U19</f>
        <v>0</v>
      </c>
      <c r="S19" s="89">
        <f>' Data Form'!T19</f>
        <v>0</v>
      </c>
      <c r="T19" s="99">
        <f t="shared" si="0"/>
        <v>5034</v>
      </c>
      <c r="U19" s="98">
        <f t="shared" si="1"/>
        <v>0</v>
      </c>
      <c r="V19" s="95">
        <f>IF(' Data Form'!V19="","",' Data Form'!V19)</f>
        <v>500917488</v>
      </c>
      <c r="W19" s="97">
        <f>IF(' Data Form'!W19="","",' Data Form'!W19)</f>
        <v>45802</v>
      </c>
      <c r="X19" s="96">
        <f>IF(' Data Form'!X19="","",' Data Form'!X19)</f>
        <v>45804</v>
      </c>
    </row>
    <row r="20" spans="1:24" ht="18" customHeight="1">
      <c r="A20" s="202">
        <v>16</v>
      </c>
      <c r="B20" s="201" t="s">
        <v>207</v>
      </c>
      <c r="C20" s="88"/>
      <c r="D20" s="88">
        <f>' Data Form'!G20</f>
        <v>7776</v>
      </c>
      <c r="E20" s="88"/>
      <c r="F20" s="88">
        <f>' Data Form'!I20</f>
        <v>0</v>
      </c>
      <c r="G20" s="88">
        <f t="shared" si="2"/>
        <v>7776</v>
      </c>
      <c r="H20" s="89" t="str">
        <f>' Data Form'!K20</f>
        <v/>
      </c>
      <c r="I20" s="89"/>
      <c r="J20" s="167">
        <f>' Data Form'!M20</f>
        <v>7776</v>
      </c>
      <c r="K20" s="89"/>
      <c r="L20" s="89"/>
      <c r="M20" s="89"/>
      <c r="N20" s="89"/>
      <c r="O20" s="194"/>
      <c r="P20" s="89"/>
      <c r="Q20" s="89"/>
      <c r="R20" s="90">
        <f>' Data Form'!U20</f>
        <v>0</v>
      </c>
      <c r="S20" s="89">
        <f>' Data Form'!T20</f>
        <v>0</v>
      </c>
      <c r="T20" s="91">
        <f t="shared" si="0"/>
        <v>7776</v>
      </c>
      <c r="U20" s="98">
        <f t="shared" si="1"/>
        <v>0</v>
      </c>
      <c r="V20" s="95">
        <f>IF(' Data Form'!V20="","",' Data Form'!V20)</f>
        <v>502325316</v>
      </c>
      <c r="W20" s="97">
        <f>IF(' Data Form'!W20="","",' Data Form'!W20)</f>
        <v>45936</v>
      </c>
      <c r="X20" s="96">
        <f>IF(' Data Form'!X20="","",' Data Form'!X20)</f>
        <v>45938</v>
      </c>
    </row>
    <row r="21" spans="1:24" ht="18" customHeight="1">
      <c r="A21" s="202">
        <v>17</v>
      </c>
      <c r="B21" s="201" t="s">
        <v>229</v>
      </c>
      <c r="C21" s="88">
        <f>' Data Form'!F21</f>
        <v>0</v>
      </c>
      <c r="D21" s="88">
        <f>' Data Form'!G21</f>
        <v>0</v>
      </c>
      <c r="E21" s="88">
        <f>' Data Form'!H21</f>
        <v>0</v>
      </c>
      <c r="F21" s="88">
        <f>' Data Form'!I21</f>
        <v>0</v>
      </c>
      <c r="G21" s="88">
        <f t="shared" si="2"/>
        <v>0</v>
      </c>
      <c r="H21" s="88">
        <f>' Data Form'!K21</f>
        <v>0</v>
      </c>
      <c r="I21" s="88">
        <f>' Data Form'!L21</f>
        <v>0</v>
      </c>
      <c r="J21" s="88">
        <f>' Data Form'!M21</f>
        <v>0</v>
      </c>
      <c r="K21" s="88">
        <f>' Data Form'!N21</f>
        <v>0</v>
      </c>
      <c r="L21" s="88">
        <f>' Data Form'!O21</f>
        <v>0</v>
      </c>
      <c r="M21" s="88">
        <f>' Data Form'!P21</f>
        <v>0</v>
      </c>
      <c r="N21" s="88">
        <f>' Data Form'!R21</f>
        <v>0</v>
      </c>
      <c r="O21" s="88"/>
      <c r="P21" s="88">
        <v>0</v>
      </c>
      <c r="Q21" s="88">
        <f>' Data Form'!S21</f>
        <v>0</v>
      </c>
      <c r="R21" s="90">
        <f>' Data Form'!U21</f>
        <v>0</v>
      </c>
      <c r="S21" s="88">
        <f>' Data Form'!T21</f>
        <v>0</v>
      </c>
      <c r="T21" s="91">
        <f t="shared" si="0"/>
        <v>0</v>
      </c>
      <c r="U21" s="98">
        <f t="shared" si="1"/>
        <v>0</v>
      </c>
      <c r="V21" s="95" t="str">
        <f>IF(' Data Form'!V21="","",' Data Form'!V21)</f>
        <v/>
      </c>
      <c r="W21" s="97" t="str">
        <f>IF(' Data Form'!W21="","",' Data Form'!W21)</f>
        <v/>
      </c>
      <c r="X21" s="96" t="str">
        <f>IF(' Data Form'!X21="","",' Data Form'!X21)</f>
        <v/>
      </c>
    </row>
    <row r="22" spans="1:24" ht="18" customHeight="1">
      <c r="A22" s="202">
        <v>18</v>
      </c>
      <c r="B22" s="201" t="s">
        <v>305</v>
      </c>
      <c r="C22" s="88">
        <f>' Data Form'!F22</f>
        <v>0</v>
      </c>
      <c r="D22" s="88">
        <f>' Data Form'!G22</f>
        <v>0</v>
      </c>
      <c r="E22" s="88">
        <f>' Data Form'!H22</f>
        <v>0</v>
      </c>
      <c r="F22" s="88">
        <f>' Data Form'!I22</f>
        <v>0</v>
      </c>
      <c r="G22" s="88">
        <f t="shared" si="2"/>
        <v>0</v>
      </c>
      <c r="H22" s="88">
        <f>' Data Form'!K22</f>
        <v>0</v>
      </c>
      <c r="I22" s="88">
        <f>' Data Form'!L22</f>
        <v>0</v>
      </c>
      <c r="J22" s="88">
        <f>' Data Form'!M22</f>
        <v>0</v>
      </c>
      <c r="K22" s="88">
        <f>' Data Form'!N22</f>
        <v>0</v>
      </c>
      <c r="L22" s="88">
        <f>' Data Form'!O22</f>
        <v>0</v>
      </c>
      <c r="M22" s="88">
        <f>' Data Form'!P22</f>
        <v>0</v>
      </c>
      <c r="N22" s="88">
        <f>' Data Form'!R22</f>
        <v>0</v>
      </c>
      <c r="O22" s="88"/>
      <c r="P22" s="88">
        <v>0</v>
      </c>
      <c r="Q22" s="88">
        <f>' Data Form'!S22</f>
        <v>0</v>
      </c>
      <c r="R22" s="90">
        <f>' Data Form'!U22</f>
        <v>0</v>
      </c>
      <c r="S22" s="88">
        <f>' Data Form'!$T22</f>
        <v>0</v>
      </c>
      <c r="T22" s="91">
        <f>SUM(H22:S22)</f>
        <v>0</v>
      </c>
      <c r="U22" s="98">
        <f t="shared" si="1"/>
        <v>0</v>
      </c>
      <c r="V22" s="95" t="str">
        <f>IF(' Data Form'!V22="","",' Data Form'!V22)</f>
        <v/>
      </c>
      <c r="W22" s="97" t="str">
        <f>IF(' Data Form'!W22="","",' Data Form'!W22)</f>
        <v/>
      </c>
      <c r="X22" s="96" t="str">
        <f>IF(' Data Form'!X22="","",' Data Form'!X22)</f>
        <v/>
      </c>
    </row>
    <row r="23" spans="1:24" ht="24" customHeight="1">
      <c r="A23" s="202">
        <v>20</v>
      </c>
      <c r="B23" s="201" t="s">
        <v>323</v>
      </c>
      <c r="C23" s="88">
        <f>' Data Form'!F23</f>
        <v>0</v>
      </c>
      <c r="D23" s="88">
        <f>' Data Form'!G23</f>
        <v>0</v>
      </c>
      <c r="E23" s="88">
        <f>' Data Form'!H23</f>
        <v>0</v>
      </c>
      <c r="F23" s="88">
        <f>' Data Form'!I23</f>
        <v>0</v>
      </c>
      <c r="G23" s="88">
        <f t="shared" si="2"/>
        <v>0</v>
      </c>
      <c r="H23" s="88">
        <f>' Data Form'!K23</f>
        <v>0</v>
      </c>
      <c r="I23" s="88">
        <f>' Data Form'!L23</f>
        <v>0</v>
      </c>
      <c r="J23" s="88">
        <f>' Data Form'!M23</f>
        <v>0</v>
      </c>
      <c r="K23" s="88">
        <f>' Data Form'!N23</f>
        <v>0</v>
      </c>
      <c r="L23" s="88">
        <v>0</v>
      </c>
      <c r="M23" s="88">
        <f>' Data Form'!P23</f>
        <v>0</v>
      </c>
      <c r="N23" s="88">
        <f>' Data Form'!R23</f>
        <v>0</v>
      </c>
      <c r="O23" s="88"/>
      <c r="P23" s="88">
        <v>0</v>
      </c>
      <c r="Q23" s="88">
        <f>' Data Form'!S23</f>
        <v>0</v>
      </c>
      <c r="R23" s="90">
        <f>' Data Form'!U23</f>
        <v>0</v>
      </c>
      <c r="S23" s="88">
        <f>' Data Form'!T23</f>
        <v>0</v>
      </c>
      <c r="T23" s="91">
        <f>SUM(H23:S23)</f>
        <v>0</v>
      </c>
      <c r="U23" s="98">
        <f t="shared" si="1"/>
        <v>0</v>
      </c>
      <c r="V23" s="140" t="str">
        <f>IF(' Data Form'!V23="","",' Data Form'!V23)</f>
        <v/>
      </c>
      <c r="W23" s="97" t="str">
        <f>IF(' Data Form'!W23="","",' Data Form'!W23)</f>
        <v/>
      </c>
      <c r="X23" s="96" t="str">
        <f>IF(' Data Form'!X23="","",' Data Form'!X23)</f>
        <v/>
      </c>
    </row>
    <row r="24" spans="1:24" ht="18" customHeight="1">
      <c r="A24" s="202">
        <v>21</v>
      </c>
      <c r="B24" s="201" t="str">
        <f>IF(' Data Form'!E16&gt;0,' Data Form'!E16,"")</f>
        <v/>
      </c>
      <c r="C24" s="88">
        <f>' Data Form'!F16</f>
        <v>0</v>
      </c>
      <c r="D24" s="88">
        <f>ROUND((C24)*' Data Form'!Y16,0)</f>
        <v>0</v>
      </c>
      <c r="E24" s="88">
        <f>ROUND((C24)*' Data Form'!Z16,0)</f>
        <v>0</v>
      </c>
      <c r="F24" s="88">
        <f>' Data Form'!I24</f>
        <v>0</v>
      </c>
      <c r="G24" s="88">
        <f t="shared" si="2"/>
        <v>0</v>
      </c>
      <c r="H24" s="88">
        <f>' Data Form'!K16</f>
        <v>0</v>
      </c>
      <c r="I24" s="162">
        <f>' Data Form'!L16</f>
        <v>0</v>
      </c>
      <c r="J24" s="167">
        <f>' Data Form'!M16</f>
        <v>0</v>
      </c>
      <c r="K24" s="162">
        <f>' Data Form'!N16</f>
        <v>0</v>
      </c>
      <c r="L24" s="162">
        <f>' Data Form'!O16</f>
        <v>0</v>
      </c>
      <c r="M24" s="162">
        <f>' Data Form'!P16</f>
        <v>0</v>
      </c>
      <c r="N24" s="162">
        <f>' Data Form'!R16</f>
        <v>0</v>
      </c>
      <c r="O24" s="194"/>
      <c r="P24" s="90">
        <v>0</v>
      </c>
      <c r="Q24" s="162">
        <f>' Data Form'!S16</f>
        <v>0</v>
      </c>
      <c r="R24" s="90">
        <f>' Data Form'!U16</f>
        <v>0</v>
      </c>
      <c r="S24" s="162">
        <f>' Data Form'!$T16</f>
        <v>0</v>
      </c>
      <c r="T24" s="91">
        <f>SUM(H24:S24)</f>
        <v>0</v>
      </c>
      <c r="U24" s="98">
        <f t="shared" si="1"/>
        <v>0</v>
      </c>
      <c r="V24" s="161" t="str">
        <f>IF(' Data Form'!V16="","",' Data Form'!V16)</f>
        <v/>
      </c>
      <c r="W24" s="161" t="str">
        <f>IF(' Data Form'!W16="","",' Data Form'!W16)</f>
        <v/>
      </c>
      <c r="X24" s="161" t="str">
        <f>IF(' Data Form'!X16="","",' Data Form'!X16)</f>
        <v/>
      </c>
    </row>
    <row r="25" spans="1:24" s="3" customFormat="1" ht="26.25" customHeight="1">
      <c r="A25" s="340" t="s">
        <v>5</v>
      </c>
      <c r="B25" s="341"/>
      <c r="C25" s="89">
        <f>SUM(C5:C24)</f>
        <v>1033574</v>
      </c>
      <c r="D25" s="162">
        <f t="shared" ref="D25:T25" si="3">SUM(D5:D24)</f>
        <v>588832</v>
      </c>
      <c r="E25" s="162">
        <f t="shared" si="3"/>
        <v>102680</v>
      </c>
      <c r="F25" s="162">
        <f t="shared" si="3"/>
        <v>0</v>
      </c>
      <c r="G25" s="162">
        <f t="shared" si="3"/>
        <v>1725086</v>
      </c>
      <c r="H25" s="162">
        <f t="shared" si="3"/>
        <v>0</v>
      </c>
      <c r="I25" s="162">
        <f t="shared" si="3"/>
        <v>0</v>
      </c>
      <c r="J25" s="167">
        <f t="shared" si="3"/>
        <v>254504</v>
      </c>
      <c r="K25" s="162">
        <f t="shared" si="3"/>
        <v>84000</v>
      </c>
      <c r="L25" s="162">
        <f t="shared" si="3"/>
        <v>0</v>
      </c>
      <c r="M25" s="162">
        <f t="shared" si="3"/>
        <v>0</v>
      </c>
      <c r="N25" s="162">
        <f t="shared" si="3"/>
        <v>0</v>
      </c>
      <c r="O25" s="194">
        <f t="shared" si="3"/>
        <v>250</v>
      </c>
      <c r="P25" s="162">
        <f t="shared" si="3"/>
        <v>2100</v>
      </c>
      <c r="Q25" s="162">
        <f t="shared" si="3"/>
        <v>10500</v>
      </c>
      <c r="R25" s="162">
        <f t="shared" si="3"/>
        <v>0</v>
      </c>
      <c r="S25" s="201">
        <f t="shared" si="3"/>
        <v>96000</v>
      </c>
      <c r="T25" s="162">
        <f t="shared" si="3"/>
        <v>447354</v>
      </c>
      <c r="U25" s="339">
        <f>SUM(U5:U24)</f>
        <v>1277732</v>
      </c>
      <c r="V25" s="339"/>
      <c r="W25" s="100"/>
      <c r="X25" s="101"/>
    </row>
    <row r="26" spans="1:24" s="3" customFormat="1" ht="18.75" customHeight="1">
      <c r="A26" s="343"/>
      <c r="B26" s="344"/>
      <c r="C26" s="344"/>
      <c r="D26" s="344"/>
      <c r="E26" s="344"/>
      <c r="F26" s="344"/>
      <c r="G26" s="344"/>
      <c r="H26" s="344"/>
      <c r="I26" s="344"/>
      <c r="J26" s="344"/>
      <c r="K26" s="344"/>
      <c r="L26" s="344"/>
      <c r="M26" s="344"/>
      <c r="N26" s="344"/>
      <c r="O26" s="344"/>
      <c r="P26" s="344"/>
      <c r="Q26" s="344"/>
      <c r="R26" s="344"/>
      <c r="S26" s="344"/>
      <c r="T26" s="344"/>
      <c r="U26" s="344"/>
      <c r="V26" s="344"/>
      <c r="W26" s="344"/>
      <c r="X26" s="345"/>
    </row>
    <row r="27" spans="1:24" s="3" customFormat="1" ht="15.75" customHeight="1">
      <c r="B27" s="347" t="s">
        <v>58</v>
      </c>
      <c r="C27" s="347"/>
      <c r="D27" s="209"/>
      <c r="E27" s="209"/>
      <c r="F27" s="209" t="str">
        <f>' Data Form'!B4</f>
        <v>AVANISH CHANDRA GUPTA</v>
      </c>
      <c r="G27" s="209"/>
      <c r="H27" s="209"/>
      <c r="I27" s="209"/>
      <c r="J27" s="209"/>
      <c r="K27" s="209"/>
      <c r="L27" s="209"/>
      <c r="M27" s="342" t="str">
        <f>' Data Form'!B9</f>
        <v xml:space="preserve">RAJNISH KUMAR </v>
      </c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</row>
    <row r="28" spans="1:24" s="2" customFormat="1" ht="14.25" customHeight="1">
      <c r="B28" s="346">
        <f>' Data Form'!Y20</f>
        <v>45954</v>
      </c>
      <c r="C28" s="346"/>
      <c r="D28" s="211"/>
      <c r="E28" s="211"/>
      <c r="F28" s="211" t="s">
        <v>272</v>
      </c>
      <c r="G28" s="211"/>
      <c r="H28" s="211"/>
      <c r="I28" s="211"/>
      <c r="J28" s="211"/>
      <c r="K28" s="211"/>
      <c r="L28" s="211"/>
      <c r="M28" s="337" t="s">
        <v>271</v>
      </c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</row>
  </sheetData>
  <sheetProtection password="FF64" sheet="1" objects="1" scenarios="1" selectLockedCells="1"/>
  <mergeCells count="18">
    <mergeCell ref="M28:X28"/>
    <mergeCell ref="A3:G3"/>
    <mergeCell ref="U25:V25"/>
    <mergeCell ref="A25:B25"/>
    <mergeCell ref="M27:X27"/>
    <mergeCell ref="A26:X26"/>
    <mergeCell ref="B28:C28"/>
    <mergeCell ref="B27:C27"/>
    <mergeCell ref="A1:X1"/>
    <mergeCell ref="U3:U4"/>
    <mergeCell ref="V3:V4"/>
    <mergeCell ref="W3:W4"/>
    <mergeCell ref="X3:X4"/>
    <mergeCell ref="H3:T3"/>
    <mergeCell ref="I2:J2"/>
    <mergeCell ref="A2:B2"/>
    <mergeCell ref="C2:H2"/>
    <mergeCell ref="S2:X2"/>
  </mergeCells>
  <phoneticPr fontId="0" type="noConversion"/>
  <printOptions gridLines="1"/>
  <pageMargins left="0.15" right="0.16" top="0.22" bottom="0.27" header="0.2" footer="0"/>
  <pageSetup paperSize="9" orientation="landscape" horizontalDpi="180" verticalDpi="180" r:id="rId1"/>
  <headerFooter alignWithMargins="0">
    <oddFooter xml:space="preserve">&amp;C&amp;8Developed By Rajendra Gaggar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61"/>
  </sheetPr>
  <dimension ref="A1:N69"/>
  <sheetViews>
    <sheetView view="pageBreakPreview" topLeftCell="A29" zoomScaleSheetLayoutView="100" workbookViewId="0">
      <selection activeCell="I27" sqref="I27"/>
    </sheetView>
  </sheetViews>
  <sheetFormatPr defaultRowHeight="14.25"/>
  <cols>
    <col min="1" max="1" width="2.85546875" style="27" customWidth="1"/>
    <col min="2" max="2" width="3.28515625" style="27" customWidth="1"/>
    <col min="3" max="3" width="3.5703125" style="27" customWidth="1"/>
    <col min="4" max="4" width="15.85546875" style="27" customWidth="1"/>
    <col min="5" max="5" width="3.28515625" style="27" customWidth="1"/>
    <col min="6" max="6" width="11" style="27" customWidth="1"/>
    <col min="7" max="7" width="5.85546875" style="27" customWidth="1"/>
    <col min="8" max="8" width="10.5703125" style="27" customWidth="1"/>
    <col min="9" max="9" width="12.5703125" style="27" customWidth="1"/>
    <col min="10" max="10" width="4.5703125" style="27" customWidth="1"/>
    <col min="11" max="11" width="11" style="27" customWidth="1"/>
    <col min="12" max="12" width="2.7109375" style="27" customWidth="1"/>
    <col min="13" max="13" width="11.42578125" style="28" customWidth="1"/>
    <col min="14" max="14" width="9.140625" style="27" customWidth="1"/>
    <col min="15" max="16384" width="9.140625" style="27"/>
  </cols>
  <sheetData>
    <row r="1" spans="1:13" ht="14.25" customHeight="1">
      <c r="A1" s="368" t="str">
        <f>"INCOME TAX CALCULATION FOR FINANCIAL YEAR  "&amp;' Data Form'!C3&amp;' Data Form'!D3  &amp;"  (A.Y."&amp;(' Data Form'!C3+1)&amp;(' Data Form'!D3-1)&amp;")"</f>
        <v>INCOME TAX CALCULATION FOR FINANCIAL YEAR  2025-2026  (A.Y.2026-2027)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ht="11.25" customHeight="1">
      <c r="A2" s="372" t="s">
        <v>278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1:13" ht="12.95" customHeight="1">
      <c r="A3" s="102">
        <v>1</v>
      </c>
      <c r="B3" s="357" t="s">
        <v>220</v>
      </c>
      <c r="C3" s="357"/>
      <c r="D3" s="357"/>
      <c r="E3" s="357"/>
      <c r="F3" s="348" t="str">
        <f>'Salary Report'!$C$2</f>
        <v>AVANISH CHANDRA GUPTA</v>
      </c>
      <c r="G3" s="348"/>
      <c r="H3" s="348"/>
      <c r="I3" s="348"/>
      <c r="J3" s="217" t="s">
        <v>267</v>
      </c>
      <c r="K3" s="349" t="str">
        <f>(' Data Form'!B6)</f>
        <v>AAAPI9582K</v>
      </c>
      <c r="L3" s="349"/>
      <c r="M3" s="221" t="str">
        <f>' Data Form'!$B$8</f>
        <v>M</v>
      </c>
    </row>
    <row r="4" spans="1:13" ht="12.95" customHeight="1">
      <c r="A4" s="102"/>
      <c r="B4" s="357" t="s">
        <v>221</v>
      </c>
      <c r="C4" s="357"/>
      <c r="D4" s="357"/>
      <c r="E4" s="357"/>
      <c r="F4" s="216" t="str">
        <f>' Data Form'!B5</f>
        <v>TEACHER LEVEL 2</v>
      </c>
      <c r="G4" s="216"/>
      <c r="H4" s="222"/>
      <c r="I4" s="216"/>
      <c r="J4" s="217" t="s">
        <v>266</v>
      </c>
      <c r="K4" s="350" t="str">
        <f>' Data Form'!Y24</f>
        <v>JDHG05056C</v>
      </c>
      <c r="L4" s="331"/>
      <c r="M4" s="217"/>
    </row>
    <row r="5" spans="1:13" ht="12.95" customHeight="1">
      <c r="A5" s="102"/>
      <c r="B5" s="357" t="s">
        <v>23</v>
      </c>
      <c r="C5" s="357"/>
      <c r="D5" s="357"/>
      <c r="E5" s="357"/>
      <c r="F5" s="352" t="str">
        <f>' Data Form'!B7</f>
        <v>GOVT HIGHER SEC SCHOOL RAILA</v>
      </c>
      <c r="G5" s="352"/>
      <c r="H5" s="352"/>
      <c r="I5" s="352"/>
      <c r="J5" s="105" t="s">
        <v>349</v>
      </c>
      <c r="K5" s="331" t="str">
        <f>' Data Form'!D5</f>
        <v>HINDI</v>
      </c>
      <c r="L5" s="331"/>
      <c r="M5" s="217"/>
    </row>
    <row r="6" spans="1:13" ht="15.75" customHeight="1">
      <c r="A6" s="102">
        <v>2</v>
      </c>
      <c r="B6" s="357" t="str">
        <f>"INCOME: Gross salary  with Govt's Contribution in NPS Year "&amp;' Data Form'!C3&amp;' Data Form'!D3</f>
        <v>INCOME: Gross salary  with Govt's Contribution in NPS Year 2025-2026</v>
      </c>
      <c r="C6" s="357"/>
      <c r="D6" s="357"/>
      <c r="E6" s="357"/>
      <c r="F6" s="357"/>
      <c r="G6" s="357"/>
      <c r="H6" s="357"/>
      <c r="I6" s="357"/>
      <c r="J6" s="357"/>
      <c r="K6" s="357"/>
      <c r="L6" s="102" t="s">
        <v>12</v>
      </c>
      <c r="M6" s="106">
        <f>'Salary Report'!$G$25+'Salary Report'!R25</f>
        <v>1725086</v>
      </c>
    </row>
    <row r="7" spans="1:13" ht="12.95" customHeight="1">
      <c r="A7" s="102">
        <v>3</v>
      </c>
      <c r="B7" s="357" t="s">
        <v>160</v>
      </c>
      <c r="C7" s="357"/>
      <c r="D7" s="357"/>
      <c r="E7" s="357"/>
      <c r="F7" s="357"/>
      <c r="G7" s="357"/>
      <c r="H7" s="357"/>
      <c r="I7" s="357"/>
      <c r="J7" s="357"/>
      <c r="K7" s="357"/>
      <c r="L7" s="102" t="s">
        <v>12</v>
      </c>
      <c r="M7" s="56">
        <f>HRA!$J$15</f>
        <v>0</v>
      </c>
    </row>
    <row r="8" spans="1:13" ht="12.95" customHeight="1">
      <c r="A8" s="102">
        <v>4</v>
      </c>
      <c r="B8" s="357" t="s">
        <v>193</v>
      </c>
      <c r="C8" s="357"/>
      <c r="D8" s="357"/>
      <c r="E8" s="357"/>
      <c r="F8" s="357"/>
      <c r="G8" s="357"/>
      <c r="H8" s="357"/>
      <c r="I8" s="357"/>
      <c r="J8" s="357"/>
      <c r="K8" s="357"/>
      <c r="L8" s="102" t="s">
        <v>12</v>
      </c>
      <c r="M8" s="56">
        <f>M6-M7</f>
        <v>1725086</v>
      </c>
    </row>
    <row r="9" spans="1:13" ht="12.95" customHeight="1">
      <c r="A9" s="102">
        <v>5</v>
      </c>
      <c r="B9" s="357" t="s">
        <v>260</v>
      </c>
      <c r="C9" s="357"/>
      <c r="D9" s="357"/>
      <c r="E9" s="357"/>
      <c r="F9" s="357"/>
      <c r="G9" s="357"/>
      <c r="H9" s="357"/>
      <c r="I9" s="357"/>
      <c r="J9" s="107">
        <f>IF(M8&gt;75000,75000,M8)</f>
        <v>75000</v>
      </c>
      <c r="K9" s="220">
        <f>IF(J9&gt;50000,50000,J9)</f>
        <v>50000</v>
      </c>
      <c r="L9" s="102" t="s">
        <v>12</v>
      </c>
      <c r="M9" s="56">
        <f>K9</f>
        <v>50000</v>
      </c>
    </row>
    <row r="10" spans="1:13" ht="12.95" customHeight="1">
      <c r="A10" s="102">
        <v>6</v>
      </c>
      <c r="B10" s="357" t="s">
        <v>261</v>
      </c>
      <c r="C10" s="357"/>
      <c r="D10" s="357"/>
      <c r="E10" s="357"/>
      <c r="F10" s="357"/>
      <c r="G10" s="357"/>
      <c r="H10" s="357"/>
      <c r="I10" s="357"/>
      <c r="J10" s="357"/>
      <c r="K10" s="357"/>
      <c r="L10" s="102" t="s">
        <v>12</v>
      </c>
      <c r="M10" s="56">
        <f>M8-M9</f>
        <v>1675086</v>
      </c>
    </row>
    <row r="11" spans="1:13" ht="12.95" customHeight="1">
      <c r="A11" s="102">
        <v>7</v>
      </c>
      <c r="B11" s="102" t="s">
        <v>35</v>
      </c>
      <c r="C11" s="357" t="s">
        <v>37</v>
      </c>
      <c r="D11" s="357"/>
      <c r="E11" s="357"/>
      <c r="F11" s="357"/>
      <c r="G11" s="357"/>
      <c r="H11" s="108">
        <f>' Data Form'!O24</f>
        <v>0</v>
      </c>
      <c r="I11" s="108"/>
      <c r="J11" s="108"/>
      <c r="K11" s="108"/>
      <c r="L11" s="102"/>
      <c r="M11" s="56"/>
    </row>
    <row r="12" spans="1:13" ht="12.95" customHeight="1">
      <c r="A12" s="102"/>
      <c r="B12" s="102" t="s">
        <v>36</v>
      </c>
      <c r="C12" s="357" t="s">
        <v>38</v>
      </c>
      <c r="D12" s="357"/>
      <c r="E12" s="357"/>
      <c r="F12" s="357"/>
      <c r="G12" s="357"/>
      <c r="H12" s="108">
        <f>' Data Form'!O25</f>
        <v>0</v>
      </c>
      <c r="I12" s="366" t="s">
        <v>194</v>
      </c>
      <c r="J12" s="366"/>
      <c r="K12" s="102">
        <f>SUM(H11:H12)</f>
        <v>0</v>
      </c>
      <c r="L12" s="102" t="s">
        <v>12</v>
      </c>
      <c r="M12" s="56">
        <f>K12</f>
        <v>0</v>
      </c>
    </row>
    <row r="13" spans="1:13" ht="12.95" customHeight="1">
      <c r="A13" s="102">
        <v>8</v>
      </c>
      <c r="B13" s="369" t="s">
        <v>248</v>
      </c>
      <c r="C13" s="369"/>
      <c r="D13" s="369"/>
      <c r="E13" s="369"/>
      <c r="F13" s="369"/>
      <c r="G13" s="369"/>
      <c r="H13" s="369"/>
      <c r="I13" s="369"/>
      <c r="J13" s="369"/>
      <c r="K13" s="369"/>
      <c r="L13" s="102" t="s">
        <v>12</v>
      </c>
      <c r="M13" s="56">
        <f>M10-M12</f>
        <v>1675086</v>
      </c>
    </row>
    <row r="14" spans="1:13" ht="12.95" customHeight="1">
      <c r="A14" s="102">
        <v>7</v>
      </c>
      <c r="B14" s="102" t="s">
        <v>13</v>
      </c>
      <c r="C14" s="357" t="s">
        <v>195</v>
      </c>
      <c r="D14" s="357"/>
      <c r="E14" s="357"/>
      <c r="F14" s="357"/>
      <c r="G14" s="357"/>
      <c r="H14" s="102">
        <f>' Data Form'!O30</f>
        <v>0</v>
      </c>
      <c r="I14" s="366" t="s">
        <v>39</v>
      </c>
      <c r="J14" s="366"/>
      <c r="K14" s="102">
        <f>' Data Form'!O31</f>
        <v>0</v>
      </c>
      <c r="L14" s="102"/>
      <c r="M14" s="56"/>
    </row>
    <row r="15" spans="1:13" ht="12.95" customHeight="1">
      <c r="A15" s="102"/>
      <c r="B15" s="102" t="s">
        <v>14</v>
      </c>
      <c r="C15" s="366" t="s">
        <v>198</v>
      </c>
      <c r="D15" s="366"/>
      <c r="E15" s="109" t="s">
        <v>40</v>
      </c>
      <c r="F15" s="102"/>
      <c r="G15" s="102"/>
      <c r="H15" s="102" t="s">
        <v>41</v>
      </c>
      <c r="I15" s="102" t="s">
        <v>5</v>
      </c>
      <c r="J15" s="110"/>
      <c r="K15" s="102"/>
      <c r="L15" s="102"/>
      <c r="M15" s="56"/>
    </row>
    <row r="16" spans="1:13" ht="12.95" customHeight="1">
      <c r="A16" s="102"/>
      <c r="B16" s="102"/>
      <c r="C16" s="365">
        <f>ROUND(K14*30%,0)</f>
        <v>0</v>
      </c>
      <c r="D16" s="365"/>
      <c r="E16" s="111">
        <f>'Salary Report'!M25+' Data Form'!D21</f>
        <v>0</v>
      </c>
      <c r="F16" s="362">
        <f>IF(E16&lt;200000,E16,200000)</f>
        <v>0</v>
      </c>
      <c r="G16" s="362"/>
      <c r="H16" s="102"/>
      <c r="I16" s="108">
        <f>SUM(C16,F16,H16)</f>
        <v>0</v>
      </c>
      <c r="J16" s="112" t="s">
        <v>196</v>
      </c>
      <c r="K16" s="112"/>
      <c r="L16" s="102" t="s">
        <v>12</v>
      </c>
      <c r="M16" s="56">
        <f>K14-I16</f>
        <v>0</v>
      </c>
    </row>
    <row r="17" spans="1:13" ht="12.95" customHeight="1">
      <c r="A17" s="102">
        <v>8</v>
      </c>
      <c r="B17" s="367" t="s">
        <v>197</v>
      </c>
      <c r="C17" s="367"/>
      <c r="D17" s="367"/>
      <c r="E17" s="367"/>
      <c r="F17" s="367"/>
      <c r="G17" s="367"/>
      <c r="H17" s="367"/>
      <c r="I17" s="367"/>
      <c r="J17" s="367"/>
      <c r="K17" s="367"/>
      <c r="L17" s="102" t="s">
        <v>12</v>
      </c>
      <c r="M17" s="56">
        <f>M13+M16</f>
        <v>1675086</v>
      </c>
    </row>
    <row r="18" spans="1:13" ht="12.95" customHeight="1">
      <c r="A18" s="102">
        <v>9</v>
      </c>
      <c r="B18" s="366" t="s">
        <v>322</v>
      </c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113">
        <f>' Data Form'!O35+' Data Form'!O34+' Data Form'!O33</f>
        <v>0</v>
      </c>
    </row>
    <row r="19" spans="1:13" ht="12.95" customHeight="1">
      <c r="A19" s="102">
        <v>10</v>
      </c>
      <c r="B19" s="359" t="s">
        <v>237</v>
      </c>
      <c r="C19" s="359"/>
      <c r="D19" s="359"/>
      <c r="E19" s="359"/>
      <c r="F19" s="359"/>
      <c r="G19" s="359"/>
      <c r="H19" s="359"/>
      <c r="I19" s="359"/>
      <c r="J19" s="359"/>
      <c r="K19" s="359"/>
      <c r="L19" s="102" t="s">
        <v>12</v>
      </c>
      <c r="M19" s="56">
        <f>M17+M18</f>
        <v>1675086</v>
      </c>
    </row>
    <row r="20" spans="1:13" ht="12.95" customHeight="1">
      <c r="A20" s="102">
        <v>11</v>
      </c>
      <c r="B20" s="366" t="s">
        <v>238</v>
      </c>
      <c r="C20" s="366"/>
      <c r="D20" s="366"/>
      <c r="E20" s="366"/>
      <c r="F20" s="366"/>
      <c r="G20" s="366"/>
      <c r="H20" s="366"/>
      <c r="I20" s="366"/>
      <c r="J20" s="366"/>
      <c r="K20" s="366"/>
      <c r="L20" s="366"/>
      <c r="M20" s="56"/>
    </row>
    <row r="21" spans="1:13" ht="12.95" customHeight="1">
      <c r="A21" s="102"/>
      <c r="B21" s="370" t="s">
        <v>231</v>
      </c>
      <c r="C21" s="376" t="s">
        <v>239</v>
      </c>
      <c r="D21" s="376"/>
      <c r="E21" s="376"/>
      <c r="F21" s="376"/>
      <c r="G21" s="376"/>
      <c r="H21" s="376"/>
      <c r="I21" s="376"/>
      <c r="J21" s="376"/>
      <c r="K21" s="376"/>
      <c r="L21" s="114"/>
      <c r="M21" s="56"/>
    </row>
    <row r="22" spans="1:13" ht="12.95" customHeight="1">
      <c r="A22" s="356"/>
      <c r="B22" s="370"/>
      <c r="C22" s="109" t="s">
        <v>35</v>
      </c>
      <c r="D22" s="115" t="s">
        <v>321</v>
      </c>
      <c r="E22" s="116" t="s">
        <v>12</v>
      </c>
      <c r="F22" s="109">
        <f>'Salary Report'!$H$25</f>
        <v>0</v>
      </c>
      <c r="G22" s="115" t="s">
        <v>49</v>
      </c>
      <c r="H22" s="364" t="s">
        <v>281</v>
      </c>
      <c r="I22" s="364"/>
      <c r="J22" s="115" t="s">
        <v>12</v>
      </c>
      <c r="K22" s="109">
        <f>' Data Form'!$D13</f>
        <v>0</v>
      </c>
      <c r="L22" s="102"/>
      <c r="M22" s="361">
        <f>IF(K30&gt;150000,150000,K30)</f>
        <v>150000</v>
      </c>
    </row>
    <row r="23" spans="1:13" ht="12.95" customHeight="1">
      <c r="A23" s="356"/>
      <c r="B23" s="370"/>
      <c r="C23" s="109" t="s">
        <v>36</v>
      </c>
      <c r="D23" s="115" t="s">
        <v>242</v>
      </c>
      <c r="E23" s="116" t="s">
        <v>12</v>
      </c>
      <c r="F23" s="109">
        <f>'Salary Report'!$K$25</f>
        <v>84000</v>
      </c>
      <c r="G23" s="115" t="s">
        <v>50</v>
      </c>
      <c r="H23" s="364" t="s">
        <v>167</v>
      </c>
      <c r="I23" s="364"/>
      <c r="J23" s="115" t="s">
        <v>12</v>
      </c>
      <c r="K23" s="109">
        <f>' Data Form'!$D14</f>
        <v>0</v>
      </c>
      <c r="L23" s="102"/>
      <c r="M23" s="361"/>
    </row>
    <row r="24" spans="1:13" ht="12.95" customHeight="1">
      <c r="A24" s="356"/>
      <c r="B24" s="370"/>
      <c r="C24" s="109" t="s">
        <v>42</v>
      </c>
      <c r="D24" s="115" t="s">
        <v>1</v>
      </c>
      <c r="E24" s="116" t="s">
        <v>12</v>
      </c>
      <c r="F24" s="109">
        <f>'Salary Report'!$N$25+' Data Form'!D20</f>
        <v>0</v>
      </c>
      <c r="G24" s="115" t="s">
        <v>51</v>
      </c>
      <c r="H24" s="364" t="s">
        <v>243</v>
      </c>
      <c r="I24" s="364"/>
      <c r="J24" s="115" t="s">
        <v>12</v>
      </c>
      <c r="K24" s="109">
        <f>' Data Form'!D15</f>
        <v>0</v>
      </c>
      <c r="L24" s="102"/>
      <c r="M24" s="361"/>
    </row>
    <row r="25" spans="1:13" ht="12.95" customHeight="1">
      <c r="A25" s="356"/>
      <c r="B25" s="370"/>
      <c r="C25" s="109" t="s">
        <v>43</v>
      </c>
      <c r="D25" s="115" t="s">
        <v>304</v>
      </c>
      <c r="E25" s="116" t="s">
        <v>12</v>
      </c>
      <c r="F25" s="117">
        <f>'Salary Report'!J25</f>
        <v>254504</v>
      </c>
      <c r="G25" s="115" t="s">
        <v>52</v>
      </c>
      <c r="H25" s="364" t="s">
        <v>21</v>
      </c>
      <c r="I25" s="364"/>
      <c r="J25" s="115" t="s">
        <v>12</v>
      </c>
      <c r="K25" s="109">
        <f>' Data Form'!$D17</f>
        <v>0</v>
      </c>
      <c r="L25" s="102"/>
      <c r="M25" s="361"/>
    </row>
    <row r="26" spans="1:13" ht="12.95" customHeight="1">
      <c r="A26" s="356"/>
      <c r="B26" s="370"/>
      <c r="C26" s="109" t="s">
        <v>44</v>
      </c>
      <c r="D26" s="115" t="s">
        <v>188</v>
      </c>
      <c r="E26" s="116" t="s">
        <v>12</v>
      </c>
      <c r="F26" s="109">
        <f>('Salary Report'!$M$25+' Data Form'!D22)</f>
        <v>0</v>
      </c>
      <c r="G26" s="115" t="s">
        <v>216</v>
      </c>
      <c r="H26" s="364" t="s">
        <v>320</v>
      </c>
      <c r="I26" s="364"/>
      <c r="J26" s="115" t="s">
        <v>12</v>
      </c>
      <c r="K26" s="109">
        <f>'Salary Report'!P25</f>
        <v>2100</v>
      </c>
      <c r="L26" s="102"/>
      <c r="M26" s="361"/>
    </row>
    <row r="27" spans="1:13" ht="12.95" customHeight="1">
      <c r="A27" s="356"/>
      <c r="B27" s="370"/>
      <c r="C27" s="109" t="s">
        <v>45</v>
      </c>
      <c r="D27" s="115" t="s">
        <v>20</v>
      </c>
      <c r="E27" s="116" t="s">
        <v>12</v>
      </c>
      <c r="F27" s="109">
        <f>' Data Form'!$D11</f>
        <v>0</v>
      </c>
      <c r="G27" s="109" t="s">
        <v>210</v>
      </c>
      <c r="H27" s="118" t="s">
        <v>240</v>
      </c>
      <c r="I27" s="119"/>
      <c r="J27" s="115" t="s">
        <v>12</v>
      </c>
      <c r="K27" s="120">
        <f>' Data Form'!D18</f>
        <v>0</v>
      </c>
      <c r="L27" s="102"/>
      <c r="M27" s="361"/>
    </row>
    <row r="28" spans="1:13" ht="12.75" customHeight="1">
      <c r="A28" s="356"/>
      <c r="B28" s="370"/>
      <c r="C28" s="109" t="s">
        <v>46</v>
      </c>
      <c r="D28" s="115" t="s">
        <v>2</v>
      </c>
      <c r="E28" s="116" t="s">
        <v>12</v>
      </c>
      <c r="F28" s="109">
        <f>' Data Form'!$D12</f>
        <v>0</v>
      </c>
      <c r="G28" s="109" t="s">
        <v>227</v>
      </c>
      <c r="H28" s="121" t="s">
        <v>211</v>
      </c>
      <c r="I28" s="121" t="str">
        <f>IF(' Data Form'!B23&gt;0,' Data Form'!B23,"")</f>
        <v/>
      </c>
      <c r="J28" s="115" t="s">
        <v>12</v>
      </c>
      <c r="K28" s="122">
        <f>' Data Form'!D23</f>
        <v>0</v>
      </c>
      <c r="L28" s="102"/>
      <c r="M28" s="361"/>
    </row>
    <row r="29" spans="1:13" ht="15.75" customHeight="1">
      <c r="A29" s="356"/>
      <c r="B29" s="370"/>
      <c r="C29" s="109" t="s">
        <v>47</v>
      </c>
      <c r="D29" s="123" t="s">
        <v>241</v>
      </c>
      <c r="E29" s="116" t="s">
        <v>12</v>
      </c>
      <c r="F29" s="109">
        <f>' Data Form'!D19</f>
        <v>0</v>
      </c>
      <c r="G29" s="165" t="s">
        <v>283</v>
      </c>
      <c r="H29" s="165" t="s">
        <v>282</v>
      </c>
      <c r="I29" s="165"/>
      <c r="J29" s="115" t="s">
        <v>12</v>
      </c>
      <c r="K29" s="165">
        <f>' Data Form'!D16</f>
        <v>0</v>
      </c>
      <c r="L29" s="102"/>
      <c r="M29" s="361"/>
    </row>
    <row r="30" spans="1:13" ht="15">
      <c r="A30" s="356"/>
      <c r="B30" s="370"/>
      <c r="C30" s="109" t="s">
        <v>48</v>
      </c>
      <c r="D30" s="125" t="s">
        <v>324</v>
      </c>
      <c r="E30" s="95" t="s">
        <v>12</v>
      </c>
      <c r="F30" s="126">
        <f>'Salary Report'!R25</f>
        <v>0</v>
      </c>
      <c r="G30" s="363" t="s">
        <v>284</v>
      </c>
      <c r="H30" s="363"/>
      <c r="I30" s="363"/>
      <c r="J30" s="115" t="s">
        <v>12</v>
      </c>
      <c r="K30" s="124">
        <f>SUM(F22:F30,K22:K29)</f>
        <v>340604</v>
      </c>
      <c r="L30" s="102" t="s">
        <v>12</v>
      </c>
      <c r="M30" s="361"/>
    </row>
    <row r="31" spans="1:13" ht="12.75" customHeight="1">
      <c r="A31" s="102"/>
      <c r="B31" s="127" t="s">
        <v>232</v>
      </c>
      <c r="C31" s="374" t="s">
        <v>258</v>
      </c>
      <c r="D31" s="374"/>
      <c r="E31" s="374"/>
      <c r="F31" s="374"/>
      <c r="G31" s="374"/>
      <c r="H31" s="374"/>
      <c r="I31" s="374"/>
      <c r="J31" s="374"/>
      <c r="K31" s="374"/>
      <c r="L31" s="56"/>
      <c r="M31" s="88">
        <f>' Data Form'!D19</f>
        <v>0</v>
      </c>
    </row>
    <row r="32" spans="1:13" ht="12.95" customHeight="1">
      <c r="A32" s="108"/>
      <c r="B32" s="126"/>
      <c r="C32" s="360" t="s">
        <v>212</v>
      </c>
      <c r="D32" s="360"/>
      <c r="E32" s="360"/>
      <c r="F32" s="360"/>
      <c r="G32" s="360"/>
      <c r="H32" s="360"/>
      <c r="I32" s="360"/>
      <c r="J32" s="360"/>
      <c r="K32" s="128" t="s">
        <v>181</v>
      </c>
      <c r="L32" s="129" t="s">
        <v>182</v>
      </c>
      <c r="M32" s="130"/>
    </row>
    <row r="33" spans="1:13" ht="12.95" customHeight="1">
      <c r="A33" s="108">
        <v>12</v>
      </c>
      <c r="B33" s="112" t="s">
        <v>175</v>
      </c>
      <c r="C33" s="112"/>
      <c r="D33" s="112"/>
      <c r="E33" s="112"/>
      <c r="F33" s="112"/>
      <c r="G33" s="127"/>
      <c r="H33" s="127"/>
      <c r="I33" s="121" t="s">
        <v>168</v>
      </c>
      <c r="J33" s="115" t="s">
        <v>12</v>
      </c>
      <c r="K33" s="115">
        <f>' Data Form'!J26</f>
        <v>0</v>
      </c>
      <c r="L33" s="115" t="s">
        <v>12</v>
      </c>
      <c r="M33" s="131">
        <f>' Data Form'!K26</f>
        <v>0</v>
      </c>
    </row>
    <row r="34" spans="1:13" ht="12.95" customHeight="1">
      <c r="A34" s="108">
        <v>13</v>
      </c>
      <c r="B34" s="112" t="s">
        <v>176</v>
      </c>
      <c r="C34" s="112"/>
      <c r="D34" s="112"/>
      <c r="E34" s="112"/>
      <c r="F34" s="112"/>
      <c r="G34" s="127"/>
      <c r="H34" s="127"/>
      <c r="I34" s="121" t="s">
        <v>169</v>
      </c>
      <c r="J34" s="115" t="s">
        <v>12</v>
      </c>
      <c r="K34" s="115">
        <f>' Data Form'!J27</f>
        <v>0</v>
      </c>
      <c r="L34" s="115" t="s">
        <v>12</v>
      </c>
      <c r="M34" s="131">
        <f>' Data Form'!K27</f>
        <v>0</v>
      </c>
    </row>
    <row r="35" spans="1:13" ht="12.95" customHeight="1">
      <c r="A35" s="108">
        <v>14</v>
      </c>
      <c r="B35" s="123" t="s">
        <v>179</v>
      </c>
      <c r="C35" s="123"/>
      <c r="D35" s="123"/>
      <c r="E35" s="123"/>
      <c r="F35" s="123"/>
      <c r="G35" s="127"/>
      <c r="H35" s="127"/>
      <c r="I35" s="121" t="s">
        <v>170</v>
      </c>
      <c r="J35" s="115" t="s">
        <v>12</v>
      </c>
      <c r="K35" s="115">
        <f>' Data Form'!J28</f>
        <v>0</v>
      </c>
      <c r="L35" s="115" t="s">
        <v>12</v>
      </c>
      <c r="M35" s="131">
        <f>' Data Form'!K28</f>
        <v>0</v>
      </c>
    </row>
    <row r="36" spans="1:13" ht="12.95" customHeight="1">
      <c r="A36" s="108">
        <v>15</v>
      </c>
      <c r="B36" s="112" t="s">
        <v>178</v>
      </c>
      <c r="C36" s="112"/>
      <c r="D36" s="112"/>
      <c r="E36" s="112"/>
      <c r="F36" s="112"/>
      <c r="G36" s="127"/>
      <c r="H36" s="127"/>
      <c r="I36" s="121" t="s">
        <v>171</v>
      </c>
      <c r="J36" s="115" t="s">
        <v>12</v>
      </c>
      <c r="K36" s="115">
        <f>' Data Form'!J29</f>
        <v>0</v>
      </c>
      <c r="L36" s="115" t="s">
        <v>12</v>
      </c>
      <c r="M36" s="131">
        <f>' Data Form'!K29</f>
        <v>0</v>
      </c>
    </row>
    <row r="37" spans="1:13" ht="12.95" customHeight="1">
      <c r="A37" s="108">
        <v>16</v>
      </c>
      <c r="B37" s="112" t="s">
        <v>259</v>
      </c>
      <c r="C37" s="112"/>
      <c r="D37" s="112"/>
      <c r="E37" s="112"/>
      <c r="F37" s="112"/>
      <c r="G37" s="127"/>
      <c r="H37" s="127"/>
      <c r="I37" s="121" t="s">
        <v>172</v>
      </c>
      <c r="J37" s="115" t="s">
        <v>12</v>
      </c>
      <c r="K37" s="115">
        <f>' Data Form'!J30</f>
        <v>0</v>
      </c>
      <c r="L37" s="115" t="s">
        <v>12</v>
      </c>
      <c r="M37" s="131">
        <f>' Data Form'!K30</f>
        <v>0</v>
      </c>
    </row>
    <row r="38" spans="1:13" ht="12.95" customHeight="1">
      <c r="A38" s="108">
        <v>17</v>
      </c>
      <c r="B38" s="112" t="s">
        <v>183</v>
      </c>
      <c r="C38" s="112"/>
      <c r="D38" s="112"/>
      <c r="E38" s="112"/>
      <c r="F38" s="112"/>
      <c r="G38" s="127"/>
      <c r="H38" s="127"/>
      <c r="I38" s="121" t="s">
        <v>173</v>
      </c>
      <c r="J38" s="115" t="s">
        <v>12</v>
      </c>
      <c r="K38" s="115">
        <f>' Data Form'!J31</f>
        <v>0</v>
      </c>
      <c r="L38" s="115" t="s">
        <v>12</v>
      </c>
      <c r="M38" s="131">
        <f>' Data Form'!K31</f>
        <v>0</v>
      </c>
    </row>
    <row r="39" spans="1:13" ht="12.95" customHeight="1">
      <c r="A39" s="108">
        <v>18</v>
      </c>
      <c r="B39" s="112" t="s">
        <v>245</v>
      </c>
      <c r="C39" s="112"/>
      <c r="D39" s="112"/>
      <c r="E39" s="112"/>
      <c r="F39" s="112"/>
      <c r="G39" s="127"/>
      <c r="H39" s="127"/>
      <c r="I39" s="121" t="s">
        <v>244</v>
      </c>
      <c r="J39" s="115" t="s">
        <v>12</v>
      </c>
      <c r="K39" s="115">
        <f>' Data Form'!J32</f>
        <v>0</v>
      </c>
      <c r="L39" s="115" t="s">
        <v>12</v>
      </c>
      <c r="M39" s="131">
        <f>' Data Form'!K32</f>
        <v>0</v>
      </c>
    </row>
    <row r="40" spans="1:13" ht="12.95" customHeight="1">
      <c r="A40" s="108">
        <v>19</v>
      </c>
      <c r="B40" s="112" t="s">
        <v>177</v>
      </c>
      <c r="C40" s="112"/>
      <c r="D40" s="112"/>
      <c r="E40" s="112"/>
      <c r="F40" s="112"/>
      <c r="G40" s="127"/>
      <c r="H40" s="127"/>
      <c r="I40" s="121" t="s">
        <v>174</v>
      </c>
      <c r="J40" s="115" t="s">
        <v>12</v>
      </c>
      <c r="K40" s="115">
        <f>' Data Form'!J33</f>
        <v>0</v>
      </c>
      <c r="L40" s="115" t="s">
        <v>12</v>
      </c>
      <c r="M40" s="131">
        <f>' Data Form'!K33</f>
        <v>0</v>
      </c>
    </row>
    <row r="41" spans="1:13" ht="12.95" customHeight="1">
      <c r="A41" s="102">
        <v>20</v>
      </c>
      <c r="B41" s="375" t="s">
        <v>213</v>
      </c>
      <c r="C41" s="375"/>
      <c r="D41" s="375"/>
      <c r="E41" s="375"/>
      <c r="F41" s="375"/>
      <c r="G41" s="375"/>
      <c r="H41" s="375"/>
      <c r="I41" s="375"/>
      <c r="J41" s="375"/>
      <c r="K41" s="375"/>
      <c r="L41" s="115" t="s">
        <v>12</v>
      </c>
      <c r="M41" s="56">
        <f>SUM(M33:M40)</f>
        <v>0</v>
      </c>
    </row>
    <row r="42" spans="1:13" ht="12.95" customHeight="1">
      <c r="A42" s="102"/>
      <c r="B42" s="373" t="s">
        <v>214</v>
      </c>
      <c r="C42" s="373"/>
      <c r="D42" s="373"/>
      <c r="E42" s="373"/>
      <c r="F42" s="373"/>
      <c r="G42" s="373"/>
      <c r="H42" s="373"/>
      <c r="I42" s="373"/>
      <c r="J42" s="373"/>
      <c r="K42" s="373"/>
      <c r="L42" s="115" t="s">
        <v>12</v>
      </c>
      <c r="M42" s="56">
        <f>M22+M31+M41</f>
        <v>150000</v>
      </c>
    </row>
    <row r="43" spans="1:13" ht="12.95" customHeight="1">
      <c r="A43" s="102">
        <v>21</v>
      </c>
      <c r="B43" s="359" t="s">
        <v>185</v>
      </c>
      <c r="C43" s="359"/>
      <c r="D43" s="359"/>
      <c r="E43" s="359"/>
      <c r="F43" s="359"/>
      <c r="G43" s="359"/>
      <c r="H43" s="359"/>
      <c r="I43" s="359"/>
      <c r="J43" s="359"/>
      <c r="K43" s="359"/>
      <c r="L43" s="115" t="s">
        <v>12</v>
      </c>
      <c r="M43" s="56">
        <f>M19-M42</f>
        <v>1525086</v>
      </c>
    </row>
    <row r="44" spans="1:13" ht="12.95" customHeight="1">
      <c r="A44" s="102"/>
      <c r="B44" s="359" t="s">
        <v>184</v>
      </c>
      <c r="C44" s="359"/>
      <c r="D44" s="359"/>
      <c r="E44" s="359"/>
      <c r="F44" s="359"/>
      <c r="G44" s="359"/>
      <c r="H44" s="359"/>
      <c r="I44" s="359"/>
      <c r="J44" s="359"/>
      <c r="K44" s="359"/>
      <c r="L44" s="115"/>
      <c r="M44" s="56">
        <f>ROUND(M43,-1)</f>
        <v>1525090</v>
      </c>
    </row>
    <row r="45" spans="1:13" ht="12.95" customHeight="1">
      <c r="A45" s="102">
        <v>22</v>
      </c>
      <c r="B45" s="362" t="s">
        <v>15</v>
      </c>
      <c r="C45" s="362"/>
      <c r="D45" s="362"/>
      <c r="E45" s="362"/>
      <c r="F45" s="362"/>
      <c r="G45" s="362"/>
      <c r="H45" s="362"/>
      <c r="I45" s="362"/>
      <c r="J45" s="362"/>
      <c r="K45" s="362"/>
      <c r="L45" s="102"/>
      <c r="M45" s="56"/>
    </row>
    <row r="46" spans="1:13" ht="12.95" customHeight="1">
      <c r="A46" s="102"/>
      <c r="B46" s="109" t="s">
        <v>16</v>
      </c>
      <c r="C46" s="357" t="str">
        <f>"Where the total income does not exceed Rs."&amp;K46</f>
        <v>Where the total income does not exceed Rs.250000</v>
      </c>
      <c r="D46" s="357"/>
      <c r="E46" s="357"/>
      <c r="F46" s="357"/>
      <c r="G46" s="357"/>
      <c r="H46" s="357"/>
      <c r="I46" s="357"/>
      <c r="J46" s="357"/>
      <c r="K46" s="132">
        <f>IF(M3="M",250000,IF(M3="F",250000,"?????"))</f>
        <v>250000</v>
      </c>
      <c r="L46" s="102" t="s">
        <v>12</v>
      </c>
      <c r="M46" s="56">
        <v>0</v>
      </c>
    </row>
    <row r="47" spans="1:13" ht="12.95" customHeight="1">
      <c r="A47" s="102"/>
      <c r="B47" s="109" t="s">
        <v>17</v>
      </c>
      <c r="C47" s="357" t="str">
        <f>"Where the total income  exceed Rs. "&amp;K46&amp;" but does not exceeds Rs. 500000 @ 5%"</f>
        <v>Where the total income  exceed Rs. 250000 but does not exceeds Rs. 500000 @ 5%</v>
      </c>
      <c r="D47" s="357"/>
      <c r="E47" s="357"/>
      <c r="F47" s="357"/>
      <c r="G47" s="357"/>
      <c r="H47" s="357"/>
      <c r="I47" s="357"/>
      <c r="J47" s="357"/>
      <c r="K47" s="357"/>
      <c r="L47" s="102" t="s">
        <v>12</v>
      </c>
      <c r="M47" s="56">
        <f>ROUND(IF(M3="M",IF(AND(M44&lt;=500000,(M44-250000)&gt;0),(M44-250000)*5%,IF(M44&gt;500000,12500,0)),IF(M3="F",IF(AND(M44&lt;=500000,(M44-250000)&gt;0),(M44-250000)*5%,IF(M44&gt;250000,12500,0)),"Insert Sex M or F")),0)</f>
        <v>12500</v>
      </c>
    </row>
    <row r="48" spans="1:13" ht="12.95" customHeight="1">
      <c r="A48" s="102"/>
      <c r="B48" s="109" t="s">
        <v>18</v>
      </c>
      <c r="C48" s="357" t="s">
        <v>222</v>
      </c>
      <c r="D48" s="357"/>
      <c r="E48" s="357"/>
      <c r="F48" s="357"/>
      <c r="G48" s="357"/>
      <c r="H48" s="357"/>
      <c r="I48" s="357"/>
      <c r="J48" s="357"/>
      <c r="K48" s="357"/>
      <c r="L48" s="102" t="s">
        <v>12</v>
      </c>
      <c r="M48" s="56">
        <f>ROUND(IF(AND(M44&gt;=500000,M44&lt;=1000000),(M44-500000)*20%,IF(M44&gt;1000000,100000,0)),0)</f>
        <v>100000</v>
      </c>
    </row>
    <row r="49" spans="1:14" ht="12.95" customHeight="1">
      <c r="A49" s="102"/>
      <c r="B49" s="109" t="s">
        <v>19</v>
      </c>
      <c r="C49" s="357" t="s">
        <v>235</v>
      </c>
      <c r="D49" s="357"/>
      <c r="E49" s="357"/>
      <c r="F49" s="357"/>
      <c r="G49" s="357"/>
      <c r="H49" s="357"/>
      <c r="I49" s="357"/>
      <c r="J49" s="357"/>
      <c r="K49" s="357"/>
      <c r="L49" s="102" t="s">
        <v>12</v>
      </c>
      <c r="M49" s="56">
        <f>IF(M44&gt;1000000,(M44-1000000)*30%,0)</f>
        <v>157527</v>
      </c>
    </row>
    <row r="50" spans="1:14" ht="12.95" customHeight="1">
      <c r="A50" s="102"/>
      <c r="B50" s="109" t="s">
        <v>44</v>
      </c>
      <c r="C50" s="108" t="s">
        <v>273</v>
      </c>
      <c r="D50" s="108"/>
      <c r="E50" s="108"/>
      <c r="F50" s="108"/>
      <c r="G50" s="108"/>
      <c r="H50" s="108"/>
      <c r="I50" s="133">
        <f>IF(M44&lt;=500000,M44,0)</f>
        <v>0</v>
      </c>
      <c r="J50" s="141"/>
      <c r="K50" s="134">
        <f>IF(I50&gt;=250000,I50,0)</f>
        <v>0</v>
      </c>
      <c r="L50" s="102" t="s">
        <v>12</v>
      </c>
      <c r="M50" s="56">
        <f>ROUND(IF(AND(K50&gt;=250000,K50&lt;=500000),(K50-250000)*5%,IF(K50&gt;250000,12500,0)),0)</f>
        <v>0</v>
      </c>
    </row>
    <row r="51" spans="1:14" ht="12.95" customHeight="1">
      <c r="A51" s="102"/>
      <c r="B51" s="102" t="s">
        <v>0</v>
      </c>
      <c r="C51" s="359" t="s">
        <v>230</v>
      </c>
      <c r="D51" s="359"/>
      <c r="E51" s="359"/>
      <c r="F51" s="359"/>
      <c r="G51" s="359"/>
      <c r="H51" s="359"/>
      <c r="I51" s="359"/>
      <c r="J51" s="359"/>
      <c r="K51" s="359"/>
      <c r="L51" s="102" t="s">
        <v>12</v>
      </c>
      <c r="M51" s="56">
        <f>M46+M47+M48+M49-M50</f>
        <v>270027</v>
      </c>
    </row>
    <row r="52" spans="1:14" ht="12.95" customHeight="1">
      <c r="A52" s="102"/>
      <c r="B52" s="102" t="s">
        <v>3</v>
      </c>
      <c r="C52" s="135" t="s">
        <v>330</v>
      </c>
      <c r="D52" s="135"/>
      <c r="E52" s="135"/>
      <c r="F52" s="135"/>
      <c r="G52" s="135"/>
      <c r="H52" s="135"/>
      <c r="I52" s="136">
        <f>M43</f>
        <v>1525086</v>
      </c>
      <c r="J52" s="136"/>
      <c r="K52" s="136">
        <f>IF(I52&gt;1000000,I52,0)</f>
        <v>1525086</v>
      </c>
      <c r="L52" s="102" t="s">
        <v>12</v>
      </c>
      <c r="M52" s="56">
        <f>IF(M44&gt;5000000,(M44)*10%,0)</f>
        <v>0</v>
      </c>
    </row>
    <row r="53" spans="1:14" ht="12.95" customHeight="1">
      <c r="A53" s="102"/>
      <c r="B53" s="102" t="s">
        <v>251</v>
      </c>
      <c r="C53" s="358" t="s">
        <v>250</v>
      </c>
      <c r="D53" s="358"/>
      <c r="E53" s="358"/>
      <c r="F53" s="358"/>
      <c r="G53" s="358"/>
      <c r="H53" s="358"/>
      <c r="I53" s="358"/>
      <c r="J53" s="358"/>
      <c r="K53" s="358"/>
      <c r="L53" s="102" t="s">
        <v>12</v>
      </c>
      <c r="M53" s="56">
        <f>ROUND((M51+M52)*4%,0)</f>
        <v>10801</v>
      </c>
    </row>
    <row r="54" spans="1:14" ht="12.95" customHeight="1">
      <c r="A54" s="102">
        <v>23</v>
      </c>
      <c r="B54" s="352" t="s">
        <v>215</v>
      </c>
      <c r="C54" s="352"/>
      <c r="D54" s="352"/>
      <c r="E54" s="352"/>
      <c r="F54" s="352"/>
      <c r="G54" s="352"/>
      <c r="H54" s="352"/>
      <c r="I54" s="352"/>
      <c r="J54" s="352"/>
      <c r="K54" s="352"/>
      <c r="L54" s="102" t="s">
        <v>12</v>
      </c>
      <c r="M54" s="56">
        <f>SUM(M51:M53)</f>
        <v>280828</v>
      </c>
    </row>
    <row r="55" spans="1:14" ht="12.95" customHeight="1">
      <c r="A55" s="102">
        <v>24</v>
      </c>
      <c r="B55" s="352" t="s">
        <v>186</v>
      </c>
      <c r="C55" s="352"/>
      <c r="D55" s="352"/>
      <c r="E55" s="352"/>
      <c r="F55" s="352"/>
      <c r="G55" s="352"/>
      <c r="H55" s="352"/>
      <c r="I55" s="352"/>
      <c r="J55" s="352"/>
      <c r="K55" s="352"/>
      <c r="L55" s="102"/>
      <c r="M55" s="137">
        <f>' Data Form'!O27</f>
        <v>0</v>
      </c>
    </row>
    <row r="56" spans="1:14" ht="12.95" customHeight="1">
      <c r="A56" s="102">
        <v>25</v>
      </c>
      <c r="B56" s="352" t="s">
        <v>187</v>
      </c>
      <c r="C56" s="352"/>
      <c r="D56" s="352"/>
      <c r="E56" s="352"/>
      <c r="F56" s="352"/>
      <c r="G56" s="352"/>
      <c r="H56" s="352"/>
      <c r="I56" s="352"/>
      <c r="J56" s="352"/>
      <c r="K56" s="352"/>
      <c r="L56" s="102"/>
      <c r="M56" s="56">
        <f>M54-M55</f>
        <v>280828</v>
      </c>
    </row>
    <row r="57" spans="1:14" ht="12.95" customHeight="1">
      <c r="A57" s="102">
        <v>26</v>
      </c>
      <c r="B57" s="352" t="s">
        <v>218</v>
      </c>
      <c r="C57" s="352"/>
      <c r="D57" s="352"/>
      <c r="E57" s="352"/>
      <c r="F57" s="352"/>
      <c r="G57" s="352"/>
      <c r="H57" s="352"/>
      <c r="I57" s="352"/>
      <c r="J57" s="352"/>
      <c r="K57" s="352"/>
      <c r="L57" s="102"/>
      <c r="M57" s="56"/>
    </row>
    <row r="58" spans="1:14" ht="12.95" customHeight="1">
      <c r="A58" s="102"/>
      <c r="B58" s="102"/>
      <c r="C58" s="108" t="str">
        <f>"Sept. "&amp;' Data Form'!C3</f>
        <v>Sept. 2025</v>
      </c>
      <c r="D58" s="108"/>
      <c r="E58" s="356" t="str">
        <f>" Dec. "&amp;' Data Form'!C3</f>
        <v xml:space="preserve"> Dec. 2025</v>
      </c>
      <c r="F58" s="356"/>
      <c r="G58" s="356" t="str">
        <f>" Jan."&amp;(' Data Form'!C3+1)</f>
        <v xml:space="preserve"> Jan.2026</v>
      </c>
      <c r="H58" s="356"/>
      <c r="I58" s="108" t="str">
        <f>" Feb. "&amp;(' Data Form'!C3+1)</f>
        <v xml:space="preserve"> Feb. 2026</v>
      </c>
      <c r="J58" s="356" t="s">
        <v>217</v>
      </c>
      <c r="K58" s="356"/>
      <c r="L58" s="108"/>
      <c r="M58" s="103"/>
      <c r="N58" s="33"/>
    </row>
    <row r="59" spans="1:14" ht="12.95" customHeight="1">
      <c r="A59" s="102"/>
      <c r="B59" s="102"/>
      <c r="C59" s="355">
        <f>SUM('Salary Report'!$S$5:$S$11)</f>
        <v>56000</v>
      </c>
      <c r="D59" s="355"/>
      <c r="E59" s="355">
        <f>SUM('Salary Report'!$S$5:$S$14)+'Salary Report'!S21</f>
        <v>80000</v>
      </c>
      <c r="F59" s="355"/>
      <c r="G59" s="355">
        <f>SUM('Salary Report'!$S$5:$S$15)</f>
        <v>88000</v>
      </c>
      <c r="H59" s="355"/>
      <c r="I59" s="138">
        <f>SUM('Salary Report'!$S$5:$S$24)</f>
        <v>96000</v>
      </c>
      <c r="J59" s="353">
        <f>I59</f>
        <v>96000</v>
      </c>
      <c r="K59" s="354"/>
      <c r="L59" s="102" t="s">
        <v>12</v>
      </c>
      <c r="M59" s="139">
        <f>J59</f>
        <v>96000</v>
      </c>
    </row>
    <row r="60" spans="1:14" ht="12.95" customHeight="1">
      <c r="A60" s="102">
        <v>27</v>
      </c>
      <c r="B60" s="351" t="s">
        <v>219</v>
      </c>
      <c r="C60" s="351"/>
      <c r="D60" s="351"/>
      <c r="E60" s="351"/>
      <c r="F60" s="351"/>
      <c r="G60" s="351"/>
      <c r="H60" s="351"/>
      <c r="I60" s="351"/>
      <c r="J60" s="351"/>
      <c r="K60" s="351"/>
      <c r="L60" s="102" t="s">
        <v>12</v>
      </c>
      <c r="M60" s="56">
        <f>M56-M59</f>
        <v>184828</v>
      </c>
    </row>
    <row r="61" spans="1:14" ht="35.25" customHeight="1">
      <c r="A61" s="371" t="s">
        <v>58</v>
      </c>
      <c r="B61" s="371"/>
      <c r="C61" s="371"/>
      <c r="D61" s="213">
        <f>' Data Form'!Y20</f>
        <v>45954</v>
      </c>
      <c r="E61" s="212"/>
      <c r="F61" s="212"/>
      <c r="G61" s="212"/>
      <c r="H61" s="212"/>
      <c r="I61" s="371" t="s">
        <v>256</v>
      </c>
      <c r="J61" s="371"/>
      <c r="K61" s="371"/>
      <c r="L61" s="371"/>
      <c r="M61" s="212"/>
    </row>
    <row r="62" spans="1:14" ht="1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M62" s="26"/>
    </row>
    <row r="63" spans="1:14" ht="1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1"/>
    </row>
    <row r="64" spans="1:14" ht="1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1"/>
    </row>
    <row r="65" spans="1:13" ht="1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1"/>
    </row>
    <row r="66" spans="1:13" ht="1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1"/>
    </row>
    <row r="67" spans="1:13" ht="1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1"/>
    </row>
    <row r="68" spans="1:13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2"/>
    </row>
    <row r="69" spans="1:13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2"/>
    </row>
  </sheetData>
  <sheetProtection password="FF64" sheet="1" objects="1" scenarios="1" selectLockedCells="1"/>
  <dataConsolidate/>
  <mergeCells count="65">
    <mergeCell ref="I61:L61"/>
    <mergeCell ref="A61:C61"/>
    <mergeCell ref="J58:K58"/>
    <mergeCell ref="B57:K57"/>
    <mergeCell ref="A2:M2"/>
    <mergeCell ref="B6:K6"/>
    <mergeCell ref="B7:K7"/>
    <mergeCell ref="C11:G11"/>
    <mergeCell ref="I14:J14"/>
    <mergeCell ref="I12:J12"/>
    <mergeCell ref="B20:L20"/>
    <mergeCell ref="B43:K43"/>
    <mergeCell ref="B42:K42"/>
    <mergeCell ref="C31:K31"/>
    <mergeCell ref="B41:K41"/>
    <mergeCell ref="C21:K21"/>
    <mergeCell ref="A1:M1"/>
    <mergeCell ref="A22:A30"/>
    <mergeCell ref="B13:K13"/>
    <mergeCell ref="B5:E5"/>
    <mergeCell ref="B8:K8"/>
    <mergeCell ref="F16:G16"/>
    <mergeCell ref="B3:E3"/>
    <mergeCell ref="H22:I22"/>
    <mergeCell ref="H23:I23"/>
    <mergeCell ref="H24:I24"/>
    <mergeCell ref="H25:I25"/>
    <mergeCell ref="B4:E4"/>
    <mergeCell ref="B19:K19"/>
    <mergeCell ref="C15:D15"/>
    <mergeCell ref="C12:G12"/>
    <mergeCell ref="B21:B30"/>
    <mergeCell ref="F5:I5"/>
    <mergeCell ref="C16:D16"/>
    <mergeCell ref="B18:L18"/>
    <mergeCell ref="B17:K17"/>
    <mergeCell ref="B9:I9"/>
    <mergeCell ref="B10:K10"/>
    <mergeCell ref="C14:G14"/>
    <mergeCell ref="M22:M30"/>
    <mergeCell ref="B45:K45"/>
    <mergeCell ref="B44:K44"/>
    <mergeCell ref="G30:I30"/>
    <mergeCell ref="H26:I26"/>
    <mergeCell ref="C48:K48"/>
    <mergeCell ref="C53:K53"/>
    <mergeCell ref="C51:K51"/>
    <mergeCell ref="C32:J32"/>
    <mergeCell ref="C46:J46"/>
    <mergeCell ref="F3:I3"/>
    <mergeCell ref="K3:L3"/>
    <mergeCell ref="K4:L4"/>
    <mergeCell ref="K5:L5"/>
    <mergeCell ref="B60:K60"/>
    <mergeCell ref="B54:K54"/>
    <mergeCell ref="J59:K59"/>
    <mergeCell ref="B55:K55"/>
    <mergeCell ref="E59:F59"/>
    <mergeCell ref="C59:D59"/>
    <mergeCell ref="G59:H59"/>
    <mergeCell ref="G58:H58"/>
    <mergeCell ref="E58:F58"/>
    <mergeCell ref="C49:K49"/>
    <mergeCell ref="B56:K56"/>
    <mergeCell ref="C47:K47"/>
  </mergeCells>
  <phoneticPr fontId="0" type="noConversion"/>
  <printOptions gridLines="1"/>
  <pageMargins left="0.41" right="0.22" top="0.19" bottom="0.16" header="0.18" footer="0"/>
  <pageSetup paperSize="9" scale="99" orientation="portrait" horizontalDpi="300" verticalDpi="300" r:id="rId1"/>
  <headerFooter alignWithMargins="0">
    <oddFooter xml:space="preserve">&amp;CDeveloped By Rajendra Gaggar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72"/>
  <sheetViews>
    <sheetView view="pageBreakPreview" zoomScaleSheetLayoutView="100" workbookViewId="0">
      <selection activeCell="I27" sqref="I27"/>
    </sheetView>
  </sheetViews>
  <sheetFormatPr defaultRowHeight="14.25"/>
  <cols>
    <col min="1" max="1" width="2.85546875" style="27" customWidth="1"/>
    <col min="2" max="2" width="3.7109375" style="27" customWidth="1"/>
    <col min="3" max="3" width="3.5703125" style="27" customWidth="1"/>
    <col min="4" max="4" width="15.85546875" style="27" customWidth="1"/>
    <col min="5" max="5" width="3.28515625" style="27" customWidth="1"/>
    <col min="6" max="6" width="11" style="27" customWidth="1"/>
    <col min="7" max="7" width="5.85546875" style="27" customWidth="1"/>
    <col min="8" max="8" width="10.5703125" style="27" customWidth="1"/>
    <col min="9" max="9" width="12.5703125" style="27" customWidth="1"/>
    <col min="10" max="10" width="4.5703125" style="27" customWidth="1"/>
    <col min="11" max="11" width="11" style="27" customWidth="1"/>
    <col min="12" max="12" width="2.7109375" style="27" customWidth="1"/>
    <col min="13" max="13" width="11.42578125" style="28" customWidth="1"/>
    <col min="14" max="14" width="9.140625" style="27" customWidth="1"/>
    <col min="15" max="16384" width="9.140625" style="27"/>
  </cols>
  <sheetData>
    <row r="1" spans="1:13" ht="14.25" customHeight="1">
      <c r="A1" s="368" t="str">
        <f>"INCOME TAX CALCULATION FOR FINANCIAL YEAR  "&amp;' Data Form'!C3&amp;' Data Form'!D3  &amp;"  (A.Y."&amp;(' Data Form'!C3+1)&amp;(' Data Form'!D3-1)&amp;")"</f>
        <v>INCOME TAX CALCULATION FOR FINANCIAL YEAR  2025-2026  (A.Y.2026-2027)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ht="12" customHeight="1">
      <c r="A2" s="381" t="s">
        <v>335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</row>
    <row r="3" spans="1:13" ht="12.95" customHeight="1">
      <c r="A3" s="102">
        <v>1</v>
      </c>
      <c r="B3" s="357" t="s">
        <v>220</v>
      </c>
      <c r="C3" s="357"/>
      <c r="D3" s="357"/>
      <c r="E3" s="357"/>
      <c r="F3" s="382" t="str">
        <f>'Salary Report'!$C$2</f>
        <v>AVANISH CHANDRA GUPTA</v>
      </c>
      <c r="G3" s="382"/>
      <c r="H3" s="382"/>
      <c r="I3" s="382"/>
      <c r="J3" s="104" t="s">
        <v>267</v>
      </c>
      <c r="K3" s="383" t="str">
        <f>IF(' Data Form'!$B6="","",' Data Form'!$B6)</f>
        <v>AAAPI9582K</v>
      </c>
      <c r="L3" s="383"/>
      <c r="M3" s="214" t="str">
        <f>' Data Form'!B8</f>
        <v>M</v>
      </c>
    </row>
    <row r="4" spans="1:13" ht="12.95" customHeight="1">
      <c r="A4" s="102"/>
      <c r="B4" s="357" t="s">
        <v>221</v>
      </c>
      <c r="C4" s="357"/>
      <c r="D4" s="357"/>
      <c r="E4" s="357"/>
      <c r="F4" s="348" t="str">
        <f>' Data Form'!B5</f>
        <v>TEACHER LEVEL 2</v>
      </c>
      <c r="G4" s="348"/>
      <c r="H4" s="348"/>
      <c r="I4" s="348"/>
      <c r="J4" s="104" t="s">
        <v>349</v>
      </c>
      <c r="K4" s="331" t="str">
        <f>IF(' Data Form'!D5&gt;0,' Data Form'!D5,"")</f>
        <v>HINDI</v>
      </c>
      <c r="L4" s="331"/>
      <c r="M4" s="104" t="str">
        <f>IF(' Data Form'!H5&gt;0,' Data Form'!H5,"")</f>
        <v/>
      </c>
    </row>
    <row r="5" spans="1:13" ht="12.95" customHeight="1">
      <c r="A5" s="102"/>
      <c r="B5" s="357" t="s">
        <v>23</v>
      </c>
      <c r="C5" s="357"/>
      <c r="D5" s="357"/>
      <c r="E5" s="357"/>
      <c r="F5" s="352" t="str">
        <f>' Data Form'!B7</f>
        <v>GOVT HIGHER SEC SCHOOL RAILA</v>
      </c>
      <c r="G5" s="352"/>
      <c r="H5" s="352"/>
      <c r="I5" s="352"/>
      <c r="J5" s="105" t="s">
        <v>266</v>
      </c>
      <c r="K5" s="331" t="str">
        <f>IF(' Data Form'!$Y24="","",' Data Form'!$Y24)</f>
        <v>JDHG05056C</v>
      </c>
      <c r="L5" s="331"/>
      <c r="M5" s="104"/>
    </row>
    <row r="6" spans="1:13" ht="15.75" customHeight="1">
      <c r="A6" s="102">
        <v>2</v>
      </c>
      <c r="B6" s="357" t="str">
        <f>"INCOME: Gross salary   Year "&amp;' Data Form'!C3&amp;' Data Form'!D3</f>
        <v>INCOME: Gross salary   Year 2025-2026</v>
      </c>
      <c r="C6" s="357"/>
      <c r="D6" s="357"/>
      <c r="E6" s="357"/>
      <c r="F6" s="357"/>
      <c r="G6" s="357"/>
      <c r="H6" s="357"/>
      <c r="I6" s="357"/>
      <c r="J6" s="357"/>
      <c r="K6" s="357"/>
      <c r="L6" s="102" t="s">
        <v>12</v>
      </c>
      <c r="M6" s="106">
        <f>'Salary Report'!$G$25+'Salary Report'!R25</f>
        <v>1725086</v>
      </c>
    </row>
    <row r="7" spans="1:13" ht="12.95" hidden="1" customHeight="1">
      <c r="A7" s="102">
        <v>3</v>
      </c>
      <c r="B7" s="357" t="s">
        <v>160</v>
      </c>
      <c r="C7" s="357"/>
      <c r="D7" s="357"/>
      <c r="E7" s="357"/>
      <c r="F7" s="357"/>
      <c r="G7" s="357"/>
      <c r="H7" s="357"/>
      <c r="I7" s="357"/>
      <c r="J7" s="357"/>
      <c r="K7" s="357"/>
      <c r="L7" s="102" t="s">
        <v>12</v>
      </c>
      <c r="M7" s="56">
        <v>0</v>
      </c>
    </row>
    <row r="8" spans="1:13" ht="12.95" hidden="1" customHeight="1">
      <c r="A8" s="102">
        <v>4</v>
      </c>
      <c r="B8" s="357" t="s">
        <v>193</v>
      </c>
      <c r="C8" s="357"/>
      <c r="D8" s="357"/>
      <c r="E8" s="357"/>
      <c r="F8" s="357"/>
      <c r="G8" s="357"/>
      <c r="H8" s="357"/>
      <c r="I8" s="357"/>
      <c r="J8" s="357"/>
      <c r="K8" s="357"/>
      <c r="L8" s="102" t="s">
        <v>12</v>
      </c>
      <c r="M8" s="56">
        <f>M6-M7</f>
        <v>1725086</v>
      </c>
    </row>
    <row r="9" spans="1:13" ht="12.95" customHeight="1">
      <c r="A9" s="102">
        <v>3</v>
      </c>
      <c r="B9" s="357" t="s">
        <v>331</v>
      </c>
      <c r="C9" s="357"/>
      <c r="D9" s="357"/>
      <c r="E9" s="357"/>
      <c r="F9" s="357"/>
      <c r="G9" s="357"/>
      <c r="H9" s="357"/>
      <c r="I9" s="357"/>
      <c r="J9" s="107">
        <f>IF(M8&gt;75000,75000,M8)</f>
        <v>75000</v>
      </c>
      <c r="K9" s="107">
        <f>IF(J9&gt;75000,75000,J9)</f>
        <v>75000</v>
      </c>
      <c r="L9" s="102" t="s">
        <v>12</v>
      </c>
      <c r="M9" s="56">
        <f>K9</f>
        <v>75000</v>
      </c>
    </row>
    <row r="10" spans="1:13" ht="12.95" customHeight="1">
      <c r="A10" s="102">
        <v>4</v>
      </c>
      <c r="B10" s="357" t="s">
        <v>261</v>
      </c>
      <c r="C10" s="357"/>
      <c r="D10" s="357"/>
      <c r="E10" s="357"/>
      <c r="F10" s="357"/>
      <c r="G10" s="357"/>
      <c r="H10" s="357"/>
      <c r="I10" s="357"/>
      <c r="J10" s="357"/>
      <c r="K10" s="357"/>
      <c r="L10" s="102" t="s">
        <v>12</v>
      </c>
      <c r="M10" s="56">
        <f>M8-M9</f>
        <v>1650086</v>
      </c>
    </row>
    <row r="11" spans="1:13" ht="12.95" customHeight="1">
      <c r="A11" s="102"/>
      <c r="B11" s="102" t="s">
        <v>35</v>
      </c>
      <c r="C11" s="357" t="s">
        <v>37</v>
      </c>
      <c r="D11" s="357"/>
      <c r="E11" s="357"/>
      <c r="F11" s="357"/>
      <c r="G11" s="357"/>
      <c r="H11" s="108">
        <f>' Data Form'!J4</f>
        <v>0</v>
      </c>
      <c r="I11" s="108"/>
      <c r="J11" s="108"/>
      <c r="K11" s="108"/>
      <c r="L11" s="102"/>
      <c r="M11" s="56"/>
    </row>
    <row r="12" spans="1:13" ht="12.95" customHeight="1">
      <c r="A12" s="102">
        <v>5</v>
      </c>
      <c r="B12" s="102" t="s">
        <v>36</v>
      </c>
      <c r="C12" s="357" t="s">
        <v>38</v>
      </c>
      <c r="D12" s="357"/>
      <c r="E12" s="357"/>
      <c r="F12" s="357"/>
      <c r="G12" s="357"/>
      <c r="H12" s="108">
        <f>' Data Form'!J18</f>
        <v>0</v>
      </c>
      <c r="I12" s="366" t="s">
        <v>194</v>
      </c>
      <c r="J12" s="366"/>
      <c r="K12" s="102">
        <f>SUM(H11:H12)</f>
        <v>0</v>
      </c>
      <c r="L12" s="102" t="s">
        <v>12</v>
      </c>
      <c r="M12" s="56">
        <f>K12</f>
        <v>0</v>
      </c>
    </row>
    <row r="13" spans="1:13" ht="12.95" customHeight="1">
      <c r="A13" s="102">
        <v>6</v>
      </c>
      <c r="B13" s="369" t="s">
        <v>248</v>
      </c>
      <c r="C13" s="369"/>
      <c r="D13" s="369"/>
      <c r="E13" s="369"/>
      <c r="F13" s="369"/>
      <c r="G13" s="369"/>
      <c r="H13" s="369"/>
      <c r="I13" s="369"/>
      <c r="J13" s="369"/>
      <c r="K13" s="369"/>
      <c r="L13" s="102" t="s">
        <v>12</v>
      </c>
      <c r="M13" s="56">
        <f>M10-M12</f>
        <v>1650086</v>
      </c>
    </row>
    <row r="14" spans="1:13" ht="12.95" customHeight="1">
      <c r="A14" s="102">
        <v>7</v>
      </c>
      <c r="B14" s="102" t="s">
        <v>13</v>
      </c>
      <c r="C14" s="357" t="s">
        <v>195</v>
      </c>
      <c r="D14" s="357"/>
      <c r="E14" s="357"/>
      <c r="F14" s="357"/>
      <c r="G14" s="357"/>
      <c r="H14" s="102">
        <f>' Data Form'!O30</f>
        <v>0</v>
      </c>
      <c r="I14" s="366" t="s">
        <v>39</v>
      </c>
      <c r="J14" s="366"/>
      <c r="K14" s="102">
        <f>' Data Form'!O31</f>
        <v>0</v>
      </c>
      <c r="L14" s="102"/>
      <c r="M14" s="56"/>
    </row>
    <row r="15" spans="1:13" ht="12.95" customHeight="1">
      <c r="A15" s="102"/>
      <c r="B15" s="102" t="s">
        <v>14</v>
      </c>
      <c r="C15" s="366" t="s">
        <v>198</v>
      </c>
      <c r="D15" s="366"/>
      <c r="E15" s="109" t="s">
        <v>40</v>
      </c>
      <c r="F15" s="102"/>
      <c r="G15" s="102"/>
      <c r="H15" s="102" t="s">
        <v>41</v>
      </c>
      <c r="I15" s="102" t="s">
        <v>5</v>
      </c>
      <c r="J15" s="110"/>
      <c r="K15" s="102"/>
      <c r="L15" s="102"/>
      <c r="M15" s="56"/>
    </row>
    <row r="16" spans="1:13" ht="12.95" customHeight="1">
      <c r="A16" s="102"/>
      <c r="B16" s="102"/>
      <c r="C16" s="365">
        <v>0</v>
      </c>
      <c r="D16" s="365"/>
      <c r="E16" s="111" t="e">
        <f>'Salary Report'!#REF!+' Data Form'!D21</f>
        <v>#REF!</v>
      </c>
      <c r="F16" s="362">
        <v>0</v>
      </c>
      <c r="G16" s="362"/>
      <c r="H16" s="102"/>
      <c r="I16" s="108">
        <f>SUM(C16,F16,H16)</f>
        <v>0</v>
      </c>
      <c r="J16" s="112" t="s">
        <v>196</v>
      </c>
      <c r="K16" s="112"/>
      <c r="L16" s="102" t="s">
        <v>12</v>
      </c>
      <c r="M16" s="56">
        <f>K14-I16</f>
        <v>0</v>
      </c>
    </row>
    <row r="17" spans="1:13" ht="12.95" customHeight="1">
      <c r="A17" s="102">
        <v>8</v>
      </c>
      <c r="B17" s="367" t="s">
        <v>197</v>
      </c>
      <c r="C17" s="367"/>
      <c r="D17" s="367"/>
      <c r="E17" s="367"/>
      <c r="F17" s="367"/>
      <c r="G17" s="367"/>
      <c r="H17" s="367"/>
      <c r="I17" s="367"/>
      <c r="J17" s="367"/>
      <c r="K17" s="367"/>
      <c r="L17" s="102" t="s">
        <v>12</v>
      </c>
      <c r="M17" s="56">
        <f>M13+M16</f>
        <v>1650086</v>
      </c>
    </row>
    <row r="18" spans="1:13" ht="12.95" customHeight="1">
      <c r="A18" s="102">
        <v>9</v>
      </c>
      <c r="B18" s="366" t="s">
        <v>322</v>
      </c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113">
        <f>' Data Form'!O35+' Data Form'!O34+' Data Form'!O33</f>
        <v>0</v>
      </c>
    </row>
    <row r="19" spans="1:13" ht="12.95" customHeight="1">
      <c r="A19" s="102">
        <v>10</v>
      </c>
      <c r="B19" s="359" t="s">
        <v>237</v>
      </c>
      <c r="C19" s="359"/>
      <c r="D19" s="359"/>
      <c r="E19" s="359"/>
      <c r="F19" s="359"/>
      <c r="G19" s="359"/>
      <c r="H19" s="359"/>
      <c r="I19" s="359"/>
      <c r="J19" s="359"/>
      <c r="K19" s="359"/>
      <c r="L19" s="102" t="s">
        <v>12</v>
      </c>
      <c r="M19" s="56">
        <f>M17+M18</f>
        <v>1650086</v>
      </c>
    </row>
    <row r="20" spans="1:13" ht="12.95" customHeight="1">
      <c r="A20" s="102">
        <v>11</v>
      </c>
      <c r="B20" s="366" t="s">
        <v>238</v>
      </c>
      <c r="C20" s="366"/>
      <c r="D20" s="366"/>
      <c r="E20" s="366"/>
      <c r="F20" s="366"/>
      <c r="G20" s="366"/>
      <c r="H20" s="366"/>
      <c r="I20" s="366"/>
      <c r="J20" s="366"/>
      <c r="K20" s="366"/>
      <c r="L20" s="366"/>
      <c r="M20" s="56"/>
    </row>
    <row r="21" spans="1:13" ht="12.95" customHeight="1">
      <c r="A21" s="102"/>
      <c r="B21" s="370" t="s">
        <v>231</v>
      </c>
      <c r="C21" s="376" t="s">
        <v>239</v>
      </c>
      <c r="D21" s="376"/>
      <c r="E21" s="376"/>
      <c r="F21" s="376"/>
      <c r="G21" s="376"/>
      <c r="H21" s="376"/>
      <c r="I21" s="376"/>
      <c r="J21" s="376"/>
      <c r="K21" s="376"/>
      <c r="L21" s="158"/>
      <c r="M21" s="56"/>
    </row>
    <row r="22" spans="1:13" ht="12.95" customHeight="1">
      <c r="A22" s="356"/>
      <c r="B22" s="370"/>
      <c r="C22" s="109" t="s">
        <v>35</v>
      </c>
      <c r="D22" s="115" t="s">
        <v>257</v>
      </c>
      <c r="E22" s="116" t="s">
        <v>12</v>
      </c>
      <c r="F22" s="109">
        <v>0</v>
      </c>
      <c r="G22" s="115" t="s">
        <v>49</v>
      </c>
      <c r="H22" s="364" t="s">
        <v>53</v>
      </c>
      <c r="I22" s="364"/>
      <c r="J22" s="115" t="s">
        <v>12</v>
      </c>
      <c r="K22" s="109">
        <v>0</v>
      </c>
      <c r="L22" s="102"/>
      <c r="M22" s="378">
        <v>0</v>
      </c>
    </row>
    <row r="23" spans="1:13" ht="12.95" customHeight="1">
      <c r="A23" s="356"/>
      <c r="B23" s="370"/>
      <c r="C23" s="109" t="s">
        <v>36</v>
      </c>
      <c r="D23" s="115" t="s">
        <v>242</v>
      </c>
      <c r="E23" s="116" t="s">
        <v>12</v>
      </c>
      <c r="F23" s="109">
        <v>0</v>
      </c>
      <c r="G23" s="115" t="s">
        <v>50</v>
      </c>
      <c r="H23" s="364" t="s">
        <v>167</v>
      </c>
      <c r="I23" s="364"/>
      <c r="J23" s="115" t="s">
        <v>12</v>
      </c>
      <c r="K23" s="109">
        <v>0</v>
      </c>
      <c r="L23" s="102"/>
      <c r="M23" s="378"/>
    </row>
    <row r="24" spans="1:13" ht="12.95" customHeight="1">
      <c r="A24" s="356"/>
      <c r="B24" s="370"/>
      <c r="C24" s="109" t="s">
        <v>42</v>
      </c>
      <c r="D24" s="115" t="s">
        <v>1</v>
      </c>
      <c r="E24" s="116" t="s">
        <v>12</v>
      </c>
      <c r="F24" s="109">
        <v>0</v>
      </c>
      <c r="G24" s="115" t="s">
        <v>51</v>
      </c>
      <c r="H24" s="364" t="s">
        <v>243</v>
      </c>
      <c r="I24" s="364"/>
      <c r="J24" s="115" t="s">
        <v>12</v>
      </c>
      <c r="K24" s="109">
        <v>0</v>
      </c>
      <c r="L24" s="102"/>
      <c r="M24" s="378"/>
    </row>
    <row r="25" spans="1:13" ht="12.95" customHeight="1">
      <c r="A25" s="356"/>
      <c r="B25" s="370"/>
      <c r="C25" s="109" t="s">
        <v>43</v>
      </c>
      <c r="D25" s="115" t="s">
        <v>304</v>
      </c>
      <c r="E25" s="116" t="s">
        <v>12</v>
      </c>
      <c r="F25" s="117">
        <v>0</v>
      </c>
      <c r="G25" s="115" t="s">
        <v>52</v>
      </c>
      <c r="H25" s="364" t="s">
        <v>21</v>
      </c>
      <c r="I25" s="364"/>
      <c r="J25" s="115" t="s">
        <v>12</v>
      </c>
      <c r="K25" s="109">
        <v>0</v>
      </c>
      <c r="L25" s="102"/>
      <c r="M25" s="378"/>
    </row>
    <row r="26" spans="1:13" ht="12.95" customHeight="1">
      <c r="A26" s="356"/>
      <c r="B26" s="370"/>
      <c r="C26" s="109" t="s">
        <v>44</v>
      </c>
      <c r="D26" s="115" t="s">
        <v>188</v>
      </c>
      <c r="E26" s="116" t="s">
        <v>12</v>
      </c>
      <c r="F26" s="109">
        <v>0</v>
      </c>
      <c r="G26" s="115" t="s">
        <v>216</v>
      </c>
      <c r="H26" s="364" t="s">
        <v>320</v>
      </c>
      <c r="I26" s="364"/>
      <c r="J26" s="115" t="s">
        <v>12</v>
      </c>
      <c r="K26" s="109">
        <v>0</v>
      </c>
      <c r="L26" s="102"/>
      <c r="M26" s="378"/>
    </row>
    <row r="27" spans="1:13" ht="12.95" customHeight="1">
      <c r="A27" s="356"/>
      <c r="B27" s="370"/>
      <c r="C27" s="109" t="s">
        <v>45</v>
      </c>
      <c r="D27" s="115" t="s">
        <v>20</v>
      </c>
      <c r="E27" s="116" t="s">
        <v>12</v>
      </c>
      <c r="F27" s="109">
        <v>0</v>
      </c>
      <c r="G27" s="109" t="s">
        <v>210</v>
      </c>
      <c r="H27" s="118" t="s">
        <v>240</v>
      </c>
      <c r="I27" s="119"/>
      <c r="J27" s="115" t="s">
        <v>12</v>
      </c>
      <c r="K27" s="120">
        <v>0</v>
      </c>
      <c r="L27" s="102"/>
      <c r="M27" s="378"/>
    </row>
    <row r="28" spans="1:13" ht="12.75" customHeight="1">
      <c r="A28" s="356"/>
      <c r="B28" s="370"/>
      <c r="C28" s="109" t="s">
        <v>46</v>
      </c>
      <c r="D28" s="115" t="s">
        <v>2</v>
      </c>
      <c r="E28" s="116" t="s">
        <v>12</v>
      </c>
      <c r="F28" s="109">
        <v>0</v>
      </c>
      <c r="G28" s="109" t="s">
        <v>227</v>
      </c>
      <c r="H28" s="121" t="s">
        <v>211</v>
      </c>
      <c r="I28" s="121" t="str">
        <f>IF(' Data Form'!B23&gt;0,' Data Form'!B23,"")</f>
        <v/>
      </c>
      <c r="J28" s="115" t="s">
        <v>12</v>
      </c>
      <c r="K28" s="122">
        <v>0</v>
      </c>
      <c r="L28" s="102"/>
      <c r="M28" s="378"/>
    </row>
    <row r="29" spans="1:13" ht="15.75" customHeight="1">
      <c r="A29" s="356"/>
      <c r="B29" s="370"/>
      <c r="C29" s="109" t="s">
        <v>47</v>
      </c>
      <c r="D29" s="123" t="s">
        <v>241</v>
      </c>
      <c r="E29" s="116" t="s">
        <v>12</v>
      </c>
      <c r="F29" s="109">
        <v>0</v>
      </c>
      <c r="G29" s="363" t="s">
        <v>264</v>
      </c>
      <c r="H29" s="363"/>
      <c r="I29" s="363"/>
      <c r="J29" s="115" t="s">
        <v>12</v>
      </c>
      <c r="K29" s="124">
        <v>0</v>
      </c>
      <c r="L29" s="102"/>
      <c r="M29" s="378"/>
    </row>
    <row r="30" spans="1:13" ht="15">
      <c r="A30" s="356"/>
      <c r="B30" s="370"/>
      <c r="C30" s="109" t="s">
        <v>48</v>
      </c>
      <c r="D30" s="125" t="s">
        <v>249</v>
      </c>
      <c r="E30" s="159" t="s">
        <v>12</v>
      </c>
      <c r="F30" s="126">
        <v>0</v>
      </c>
      <c r="G30" s="363" t="s">
        <v>265</v>
      </c>
      <c r="H30" s="363"/>
      <c r="I30" s="363"/>
      <c r="J30" s="363"/>
      <c r="K30" s="363"/>
      <c r="L30" s="102" t="s">
        <v>12</v>
      </c>
      <c r="M30" s="378"/>
    </row>
    <row r="31" spans="1:13" ht="12.75" customHeight="1">
      <c r="A31" s="102"/>
      <c r="B31" s="127" t="s">
        <v>232</v>
      </c>
      <c r="C31" s="374" t="s">
        <v>258</v>
      </c>
      <c r="D31" s="374"/>
      <c r="E31" s="374"/>
      <c r="F31" s="374"/>
      <c r="G31" s="374"/>
      <c r="H31" s="374"/>
      <c r="I31" s="374"/>
      <c r="J31" s="374"/>
      <c r="K31" s="374"/>
      <c r="L31" s="56"/>
      <c r="M31" s="88">
        <v>0</v>
      </c>
    </row>
    <row r="32" spans="1:13" s="160" customFormat="1" ht="11.25" customHeight="1">
      <c r="A32" s="108"/>
      <c r="B32" s="126"/>
      <c r="C32" s="379" t="s">
        <v>212</v>
      </c>
      <c r="D32" s="379"/>
      <c r="E32" s="379"/>
      <c r="F32" s="379"/>
      <c r="G32" s="379"/>
      <c r="H32" s="379"/>
      <c r="I32" s="379"/>
      <c r="J32" s="379"/>
      <c r="K32" s="89" t="s">
        <v>181</v>
      </c>
      <c r="L32" s="89" t="s">
        <v>182</v>
      </c>
      <c r="M32" s="103"/>
    </row>
    <row r="33" spans="1:13" ht="12.95" customHeight="1">
      <c r="A33" s="108">
        <v>12</v>
      </c>
      <c r="B33" s="112" t="s">
        <v>175</v>
      </c>
      <c r="C33" s="112"/>
      <c r="D33" s="112"/>
      <c r="E33" s="112"/>
      <c r="F33" s="112"/>
      <c r="G33" s="127"/>
      <c r="H33" s="127"/>
      <c r="I33" s="121" t="s">
        <v>168</v>
      </c>
      <c r="J33" s="115" t="s">
        <v>12</v>
      </c>
      <c r="K33" s="115">
        <v>0</v>
      </c>
      <c r="L33" s="115" t="s">
        <v>12</v>
      </c>
      <c r="M33" s="131">
        <v>0</v>
      </c>
    </row>
    <row r="34" spans="1:13" ht="12.95" customHeight="1">
      <c r="A34" s="108">
        <v>13</v>
      </c>
      <c r="B34" s="112" t="s">
        <v>176</v>
      </c>
      <c r="C34" s="112"/>
      <c r="D34" s="112"/>
      <c r="E34" s="112"/>
      <c r="F34" s="112"/>
      <c r="G34" s="127"/>
      <c r="H34" s="127"/>
      <c r="I34" s="121" t="s">
        <v>169</v>
      </c>
      <c r="J34" s="115" t="s">
        <v>12</v>
      </c>
      <c r="K34" s="115">
        <v>0</v>
      </c>
      <c r="L34" s="115" t="s">
        <v>12</v>
      </c>
      <c r="M34" s="131">
        <v>0</v>
      </c>
    </row>
    <row r="35" spans="1:13" ht="12.95" customHeight="1">
      <c r="A35" s="108">
        <v>14</v>
      </c>
      <c r="B35" s="123" t="s">
        <v>179</v>
      </c>
      <c r="C35" s="123"/>
      <c r="D35" s="123"/>
      <c r="E35" s="123"/>
      <c r="F35" s="123"/>
      <c r="G35" s="127"/>
      <c r="H35" s="127"/>
      <c r="I35" s="121" t="s">
        <v>170</v>
      </c>
      <c r="J35" s="115" t="s">
        <v>12</v>
      </c>
      <c r="K35" s="115">
        <v>0</v>
      </c>
      <c r="L35" s="115" t="s">
        <v>12</v>
      </c>
      <c r="M35" s="131">
        <v>0</v>
      </c>
    </row>
    <row r="36" spans="1:13" ht="12.95" customHeight="1">
      <c r="A36" s="108">
        <v>15</v>
      </c>
      <c r="B36" s="112" t="s">
        <v>178</v>
      </c>
      <c r="C36" s="112"/>
      <c r="D36" s="112"/>
      <c r="E36" s="112"/>
      <c r="F36" s="112"/>
      <c r="G36" s="127"/>
      <c r="H36" s="127"/>
      <c r="I36" s="121" t="s">
        <v>171</v>
      </c>
      <c r="J36" s="115" t="s">
        <v>12</v>
      </c>
      <c r="K36" s="115">
        <v>0</v>
      </c>
      <c r="L36" s="115" t="s">
        <v>12</v>
      </c>
      <c r="M36" s="131">
        <v>0</v>
      </c>
    </row>
    <row r="37" spans="1:13" ht="12.95" customHeight="1">
      <c r="A37" s="108">
        <v>16</v>
      </c>
      <c r="B37" s="112" t="s">
        <v>259</v>
      </c>
      <c r="C37" s="112"/>
      <c r="D37" s="112"/>
      <c r="E37" s="112"/>
      <c r="F37" s="112"/>
      <c r="G37" s="127"/>
      <c r="H37" s="127"/>
      <c r="I37" s="121" t="s">
        <v>172</v>
      </c>
      <c r="J37" s="115" t="s">
        <v>12</v>
      </c>
      <c r="K37" s="115">
        <v>0</v>
      </c>
      <c r="L37" s="115" t="s">
        <v>12</v>
      </c>
      <c r="M37" s="131">
        <v>0</v>
      </c>
    </row>
    <row r="38" spans="1:13" ht="12.95" customHeight="1">
      <c r="A38" s="108">
        <v>17</v>
      </c>
      <c r="B38" s="112" t="s">
        <v>183</v>
      </c>
      <c r="C38" s="112"/>
      <c r="D38" s="112"/>
      <c r="E38" s="112"/>
      <c r="F38" s="112"/>
      <c r="G38" s="127"/>
      <c r="H38" s="127"/>
      <c r="I38" s="121" t="s">
        <v>173</v>
      </c>
      <c r="J38" s="115" t="s">
        <v>12</v>
      </c>
      <c r="K38" s="115">
        <v>0</v>
      </c>
      <c r="L38" s="115" t="s">
        <v>12</v>
      </c>
      <c r="M38" s="131">
        <v>0</v>
      </c>
    </row>
    <row r="39" spans="1:13" ht="12.95" customHeight="1">
      <c r="A39" s="108">
        <v>18</v>
      </c>
      <c r="B39" s="112" t="s">
        <v>245</v>
      </c>
      <c r="C39" s="112"/>
      <c r="D39" s="112"/>
      <c r="E39" s="112"/>
      <c r="F39" s="112"/>
      <c r="G39" s="127"/>
      <c r="H39" s="127"/>
      <c r="I39" s="121" t="s">
        <v>244</v>
      </c>
      <c r="J39" s="115" t="s">
        <v>12</v>
      </c>
      <c r="K39" s="115">
        <v>0</v>
      </c>
      <c r="L39" s="115" t="s">
        <v>12</v>
      </c>
      <c r="M39" s="131">
        <v>0</v>
      </c>
    </row>
    <row r="40" spans="1:13" ht="12.95" customHeight="1">
      <c r="A40" s="108">
        <v>19</v>
      </c>
      <c r="B40" s="112" t="s">
        <v>177</v>
      </c>
      <c r="C40" s="112"/>
      <c r="D40" s="112"/>
      <c r="E40" s="112"/>
      <c r="F40" s="112"/>
      <c r="G40" s="127"/>
      <c r="H40" s="127"/>
      <c r="I40" s="121" t="s">
        <v>174</v>
      </c>
      <c r="J40" s="115" t="s">
        <v>12</v>
      </c>
      <c r="K40" s="115">
        <v>0</v>
      </c>
      <c r="L40" s="115" t="s">
        <v>12</v>
      </c>
      <c r="M40" s="131">
        <v>0</v>
      </c>
    </row>
    <row r="41" spans="1:13" ht="12.95" customHeight="1">
      <c r="A41" s="102">
        <v>20</v>
      </c>
      <c r="B41" s="375" t="s">
        <v>213</v>
      </c>
      <c r="C41" s="375"/>
      <c r="D41" s="375"/>
      <c r="E41" s="375"/>
      <c r="F41" s="375"/>
      <c r="G41" s="375"/>
      <c r="H41" s="375"/>
      <c r="I41" s="375"/>
      <c r="J41" s="375"/>
      <c r="K41" s="375"/>
      <c r="L41" s="115" t="s">
        <v>12</v>
      </c>
      <c r="M41" s="56">
        <f>SUM(M33:M40)</f>
        <v>0</v>
      </c>
    </row>
    <row r="42" spans="1:13" ht="12.95" customHeight="1">
      <c r="A42" s="102"/>
      <c r="B42" s="373" t="s">
        <v>214</v>
      </c>
      <c r="C42" s="373"/>
      <c r="D42" s="373"/>
      <c r="E42" s="373"/>
      <c r="F42" s="373"/>
      <c r="G42" s="373"/>
      <c r="H42" s="373"/>
      <c r="I42" s="373"/>
      <c r="J42" s="373"/>
      <c r="K42" s="373"/>
      <c r="L42" s="115" t="s">
        <v>12</v>
      </c>
      <c r="M42" s="56">
        <f>M22+M31+M41</f>
        <v>0</v>
      </c>
    </row>
    <row r="43" spans="1:13" ht="12.95" customHeight="1">
      <c r="A43" s="102">
        <v>21</v>
      </c>
      <c r="B43" s="359" t="s">
        <v>185</v>
      </c>
      <c r="C43" s="359"/>
      <c r="D43" s="359"/>
      <c r="E43" s="359"/>
      <c r="F43" s="359"/>
      <c r="G43" s="359"/>
      <c r="H43" s="359"/>
      <c r="I43" s="359"/>
      <c r="J43" s="359"/>
      <c r="K43" s="359"/>
      <c r="L43" s="115" t="s">
        <v>12</v>
      </c>
      <c r="M43" s="56">
        <f>M19-M42</f>
        <v>1650086</v>
      </c>
    </row>
    <row r="44" spans="1:13" ht="12.95" customHeight="1">
      <c r="A44" s="102"/>
      <c r="B44" s="359" t="s">
        <v>184</v>
      </c>
      <c r="C44" s="359"/>
      <c r="D44" s="359"/>
      <c r="E44" s="359"/>
      <c r="F44" s="359"/>
      <c r="G44" s="359"/>
      <c r="H44" s="359"/>
      <c r="I44" s="359"/>
      <c r="J44" s="359"/>
      <c r="K44" s="359"/>
      <c r="L44" s="115"/>
      <c r="M44" s="56">
        <f>ROUND(M43,-1)</f>
        <v>1650090</v>
      </c>
    </row>
    <row r="45" spans="1:13" ht="11.25" customHeight="1">
      <c r="A45" s="102">
        <v>22</v>
      </c>
      <c r="B45" s="377" t="s">
        <v>15</v>
      </c>
      <c r="C45" s="377"/>
      <c r="D45" s="377"/>
      <c r="E45" s="377"/>
      <c r="F45" s="377"/>
      <c r="G45" s="377"/>
      <c r="H45" s="377"/>
      <c r="I45" s="377"/>
      <c r="J45" s="377"/>
      <c r="K45" s="377"/>
      <c r="L45" s="102"/>
      <c r="M45" s="56"/>
    </row>
    <row r="46" spans="1:13" ht="12.95" customHeight="1">
      <c r="A46" s="102"/>
      <c r="B46" s="109" t="s">
        <v>16</v>
      </c>
      <c r="C46" s="357" t="str">
        <f>"Where the total income does not exceed Rs."&amp;K46</f>
        <v>Where the total income does not exceed Rs.400000</v>
      </c>
      <c r="D46" s="357"/>
      <c r="E46" s="357"/>
      <c r="F46" s="357"/>
      <c r="G46" s="357"/>
      <c r="H46" s="357"/>
      <c r="I46" s="357"/>
      <c r="J46" s="357"/>
      <c r="K46" s="132">
        <f>IF(M3="M",400000,IF(M3="F",400000,"?????"))</f>
        <v>400000</v>
      </c>
      <c r="L46" s="102" t="s">
        <v>12</v>
      </c>
      <c r="M46" s="56">
        <v>0</v>
      </c>
    </row>
    <row r="47" spans="1:13" ht="12.95" customHeight="1">
      <c r="A47" s="102"/>
      <c r="B47" s="109" t="s">
        <v>17</v>
      </c>
      <c r="C47" s="357" t="str">
        <f>"Where the total income  exceed Rs. "&amp;K46&amp;" but does not exceeds Rs. 800000 @ 5%"</f>
        <v>Where the total income  exceed Rs. 400000 but does not exceeds Rs. 800000 @ 5%</v>
      </c>
      <c r="D47" s="357"/>
      <c r="E47" s="357"/>
      <c r="F47" s="357"/>
      <c r="G47" s="357"/>
      <c r="H47" s="357"/>
      <c r="I47" s="357"/>
      <c r="J47" s="357"/>
      <c r="K47" s="357"/>
      <c r="L47" s="102" t="s">
        <v>12</v>
      </c>
      <c r="M47" s="56">
        <f>ROUND(IF(M3="M",IF(AND(M44&lt;=800000,(M44-400000)&gt;0),(M44-400000)*5%,IF(M44&gt;800000,20000,0)),IF(M3="F",IF(AND(M44&lt;=800000,(M44-400000)&gt;0),(M44-400000)*5%,IF(M44&gt;400000,20000,0)),"Insert Sex M or F")),0)</f>
        <v>20000</v>
      </c>
    </row>
    <row r="48" spans="1:13" ht="12.95" customHeight="1">
      <c r="A48" s="102"/>
      <c r="B48" s="109" t="s">
        <v>42</v>
      </c>
      <c r="C48" s="357" t="str">
        <f>"Where the total income  exceed Rs. 800000 but does not exceeds Rs. 1200000 @ 10%"</f>
        <v>Where the total income  exceed Rs. 800000 but does not exceeds Rs. 1200000 @ 10%</v>
      </c>
      <c r="D48" s="357"/>
      <c r="E48" s="357"/>
      <c r="F48" s="357"/>
      <c r="G48" s="357"/>
      <c r="H48" s="357"/>
      <c r="I48" s="357"/>
      <c r="J48" s="357"/>
      <c r="K48" s="357"/>
      <c r="L48" s="102"/>
      <c r="M48" s="56">
        <f>ROUND(IF(AND(M44&gt;=800000,M44&lt;=1200000),(M44-800000)*10%,IF(M44&gt;1200000,40000,0)),0)</f>
        <v>40000</v>
      </c>
    </row>
    <row r="49" spans="1:14" ht="12.95" customHeight="1">
      <c r="A49" s="102"/>
      <c r="B49" s="109" t="s">
        <v>19</v>
      </c>
      <c r="C49" s="357" t="s">
        <v>338</v>
      </c>
      <c r="D49" s="357"/>
      <c r="E49" s="357"/>
      <c r="F49" s="357"/>
      <c r="G49" s="357"/>
      <c r="H49" s="357"/>
      <c r="I49" s="357"/>
      <c r="J49" s="357"/>
      <c r="K49" s="357"/>
      <c r="L49" s="102" t="s">
        <v>12</v>
      </c>
      <c r="M49" s="56">
        <f>ROUND(IF(AND(M44&gt;=1200000,M44&lt;=1600000),(M44-1200000)*15%,IF(M44&gt;1600000,60000,0)),0)</f>
        <v>60000</v>
      </c>
    </row>
    <row r="50" spans="1:14" ht="12.75" customHeight="1">
      <c r="A50" s="102"/>
      <c r="B50" s="109" t="s">
        <v>44</v>
      </c>
      <c r="C50" s="357" t="s">
        <v>339</v>
      </c>
      <c r="D50" s="357"/>
      <c r="E50" s="357"/>
      <c r="F50" s="357"/>
      <c r="G50" s="357"/>
      <c r="H50" s="357"/>
      <c r="I50" s="357"/>
      <c r="J50" s="357"/>
      <c r="K50" s="357"/>
      <c r="L50" s="102"/>
      <c r="M50" s="56">
        <f>ROUND(IF(AND(M44&gt;=1600000,M44&lt;=2000000),(M44-1600000)*20%,IF(M44&gt;2000000,80000,0)),0)</f>
        <v>10018</v>
      </c>
    </row>
    <row r="51" spans="1:14" ht="12.95" customHeight="1">
      <c r="A51" s="102"/>
      <c r="B51" s="109" t="s">
        <v>45</v>
      </c>
      <c r="C51" s="357" t="s">
        <v>340</v>
      </c>
      <c r="D51" s="357"/>
      <c r="E51" s="357"/>
      <c r="F51" s="357"/>
      <c r="G51" s="357"/>
      <c r="H51" s="357"/>
      <c r="I51" s="357"/>
      <c r="J51" s="357"/>
      <c r="K51" s="357"/>
      <c r="L51" s="102"/>
      <c r="M51" s="200">
        <f>ROUND(IF(AND(M44&gt;=2000000,M44&lt;=2400000),(M44-2000000)*25%,IF(M44&gt;2400000,100000,0)),0)</f>
        <v>0</v>
      </c>
    </row>
    <row r="52" spans="1:14" ht="12.95" customHeight="1">
      <c r="A52" s="102"/>
      <c r="B52" s="109" t="s">
        <v>46</v>
      </c>
      <c r="C52" s="357" t="s">
        <v>341</v>
      </c>
      <c r="D52" s="357"/>
      <c r="E52" s="357"/>
      <c r="F52" s="357"/>
      <c r="G52" s="357"/>
      <c r="H52" s="357"/>
      <c r="I52" s="357"/>
      <c r="J52" s="357"/>
      <c r="K52" s="357"/>
      <c r="L52" s="102" t="s">
        <v>12</v>
      </c>
      <c r="M52" s="56">
        <f>IF(M44&gt;2400000,(M44-2400000)*30%,0)</f>
        <v>0</v>
      </c>
    </row>
    <row r="53" spans="1:14" ht="12.95" customHeight="1">
      <c r="A53" s="102"/>
      <c r="B53" s="27" t="s">
        <v>47</v>
      </c>
      <c r="C53" s="102" t="s">
        <v>343</v>
      </c>
      <c r="D53" s="207"/>
      <c r="E53" s="207"/>
      <c r="F53" s="207"/>
      <c r="G53" s="207"/>
      <c r="H53" s="133"/>
      <c r="I53" s="133">
        <f>M47+M48</f>
        <v>60000</v>
      </c>
      <c r="J53" s="210">
        <f>IF(I53&gt;0,I53,0)</f>
        <v>60000</v>
      </c>
      <c r="K53" s="210">
        <f>IF(M44&lt;=1200000,J53,0)</f>
        <v>0</v>
      </c>
      <c r="L53" s="102"/>
      <c r="M53" s="208">
        <f>K53</f>
        <v>0</v>
      </c>
    </row>
    <row r="54" spans="1:14" ht="12.95" customHeight="1">
      <c r="A54" s="102">
        <v>23</v>
      </c>
      <c r="B54" s="102" t="s">
        <v>13</v>
      </c>
      <c r="C54" s="359" t="s">
        <v>342</v>
      </c>
      <c r="D54" s="359"/>
      <c r="E54" s="359"/>
      <c r="F54" s="359"/>
      <c r="G54" s="359"/>
      <c r="H54" s="359"/>
      <c r="I54" s="359"/>
      <c r="J54" s="359"/>
      <c r="K54" s="359"/>
      <c r="L54" s="102"/>
      <c r="M54" s="208">
        <f>(M46+M47+M48+M49+M50+M51+M52-M53)</f>
        <v>130018</v>
      </c>
    </row>
    <row r="55" spans="1:14" ht="12.95" customHeight="1">
      <c r="A55" s="102"/>
      <c r="B55" s="102" t="s">
        <v>3</v>
      </c>
      <c r="C55" s="135" t="s">
        <v>330</v>
      </c>
      <c r="D55" s="135"/>
      <c r="E55" s="135"/>
      <c r="F55" s="135"/>
      <c r="G55" s="135"/>
      <c r="H55" s="135"/>
      <c r="I55" s="136">
        <f>M43</f>
        <v>1650086</v>
      </c>
      <c r="J55" s="136"/>
      <c r="K55" s="136">
        <f>IF(I55&gt;1000000,I55,0)</f>
        <v>1650086</v>
      </c>
      <c r="L55" s="102" t="s">
        <v>12</v>
      </c>
      <c r="M55" s="56">
        <f>IF(M44&gt;5000000,(M44)*10%,0)</f>
        <v>0</v>
      </c>
    </row>
    <row r="56" spans="1:14" ht="12.95" customHeight="1">
      <c r="A56" s="102"/>
      <c r="B56" s="102" t="s">
        <v>251</v>
      </c>
      <c r="C56" s="358" t="s">
        <v>250</v>
      </c>
      <c r="D56" s="358"/>
      <c r="E56" s="358"/>
      <c r="F56" s="358"/>
      <c r="G56" s="358"/>
      <c r="H56" s="358"/>
      <c r="I56" s="358"/>
      <c r="J56" s="358"/>
      <c r="K56" s="358"/>
      <c r="L56" s="102" t="s">
        <v>12</v>
      </c>
      <c r="M56" s="56">
        <f>ROUND((M54+M55)*4%,0)</f>
        <v>5201</v>
      </c>
    </row>
    <row r="57" spans="1:14" ht="12.95" customHeight="1">
      <c r="A57" s="102">
        <v>2</v>
      </c>
      <c r="B57" s="352" t="s">
        <v>215</v>
      </c>
      <c r="C57" s="352"/>
      <c r="D57" s="352"/>
      <c r="E57" s="352"/>
      <c r="F57" s="352"/>
      <c r="G57" s="352"/>
      <c r="H57" s="352"/>
      <c r="I57" s="352"/>
      <c r="J57" s="352"/>
      <c r="K57" s="352"/>
      <c r="L57" s="102" t="s">
        <v>12</v>
      </c>
      <c r="M57" s="56">
        <f>M54+M55+M56</f>
        <v>135219</v>
      </c>
    </row>
    <row r="58" spans="1:14" ht="12.95" customHeight="1">
      <c r="A58" s="102">
        <v>25</v>
      </c>
      <c r="B58" s="352" t="s">
        <v>186</v>
      </c>
      <c r="C58" s="352"/>
      <c r="D58" s="352"/>
      <c r="E58" s="352"/>
      <c r="F58" s="352"/>
      <c r="G58" s="352"/>
      <c r="H58" s="352"/>
      <c r="I58" s="352"/>
      <c r="J58" s="352"/>
      <c r="K58" s="352"/>
      <c r="L58" s="102"/>
      <c r="M58" s="137">
        <f>' Data Form'!O27</f>
        <v>0</v>
      </c>
    </row>
    <row r="59" spans="1:14" ht="12.95" customHeight="1">
      <c r="A59" s="102">
        <v>26</v>
      </c>
      <c r="B59" s="352" t="s">
        <v>187</v>
      </c>
      <c r="C59" s="352"/>
      <c r="D59" s="352"/>
      <c r="E59" s="352"/>
      <c r="F59" s="352"/>
      <c r="G59" s="352"/>
      <c r="H59" s="352"/>
      <c r="I59" s="352"/>
      <c r="J59" s="352"/>
      <c r="K59" s="352"/>
      <c r="L59" s="102"/>
      <c r="M59" s="56">
        <f>M57-M58</f>
        <v>135219</v>
      </c>
    </row>
    <row r="60" spans="1:14" ht="12.95" customHeight="1">
      <c r="A60" s="102">
        <v>27</v>
      </c>
      <c r="B60" s="352" t="s">
        <v>218</v>
      </c>
      <c r="C60" s="352"/>
      <c r="D60" s="352"/>
      <c r="E60" s="352"/>
      <c r="F60" s="352"/>
      <c r="G60" s="352"/>
      <c r="H60" s="352"/>
      <c r="I60" s="352"/>
      <c r="J60" s="352"/>
      <c r="K60" s="352"/>
      <c r="L60" s="102"/>
      <c r="M60" s="56"/>
    </row>
    <row r="61" spans="1:14" ht="12.95" customHeight="1">
      <c r="A61" s="102"/>
      <c r="B61" s="102"/>
      <c r="C61" s="108" t="str">
        <f>"Sept. "&amp;' Data Form'!C3</f>
        <v>Sept. 2025</v>
      </c>
      <c r="D61" s="108"/>
      <c r="E61" s="356" t="str">
        <f>" Dec. "&amp;' Data Form'!C3</f>
        <v xml:space="preserve"> Dec. 2025</v>
      </c>
      <c r="F61" s="356"/>
      <c r="G61" s="356" t="str">
        <f>" Jan."&amp;(' Data Form'!C3+1)</f>
        <v xml:space="preserve"> Jan.2026</v>
      </c>
      <c r="H61" s="356"/>
      <c r="I61" s="108" t="str">
        <f>" Feb. "&amp;(' Data Form'!C3+1)</f>
        <v xml:space="preserve"> Feb. 2026</v>
      </c>
      <c r="J61" s="356" t="s">
        <v>217</v>
      </c>
      <c r="K61" s="356"/>
      <c r="L61" s="108"/>
      <c r="M61" s="103"/>
      <c r="N61" s="33"/>
    </row>
    <row r="62" spans="1:14" ht="12.95" customHeight="1">
      <c r="A62" s="102"/>
      <c r="B62" s="102"/>
      <c r="C62" s="355">
        <f>SUM('Salary Report'!$S$5:$S$11)</f>
        <v>56000</v>
      </c>
      <c r="D62" s="355"/>
      <c r="E62" s="355">
        <f>SUM('Salary Report'!$S$5:$S$14)+'Salary Report'!S21</f>
        <v>80000</v>
      </c>
      <c r="F62" s="355"/>
      <c r="G62" s="355">
        <f>SUM('Salary Report'!$S$5:$S$15)+'Salary Report'!S21+'Salary Report'!S22+'Salary Report'!S23</f>
        <v>88000</v>
      </c>
      <c r="H62" s="355"/>
      <c r="I62" s="138">
        <f>SUM('Salary Report'!$S$5:$S$23)</f>
        <v>96000</v>
      </c>
      <c r="J62" s="353">
        <f>I62</f>
        <v>96000</v>
      </c>
      <c r="K62" s="354"/>
      <c r="L62" s="102" t="s">
        <v>12</v>
      </c>
      <c r="M62" s="139">
        <f>J62</f>
        <v>96000</v>
      </c>
    </row>
    <row r="63" spans="1:14" ht="12.95" customHeight="1">
      <c r="A63" s="102">
        <v>27</v>
      </c>
      <c r="B63" s="351" t="s">
        <v>219</v>
      </c>
      <c r="C63" s="351"/>
      <c r="D63" s="351"/>
      <c r="E63" s="351"/>
      <c r="F63" s="351"/>
      <c r="G63" s="351"/>
      <c r="H63" s="351"/>
      <c r="I63" s="351"/>
      <c r="J63" s="351"/>
      <c r="K63" s="351"/>
      <c r="L63" s="102" t="s">
        <v>12</v>
      </c>
      <c r="M63" s="56">
        <f>M59-M62</f>
        <v>39219</v>
      </c>
    </row>
    <row r="64" spans="1:14" ht="22.5" customHeight="1">
      <c r="A64" s="380" t="s">
        <v>58</v>
      </c>
      <c r="B64" s="380"/>
      <c r="C64" s="380"/>
      <c r="D64" s="213">
        <f>' Data Form'!Y20</f>
        <v>45954</v>
      </c>
      <c r="E64" s="212"/>
      <c r="F64" s="212"/>
      <c r="G64" s="212"/>
      <c r="H64" s="371" t="s">
        <v>348</v>
      </c>
      <c r="I64" s="371"/>
      <c r="J64" s="371"/>
      <c r="K64" s="371"/>
      <c r="L64" s="371"/>
      <c r="M64" s="212"/>
    </row>
    <row r="65" spans="1:13" ht="1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M65" s="26"/>
    </row>
    <row r="66" spans="1:13" ht="1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1"/>
    </row>
    <row r="67" spans="1:13" ht="1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1"/>
    </row>
    <row r="68" spans="1:13" ht="1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1"/>
    </row>
    <row r="69" spans="1:13" ht="1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1"/>
    </row>
    <row r="70" spans="1:13" ht="1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1"/>
    </row>
    <row r="71" spans="1:13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2"/>
    </row>
    <row r="72" spans="1:13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2"/>
    </row>
  </sheetData>
  <sheetProtection password="FF64" sheet="1" objects="1" scenarios="1" selectLockedCells="1"/>
  <dataConsolidate/>
  <mergeCells count="70">
    <mergeCell ref="F3:I3"/>
    <mergeCell ref="F4:I4"/>
    <mergeCell ref="K3:L3"/>
    <mergeCell ref="K5:L5"/>
    <mergeCell ref="K4:L4"/>
    <mergeCell ref="A64:C64"/>
    <mergeCell ref="H64:L64"/>
    <mergeCell ref="A1:M1"/>
    <mergeCell ref="B3:E3"/>
    <mergeCell ref="B4:E4"/>
    <mergeCell ref="A2:M2"/>
    <mergeCell ref="B13:K13"/>
    <mergeCell ref="B5:E5"/>
    <mergeCell ref="F5:I5"/>
    <mergeCell ref="B6:K6"/>
    <mergeCell ref="B7:K7"/>
    <mergeCell ref="B8:K8"/>
    <mergeCell ref="B9:I9"/>
    <mergeCell ref="B10:K10"/>
    <mergeCell ref="C11:G11"/>
    <mergeCell ref="C12:G12"/>
    <mergeCell ref="I12:J12"/>
    <mergeCell ref="A22:A30"/>
    <mergeCell ref="H22:I22"/>
    <mergeCell ref="C14:G14"/>
    <mergeCell ref="I14:J14"/>
    <mergeCell ref="C15:D15"/>
    <mergeCell ref="C16:D16"/>
    <mergeCell ref="F16:G16"/>
    <mergeCell ref="B17:K17"/>
    <mergeCell ref="B18:L18"/>
    <mergeCell ref="B19:K19"/>
    <mergeCell ref="B20:L20"/>
    <mergeCell ref="B21:B30"/>
    <mergeCell ref="C21:K21"/>
    <mergeCell ref="B43:K43"/>
    <mergeCell ref="M22:M30"/>
    <mergeCell ref="H23:I23"/>
    <mergeCell ref="H24:I24"/>
    <mergeCell ref="H25:I25"/>
    <mergeCell ref="H26:I26"/>
    <mergeCell ref="G29:I29"/>
    <mergeCell ref="G30:K30"/>
    <mergeCell ref="C31:K31"/>
    <mergeCell ref="C32:J32"/>
    <mergeCell ref="B41:K41"/>
    <mergeCell ref="B42:K42"/>
    <mergeCell ref="C46:J46"/>
    <mergeCell ref="C47:K47"/>
    <mergeCell ref="C49:K49"/>
    <mergeCell ref="C52:K52"/>
    <mergeCell ref="B60:K60"/>
    <mergeCell ref="C51:K51"/>
    <mergeCell ref="C54:K54"/>
    <mergeCell ref="B44:K44"/>
    <mergeCell ref="B45:K45"/>
    <mergeCell ref="B63:K63"/>
    <mergeCell ref="C48:K48"/>
    <mergeCell ref="C50:K50"/>
    <mergeCell ref="C56:K56"/>
    <mergeCell ref="B57:K57"/>
    <mergeCell ref="B58:K58"/>
    <mergeCell ref="B59:K59"/>
    <mergeCell ref="E61:F61"/>
    <mergeCell ref="G61:H61"/>
    <mergeCell ref="J61:K61"/>
    <mergeCell ref="C62:D62"/>
    <mergeCell ref="E62:F62"/>
    <mergeCell ref="G62:H62"/>
    <mergeCell ref="J62:K62"/>
  </mergeCells>
  <printOptions gridLines="1"/>
  <pageMargins left="0.41" right="0.22" top="0.1" bottom="0.1" header="0" footer="0.15"/>
  <pageSetup paperSize="9" scale="99" orientation="portrait" horizontalDpi="300" verticalDpi="300" r:id="rId1"/>
  <headerFooter alignWithMargins="0">
    <oddFooter xml:space="preserve">&amp;CDeveloped By Rajendra Gaggar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29"/>
  </sheetPr>
  <dimension ref="A1:K20"/>
  <sheetViews>
    <sheetView view="pageBreakPreview" zoomScale="90" workbookViewId="0">
      <selection activeCell="H17" sqref="H17"/>
    </sheetView>
  </sheetViews>
  <sheetFormatPr defaultRowHeight="12.75"/>
  <cols>
    <col min="1" max="1" width="4.140625" customWidth="1"/>
    <col min="8" max="8" width="13.42578125" bestFit="1" customWidth="1"/>
    <col min="9" max="9" width="9" customWidth="1"/>
    <col min="10" max="10" width="11.28515625" customWidth="1"/>
  </cols>
  <sheetData>
    <row r="1" spans="1:11" ht="28.5" customHeight="1">
      <c r="A1" s="386" t="s">
        <v>204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1" ht="18.75">
      <c r="A2" s="35"/>
      <c r="B2" s="387" t="s">
        <v>165</v>
      </c>
      <c r="C2" s="387"/>
      <c r="D2" s="388" t="str">
        <f>' Data Form'!B4</f>
        <v>AVANISH CHANDRA GUPTA</v>
      </c>
      <c r="E2" s="388"/>
      <c r="F2" s="388"/>
      <c r="G2" s="388"/>
      <c r="H2" s="388"/>
      <c r="I2" s="388"/>
      <c r="J2" s="388"/>
    </row>
    <row r="3" spans="1:11" ht="18.75">
      <c r="A3" s="35"/>
      <c r="B3" s="387" t="s">
        <v>22</v>
      </c>
      <c r="C3" s="387"/>
      <c r="D3" s="388" t="str">
        <f>' Data Form'!B5</f>
        <v>TEACHER LEVEL 2</v>
      </c>
      <c r="E3" s="388"/>
      <c r="F3" s="388"/>
      <c r="G3" s="388"/>
      <c r="H3" s="388"/>
      <c r="I3" s="388"/>
      <c r="J3" s="388"/>
      <c r="K3" s="2"/>
    </row>
    <row r="4" spans="1:11" ht="18.75">
      <c r="A4" s="35"/>
      <c r="B4" s="387" t="s">
        <v>23</v>
      </c>
      <c r="C4" s="387"/>
      <c r="D4" s="388" t="str">
        <f>' Data Form'!B7</f>
        <v>GOVT HIGHER SEC SCHOOL RAILA</v>
      </c>
      <c r="E4" s="388"/>
      <c r="F4" s="388"/>
      <c r="G4" s="388"/>
      <c r="H4" s="388"/>
      <c r="I4" s="388"/>
      <c r="J4" s="388"/>
      <c r="K4" s="2"/>
    </row>
    <row r="5" spans="1:11" ht="16.5">
      <c r="A5" s="35"/>
      <c r="B5" s="35"/>
      <c r="C5" s="36"/>
      <c r="D5" s="36"/>
      <c r="E5" s="36"/>
      <c r="F5" s="36"/>
      <c r="G5" s="36"/>
      <c r="H5" s="36"/>
      <c r="I5" s="36"/>
      <c r="J5" s="36"/>
      <c r="K5" s="2"/>
    </row>
    <row r="6" spans="1:11" ht="18">
      <c r="A6" s="40">
        <v>1</v>
      </c>
      <c r="B6" s="387" t="s">
        <v>344</v>
      </c>
      <c r="C6" s="387"/>
      <c r="D6" s="387"/>
      <c r="E6" s="387"/>
      <c r="F6" s="387"/>
      <c r="G6" s="387"/>
      <c r="H6" s="387"/>
      <c r="I6" s="387"/>
      <c r="J6" s="37">
        <f>'Salary Report'!$E$25</f>
        <v>102680</v>
      </c>
      <c r="K6" s="2"/>
    </row>
    <row r="7" spans="1:11" ht="18">
      <c r="A7" s="40"/>
      <c r="B7" s="36"/>
      <c r="C7" s="36"/>
      <c r="D7" s="36"/>
      <c r="E7" s="36"/>
      <c r="F7" s="36"/>
      <c r="G7" s="36"/>
      <c r="H7" s="36"/>
      <c r="I7" s="36"/>
      <c r="J7" s="36"/>
      <c r="K7" s="2"/>
    </row>
    <row r="8" spans="1:11" ht="18">
      <c r="A8" s="40">
        <v>2</v>
      </c>
      <c r="B8" s="38" t="s">
        <v>345</v>
      </c>
      <c r="C8" s="38"/>
      <c r="D8" s="38"/>
      <c r="E8" s="38"/>
      <c r="F8" s="38"/>
      <c r="G8" s="38"/>
      <c r="H8" s="145"/>
      <c r="I8" s="38"/>
      <c r="J8" s="37">
        <f>H9*I9</f>
        <v>0</v>
      </c>
      <c r="K8" s="2"/>
    </row>
    <row r="9" spans="1:11" ht="18">
      <c r="A9" s="40"/>
      <c r="B9" s="36"/>
      <c r="C9" s="36"/>
      <c r="D9" s="36"/>
      <c r="E9" s="36"/>
      <c r="F9" s="36"/>
      <c r="G9" s="36"/>
      <c r="H9" s="146">
        <f>' Data Form'!O28</f>
        <v>0</v>
      </c>
      <c r="I9" s="39">
        <v>12</v>
      </c>
      <c r="J9" s="35"/>
      <c r="K9" s="2"/>
    </row>
    <row r="10" spans="1:11" ht="18">
      <c r="A10" s="40">
        <v>3</v>
      </c>
      <c r="B10" s="36" t="s">
        <v>346</v>
      </c>
      <c r="C10" s="36"/>
      <c r="D10" s="36"/>
      <c r="E10" s="36"/>
      <c r="F10" s="36"/>
      <c r="G10" s="36"/>
      <c r="H10" s="36"/>
      <c r="I10" s="36"/>
      <c r="J10" s="37">
        <f>ROUND(('Salary Report'!$C$25+'Salary Report'!D25)*10%,0)</f>
        <v>162241</v>
      </c>
      <c r="K10" s="2"/>
    </row>
    <row r="11" spans="1:11" ht="18">
      <c r="A11" s="40"/>
      <c r="B11" s="36"/>
      <c r="C11" s="36"/>
      <c r="D11" s="36"/>
      <c r="E11" s="36"/>
      <c r="F11" s="36"/>
      <c r="G11" s="36"/>
      <c r="H11" s="36"/>
      <c r="I11" s="36"/>
      <c r="J11" s="36"/>
      <c r="K11" s="2"/>
    </row>
    <row r="12" spans="1:11" ht="18">
      <c r="A12" s="40"/>
      <c r="B12" s="35"/>
      <c r="C12" s="36"/>
      <c r="D12" s="36"/>
      <c r="E12" s="36"/>
      <c r="F12" s="36"/>
      <c r="G12" s="36"/>
      <c r="H12" s="36"/>
      <c r="I12" s="36"/>
      <c r="J12" s="35"/>
      <c r="K12" s="2"/>
    </row>
    <row r="13" spans="1:11" ht="18">
      <c r="A13" s="40">
        <v>4</v>
      </c>
      <c r="B13" s="385" t="s">
        <v>208</v>
      </c>
      <c r="C13" s="385"/>
      <c r="D13" s="385"/>
      <c r="E13" s="385"/>
      <c r="F13" s="385"/>
      <c r="G13" s="385"/>
      <c r="H13" s="385"/>
      <c r="I13" s="385"/>
      <c r="J13" s="37">
        <f>IF(J8&gt;J10,J8-J10,0)</f>
        <v>0</v>
      </c>
      <c r="K13" s="2"/>
    </row>
    <row r="14" spans="1:11" ht="18">
      <c r="A14" s="40"/>
      <c r="B14" s="385"/>
      <c r="C14" s="385"/>
      <c r="D14" s="385"/>
      <c r="E14" s="385"/>
      <c r="F14" s="385"/>
      <c r="G14" s="385"/>
      <c r="H14" s="385"/>
      <c r="I14" s="385"/>
      <c r="J14" s="36"/>
      <c r="K14" s="2"/>
    </row>
    <row r="15" spans="1:11" ht="18">
      <c r="A15" s="40">
        <v>5</v>
      </c>
      <c r="B15" s="384" t="s">
        <v>347</v>
      </c>
      <c r="C15" s="384"/>
      <c r="D15" s="384"/>
      <c r="E15" s="384"/>
      <c r="F15" s="384"/>
      <c r="G15" s="384"/>
      <c r="H15" s="384"/>
      <c r="I15" s="384"/>
      <c r="J15" s="195">
        <f>MIN(J6,J13)</f>
        <v>0</v>
      </c>
      <c r="K15" s="2"/>
    </row>
    <row r="16" spans="1:11" ht="16.5">
      <c r="A16" s="35"/>
      <c r="B16" s="384"/>
      <c r="C16" s="384"/>
      <c r="D16" s="384"/>
      <c r="E16" s="384"/>
      <c r="F16" s="384"/>
      <c r="G16" s="384"/>
      <c r="H16" s="384"/>
      <c r="I16" s="384"/>
      <c r="J16" s="36"/>
      <c r="K16" s="2"/>
    </row>
    <row r="17" spans="1:11" ht="16.5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2"/>
    </row>
    <row r="18" spans="1:11" ht="16.5">
      <c r="A18" s="35"/>
      <c r="B18" s="35"/>
      <c r="C18" s="35"/>
      <c r="D18" s="35"/>
      <c r="E18" s="35"/>
      <c r="F18" s="35"/>
      <c r="G18" s="35"/>
      <c r="H18" s="35"/>
      <c r="I18" s="35"/>
      <c r="J18" s="35"/>
    </row>
    <row r="19" spans="1:11" ht="16.5">
      <c r="A19" s="35"/>
      <c r="B19" s="35"/>
      <c r="C19" s="35"/>
      <c r="D19" s="35"/>
      <c r="E19" s="35"/>
      <c r="F19" s="35"/>
      <c r="G19" s="35"/>
      <c r="H19" s="35"/>
      <c r="I19" s="35"/>
      <c r="J19" s="35"/>
    </row>
    <row r="20" spans="1:11" ht="16.5">
      <c r="A20" s="35"/>
      <c r="C20" s="35"/>
      <c r="D20" s="35"/>
      <c r="E20" s="35"/>
      <c r="F20" s="35" t="s">
        <v>209</v>
      </c>
      <c r="G20" s="35"/>
      <c r="H20" s="35"/>
      <c r="I20" s="35"/>
      <c r="J20" s="35"/>
    </row>
  </sheetData>
  <sheetProtection password="FF64" sheet="1" objects="1" scenarios="1" selectLockedCells="1"/>
  <mergeCells count="10">
    <mergeCell ref="B15:I16"/>
    <mergeCell ref="B13:I14"/>
    <mergeCell ref="A1:J1"/>
    <mergeCell ref="B6:I6"/>
    <mergeCell ref="B2:C2"/>
    <mergeCell ref="B4:C4"/>
    <mergeCell ref="B3:C3"/>
    <mergeCell ref="D2:J2"/>
    <mergeCell ref="D3:J3"/>
    <mergeCell ref="D4:J4"/>
  </mergeCells>
  <phoneticPr fontId="1" type="noConversion"/>
  <pageMargins left="0.47" right="0.35" top="1" bottom="1" header="0.5" footer="0.5"/>
  <pageSetup paperSize="9" orientation="portrait" horizontalDpi="120" verticalDpi="14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33"/>
  </sheetPr>
  <dimension ref="A1:K102"/>
  <sheetViews>
    <sheetView workbookViewId="0">
      <selection activeCell="H16" sqref="H16"/>
    </sheetView>
  </sheetViews>
  <sheetFormatPr defaultRowHeight="12.75"/>
  <cols>
    <col min="1" max="16384" width="9.140625" style="4"/>
  </cols>
  <sheetData>
    <row r="1" spans="1:11">
      <c r="J1" s="4">
        <v>0</v>
      </c>
      <c r="K1" s="5" t="s">
        <v>11</v>
      </c>
    </row>
    <row r="2" spans="1:11">
      <c r="J2" s="4">
        <v>1</v>
      </c>
      <c r="K2" s="5" t="s">
        <v>60</v>
      </c>
    </row>
    <row r="3" spans="1:11">
      <c r="J3" s="4">
        <v>2</v>
      </c>
      <c r="K3" s="5" t="s">
        <v>61</v>
      </c>
    </row>
    <row r="4" spans="1:11">
      <c r="J4" s="4">
        <v>3</v>
      </c>
      <c r="K4" s="5" t="s">
        <v>62</v>
      </c>
    </row>
    <row r="5" spans="1:11">
      <c r="J5" s="4">
        <v>4</v>
      </c>
      <c r="K5" s="5" t="s">
        <v>63</v>
      </c>
    </row>
    <row r="6" spans="1:11">
      <c r="J6" s="4">
        <v>5</v>
      </c>
      <c r="K6" s="5" t="s">
        <v>64</v>
      </c>
    </row>
    <row r="7" spans="1:11">
      <c r="J7" s="4">
        <v>6</v>
      </c>
      <c r="K7" s="5" t="s">
        <v>65</v>
      </c>
    </row>
    <row r="8" spans="1:11">
      <c r="J8" s="4">
        <v>7</v>
      </c>
      <c r="K8" s="5" t="s">
        <v>66</v>
      </c>
    </row>
    <row r="9" spans="1:11">
      <c r="J9" s="4">
        <v>8</v>
      </c>
      <c r="K9" s="5" t="s">
        <v>67</v>
      </c>
    </row>
    <row r="10" spans="1:11">
      <c r="J10" s="4">
        <v>9</v>
      </c>
      <c r="K10" s="5" t="s">
        <v>68</v>
      </c>
    </row>
    <row r="11" spans="1:11" ht="13.5" thickBot="1">
      <c r="J11" s="4">
        <v>10</v>
      </c>
      <c r="K11" s="5" t="s">
        <v>69</v>
      </c>
    </row>
    <row r="12" spans="1:11" ht="13.5" thickBot="1">
      <c r="A12" s="6" t="e">
        <f>#REF!</f>
        <v>#REF!</v>
      </c>
      <c r="B12" s="7" t="s">
        <v>6</v>
      </c>
      <c r="C12" s="8"/>
      <c r="D12" s="8"/>
      <c r="E12" s="8"/>
      <c r="F12" s="8"/>
      <c r="G12" s="8"/>
      <c r="H12" s="9"/>
      <c r="J12" s="4">
        <v>11</v>
      </c>
      <c r="K12" s="5" t="s">
        <v>70</v>
      </c>
    </row>
    <row r="13" spans="1:11">
      <c r="A13" s="10"/>
      <c r="B13" s="11" t="s">
        <v>7</v>
      </c>
      <c r="C13" s="12" t="s">
        <v>8</v>
      </c>
      <c r="D13" s="12" t="s">
        <v>9</v>
      </c>
      <c r="E13" s="13" t="s">
        <v>10</v>
      </c>
      <c r="F13" s="13"/>
      <c r="G13" s="13"/>
      <c r="H13" s="14"/>
      <c r="J13" s="4">
        <v>12</v>
      </c>
      <c r="K13" s="5" t="s">
        <v>71</v>
      </c>
    </row>
    <row r="14" spans="1:11">
      <c r="A14" s="10"/>
      <c r="B14" s="11"/>
      <c r="C14" s="12"/>
      <c r="D14" s="12"/>
      <c r="E14" s="13"/>
      <c r="F14" s="13"/>
      <c r="G14" s="13"/>
      <c r="H14" s="14"/>
      <c r="K14" s="5"/>
    </row>
    <row r="15" spans="1:11">
      <c r="A15" s="15"/>
      <c r="B15" s="12" t="e">
        <f>INT(A12/100000)</f>
        <v>#REF!</v>
      </c>
      <c r="C15" s="12" t="e">
        <f>INT(A12/1000)-B15*100</f>
        <v>#REF!</v>
      </c>
      <c r="D15" s="12" t="e">
        <f>INT(A12/100)-B15*1000-C15*10</f>
        <v>#REF!</v>
      </c>
      <c r="E15" s="12" t="e">
        <f>INT(A12)-B15*100000-C15*1000-D15*100</f>
        <v>#REF!</v>
      </c>
      <c r="F15" s="16"/>
      <c r="G15" s="16"/>
      <c r="H15" s="17"/>
      <c r="J15" s="4">
        <v>13</v>
      </c>
      <c r="K15" s="5" t="s">
        <v>72</v>
      </c>
    </row>
    <row r="16" spans="1:11">
      <c r="A16" s="18" t="e">
        <f>LOOKUP(B15,J1:K101)</f>
        <v>#REF!</v>
      </c>
      <c r="B16" s="11" t="e">
        <f>IF(B15&lt;1,"","lakh")</f>
        <v>#REF!</v>
      </c>
      <c r="C16" s="19" t="e">
        <f>LOOKUP(C15,J1:K101)</f>
        <v>#REF!</v>
      </c>
      <c r="D16" s="11" t="e">
        <f>IF(C15&gt;=1,"thousand",IF(AND(B15&gt;=1,D15&gt;=1)," ",IF(AND(B15&gt;=1,E15&gt;=0)," ",IF(AND(B15&gt;=1,C15=0),"only)"," "))))</f>
        <v>#REF!</v>
      </c>
      <c r="E16" s="12" t="e">
        <f>LOOKUP(D15,J1:K101)</f>
        <v>#REF!</v>
      </c>
      <c r="F16" s="11" t="e">
        <f>IF(D15&gt;=1,"hundred",IF(AND(C15&gt;=1,E15&gt;=1)," ",IF(AND(C15&gt;=1,D15=0),"only)"," ")))</f>
        <v>#REF!</v>
      </c>
      <c r="G16" s="12" t="e">
        <f>LOOKUP(E15,J1:K101)</f>
        <v>#REF!</v>
      </c>
      <c r="H16" s="14" t="e">
        <f>IF(D16="only)"," ",IF(F16="only)"," ","only)"))</f>
        <v>#REF!</v>
      </c>
      <c r="J16" s="4">
        <v>14</v>
      </c>
      <c r="K16" s="5" t="s">
        <v>73</v>
      </c>
    </row>
    <row r="17" spans="1:11" ht="13.5" thickBot="1">
      <c r="A17" s="20"/>
      <c r="B17" s="21"/>
      <c r="C17" s="21"/>
      <c r="D17" s="21"/>
      <c r="E17" s="21"/>
      <c r="F17" s="21"/>
      <c r="G17" s="21"/>
      <c r="H17" s="22"/>
      <c r="J17" s="4">
        <v>15</v>
      </c>
      <c r="K17" s="5" t="s">
        <v>74</v>
      </c>
    </row>
    <row r="18" spans="1:11">
      <c r="J18" s="4">
        <v>16</v>
      </c>
      <c r="K18" s="5" t="s">
        <v>75</v>
      </c>
    </row>
    <row r="19" spans="1:11">
      <c r="J19" s="4">
        <v>17</v>
      </c>
      <c r="K19" s="5" t="s">
        <v>76</v>
      </c>
    </row>
    <row r="20" spans="1:11">
      <c r="A20" s="11"/>
      <c r="B20" s="23"/>
      <c r="C20" s="11"/>
      <c r="D20" s="11"/>
      <c r="E20" s="11"/>
      <c r="F20" s="11"/>
      <c r="G20" s="11"/>
      <c r="H20" s="11"/>
      <c r="I20" s="11"/>
      <c r="J20" s="4">
        <v>18</v>
      </c>
      <c r="K20" s="5" t="s">
        <v>77</v>
      </c>
    </row>
    <row r="21" spans="1:11">
      <c r="A21" s="11"/>
      <c r="B21" s="11"/>
      <c r="C21" s="11"/>
      <c r="D21" s="11"/>
      <c r="E21" s="11"/>
      <c r="F21" s="11"/>
      <c r="G21" s="11"/>
      <c r="H21" s="11"/>
      <c r="I21" s="11"/>
      <c r="J21" s="4">
        <v>19</v>
      </c>
      <c r="K21" s="5" t="s">
        <v>78</v>
      </c>
    </row>
    <row r="22" spans="1:11">
      <c r="A22" s="11"/>
      <c r="B22" s="11"/>
      <c r="C22" s="11"/>
      <c r="D22" s="11"/>
      <c r="E22" s="11"/>
      <c r="F22" s="11"/>
      <c r="G22" s="11"/>
      <c r="H22" s="11"/>
      <c r="I22" s="11"/>
      <c r="J22" s="4">
        <v>20</v>
      </c>
      <c r="K22" s="5" t="s">
        <v>79</v>
      </c>
    </row>
    <row r="23" spans="1:11">
      <c r="A23" s="11"/>
      <c r="B23" s="24"/>
      <c r="C23" s="24"/>
      <c r="D23" s="24"/>
      <c r="E23" s="24"/>
      <c r="F23" s="24"/>
      <c r="G23" s="24"/>
      <c r="H23" s="24"/>
      <c r="I23" s="11"/>
      <c r="J23" s="4">
        <v>21</v>
      </c>
      <c r="K23" s="5" t="s">
        <v>80</v>
      </c>
    </row>
    <row r="24" spans="1:11">
      <c r="A24" s="25"/>
      <c r="B24" s="25"/>
      <c r="C24" s="25"/>
      <c r="D24" s="25"/>
      <c r="E24" s="25"/>
      <c r="F24" s="25"/>
      <c r="G24" s="25"/>
      <c r="H24" s="25"/>
      <c r="I24" s="11"/>
      <c r="J24" s="4">
        <v>22</v>
      </c>
      <c r="K24" s="5" t="s">
        <v>81</v>
      </c>
    </row>
    <row r="25" spans="1:11">
      <c r="J25" s="4">
        <v>23</v>
      </c>
      <c r="K25" s="5" t="s">
        <v>82</v>
      </c>
    </row>
    <row r="26" spans="1:11">
      <c r="J26" s="4">
        <v>24</v>
      </c>
      <c r="K26" s="5" t="s">
        <v>83</v>
      </c>
    </row>
    <row r="27" spans="1:11">
      <c r="J27" s="4">
        <v>25</v>
      </c>
      <c r="K27" s="5" t="s">
        <v>84</v>
      </c>
    </row>
    <row r="28" spans="1:11">
      <c r="J28" s="4">
        <v>26</v>
      </c>
      <c r="K28" s="5" t="s">
        <v>85</v>
      </c>
    </row>
    <row r="29" spans="1:11">
      <c r="J29" s="4">
        <v>27</v>
      </c>
      <c r="K29" s="5" t="s">
        <v>86</v>
      </c>
    </row>
    <row r="30" spans="1:11">
      <c r="J30" s="4">
        <v>28</v>
      </c>
      <c r="K30" s="5" t="s">
        <v>87</v>
      </c>
    </row>
    <row r="31" spans="1:11">
      <c r="J31" s="4">
        <v>29</v>
      </c>
      <c r="K31" s="5" t="s">
        <v>88</v>
      </c>
    </row>
    <row r="32" spans="1:11">
      <c r="J32" s="4">
        <v>30</v>
      </c>
      <c r="K32" s="5" t="s">
        <v>89</v>
      </c>
    </row>
    <row r="33" spans="10:11">
      <c r="J33" s="4">
        <v>31</v>
      </c>
      <c r="K33" s="5" t="s">
        <v>90</v>
      </c>
    </row>
    <row r="34" spans="10:11">
      <c r="J34" s="4">
        <v>32</v>
      </c>
      <c r="K34" s="5" t="s">
        <v>91</v>
      </c>
    </row>
    <row r="35" spans="10:11">
      <c r="J35" s="4">
        <v>33</v>
      </c>
      <c r="K35" s="5" t="s">
        <v>92</v>
      </c>
    </row>
    <row r="36" spans="10:11">
      <c r="J36" s="4">
        <v>34</v>
      </c>
      <c r="K36" s="5" t="s">
        <v>93</v>
      </c>
    </row>
    <row r="37" spans="10:11">
      <c r="J37" s="4">
        <v>35</v>
      </c>
      <c r="K37" s="5" t="s">
        <v>94</v>
      </c>
    </row>
    <row r="38" spans="10:11">
      <c r="J38" s="4">
        <v>36</v>
      </c>
      <c r="K38" s="5" t="s">
        <v>95</v>
      </c>
    </row>
    <row r="39" spans="10:11">
      <c r="J39" s="4">
        <v>37</v>
      </c>
      <c r="K39" s="5" t="s">
        <v>96</v>
      </c>
    </row>
    <row r="40" spans="10:11">
      <c r="J40" s="4">
        <v>38</v>
      </c>
      <c r="K40" s="5" t="s">
        <v>97</v>
      </c>
    </row>
    <row r="41" spans="10:11">
      <c r="J41" s="4">
        <v>39</v>
      </c>
      <c r="K41" s="5" t="s">
        <v>98</v>
      </c>
    </row>
    <row r="42" spans="10:11">
      <c r="J42" s="4">
        <v>40</v>
      </c>
      <c r="K42" s="5" t="s">
        <v>99</v>
      </c>
    </row>
    <row r="43" spans="10:11">
      <c r="J43" s="4">
        <v>41</v>
      </c>
      <c r="K43" s="5" t="s">
        <v>100</v>
      </c>
    </row>
    <row r="44" spans="10:11">
      <c r="J44" s="4">
        <v>42</v>
      </c>
      <c r="K44" s="5" t="s">
        <v>101</v>
      </c>
    </row>
    <row r="45" spans="10:11">
      <c r="J45" s="4">
        <v>43</v>
      </c>
      <c r="K45" s="5" t="s">
        <v>102</v>
      </c>
    </row>
    <row r="46" spans="10:11">
      <c r="J46" s="4">
        <v>44</v>
      </c>
      <c r="K46" s="5" t="s">
        <v>103</v>
      </c>
    </row>
    <row r="47" spans="10:11">
      <c r="J47" s="4">
        <v>45</v>
      </c>
      <c r="K47" s="5" t="s">
        <v>104</v>
      </c>
    </row>
    <row r="48" spans="10:11">
      <c r="J48" s="4">
        <v>46</v>
      </c>
      <c r="K48" s="5" t="s">
        <v>105</v>
      </c>
    </row>
    <row r="49" spans="10:11">
      <c r="J49" s="4">
        <v>47</v>
      </c>
      <c r="K49" s="5" t="s">
        <v>106</v>
      </c>
    </row>
    <row r="50" spans="10:11">
      <c r="J50" s="4">
        <v>48</v>
      </c>
      <c r="K50" s="5" t="s">
        <v>107</v>
      </c>
    </row>
    <row r="51" spans="10:11">
      <c r="J51" s="4">
        <v>49</v>
      </c>
      <c r="K51" s="5" t="s">
        <v>108</v>
      </c>
    </row>
    <row r="52" spans="10:11">
      <c r="J52" s="4">
        <v>50</v>
      </c>
      <c r="K52" s="5" t="s">
        <v>109</v>
      </c>
    </row>
    <row r="53" spans="10:11">
      <c r="J53" s="4">
        <v>51</v>
      </c>
      <c r="K53" s="5" t="s">
        <v>110</v>
      </c>
    </row>
    <row r="54" spans="10:11">
      <c r="J54" s="4">
        <v>52</v>
      </c>
      <c r="K54" s="5" t="s">
        <v>111</v>
      </c>
    </row>
    <row r="55" spans="10:11">
      <c r="J55" s="4">
        <v>53</v>
      </c>
      <c r="K55" s="5" t="s">
        <v>112</v>
      </c>
    </row>
    <row r="56" spans="10:11">
      <c r="J56" s="4">
        <v>54</v>
      </c>
      <c r="K56" s="5" t="s">
        <v>113</v>
      </c>
    </row>
    <row r="57" spans="10:11">
      <c r="J57" s="4">
        <v>55</v>
      </c>
      <c r="K57" s="5" t="s">
        <v>114</v>
      </c>
    </row>
    <row r="58" spans="10:11">
      <c r="J58" s="4">
        <v>56</v>
      </c>
      <c r="K58" s="5" t="s">
        <v>115</v>
      </c>
    </row>
    <row r="59" spans="10:11">
      <c r="J59" s="4">
        <v>57</v>
      </c>
      <c r="K59" s="5" t="s">
        <v>116</v>
      </c>
    </row>
    <row r="60" spans="10:11">
      <c r="J60" s="4">
        <v>58</v>
      </c>
      <c r="K60" s="5" t="s">
        <v>117</v>
      </c>
    </row>
    <row r="61" spans="10:11">
      <c r="J61" s="4">
        <v>59</v>
      </c>
      <c r="K61" s="5" t="s">
        <v>118</v>
      </c>
    </row>
    <row r="62" spans="10:11">
      <c r="J62" s="4">
        <v>60</v>
      </c>
      <c r="K62" s="5" t="s">
        <v>119</v>
      </c>
    </row>
    <row r="63" spans="10:11">
      <c r="J63" s="4">
        <v>61</v>
      </c>
      <c r="K63" s="5" t="s">
        <v>120</v>
      </c>
    </row>
    <row r="64" spans="10:11">
      <c r="J64" s="4">
        <v>62</v>
      </c>
      <c r="K64" s="5" t="s">
        <v>121</v>
      </c>
    </row>
    <row r="65" spans="10:11">
      <c r="J65" s="4">
        <v>63</v>
      </c>
      <c r="K65" s="5" t="s">
        <v>122</v>
      </c>
    </row>
    <row r="66" spans="10:11">
      <c r="J66" s="4">
        <v>64</v>
      </c>
      <c r="K66" s="5" t="s">
        <v>123</v>
      </c>
    </row>
    <row r="67" spans="10:11">
      <c r="J67" s="4">
        <v>65</v>
      </c>
      <c r="K67" s="5" t="s">
        <v>124</v>
      </c>
    </row>
    <row r="68" spans="10:11">
      <c r="J68" s="4">
        <v>66</v>
      </c>
      <c r="K68" s="5" t="s">
        <v>125</v>
      </c>
    </row>
    <row r="69" spans="10:11">
      <c r="J69" s="4">
        <v>67</v>
      </c>
      <c r="K69" s="5" t="s">
        <v>126</v>
      </c>
    </row>
    <row r="70" spans="10:11">
      <c r="J70" s="4">
        <v>68</v>
      </c>
      <c r="K70" s="5" t="s">
        <v>127</v>
      </c>
    </row>
    <row r="71" spans="10:11">
      <c r="J71" s="4">
        <v>69</v>
      </c>
      <c r="K71" s="5" t="s">
        <v>128</v>
      </c>
    </row>
    <row r="72" spans="10:11">
      <c r="J72" s="4">
        <v>70</v>
      </c>
      <c r="K72" s="5" t="s">
        <v>129</v>
      </c>
    </row>
    <row r="73" spans="10:11">
      <c r="J73" s="4">
        <v>71</v>
      </c>
      <c r="K73" s="5" t="s">
        <v>130</v>
      </c>
    </row>
    <row r="74" spans="10:11">
      <c r="J74" s="4">
        <v>72</v>
      </c>
      <c r="K74" s="5" t="s">
        <v>131</v>
      </c>
    </row>
    <row r="75" spans="10:11">
      <c r="J75" s="4">
        <v>73</v>
      </c>
      <c r="K75" s="5" t="s">
        <v>132</v>
      </c>
    </row>
    <row r="76" spans="10:11">
      <c r="J76" s="4">
        <v>74</v>
      </c>
      <c r="K76" s="5" t="s">
        <v>133</v>
      </c>
    </row>
    <row r="77" spans="10:11">
      <c r="J77" s="4">
        <v>75</v>
      </c>
      <c r="K77" s="5" t="s">
        <v>134</v>
      </c>
    </row>
    <row r="78" spans="10:11">
      <c r="J78" s="4">
        <v>76</v>
      </c>
      <c r="K78" s="5" t="s">
        <v>135</v>
      </c>
    </row>
    <row r="79" spans="10:11">
      <c r="J79" s="4">
        <v>77</v>
      </c>
      <c r="K79" s="5" t="s">
        <v>136</v>
      </c>
    </row>
    <row r="80" spans="10:11">
      <c r="J80" s="4">
        <v>78</v>
      </c>
      <c r="K80" s="5" t="s">
        <v>137</v>
      </c>
    </row>
    <row r="81" spans="10:11">
      <c r="J81" s="4">
        <v>79</v>
      </c>
      <c r="K81" s="5" t="s">
        <v>138</v>
      </c>
    </row>
    <row r="82" spans="10:11">
      <c r="J82" s="4">
        <v>80</v>
      </c>
      <c r="K82" s="5" t="s">
        <v>139</v>
      </c>
    </row>
    <row r="83" spans="10:11">
      <c r="J83" s="4">
        <v>81</v>
      </c>
      <c r="K83" s="5" t="s">
        <v>140</v>
      </c>
    </row>
    <row r="84" spans="10:11">
      <c r="J84" s="4">
        <v>82</v>
      </c>
      <c r="K84" s="5" t="s">
        <v>141</v>
      </c>
    </row>
    <row r="85" spans="10:11">
      <c r="J85" s="4">
        <v>83</v>
      </c>
      <c r="K85" s="5" t="s">
        <v>142</v>
      </c>
    </row>
    <row r="86" spans="10:11">
      <c r="J86" s="4">
        <v>84</v>
      </c>
      <c r="K86" s="5" t="s">
        <v>143</v>
      </c>
    </row>
    <row r="87" spans="10:11">
      <c r="J87" s="4">
        <v>85</v>
      </c>
      <c r="K87" s="5" t="s">
        <v>144</v>
      </c>
    </row>
    <row r="88" spans="10:11">
      <c r="J88" s="4">
        <v>86</v>
      </c>
      <c r="K88" s="5" t="s">
        <v>145</v>
      </c>
    </row>
    <row r="89" spans="10:11">
      <c r="J89" s="4">
        <v>87</v>
      </c>
      <c r="K89" s="5" t="s">
        <v>146</v>
      </c>
    </row>
    <row r="90" spans="10:11">
      <c r="J90" s="4">
        <v>88</v>
      </c>
      <c r="K90" s="5" t="s">
        <v>147</v>
      </c>
    </row>
    <row r="91" spans="10:11">
      <c r="J91" s="4">
        <v>89</v>
      </c>
      <c r="K91" s="5" t="s">
        <v>148</v>
      </c>
    </row>
    <row r="92" spans="10:11">
      <c r="J92" s="4">
        <v>90</v>
      </c>
      <c r="K92" s="5" t="s">
        <v>149</v>
      </c>
    </row>
    <row r="93" spans="10:11">
      <c r="J93" s="4">
        <v>91</v>
      </c>
      <c r="K93" s="5" t="s">
        <v>150</v>
      </c>
    </row>
    <row r="94" spans="10:11">
      <c r="J94" s="4">
        <v>92</v>
      </c>
      <c r="K94" s="5" t="s">
        <v>151</v>
      </c>
    </row>
    <row r="95" spans="10:11">
      <c r="J95" s="4">
        <v>93</v>
      </c>
      <c r="K95" s="5" t="s">
        <v>152</v>
      </c>
    </row>
    <row r="96" spans="10:11">
      <c r="J96" s="4">
        <v>94</v>
      </c>
      <c r="K96" s="5" t="s">
        <v>153</v>
      </c>
    </row>
    <row r="97" spans="10:11">
      <c r="J97" s="4">
        <v>95</v>
      </c>
      <c r="K97" s="5" t="s">
        <v>154</v>
      </c>
    </row>
    <row r="98" spans="10:11">
      <c r="J98" s="4">
        <v>96</v>
      </c>
      <c r="K98" s="5" t="s">
        <v>155</v>
      </c>
    </row>
    <row r="99" spans="10:11">
      <c r="J99" s="4">
        <v>97</v>
      </c>
      <c r="K99" s="5" t="s">
        <v>156</v>
      </c>
    </row>
    <row r="100" spans="10:11">
      <c r="J100" s="4">
        <v>98</v>
      </c>
      <c r="K100" s="5" t="s">
        <v>157</v>
      </c>
    </row>
    <row r="101" spans="10:11">
      <c r="J101" s="4">
        <v>99</v>
      </c>
      <c r="K101" s="5" t="s">
        <v>158</v>
      </c>
    </row>
    <row r="102" spans="10:11">
      <c r="J102" s="4">
        <v>100</v>
      </c>
      <c r="K102" s="5" t="s">
        <v>159</v>
      </c>
    </row>
  </sheetData>
  <sheetProtection password="FBA8" sheet="1" objects="1" scenarios="1"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 Data Form</vt:lpstr>
      <vt:lpstr>Salary Report</vt:lpstr>
      <vt:lpstr>Tax Report Old Regime</vt:lpstr>
      <vt:lpstr>Tax Report New Regime</vt:lpstr>
      <vt:lpstr>HRA</vt:lpstr>
      <vt:lpstr>F</vt:lpstr>
      <vt:lpstr>'Salary Report'!Print_Area</vt:lpstr>
    </vt:vector>
  </TitlesOfParts>
  <Company>Shivani Computers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Preksha</dc:creator>
  <cp:lastModifiedBy>win10</cp:lastModifiedBy>
  <cp:lastPrinted>2025-10-25T14:29:21Z</cp:lastPrinted>
  <dcterms:created xsi:type="dcterms:W3CDTF">2003-06-06T03:52:53Z</dcterms:created>
  <dcterms:modified xsi:type="dcterms:W3CDTF">2025-11-09T05:28:56Z</dcterms:modified>
</cp:coreProperties>
</file>