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HRA Calculation" sheetId="9" r:id="rId5"/>
    <sheet name="GA55 Only Print" sheetId="5" r:id="rId6"/>
    <sheet name="COMPUTATION" sheetId="6" r:id="rId7"/>
    <sheet name="89 (1) Form" sheetId="7" r:id="rId8"/>
    <sheet name="form10E" sheetId="8" r:id="rId9"/>
    <sheet name="Form No. 16" sheetId="11" r:id="rId10"/>
  </sheets>
  <externalReferences>
    <externalReference r:id="rId11"/>
    <externalReference r:id="rId12"/>
    <externalReference r:id="rId13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_xlnm.Print_Area" localSheetId="6">COMPUTATION!$A$1:$O$69</definedName>
    <definedName name="_xlnm.Print_Area" localSheetId="9">'Form No. 16'!$B$1:$L$143</definedName>
    <definedName name="_xlnm.Print_Area" localSheetId="8">form10E!$B$1:$O$44</definedName>
    <definedName name="_xlnm.Print_Area" localSheetId="5" xml:space="preserve">                            'GA55 Only Print'!$A$1:$AC$30</definedName>
    <definedName name="ram">'GA55 Check &amp; Edit'!$AX$12:$BJ$32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E6" i="4"/>
  <c r="D5" i="7"/>
  <c r="X26" i="5"/>
  <c r="AB26"/>
  <c r="AC26"/>
  <c r="AB7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X19"/>
  <c r="AB19"/>
  <c r="AC19"/>
  <c r="X20"/>
  <c r="AB20"/>
  <c r="AC20"/>
  <c r="X21"/>
  <c r="AB21"/>
  <c r="AC21"/>
  <c r="X22"/>
  <c r="AB22"/>
  <c r="AC22"/>
  <c r="X23"/>
  <c r="AB23"/>
  <c r="AC23"/>
  <c r="X24"/>
  <c r="AB24"/>
  <c r="AC24"/>
  <c r="X25"/>
  <c r="AB25"/>
  <c r="AC25"/>
  <c r="AB6"/>
  <c r="AC6"/>
  <c r="BI12" i="3"/>
  <c r="G120" i="11"/>
  <c r="E98"/>
  <c r="Q6" i="3"/>
  <c r="BI24" l="1"/>
  <c r="BI13"/>
  <c r="BX25"/>
  <c r="BX26"/>
  <c r="BX27"/>
  <c r="BX28"/>
  <c r="BX29"/>
  <c r="BX24"/>
  <c r="M7" i="8"/>
  <c r="F42"/>
  <c r="D42"/>
  <c r="AI42" s="1"/>
  <c r="D40"/>
  <c r="D41"/>
  <c r="L2" i="6"/>
  <c r="AB34"/>
  <c r="AA23"/>
  <c r="O33"/>
  <c r="BU12" i="3"/>
  <c r="BA12" s="1"/>
  <c r="AZ22"/>
  <c r="AZ21"/>
  <c r="AZ19" s="1"/>
  <c r="AJ42" i="8" l="1"/>
  <c r="AK42"/>
  <c r="AL42" s="1"/>
  <c r="J42" s="1"/>
  <c r="H42"/>
  <c r="AN42" s="1"/>
  <c r="AO42" s="1"/>
  <c r="AP42" s="1"/>
  <c r="AQ42" s="1"/>
  <c r="L42" s="1"/>
  <c r="BU13" i="3"/>
  <c r="BU14" s="1"/>
  <c r="BU15" s="1"/>
  <c r="BU16" s="1"/>
  <c r="W6"/>
  <c r="J9"/>
  <c r="H7" i="5" s="1"/>
  <c r="J10" i="3"/>
  <c r="H8" i="5" s="1"/>
  <c r="J11" i="3"/>
  <c r="H9" i="5" s="1"/>
  <c r="J12" i="3"/>
  <c r="H10" i="5" s="1"/>
  <c r="J13" i="3"/>
  <c r="H11" i="5" s="1"/>
  <c r="J14" i="3"/>
  <c r="H12" i="5" s="1"/>
  <c r="J15" i="3"/>
  <c r="H13" i="5" s="1"/>
  <c r="J16" i="3"/>
  <c r="H14" i="5" s="1"/>
  <c r="J17" i="3"/>
  <c r="H15" i="5" s="1"/>
  <c r="J18" i="3"/>
  <c r="H16" i="5" s="1"/>
  <c r="J19" i="3"/>
  <c r="H17" i="5" s="1"/>
  <c r="J20" i="3"/>
  <c r="H18" i="5" s="1"/>
  <c r="J21" i="3"/>
  <c r="H19" i="5" s="1"/>
  <c r="J22" i="3"/>
  <c r="H20" i="5" s="1"/>
  <c r="J23" i="3"/>
  <c r="H21" i="5" s="1"/>
  <c r="J24" i="3"/>
  <c r="H22" i="5" s="1"/>
  <c r="J25" i="3"/>
  <c r="H23" i="5" s="1"/>
  <c r="J26" i="3"/>
  <c r="H24" i="5" s="1"/>
  <c r="J27" i="3"/>
  <c r="H25" i="5" s="1"/>
  <c r="J28" i="3"/>
  <c r="H26" i="5" s="1"/>
  <c r="J8" i="3"/>
  <c r="H6" i="5" s="1"/>
  <c r="AR23" i="3"/>
  <c r="AS24"/>
  <c r="BB32"/>
  <c r="BA24"/>
  <c r="BG11"/>
  <c r="BH11"/>
  <c r="BI11"/>
  <c r="BH12"/>
  <c r="BH13"/>
  <c r="BH14"/>
  <c r="BH15"/>
  <c r="BH16"/>
  <c r="BH17"/>
  <c r="BH18"/>
  <c r="BH19"/>
  <c r="BH20"/>
  <c r="BH21"/>
  <c r="BH22"/>
  <c r="BH23"/>
  <c r="BG10"/>
  <c r="BI10"/>
  <c r="BO33"/>
  <c r="BA11"/>
  <c r="BC11" s="1"/>
  <c r="BA10"/>
  <c r="BC10" s="1"/>
  <c r="BC12"/>
  <c r="AX29"/>
  <c r="AZ15"/>
  <c r="AZ18" s="1"/>
  <c r="L6"/>
  <c r="M6"/>
  <c r="K6"/>
  <c r="H27" i="5" l="1"/>
  <c r="BA13" i="3"/>
  <c r="BC13" s="1"/>
  <c r="N42" i="8"/>
  <c r="N43" s="1"/>
  <c r="M27" s="1"/>
  <c r="BA16" i="3"/>
  <c r="BU17"/>
  <c r="BU18" s="1"/>
  <c r="BU19" s="1"/>
  <c r="BU20" s="1"/>
  <c r="BU21" s="1"/>
  <c r="BU22" s="1"/>
  <c r="BU23" s="1"/>
  <c r="BC26"/>
  <c r="BA14" l="1"/>
  <c r="BC14" s="1"/>
  <c r="BA15"/>
  <c r="BC27"/>
  <c r="BD27" s="1"/>
  <c r="BI27" s="1"/>
  <c r="BC16"/>
  <c r="BA17"/>
  <c r="BC17" s="1"/>
  <c r="P6"/>
  <c r="G29" i="6"/>
  <c r="BC15" i="3" l="1"/>
  <c r="BA18"/>
  <c r="BC18" s="1"/>
  <c r="BG31"/>
  <c r="BA32"/>
  <c r="BA19" l="1"/>
  <c r="BB31"/>
  <c r="BC31" s="1"/>
  <c r="BD31" s="1"/>
  <c r="BM32"/>
  <c r="BC19" l="1"/>
  <c r="BA25"/>
  <c r="BA20"/>
  <c r="BC20" s="1"/>
  <c r="BO32"/>
  <c r="AX32"/>
  <c r="BE31"/>
  <c r="BC29" l="1"/>
  <c r="BC25"/>
  <c r="BA21"/>
  <c r="BC21" s="1"/>
  <c r="BM30"/>
  <c r="BM31"/>
  <c r="BO31" s="1"/>
  <c r="BN24"/>
  <c r="BN25"/>
  <c r="BN26"/>
  <c r="BN27"/>
  <c r="BN28"/>
  <c r="BN29"/>
  <c r="BN30"/>
  <c r="BN31"/>
  <c r="BN32"/>
  <c r="D3" i="7"/>
  <c r="BO30" i="3" l="1"/>
  <c r="BA22"/>
  <c r="BC22" s="1"/>
  <c r="BA23"/>
  <c r="BC23" s="1"/>
  <c r="BH31"/>
  <c r="BA31"/>
  <c r="BA30"/>
  <c r="BH30"/>
  <c r="F41" i="8"/>
  <c r="AX30" i="3"/>
  <c r="BB30" l="1"/>
  <c r="BX30" s="1"/>
  <c r="AX31"/>
  <c r="H41" i="8"/>
  <c r="AI41"/>
  <c r="AJ41" s="1"/>
  <c r="AK41" s="1"/>
  <c r="AL41" s="1"/>
  <c r="J41" s="1"/>
  <c r="M29" i="6"/>
  <c r="M27"/>
  <c r="AM5" i="3"/>
  <c r="J4" i="6"/>
  <c r="I19" i="4"/>
  <c r="O40" i="6" s="1"/>
  <c r="BC30" i="3" l="1"/>
  <c r="BD30" s="1"/>
  <c r="BI30"/>
  <c r="BI31"/>
  <c r="AN41" i="8"/>
  <c r="AO41" s="1"/>
  <c r="AA30" i="6"/>
  <c r="E16"/>
  <c r="AS25" i="3"/>
  <c r="AZ3" l="1"/>
  <c r="AZ1" s="1"/>
  <c r="BG30"/>
  <c r="AP41" i="8"/>
  <c r="AQ41" s="1"/>
  <c r="L41" s="1"/>
  <c r="N41" s="1"/>
  <c r="BJ13" i="3"/>
  <c r="AX24" l="1"/>
  <c r="G136" i="11" l="1"/>
  <c r="K44"/>
  <c r="K45"/>
  <c r="K46"/>
  <c r="K47"/>
  <c r="K48"/>
  <c r="K49"/>
  <c r="K50"/>
  <c r="K51"/>
  <c r="K52"/>
  <c r="K53"/>
  <c r="K54"/>
  <c r="K43"/>
  <c r="J24"/>
  <c r="B6"/>
  <c r="G67" s="1"/>
  <c r="I24" i="4"/>
  <c r="D141" i="11"/>
  <c r="D67"/>
  <c r="G6"/>
  <c r="G7"/>
  <c r="D65" s="1"/>
  <c r="D140" s="1"/>
  <c r="J9"/>
  <c r="G9"/>
  <c r="E9"/>
  <c r="I120"/>
  <c r="D66"/>
  <c r="D137"/>
  <c r="D142" s="1"/>
  <c r="C57"/>
  <c r="J37"/>
  <c r="C37"/>
  <c r="J36"/>
  <c r="J35"/>
  <c r="J34"/>
  <c r="J33"/>
  <c r="J32"/>
  <c r="J31"/>
  <c r="J30"/>
  <c r="J29"/>
  <c r="J28"/>
  <c r="J27"/>
  <c r="J26"/>
  <c r="J25"/>
  <c r="F19"/>
  <c r="BD29" i="3" l="1"/>
  <c r="BD25"/>
  <c r="C60" i="11"/>
  <c r="C136"/>
  <c r="G142"/>
  <c r="BI29" i="3" l="1"/>
  <c r="BH10"/>
  <c r="BC9"/>
  <c r="BF12"/>
  <c r="Z5" i="5"/>
  <c r="AC4"/>
  <c r="AB4"/>
  <c r="AA4"/>
  <c r="AA3"/>
  <c r="O36" i="6"/>
  <c r="O63"/>
  <c r="K131" i="11" s="1"/>
  <c r="C13" i="8"/>
  <c r="D3"/>
  <c r="K5"/>
  <c r="D5"/>
  <c r="D4"/>
  <c r="M22"/>
  <c r="AI40"/>
  <c r="D39"/>
  <c r="D38"/>
  <c r="AI38" s="1"/>
  <c r="AJ38" s="1"/>
  <c r="D37"/>
  <c r="D36"/>
  <c r="D35"/>
  <c r="AI35" s="1"/>
  <c r="D34"/>
  <c r="AI34" s="1"/>
  <c r="D33"/>
  <c r="F40"/>
  <c r="F39"/>
  <c r="F38"/>
  <c r="F36"/>
  <c r="F37"/>
  <c r="F35"/>
  <c r="F33"/>
  <c r="F34"/>
  <c r="G115" i="11" l="1"/>
  <c r="I115" s="1"/>
  <c r="H35" i="8"/>
  <c r="AN35" s="1"/>
  <c r="AO35" s="1"/>
  <c r="AP35" s="1"/>
  <c r="AQ35" s="1"/>
  <c r="L35" s="1"/>
  <c r="H38"/>
  <c r="AN38" s="1"/>
  <c r="AO38" s="1"/>
  <c r="H37"/>
  <c r="AI37"/>
  <c r="AJ37" s="1"/>
  <c r="AK37" s="1"/>
  <c r="AL37" s="1"/>
  <c r="J37" s="1"/>
  <c r="BJ11" i="3"/>
  <c r="BJ10"/>
  <c r="AK38" i="8"/>
  <c r="AL38" s="1"/>
  <c r="J38" s="1"/>
  <c r="AJ35"/>
  <c r="AJ40"/>
  <c r="AN37"/>
  <c r="AO37" s="1"/>
  <c r="H40"/>
  <c r="AN40" s="1"/>
  <c r="H39"/>
  <c r="AI39"/>
  <c r="AJ39" s="1"/>
  <c r="AK39" s="1"/>
  <c r="AL39" s="1"/>
  <c r="J39" s="1"/>
  <c r="H36"/>
  <c r="AN36" s="1"/>
  <c r="AI36"/>
  <c r="AJ36" s="1"/>
  <c r="AJ34"/>
  <c r="H34"/>
  <c r="H33"/>
  <c r="L33" s="1"/>
  <c r="J33"/>
  <c r="AP38" l="1"/>
  <c r="AQ38" s="1"/>
  <c r="L38" s="1"/>
  <c r="N38" s="1"/>
  <c r="AK34"/>
  <c r="AL34" s="1"/>
  <c r="J34" s="1"/>
  <c r="AK35"/>
  <c r="AL35" s="1"/>
  <c r="J35" s="1"/>
  <c r="N35" s="1"/>
  <c r="AP37"/>
  <c r="AQ37" s="1"/>
  <c r="L37" s="1"/>
  <c r="N37" s="1"/>
  <c r="AN34"/>
  <c r="AO34" s="1"/>
  <c r="AK40"/>
  <c r="AL40" s="1"/>
  <c r="J40" s="1"/>
  <c r="AO40"/>
  <c r="AP40" s="1"/>
  <c r="AQ40" s="1"/>
  <c r="L40" s="1"/>
  <c r="AN39"/>
  <c r="AO39" s="1"/>
  <c r="AK36"/>
  <c r="AL36" s="1"/>
  <c r="J36" s="1"/>
  <c r="AO36"/>
  <c r="AP36" s="1"/>
  <c r="AQ36" s="1"/>
  <c r="L36" s="1"/>
  <c r="N40" l="1"/>
  <c r="N36"/>
  <c r="AP34"/>
  <c r="AQ34" s="1"/>
  <c r="L34" s="1"/>
  <c r="N34" s="1"/>
  <c r="AP39"/>
  <c r="AQ39" s="1"/>
  <c r="L39" s="1"/>
  <c r="N39" s="1"/>
  <c r="M21" i="6" l="1"/>
  <c r="O44" l="1"/>
  <c r="G121" i="11" s="1"/>
  <c r="I121" s="1"/>
  <c r="O41" i="6"/>
  <c r="G122" i="11" s="1"/>
  <c r="I122" s="1"/>
  <c r="O39" i="6"/>
  <c r="G118" i="11" s="1"/>
  <c r="I118" s="1"/>
  <c r="O38" i="6"/>
  <c r="G117" i="11" s="1"/>
  <c r="I117" s="1"/>
  <c r="O37" i="6"/>
  <c r="G109" i="11"/>
  <c r="M28" i="6"/>
  <c r="G108" i="11" s="1"/>
  <c r="G110"/>
  <c r="M26" i="6"/>
  <c r="M25"/>
  <c r="M24"/>
  <c r="M23"/>
  <c r="M22"/>
  <c r="G28"/>
  <c r="G103" i="11" s="1"/>
  <c r="G27" i="6"/>
  <c r="G24"/>
  <c r="G23"/>
  <c r="G102" i="11" s="1"/>
  <c r="G22" i="6"/>
  <c r="J51"/>
  <c r="AA54"/>
  <c r="AA55"/>
  <c r="AA56"/>
  <c r="Y60"/>
  <c r="M52"/>
  <c r="M53"/>
  <c r="N57"/>
  <c r="N56"/>
  <c r="N55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I15"/>
  <c r="F92" i="11" s="1"/>
  <c r="I16" i="6"/>
  <c r="F91" i="11" s="1"/>
  <c r="G116" l="1"/>
  <c r="I116" s="1"/>
  <c r="G104"/>
  <c r="G107"/>
  <c r="G106"/>
  <c r="AA31" i="6"/>
  <c r="AA32" s="1"/>
  <c r="O42" s="1"/>
  <c r="G123" i="11" s="1"/>
  <c r="I123" s="1"/>
  <c r="AB31" i="6"/>
  <c r="O45" l="1"/>
  <c r="I13"/>
  <c r="F88" i="11" s="1"/>
  <c r="F13" i="6"/>
  <c r="K9"/>
  <c r="G81" i="11" s="1"/>
  <c r="K8" i="6"/>
  <c r="G83" i="11" s="1"/>
  <c r="K7" i="6"/>
  <c r="G82" i="11" s="1"/>
  <c r="I84" l="1"/>
  <c r="D88"/>
  <c r="E15" i="6"/>
  <c r="K11"/>
  <c r="A1"/>
  <c r="N3"/>
  <c r="J3"/>
  <c r="D3"/>
  <c r="I19" i="9"/>
  <c r="BJ12" i="3"/>
  <c r="AX25"/>
  <c r="AX26"/>
  <c r="AX27"/>
  <c r="AX28"/>
  <c r="D17" i="9"/>
  <c r="E15" i="8"/>
  <c r="S29" i="5"/>
  <c r="C29"/>
  <c r="O5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B1"/>
  <c r="F93" i="11" l="1"/>
  <c r="O16" i="6"/>
  <c r="D89" i="11"/>
  <c r="D13" i="6"/>
  <c r="O9"/>
  <c r="G93" i="11" l="1"/>
  <c r="I93"/>
  <c r="B88"/>
  <c r="G88" s="1"/>
  <c r="G89" s="1"/>
  <c r="K13" i="6"/>
  <c r="O14" s="1"/>
  <c r="N33" i="8"/>
  <c r="BD24" i="3" l="1"/>
  <c r="BF23" l="1"/>
  <c r="BF22"/>
  <c r="BF21"/>
  <c r="BF20"/>
  <c r="BF19"/>
  <c r="BF18"/>
  <c r="BF17"/>
  <c r="BF16"/>
  <c r="BF15"/>
  <c r="BF14"/>
  <c r="BF13"/>
  <c r="F3"/>
  <c r="AZ17" l="1"/>
  <c r="AZ16"/>
  <c r="V6"/>
  <c r="T5" i="5" s="1"/>
  <c r="R6" i="3"/>
  <c r="P5" i="5" s="1"/>
  <c r="S6" i="3"/>
  <c r="Q5" i="5" s="1"/>
  <c r="T6" i="3"/>
  <c r="R5" i="5" s="1"/>
  <c r="U6" i="3"/>
  <c r="S5" i="5" s="1"/>
  <c r="N5"/>
  <c r="J5"/>
  <c r="G5"/>
  <c r="H5"/>
  <c r="I5"/>
  <c r="H6" i="3"/>
  <c r="F5" i="5" s="1"/>
  <c r="BB10" i="3" l="1"/>
  <c r="BE10" s="1"/>
  <c r="BB16"/>
  <c r="BB15"/>
  <c r="BI15" s="1"/>
  <c r="BM12"/>
  <c r="BM13" s="1"/>
  <c r="BM14" s="1"/>
  <c r="BM15" s="1"/>
  <c r="BM16" s="1"/>
  <c r="BM17" s="1"/>
  <c r="BM18" s="1"/>
  <c r="BM19" s="1"/>
  <c r="BM20" s="1"/>
  <c r="BM21" s="1"/>
  <c r="BM22" s="1"/>
  <c r="BM23" s="1"/>
  <c r="BL10"/>
  <c r="BL12"/>
  <c r="BL13" s="1"/>
  <c r="BL14" s="1"/>
  <c r="BL15" s="1"/>
  <c r="BL16" s="1"/>
  <c r="BL17" s="1"/>
  <c r="BL18" s="1"/>
  <c r="BL19" s="1"/>
  <c r="BL20" s="1"/>
  <c r="BL21" s="1"/>
  <c r="BL22" s="1"/>
  <c r="BL23" s="1"/>
  <c r="BL24" s="1"/>
  <c r="BB19"/>
  <c r="BB12"/>
  <c r="BG12" s="1"/>
  <c r="BB11"/>
  <c r="BB13"/>
  <c r="BJ15"/>
  <c r="BJ14"/>
  <c r="BE15"/>
  <c r="BB14"/>
  <c r="BE14" l="1"/>
  <c r="BI14"/>
  <c r="BG14"/>
  <c r="BE13"/>
  <c r="BG13"/>
  <c r="BE16"/>
  <c r="BG16"/>
  <c r="BI16"/>
  <c r="BE19"/>
  <c r="BG19"/>
  <c r="BI19"/>
  <c r="BG15"/>
  <c r="BE12"/>
  <c r="E5" i="9"/>
  <c r="BD10" i="3"/>
  <c r="BO24"/>
  <c r="BL25"/>
  <c r="BN12"/>
  <c r="BO12" s="1"/>
  <c r="D8" s="1"/>
  <c r="Q8" s="1"/>
  <c r="O6" i="5" s="1"/>
  <c r="BD11" i="3"/>
  <c r="BE11"/>
  <c r="BD19"/>
  <c r="BX15"/>
  <c r="BX12"/>
  <c r="BD12"/>
  <c r="BD13"/>
  <c r="BX13"/>
  <c r="BD14"/>
  <c r="BX14"/>
  <c r="BJ16"/>
  <c r="BJ17" s="1"/>
  <c r="BJ18" s="1"/>
  <c r="BJ19" s="1"/>
  <c r="BJ20" s="1"/>
  <c r="BJ21" s="1"/>
  <c r="BJ22" s="1"/>
  <c r="BJ23" s="1"/>
  <c r="E6" i="9"/>
  <c r="F6" s="1"/>
  <c r="E7"/>
  <c r="F7" s="1"/>
  <c r="BD15" i="3"/>
  <c r="E8" i="9"/>
  <c r="F8" s="1"/>
  <c r="BB20" i="3"/>
  <c r="BE20" l="1"/>
  <c r="BG20"/>
  <c r="BI20"/>
  <c r="F5" i="9"/>
  <c r="N8" i="3"/>
  <c r="L6" i="5" s="1"/>
  <c r="BL26" i="3"/>
  <c r="BO25"/>
  <c r="B8"/>
  <c r="C8" s="1"/>
  <c r="BN13"/>
  <c r="BX20"/>
  <c r="G15" i="11"/>
  <c r="J15" s="1"/>
  <c r="BD26" i="3"/>
  <c r="BI26" s="1"/>
  <c r="BB23"/>
  <c r="BD20"/>
  <c r="E13" i="9"/>
  <c r="F13" s="1"/>
  <c r="BB22" i="3"/>
  <c r="BX19"/>
  <c r="BB17"/>
  <c r="BB21"/>
  <c r="BB18"/>
  <c r="BE18" l="1"/>
  <c r="G8" s="1"/>
  <c r="E6" i="5" s="1"/>
  <c r="BG18" i="3"/>
  <c r="BI18"/>
  <c r="BE22"/>
  <c r="BG22"/>
  <c r="BI22"/>
  <c r="BE23"/>
  <c r="BG23"/>
  <c r="BI23"/>
  <c r="BE17"/>
  <c r="BI17"/>
  <c r="BG17"/>
  <c r="BE21"/>
  <c r="BI21"/>
  <c r="BG21"/>
  <c r="BL27"/>
  <c r="BO26"/>
  <c r="BO13"/>
  <c r="D9" s="1"/>
  <c r="BQ12"/>
  <c r="BN14"/>
  <c r="BX21"/>
  <c r="BX16"/>
  <c r="BX22"/>
  <c r="J66" i="6" s="1"/>
  <c r="BX18" i="3"/>
  <c r="G17" i="11" s="1"/>
  <c r="J17" s="1"/>
  <c r="BX23" i="3"/>
  <c r="K66" i="6" s="1"/>
  <c r="BX17" i="3"/>
  <c r="BS10"/>
  <c r="E16" i="9"/>
  <c r="F16" s="1"/>
  <c r="BD23" i="3"/>
  <c r="E11" i="9"/>
  <c r="F11" s="1"/>
  <c r="BD17" i="3"/>
  <c r="E10" i="9"/>
  <c r="F10" s="1"/>
  <c r="BD16" i="3"/>
  <c r="F8" s="1"/>
  <c r="D6" i="5" s="1"/>
  <c r="E9" i="9"/>
  <c r="BD21" i="3"/>
  <c r="E14" i="9"/>
  <c r="F14" s="1"/>
  <c r="BD22" i="3"/>
  <c r="E15" i="9"/>
  <c r="F15" s="1"/>
  <c r="E12"/>
  <c r="F12" s="1"/>
  <c r="A8" i="3"/>
  <c r="B6" i="5"/>
  <c r="BD18" i="3"/>
  <c r="Q9" l="1"/>
  <c r="O7" i="5" s="1"/>
  <c r="B7"/>
  <c r="H66" i="6"/>
  <c r="F9" i="9"/>
  <c r="F17" s="1"/>
  <c r="E17"/>
  <c r="BL28" i="3"/>
  <c r="BO27"/>
  <c r="N9"/>
  <c r="L7" i="5" s="1"/>
  <c r="G9" i="3"/>
  <c r="E7" i="5" s="1"/>
  <c r="F9" i="3"/>
  <c r="D7" i="5" s="1"/>
  <c r="B9" i="3"/>
  <c r="C9" s="1"/>
  <c r="E8"/>
  <c r="BO14"/>
  <c r="D10" s="1"/>
  <c r="B8" i="5" s="1"/>
  <c r="BQ13" i="3"/>
  <c r="E9" s="1"/>
  <c r="C7" i="5" s="1"/>
  <c r="BN15" i="3"/>
  <c r="E66" i="6"/>
  <c r="G16" i="11"/>
  <c r="J16" s="1"/>
  <c r="T8" i="3" l="1"/>
  <c r="R6" i="5" s="1"/>
  <c r="C6"/>
  <c r="BI7" i="3"/>
  <c r="Q10"/>
  <c r="O8" i="5" s="1"/>
  <c r="BJ6" i="3"/>
  <c r="P8"/>
  <c r="N6" i="5" s="1"/>
  <c r="R8" i="3"/>
  <c r="P6" i="5" s="1"/>
  <c r="F10" i="3"/>
  <c r="D8" i="5" s="1"/>
  <c r="N10" i="3"/>
  <c r="L8" i="5" s="1"/>
  <c r="G10" i="3"/>
  <c r="E8" i="5" s="1"/>
  <c r="BL29" i="3"/>
  <c r="BO28"/>
  <c r="BS12"/>
  <c r="X8"/>
  <c r="V6" i="5" s="1"/>
  <c r="U8" i="3"/>
  <c r="S6" i="5" s="1"/>
  <c r="K8" i="3"/>
  <c r="I6" i="5" s="1"/>
  <c r="Y8" i="3"/>
  <c r="W6" i="5" s="1"/>
  <c r="V8" i="3"/>
  <c r="T6" i="5" s="1"/>
  <c r="L8" i="3"/>
  <c r="J6" i="5" s="1"/>
  <c r="H8" i="3"/>
  <c r="F6" i="5" s="1"/>
  <c r="Z8" i="3"/>
  <c r="X6" i="5" s="1"/>
  <c r="C24" i="11" s="1"/>
  <c r="S8" i="3"/>
  <c r="Q6" i="5" s="1"/>
  <c r="M8" i="3"/>
  <c r="K6" i="5" s="1"/>
  <c r="I8" i="3"/>
  <c r="G6" i="5" s="1"/>
  <c r="AA8" i="3"/>
  <c r="Y6" i="5" s="1"/>
  <c r="W8" i="3"/>
  <c r="U6" i="5" s="1"/>
  <c r="X9" i="3"/>
  <c r="V7" i="5" s="1"/>
  <c r="U9" i="3"/>
  <c r="S7" i="5" s="1"/>
  <c r="K9" i="3"/>
  <c r="I7" i="5" s="1"/>
  <c r="Z9" i="3"/>
  <c r="X7" i="5" s="1"/>
  <c r="Y9" i="3"/>
  <c r="W7" i="5" s="1"/>
  <c r="T9" i="3"/>
  <c r="R7" i="5" s="1"/>
  <c r="R9" i="3"/>
  <c r="P7" i="5" s="1"/>
  <c r="M9" i="3"/>
  <c r="K7" i="5" s="1"/>
  <c r="H9" i="3"/>
  <c r="F7" i="5" s="1"/>
  <c r="S9" i="3"/>
  <c r="Q7" i="5" s="1"/>
  <c r="L9" i="3"/>
  <c r="J7" i="5" s="1"/>
  <c r="I9" i="3"/>
  <c r="G7" i="5" s="1"/>
  <c r="AA9" i="3"/>
  <c r="Y7" i="5" s="1"/>
  <c r="W9" i="3"/>
  <c r="U7" i="5" s="1"/>
  <c r="V9" i="3"/>
  <c r="T7" i="5" s="1"/>
  <c r="A9" i="3"/>
  <c r="BO15"/>
  <c r="D11" s="1"/>
  <c r="BQ14"/>
  <c r="E10" s="1"/>
  <c r="C8" i="5" s="1"/>
  <c r="BN16" i="3"/>
  <c r="B10"/>
  <c r="C10" s="1"/>
  <c r="Q11" l="1"/>
  <c r="O9" i="5" s="1"/>
  <c r="B9"/>
  <c r="O8" i="3"/>
  <c r="O9"/>
  <c r="M7" i="5" s="1"/>
  <c r="BO29" i="3"/>
  <c r="BL30"/>
  <c r="F11"/>
  <c r="D9" i="5" s="1"/>
  <c r="N11" i="3"/>
  <c r="L9" i="5" s="1"/>
  <c r="G11" i="3"/>
  <c r="E9" i="5" s="1"/>
  <c r="Z10" i="3"/>
  <c r="Y10"/>
  <c r="W8" i="5" s="1"/>
  <c r="V10" i="3"/>
  <c r="T8" i="5" s="1"/>
  <c r="R10" i="3"/>
  <c r="P8" i="5" s="1"/>
  <c r="H10" i="3"/>
  <c r="F8" i="5" s="1"/>
  <c r="U10" i="3"/>
  <c r="S8" i="5" s="1"/>
  <c r="S10" i="3"/>
  <c r="Q8" i="5" s="1"/>
  <c r="I10" i="3"/>
  <c r="G8" i="5" s="1"/>
  <c r="AA10" i="3"/>
  <c r="Y8" i="5" s="1"/>
  <c r="W10" i="3"/>
  <c r="U8" i="5" s="1"/>
  <c r="T10" i="3"/>
  <c r="R8" i="5" s="1"/>
  <c r="M10" i="3"/>
  <c r="K8" i="5" s="1"/>
  <c r="X10" i="3"/>
  <c r="V8" i="5" s="1"/>
  <c r="L10" i="3"/>
  <c r="J8" i="5" s="1"/>
  <c r="K10" i="3"/>
  <c r="I8" i="5" s="1"/>
  <c r="BO16" i="3"/>
  <c r="D12" s="1"/>
  <c r="A10"/>
  <c r="BQ15"/>
  <c r="E11" s="1"/>
  <c r="C9" i="5" s="1"/>
  <c r="BN17" i="3"/>
  <c r="P10"/>
  <c r="N8" i="5" s="1"/>
  <c r="P9" i="3"/>
  <c r="N7" i="5" s="1"/>
  <c r="C25" i="11"/>
  <c r="B11" i="3"/>
  <c r="A11" s="1"/>
  <c r="Q12" l="1"/>
  <c r="O10" i="5" s="1"/>
  <c r="B10"/>
  <c r="X8"/>
  <c r="AB8" i="3"/>
  <c r="M6" i="5"/>
  <c r="F12" i="3"/>
  <c r="D10" i="5" s="1"/>
  <c r="N12" i="3"/>
  <c r="L10" i="5" s="1"/>
  <c r="G12" i="3"/>
  <c r="E10" i="5" s="1"/>
  <c r="O10" i="3"/>
  <c r="S11"/>
  <c r="Q9" i="5" s="1"/>
  <c r="L11" i="3"/>
  <c r="J9" i="5" s="1"/>
  <c r="I11" i="3"/>
  <c r="G9" i="5" s="1"/>
  <c r="AA11" i="3"/>
  <c r="Y9" i="5" s="1"/>
  <c r="W11" i="3"/>
  <c r="U9" i="5" s="1"/>
  <c r="V11" i="3"/>
  <c r="T9" i="5" s="1"/>
  <c r="X11" i="3"/>
  <c r="V9" i="5" s="1"/>
  <c r="U11" i="3"/>
  <c r="S9" i="5" s="1"/>
  <c r="K11" i="3"/>
  <c r="I9" i="5" s="1"/>
  <c r="Z11" i="3"/>
  <c r="Y11"/>
  <c r="W9" i="5" s="1"/>
  <c r="T11" i="3"/>
  <c r="R9" i="5" s="1"/>
  <c r="R11" i="3"/>
  <c r="P9" i="5" s="1"/>
  <c r="M11" i="3"/>
  <c r="K9" i="5" s="1"/>
  <c r="H11" i="3"/>
  <c r="F9" i="5" s="1"/>
  <c r="AB9" i="3"/>
  <c r="BO17"/>
  <c r="D13" s="1"/>
  <c r="BQ16"/>
  <c r="E12" s="1"/>
  <c r="C10" i="5" s="1"/>
  <c r="BN18" i="3"/>
  <c r="P11"/>
  <c r="N9" i="5" s="1"/>
  <c r="B12" i="3"/>
  <c r="A12" s="1"/>
  <c r="C11"/>
  <c r="X9" i="5" l="1"/>
  <c r="AC8" i="3"/>
  <c r="AA6" i="5" s="1"/>
  <c r="Z6"/>
  <c r="AC9" i="3"/>
  <c r="AA7" i="5" s="1"/>
  <c r="Z7"/>
  <c r="AB10" i="3"/>
  <c r="M8" i="5"/>
  <c r="Q13" i="3"/>
  <c r="O11" i="5" s="1"/>
  <c r="B11"/>
  <c r="C26" i="11"/>
  <c r="N13" i="3"/>
  <c r="L11" i="5" s="1"/>
  <c r="G13" i="3"/>
  <c r="E11" i="5" s="1"/>
  <c r="F13" i="3"/>
  <c r="D11" i="5" s="1"/>
  <c r="O11" i="3"/>
  <c r="AA12"/>
  <c r="Y10" i="5" s="1"/>
  <c r="W12" i="3"/>
  <c r="U10" i="5" s="1"/>
  <c r="T12" i="3"/>
  <c r="R10" i="5" s="1"/>
  <c r="M12" i="3"/>
  <c r="K10" i="5" s="1"/>
  <c r="X12" i="3"/>
  <c r="V10" i="5" s="1"/>
  <c r="L12" i="3"/>
  <c r="J10" i="5" s="1"/>
  <c r="K12" i="3"/>
  <c r="I10" i="5" s="1"/>
  <c r="Z12" i="3"/>
  <c r="X10" i="5" s="1"/>
  <c r="Y12" i="3"/>
  <c r="W10" i="5" s="1"/>
  <c r="V12" i="3"/>
  <c r="T10" i="5" s="1"/>
  <c r="R12" i="3"/>
  <c r="P10" i="5" s="1"/>
  <c r="H12" i="3"/>
  <c r="F10" i="5" s="1"/>
  <c r="U12" i="3"/>
  <c r="S10" i="5" s="1"/>
  <c r="S12" i="3"/>
  <c r="Q10" i="5" s="1"/>
  <c r="I12" i="3"/>
  <c r="G10" i="5" s="1"/>
  <c r="BO18" i="3"/>
  <c r="D14" s="1"/>
  <c r="BQ17"/>
  <c r="E13" s="1"/>
  <c r="C11" i="5" s="1"/>
  <c r="BN19" i="3"/>
  <c r="P12"/>
  <c r="N10" i="5" s="1"/>
  <c r="C12" i="3"/>
  <c r="B13"/>
  <c r="A13" s="1"/>
  <c r="C28" i="11"/>
  <c r="Q14" i="3" l="1"/>
  <c r="O12" i="5" s="1"/>
  <c r="B12"/>
  <c r="AB11" i="3"/>
  <c r="M9" i="5"/>
  <c r="C27" i="11"/>
  <c r="AC10" i="3"/>
  <c r="AA8" i="5" s="1"/>
  <c r="Z8"/>
  <c r="F14" i="3"/>
  <c r="D12" i="5" s="1"/>
  <c r="N14" i="3"/>
  <c r="L12" i="5" s="1"/>
  <c r="G14" i="3"/>
  <c r="E12" i="5" s="1"/>
  <c r="O12" i="3"/>
  <c r="X13"/>
  <c r="V11" i="5" s="1"/>
  <c r="U13" i="3"/>
  <c r="S11" i="5" s="1"/>
  <c r="K13" i="3"/>
  <c r="I11" i="5" s="1"/>
  <c r="Z13" i="3"/>
  <c r="Y13"/>
  <c r="W11" i="5" s="1"/>
  <c r="T13" i="3"/>
  <c r="R11" i="5" s="1"/>
  <c r="R13" i="3"/>
  <c r="P11" i="5" s="1"/>
  <c r="M13" i="3"/>
  <c r="K11" i="5" s="1"/>
  <c r="H13" i="3"/>
  <c r="F11" i="5" s="1"/>
  <c r="S13" i="3"/>
  <c r="Q11" i="5" s="1"/>
  <c r="L13" i="3"/>
  <c r="J11" i="5" s="1"/>
  <c r="I13" i="3"/>
  <c r="G11" i="5" s="1"/>
  <c r="AA13" i="3"/>
  <c r="Y11" i="5" s="1"/>
  <c r="W13" i="3"/>
  <c r="U11" i="5" s="1"/>
  <c r="V13" i="3"/>
  <c r="T11" i="5" s="1"/>
  <c r="BO19" i="3"/>
  <c r="D15" s="1"/>
  <c r="BQ18"/>
  <c r="E14" s="1"/>
  <c r="C12" i="5" s="1"/>
  <c r="BN20" i="3"/>
  <c r="P13"/>
  <c r="N11" i="5" s="1"/>
  <c r="B14" i="3"/>
  <c r="A14" s="1"/>
  <c r="C13"/>
  <c r="Q15" l="1"/>
  <c r="O13" i="5" s="1"/>
  <c r="B13"/>
  <c r="X11"/>
  <c r="C29" i="11" s="1"/>
  <c r="AB12" i="3"/>
  <c r="M10" i="5"/>
  <c r="AC11" i="3"/>
  <c r="AA9" i="5" s="1"/>
  <c r="Z9"/>
  <c r="F15" i="3"/>
  <c r="D13" i="5" s="1"/>
  <c r="N15" i="3"/>
  <c r="L13" i="5" s="1"/>
  <c r="G15" i="3"/>
  <c r="E13" i="5" s="1"/>
  <c r="O13" i="3"/>
  <c r="Z14"/>
  <c r="Y14"/>
  <c r="W12" i="5" s="1"/>
  <c r="V14" i="3"/>
  <c r="T12" i="5" s="1"/>
  <c r="R14" i="3"/>
  <c r="P12" i="5" s="1"/>
  <c r="H14" i="3"/>
  <c r="F12" i="5" s="1"/>
  <c r="U14" i="3"/>
  <c r="S12" i="5" s="1"/>
  <c r="S14" i="3"/>
  <c r="Q12" i="5" s="1"/>
  <c r="I14" i="3"/>
  <c r="G12" i="5" s="1"/>
  <c r="AA14" i="3"/>
  <c r="Y12" i="5" s="1"/>
  <c r="W14" i="3"/>
  <c r="U12" i="5" s="1"/>
  <c r="T14" i="3"/>
  <c r="R12" i="5" s="1"/>
  <c r="M14" i="3"/>
  <c r="K12" i="5" s="1"/>
  <c r="X14" i="3"/>
  <c r="V12" i="5" s="1"/>
  <c r="L14" i="3"/>
  <c r="J12" i="5" s="1"/>
  <c r="K14" i="3"/>
  <c r="I12" i="5" s="1"/>
  <c r="BO20" i="3"/>
  <c r="D16" s="1"/>
  <c r="BQ19"/>
  <c r="E15" s="1"/>
  <c r="C13" i="5" s="1"/>
  <c r="BN21" i="3"/>
  <c r="P14"/>
  <c r="N12" i="5" s="1"/>
  <c r="C14" i="3"/>
  <c r="B15"/>
  <c r="A15" s="1"/>
  <c r="Q16" l="1"/>
  <c r="O14" i="5" s="1"/>
  <c r="B14"/>
  <c r="AB13" i="3"/>
  <c r="Z11" i="5" s="1"/>
  <c r="M11"/>
  <c r="X12"/>
  <c r="C30" i="11" s="1"/>
  <c r="AC12" i="3"/>
  <c r="AA10" i="5" s="1"/>
  <c r="Z10"/>
  <c r="F16" i="3"/>
  <c r="D14" i="5" s="1"/>
  <c r="N16" i="3"/>
  <c r="L14" i="5" s="1"/>
  <c r="G16" i="3"/>
  <c r="E14" i="5" s="1"/>
  <c r="O14" i="3"/>
  <c r="S15"/>
  <c r="Q13" i="5" s="1"/>
  <c r="L15" i="3"/>
  <c r="J13" i="5" s="1"/>
  <c r="I15" i="3"/>
  <c r="G13" i="5" s="1"/>
  <c r="AA15" i="3"/>
  <c r="Y13" i="5" s="1"/>
  <c r="W15" i="3"/>
  <c r="U13" i="5" s="1"/>
  <c r="V15" i="3"/>
  <c r="T13" i="5" s="1"/>
  <c r="X15" i="3"/>
  <c r="V13" i="5" s="1"/>
  <c r="U15" i="3"/>
  <c r="S13" i="5" s="1"/>
  <c r="K15" i="3"/>
  <c r="I13" i="5" s="1"/>
  <c r="Z15" i="3"/>
  <c r="Y15"/>
  <c r="W13" i="5" s="1"/>
  <c r="T15" i="3"/>
  <c r="R13" i="5" s="1"/>
  <c r="R15" i="3"/>
  <c r="P13" i="5" s="1"/>
  <c r="M15" i="3"/>
  <c r="K13" i="5" s="1"/>
  <c r="H15" i="3"/>
  <c r="F13" i="5" s="1"/>
  <c r="BO21" i="3"/>
  <c r="D17" s="1"/>
  <c r="BQ20"/>
  <c r="E16" s="1"/>
  <c r="C14" i="5" s="1"/>
  <c r="BN22" i="3"/>
  <c r="P15"/>
  <c r="N13" i="5" s="1"/>
  <c r="BD7" i="3"/>
  <c r="C15"/>
  <c r="B16"/>
  <c r="A16" s="1"/>
  <c r="AC13" l="1"/>
  <c r="AA11" i="5" s="1"/>
  <c r="X13"/>
  <c r="C31" i="11" s="1"/>
  <c r="Q17" i="3"/>
  <c r="O15" i="5" s="1"/>
  <c r="B15"/>
  <c r="AB14" i="3"/>
  <c r="M12" i="5"/>
  <c r="N17" i="3"/>
  <c r="L15" i="5" s="1"/>
  <c r="G17" i="3"/>
  <c r="E15" i="5" s="1"/>
  <c r="F17" i="3"/>
  <c r="D15" i="5" s="1"/>
  <c r="O15" i="3"/>
  <c r="AA16"/>
  <c r="Y14" i="5" s="1"/>
  <c r="W16" i="3"/>
  <c r="U14" i="5" s="1"/>
  <c r="T16" i="3"/>
  <c r="R14" i="5" s="1"/>
  <c r="M16" i="3"/>
  <c r="K14" i="5" s="1"/>
  <c r="X16" i="3"/>
  <c r="V14" i="5" s="1"/>
  <c r="L16" i="3"/>
  <c r="J14" i="5" s="1"/>
  <c r="K16" i="3"/>
  <c r="I14" i="5" s="1"/>
  <c r="Z16" i="3"/>
  <c r="Y16"/>
  <c r="W14" i="5" s="1"/>
  <c r="V16" i="3"/>
  <c r="T14" i="5" s="1"/>
  <c r="R16" i="3"/>
  <c r="P14" i="5" s="1"/>
  <c r="H16" i="3"/>
  <c r="F14" i="5" s="1"/>
  <c r="U16" i="3"/>
  <c r="S14" i="5" s="1"/>
  <c r="S16" i="3"/>
  <c r="Q14" i="5" s="1"/>
  <c r="I16" i="3"/>
  <c r="G14" i="5" s="1"/>
  <c r="BO22" i="3"/>
  <c r="D18" s="1"/>
  <c r="BQ21"/>
  <c r="E17" s="1"/>
  <c r="BN23"/>
  <c r="P16"/>
  <c r="N14" i="5" s="1"/>
  <c r="D20" i="3"/>
  <c r="B17"/>
  <c r="A17" s="1"/>
  <c r="C16"/>
  <c r="AC14" l="1"/>
  <c r="AA12" i="5" s="1"/>
  <c r="Z12"/>
  <c r="X17" i="3"/>
  <c r="V15" i="5" s="1"/>
  <c r="C15"/>
  <c r="Q20" i="3"/>
  <c r="O18" i="5" s="1"/>
  <c r="B18"/>
  <c r="Q18" i="3"/>
  <c r="O16" i="5" s="1"/>
  <c r="B16"/>
  <c r="X14"/>
  <c r="C32" i="11" s="1"/>
  <c r="AB15" i="3"/>
  <c r="M13" i="5"/>
  <c r="F18" i="3"/>
  <c r="D16" i="5" s="1"/>
  <c r="N18" i="3"/>
  <c r="L16" i="5" s="1"/>
  <c r="G18" i="3"/>
  <c r="E16" i="5" s="1"/>
  <c r="W20" i="3"/>
  <c r="U18" i="5" s="1"/>
  <c r="V20" i="3"/>
  <c r="T18" i="5" s="1"/>
  <c r="R20" i="3"/>
  <c r="P18" i="5" s="1"/>
  <c r="F20" i="3"/>
  <c r="D18" i="5" s="1"/>
  <c r="U20" i="3"/>
  <c r="S18" i="5" s="1"/>
  <c r="N20" i="3"/>
  <c r="L18" i="5" s="1"/>
  <c r="G20" i="3"/>
  <c r="E18" i="5" s="1"/>
  <c r="T20" i="3"/>
  <c r="R18" i="5" s="1"/>
  <c r="O16" i="3"/>
  <c r="U17"/>
  <c r="S15" i="5" s="1"/>
  <c r="K17" i="3"/>
  <c r="I15" i="5" s="1"/>
  <c r="Z17" i="3"/>
  <c r="Y17"/>
  <c r="W15" i="5" s="1"/>
  <c r="T17" i="3"/>
  <c r="R15" i="5" s="1"/>
  <c r="R17" i="3"/>
  <c r="P15" i="5" s="1"/>
  <c r="M17" i="3"/>
  <c r="K15" i="5" s="1"/>
  <c r="H17" i="3"/>
  <c r="F15" i="5" s="1"/>
  <c r="S17" i="3"/>
  <c r="Q15" i="5" s="1"/>
  <c r="L17" i="3"/>
  <c r="J15" i="5" s="1"/>
  <c r="I17" i="3"/>
  <c r="G15" i="5" s="1"/>
  <c r="AA17" i="3"/>
  <c r="Y15" i="5" s="1"/>
  <c r="W17" i="3"/>
  <c r="U15" i="5" s="1"/>
  <c r="V17" i="3"/>
  <c r="T15" i="5" s="1"/>
  <c r="BO23" i="3"/>
  <c r="D19" s="1"/>
  <c r="BQ22"/>
  <c r="E18" s="1"/>
  <c r="C16" i="5" s="1"/>
  <c r="P17" i="3"/>
  <c r="N15" i="5" s="1"/>
  <c r="D21" i="3"/>
  <c r="C17"/>
  <c r="B18"/>
  <c r="A18" s="1"/>
  <c r="Q21" l="1"/>
  <c r="O19" i="5" s="1"/>
  <c r="B19"/>
  <c r="Q19" i="3"/>
  <c r="O17" i="5" s="1"/>
  <c r="B17"/>
  <c r="X15"/>
  <c r="C33" i="11" s="1"/>
  <c r="AC15" i="3"/>
  <c r="AA13" i="5" s="1"/>
  <c r="Z13"/>
  <c r="AB16" i="3"/>
  <c r="M14" i="5"/>
  <c r="N21" i="3"/>
  <c r="L19" i="5" s="1"/>
  <c r="G21" i="3"/>
  <c r="E19" i="5" s="1"/>
  <c r="V21" i="3"/>
  <c r="T19" i="5" s="1"/>
  <c r="U21" i="3"/>
  <c r="S19" i="5" s="1"/>
  <c r="W21" i="3"/>
  <c r="U19" i="5" s="1"/>
  <c r="T21" i="3"/>
  <c r="R19" i="5" s="1"/>
  <c r="R21" i="3"/>
  <c r="P19" i="5" s="1"/>
  <c r="F21" i="3"/>
  <c r="D19" i="5" s="1"/>
  <c r="F19" i="3"/>
  <c r="D17" i="5" s="1"/>
  <c r="N19" i="3"/>
  <c r="L17" i="5" s="1"/>
  <c r="G19" i="3"/>
  <c r="E17" i="5" s="1"/>
  <c r="O17" i="3"/>
  <c r="Z18"/>
  <c r="Y18"/>
  <c r="W16" i="5" s="1"/>
  <c r="V18" i="3"/>
  <c r="T16" i="5" s="1"/>
  <c r="R18" i="3"/>
  <c r="P16" i="5" s="1"/>
  <c r="H18" i="3"/>
  <c r="F16" i="5" s="1"/>
  <c r="U18" i="3"/>
  <c r="S16" i="5" s="1"/>
  <c r="S18" i="3"/>
  <c r="Q16" i="5" s="1"/>
  <c r="I18" i="3"/>
  <c r="G16" i="5" s="1"/>
  <c r="AA18" i="3"/>
  <c r="Y16" i="5" s="1"/>
  <c r="W18" i="3"/>
  <c r="U16" i="5" s="1"/>
  <c r="T18" i="3"/>
  <c r="R16" i="5" s="1"/>
  <c r="M18" i="3"/>
  <c r="K16" i="5" s="1"/>
  <c r="X18" i="3"/>
  <c r="V16" i="5" s="1"/>
  <c r="L18" i="3"/>
  <c r="J16" i="5" s="1"/>
  <c r="K18" i="3"/>
  <c r="I16" i="5" s="1"/>
  <c r="BS16" i="3"/>
  <c r="BQ23"/>
  <c r="E19" s="1"/>
  <c r="C17" i="5" s="1"/>
  <c r="P18" i="3"/>
  <c r="N16" i="5" s="1"/>
  <c r="D22" i="3"/>
  <c r="C18"/>
  <c r="B19"/>
  <c r="A19" s="1"/>
  <c r="BS17"/>
  <c r="Q22" l="1"/>
  <c r="O20" i="5" s="1"/>
  <c r="B20"/>
  <c r="AC16" i="3"/>
  <c r="AA14" i="5" s="1"/>
  <c r="Z14"/>
  <c r="AB17" i="3"/>
  <c r="M15" i="5"/>
  <c r="X16"/>
  <c r="C34" i="11" s="1"/>
  <c r="T22" i="3"/>
  <c r="R20" i="5" s="1"/>
  <c r="W22" i="3"/>
  <c r="U20" i="5" s="1"/>
  <c r="V22" i="3"/>
  <c r="T20" i="5" s="1"/>
  <c r="R22" i="3"/>
  <c r="P20" i="5" s="1"/>
  <c r="U22" i="3"/>
  <c r="S20" i="5" s="1"/>
  <c r="N22" i="3"/>
  <c r="L20" i="5" s="1"/>
  <c r="G22" i="3"/>
  <c r="E20" i="5" s="1"/>
  <c r="F22" i="3"/>
  <c r="D20" i="5" s="1"/>
  <c r="O18" i="3"/>
  <c r="S19"/>
  <c r="Q17" i="5" s="1"/>
  <c r="L19" i="3"/>
  <c r="J17" i="5" s="1"/>
  <c r="I19" i="3"/>
  <c r="G17" i="5" s="1"/>
  <c r="AA19" i="3"/>
  <c r="Y17" i="5" s="1"/>
  <c r="W19" i="3"/>
  <c r="U17" i="5" s="1"/>
  <c r="V19" i="3"/>
  <c r="T17" i="5" s="1"/>
  <c r="X19" i="3"/>
  <c r="V17" i="5" s="1"/>
  <c r="U19" i="3"/>
  <c r="S17" i="5" s="1"/>
  <c r="K19" i="3"/>
  <c r="I17" i="5" s="1"/>
  <c r="Z19" i="3"/>
  <c r="X17" i="5" s="1"/>
  <c r="X27" s="1"/>
  <c r="Y19" i="3"/>
  <c r="W17" i="5" s="1"/>
  <c r="T19" i="3"/>
  <c r="R17" i="5" s="1"/>
  <c r="R19" i="3"/>
  <c r="P17" i="5" s="1"/>
  <c r="M19" i="3"/>
  <c r="K17" i="5" s="1"/>
  <c r="H19" i="3"/>
  <c r="F17" i="5" s="1"/>
  <c r="BI32" i="3"/>
  <c r="BQ24"/>
  <c r="E20" s="1"/>
  <c r="C18" i="5" s="1"/>
  <c r="P19" i="3"/>
  <c r="N17" i="5" s="1"/>
  <c r="D23" i="3"/>
  <c r="C19"/>
  <c r="B20"/>
  <c r="A20" s="1"/>
  <c r="AB18" l="1"/>
  <c r="M16" i="5"/>
  <c r="AC17" i="3"/>
  <c r="AA15" i="5" s="1"/>
  <c r="Z15"/>
  <c r="Q23" i="3"/>
  <c r="O21" i="5" s="1"/>
  <c r="B21"/>
  <c r="U23" i="3"/>
  <c r="S21" i="5" s="1"/>
  <c r="W23" i="3"/>
  <c r="U21" i="5" s="1"/>
  <c r="T23" i="3"/>
  <c r="R21" i="5" s="1"/>
  <c r="R23" i="3"/>
  <c r="P21" i="5" s="1"/>
  <c r="N23" i="3"/>
  <c r="L21" i="5" s="1"/>
  <c r="G23" i="3"/>
  <c r="E21" i="5" s="1"/>
  <c r="F23" i="3"/>
  <c r="D21" i="5" s="1"/>
  <c r="V23" i="3"/>
  <c r="T21" i="5" s="1"/>
  <c r="O19" i="3"/>
  <c r="AA20"/>
  <c r="Y18" i="5" s="1"/>
  <c r="M20" i="3"/>
  <c r="K18" i="5" s="1"/>
  <c r="X20" i="3"/>
  <c r="V18" i="5" s="1"/>
  <c r="L20" i="3"/>
  <c r="J18" i="5" s="1"/>
  <c r="K20" i="3"/>
  <c r="I18" i="5" s="1"/>
  <c r="Y20" i="3"/>
  <c r="W18" i="5" s="1"/>
  <c r="H20" i="3"/>
  <c r="F18" i="5" s="1"/>
  <c r="S20" i="3"/>
  <c r="Q18" i="5" s="1"/>
  <c r="I20" i="3"/>
  <c r="G18" i="5" s="1"/>
  <c r="BQ25" i="3"/>
  <c r="E21" s="1"/>
  <c r="C19" i="5" s="1"/>
  <c r="P20" i="3"/>
  <c r="N18" i="5" s="1"/>
  <c r="D24" i="3"/>
  <c r="C35" i="11"/>
  <c r="BS18" i="3"/>
  <c r="B21"/>
  <c r="A21" s="1"/>
  <c r="C20"/>
  <c r="AC18" l="1"/>
  <c r="AA16" i="5" s="1"/>
  <c r="Z16"/>
  <c r="Q24" i="3"/>
  <c r="O22" i="5" s="1"/>
  <c r="B22"/>
  <c r="AB19" i="3"/>
  <c r="M17" i="5"/>
  <c r="N24" i="3"/>
  <c r="L22" i="5" s="1"/>
  <c r="W24" i="3"/>
  <c r="U22" i="5" s="1"/>
  <c r="V24" i="3"/>
  <c r="T22" i="5" s="1"/>
  <c r="R24" i="3"/>
  <c r="P22" i="5" s="1"/>
  <c r="U24" i="3"/>
  <c r="S22" i="5" s="1"/>
  <c r="G24" i="3"/>
  <c r="E22" i="5" s="1"/>
  <c r="F24" i="3"/>
  <c r="D22" i="5" s="1"/>
  <c r="T24" i="3"/>
  <c r="R22" i="5" s="1"/>
  <c r="O20" i="3"/>
  <c r="X21"/>
  <c r="V19" i="5" s="1"/>
  <c r="K21" i="3"/>
  <c r="I19" i="5" s="1"/>
  <c r="Y21" i="3"/>
  <c r="W19" i="5" s="1"/>
  <c r="M21" i="3"/>
  <c r="K19" i="5" s="1"/>
  <c r="H21" i="3"/>
  <c r="F19" i="5" s="1"/>
  <c r="S21" i="3"/>
  <c r="Q19" i="5" s="1"/>
  <c r="L21" i="3"/>
  <c r="J19" i="5" s="1"/>
  <c r="I21" i="3"/>
  <c r="G19" i="5" s="1"/>
  <c r="AA21" i="3"/>
  <c r="Y19" i="5" s="1"/>
  <c r="BQ26" i="3"/>
  <c r="E22" s="1"/>
  <c r="C20" i="5" s="1"/>
  <c r="P21" i="3"/>
  <c r="N19" i="5" s="1"/>
  <c r="D25" i="3"/>
  <c r="B22"/>
  <c r="A22" s="1"/>
  <c r="C21"/>
  <c r="AC19" l="1"/>
  <c r="AA17" i="5" s="1"/>
  <c r="Z17"/>
  <c r="Q25" i="3"/>
  <c r="O23" i="5" s="1"/>
  <c r="B23"/>
  <c r="AB20" i="3"/>
  <c r="M18" i="5"/>
  <c r="N25" i="3"/>
  <c r="L23" i="5" s="1"/>
  <c r="O21" i="3"/>
  <c r="G25"/>
  <c r="E23" i="5" s="1"/>
  <c r="V25" i="3"/>
  <c r="T23" i="5" s="1"/>
  <c r="U25" i="3"/>
  <c r="S23" i="5" s="1"/>
  <c r="W25" i="3"/>
  <c r="U23" i="5" s="1"/>
  <c r="T25" i="3"/>
  <c r="R23" i="5" s="1"/>
  <c r="R25" i="3"/>
  <c r="P23" i="5" s="1"/>
  <c r="F25" i="3"/>
  <c r="D23" i="5" s="1"/>
  <c r="Y22" i="3"/>
  <c r="W20" i="5" s="1"/>
  <c r="H22" i="3"/>
  <c r="F20" i="5" s="1"/>
  <c r="S22" i="3"/>
  <c r="Q20" i="5" s="1"/>
  <c r="I22" i="3"/>
  <c r="G20" i="5" s="1"/>
  <c r="AA22" i="3"/>
  <c r="Y20" i="5" s="1"/>
  <c r="M22" i="3"/>
  <c r="K20" i="5" s="1"/>
  <c r="X22" i="3"/>
  <c r="V20" i="5" s="1"/>
  <c r="L22" i="3"/>
  <c r="J20" i="5" s="1"/>
  <c r="K22" i="3"/>
  <c r="I20" i="5" s="1"/>
  <c r="BQ27" i="3"/>
  <c r="E23" s="1"/>
  <c r="C21" i="5" s="1"/>
  <c r="BQ28" i="3"/>
  <c r="E24" s="1"/>
  <c r="C22" i="5" s="1"/>
  <c r="P22" i="3"/>
  <c r="N20" i="5" s="1"/>
  <c r="D26" i="3"/>
  <c r="P24"/>
  <c r="N22" i="5" s="1"/>
  <c r="C22" i="3"/>
  <c r="BS19"/>
  <c r="B23"/>
  <c r="A23" s="1"/>
  <c r="AC20" l="1"/>
  <c r="AA18" i="5" s="1"/>
  <c r="Z18"/>
  <c r="Q26" i="3"/>
  <c r="O24" i="5" s="1"/>
  <c r="B24"/>
  <c r="AB21" i="3"/>
  <c r="M19" i="5"/>
  <c r="N26" i="3"/>
  <c r="L24" i="5" s="1"/>
  <c r="M26" i="3"/>
  <c r="K24" i="5" s="1"/>
  <c r="AA26" i="3"/>
  <c r="Y24" i="5" s="1"/>
  <c r="T26" i="3"/>
  <c r="R24" i="5" s="1"/>
  <c r="F26" i="3"/>
  <c r="D24" i="5" s="1"/>
  <c r="Y26" i="3"/>
  <c r="W24" i="5" s="1"/>
  <c r="W26" i="3"/>
  <c r="U24" i="5" s="1"/>
  <c r="V26" i="3"/>
  <c r="T24" i="5" s="1"/>
  <c r="R26" i="3"/>
  <c r="P24" i="5" s="1"/>
  <c r="K26" i="3"/>
  <c r="I24" i="5" s="1"/>
  <c r="I26" i="3"/>
  <c r="G24" i="5" s="1"/>
  <c r="AB26" i="3"/>
  <c r="Z24" i="5" s="1"/>
  <c r="X26" i="3"/>
  <c r="V24" i="5" s="1"/>
  <c r="U26" i="3"/>
  <c r="S24" i="5" s="1"/>
  <c r="S26" i="3"/>
  <c r="Q24" i="5" s="1"/>
  <c r="O26" i="3"/>
  <c r="M24" i="5" s="1"/>
  <c r="L26" i="3"/>
  <c r="J24" i="5" s="1"/>
  <c r="H26" i="3"/>
  <c r="F24" i="5" s="1"/>
  <c r="G26" i="3"/>
  <c r="E24" i="5" s="1"/>
  <c r="O22" i="3"/>
  <c r="M20" i="5" s="1"/>
  <c r="S23" i="3"/>
  <c r="Q21" i="5" s="1"/>
  <c r="L23" i="3"/>
  <c r="J21" i="5" s="1"/>
  <c r="I23" i="3"/>
  <c r="G21" i="5" s="1"/>
  <c r="AA23" i="3"/>
  <c r="Y21" i="5" s="1"/>
  <c r="G18" i="11"/>
  <c r="X23" i="3"/>
  <c r="V21" i="5" s="1"/>
  <c r="K23" i="3"/>
  <c r="I21" i="5" s="1"/>
  <c r="Y23" i="3"/>
  <c r="W21" i="5" s="1"/>
  <c r="M23" i="3"/>
  <c r="K21" i="5" s="1"/>
  <c r="H23" i="3"/>
  <c r="F21" i="5" s="1"/>
  <c r="AA24" i="3"/>
  <c r="Y22" i="5" s="1"/>
  <c r="M24" i="3"/>
  <c r="K22" i="5" s="1"/>
  <c r="X24" i="3"/>
  <c r="V22" i="5" s="1"/>
  <c r="L24" i="3"/>
  <c r="J22" i="5" s="1"/>
  <c r="K24" i="3"/>
  <c r="I22" i="5" s="1"/>
  <c r="Y24" i="3"/>
  <c r="W22" i="5" s="1"/>
  <c r="H24" i="3"/>
  <c r="F22" i="5" s="1"/>
  <c r="S24" i="3"/>
  <c r="Q22" i="5" s="1"/>
  <c r="I24" i="3"/>
  <c r="G22" i="5" s="1"/>
  <c r="BQ30" i="3"/>
  <c r="BQ29"/>
  <c r="E25" s="1"/>
  <c r="C23" i="5" s="1"/>
  <c r="P23" i="3"/>
  <c r="N21" i="5" s="1"/>
  <c r="BL31" i="3"/>
  <c r="C23"/>
  <c r="BS20"/>
  <c r="B24"/>
  <c r="A24" s="1"/>
  <c r="AC21" l="1"/>
  <c r="AA19" i="5" s="1"/>
  <c r="Z19"/>
  <c r="AB22" i="3"/>
  <c r="O23"/>
  <c r="O24"/>
  <c r="X25"/>
  <c r="V23" i="5" s="1"/>
  <c r="K25" i="3"/>
  <c r="I23" i="5" s="1"/>
  <c r="Y25" i="3"/>
  <c r="W23" i="5" s="1"/>
  <c r="M25" i="3"/>
  <c r="K23" i="5" s="1"/>
  <c r="H25" i="3"/>
  <c r="F23" i="5" s="1"/>
  <c r="S25" i="3"/>
  <c r="Q23" i="5" s="1"/>
  <c r="L25" i="3"/>
  <c r="J23" i="5" s="1"/>
  <c r="I25" i="3"/>
  <c r="G23" i="5" s="1"/>
  <c r="AA25" i="3"/>
  <c r="Y23" i="5" s="1"/>
  <c r="P25" i="3"/>
  <c r="N23" i="5" s="1"/>
  <c r="BL32" i="3"/>
  <c r="D28" s="1"/>
  <c r="D27"/>
  <c r="E26"/>
  <c r="B25"/>
  <c r="A25" s="1"/>
  <c r="C24"/>
  <c r="Q27" l="1"/>
  <c r="O25" i="5" s="1"/>
  <c r="B25"/>
  <c r="AB24" i="3"/>
  <c r="M22" i="5"/>
  <c r="AC22" i="3"/>
  <c r="AA20" i="5" s="1"/>
  <c r="Z20"/>
  <c r="AC26" i="3"/>
  <c r="AA24" i="5" s="1"/>
  <c r="C24"/>
  <c r="Q28" i="3"/>
  <c r="O26" i="5" s="1"/>
  <c r="O27" s="1"/>
  <c r="B26"/>
  <c r="AB23" i="3"/>
  <c r="M21" i="5"/>
  <c r="BW25" i="3"/>
  <c r="BZ25" s="1"/>
  <c r="BW30"/>
  <c r="BW26"/>
  <c r="BW28"/>
  <c r="BW29"/>
  <c r="BW27"/>
  <c r="BW24"/>
  <c r="BZ24" s="1"/>
  <c r="N27"/>
  <c r="L25" i="5" s="1"/>
  <c r="N28" i="3"/>
  <c r="L26" i="5" s="1"/>
  <c r="L27" s="1"/>
  <c r="Y28" i="3"/>
  <c r="W26" i="5" s="1"/>
  <c r="W28" i="3"/>
  <c r="U26" i="5" s="1"/>
  <c r="V28" i="3"/>
  <c r="T26" i="5" s="1"/>
  <c r="R28" i="3"/>
  <c r="P26" i="5" s="1"/>
  <c r="M28" i="3"/>
  <c r="K26" i="5" s="1"/>
  <c r="K28" i="3"/>
  <c r="I26" i="5" s="1"/>
  <c r="I28" i="3"/>
  <c r="G26" i="5" s="1"/>
  <c r="AB28" i="3"/>
  <c r="Z26" i="5" s="1"/>
  <c r="X28" i="3"/>
  <c r="V26" i="5" s="1"/>
  <c r="U28" i="3"/>
  <c r="S26" i="5" s="1"/>
  <c r="S28" i="3"/>
  <c r="Q26" i="5" s="1"/>
  <c r="O28" i="3"/>
  <c r="M26" i="5" s="1"/>
  <c r="L28" i="3"/>
  <c r="J26" i="5" s="1"/>
  <c r="H28" i="3"/>
  <c r="F26" i="5" s="1"/>
  <c r="G28" i="3"/>
  <c r="E26" i="5" s="1"/>
  <c r="AA28" i="3"/>
  <c r="Y26" i="5" s="1"/>
  <c r="T28" i="3"/>
  <c r="R26" i="5" s="1"/>
  <c r="F28" i="3"/>
  <c r="D26" i="5" s="1"/>
  <c r="U27" i="3"/>
  <c r="S25" i="5" s="1"/>
  <c r="L27" i="3"/>
  <c r="J25" i="5" s="1"/>
  <c r="Y27" i="3"/>
  <c r="W25" i="5" s="1"/>
  <c r="W27" i="3"/>
  <c r="U25" i="5" s="1"/>
  <c r="T27" i="3"/>
  <c r="R25" i="5" s="1"/>
  <c r="R27" i="3"/>
  <c r="P25" i="5" s="1"/>
  <c r="K27" i="3"/>
  <c r="I25" i="5" s="1"/>
  <c r="I27" i="3"/>
  <c r="G25" i="5" s="1"/>
  <c r="AB27" i="3"/>
  <c r="Z25" i="5" s="1"/>
  <c r="X27" i="3"/>
  <c r="V25" i="5" s="1"/>
  <c r="S27" i="3"/>
  <c r="Q25" i="5" s="1"/>
  <c r="O27" i="3"/>
  <c r="M25" i="5" s="1"/>
  <c r="H27" i="3"/>
  <c r="F25" i="5" s="1"/>
  <c r="G27" i="3"/>
  <c r="E25" i="5" s="1"/>
  <c r="AA27" i="3"/>
  <c r="Y25" i="5" s="1"/>
  <c r="V27" i="3"/>
  <c r="T25" i="5" s="1"/>
  <c r="M27" i="3"/>
  <c r="K25" i="5" s="1"/>
  <c r="F27" i="3"/>
  <c r="D25" i="5" s="1"/>
  <c r="O25" i="3"/>
  <c r="BS13"/>
  <c r="BQ32"/>
  <c r="E28" s="1"/>
  <c r="C26" i="5" s="1"/>
  <c r="BQ31" i="3"/>
  <c r="E27" s="1"/>
  <c r="C25" i="5" s="1"/>
  <c r="P27" i="3"/>
  <c r="N25" i="5" s="1"/>
  <c r="B26" i="3"/>
  <c r="A26" s="1"/>
  <c r="P26"/>
  <c r="N24" i="5" s="1"/>
  <c r="C25" i="3"/>
  <c r="Y27" i="5" l="1"/>
  <c r="C27"/>
  <c r="P27"/>
  <c r="AB25" i="3"/>
  <c r="M23" i="5"/>
  <c r="M27" s="1"/>
  <c r="R27"/>
  <c r="J27"/>
  <c r="V27"/>
  <c r="K27"/>
  <c r="W27"/>
  <c r="AC23" i="3"/>
  <c r="AA21" i="5" s="1"/>
  <c r="Z21"/>
  <c r="AC24" i="3"/>
  <c r="AA22" i="5" s="1"/>
  <c r="Z22"/>
  <c r="D27"/>
  <c r="F27"/>
  <c r="S27"/>
  <c r="I27"/>
  <c r="U27"/>
  <c r="E27"/>
  <c r="Q27"/>
  <c r="G27"/>
  <c r="T27"/>
  <c r="G19" i="11"/>
  <c r="C36"/>
  <c r="AC27" i="3"/>
  <c r="AA25" i="5" s="1"/>
  <c r="AC28" i="3"/>
  <c r="AA26" i="5" s="1"/>
  <c r="BS14" i="3"/>
  <c r="P28"/>
  <c r="B27"/>
  <c r="A27" s="1"/>
  <c r="C26"/>
  <c r="G119" i="11"/>
  <c r="I119" s="1"/>
  <c r="K123" s="1"/>
  <c r="B28" i="3"/>
  <c r="A28" s="1"/>
  <c r="N26" i="5" l="1"/>
  <c r="N27" s="1"/>
  <c r="G20" i="6" s="1"/>
  <c r="G99" i="11" s="1"/>
  <c r="AC25" i="3"/>
  <c r="AA23" i="5" s="1"/>
  <c r="AA27" s="1"/>
  <c r="Z23"/>
  <c r="Z27" s="1"/>
  <c r="J18" i="11"/>
  <c r="J19" s="1"/>
  <c r="C62" s="1"/>
  <c r="D138" s="1"/>
  <c r="C38"/>
  <c r="M66" i="6"/>
  <c r="O66" s="1"/>
  <c r="C27" i="3"/>
  <c r="G21" i="6"/>
  <c r="G101" i="11" s="1"/>
  <c r="G26" i="6"/>
  <c r="G100" i="11" s="1"/>
  <c r="AB39" i="6"/>
  <c r="G111" i="11"/>
  <c r="C28" i="3"/>
  <c r="BZ29" s="1"/>
  <c r="BZ27" l="1"/>
  <c r="K133" i="11"/>
  <c r="BZ26" i="3"/>
  <c r="BZ30"/>
  <c r="BZ28"/>
  <c r="D62" i="11"/>
  <c r="C138" l="1"/>
  <c r="O5" i="6"/>
  <c r="E77" i="11" l="1"/>
  <c r="F77" s="1"/>
  <c r="G78" s="1"/>
  <c r="BC32" i="3"/>
  <c r="BD32" s="1"/>
  <c r="BS15" l="1"/>
  <c r="BE32"/>
  <c r="E18" i="9"/>
  <c r="E19" s="1"/>
  <c r="G30" i="6" l="1"/>
  <c r="G25"/>
  <c r="F18" i="9"/>
  <c r="F19" s="1"/>
  <c r="J13" s="1"/>
  <c r="AB22" i="6"/>
  <c r="G105" i="11" s="1"/>
  <c r="AB37" i="6"/>
  <c r="J19" i="9"/>
  <c r="G98" i="11" l="1"/>
  <c r="I110" s="1"/>
  <c r="K110" s="1"/>
  <c r="K111" s="1"/>
  <c r="K124" s="1"/>
  <c r="J14" i="9"/>
  <c r="J16" s="1"/>
  <c r="J10"/>
  <c r="I11" s="1"/>
  <c r="M30" i="6"/>
  <c r="O31" s="1"/>
  <c r="O34" s="1"/>
  <c r="O46" s="1"/>
  <c r="Z23"/>
  <c r="AB23" s="1"/>
  <c r="AC26" s="1"/>
  <c r="AA28" s="1"/>
  <c r="AA22"/>
  <c r="Z22" s="1"/>
  <c r="AA26" l="1"/>
  <c r="O4"/>
  <c r="G71" i="11" s="1"/>
  <c r="I74" s="1"/>
  <c r="I79" l="1"/>
  <c r="K85" s="1"/>
  <c r="K89" s="1"/>
  <c r="O6" i="6"/>
  <c r="O10" s="1"/>
  <c r="O15" s="1"/>
  <c r="O17" s="1"/>
  <c r="O47" s="1"/>
  <c r="O48" s="1"/>
  <c r="AD54" s="1"/>
  <c r="K94" i="11" l="1"/>
  <c r="K125" s="1"/>
  <c r="K126" s="1"/>
  <c r="Y52" i="6"/>
  <c r="Y59"/>
  <c r="AC53"/>
  <c r="AD52"/>
  <c r="AB56"/>
  <c r="AC51"/>
  <c r="AD53"/>
  <c r="AC55"/>
  <c r="AB51"/>
  <c r="AB55"/>
  <c r="AE55" s="1"/>
  <c r="O56" s="1"/>
  <c r="X51"/>
  <c r="X59"/>
  <c r="X52"/>
  <c r="AC56"/>
  <c r="Z53"/>
  <c r="Y53"/>
  <c r="AD55"/>
  <c r="Z52"/>
  <c r="Y51"/>
  <c r="AC52"/>
  <c r="AD51"/>
  <c r="M38" i="7"/>
  <c r="M23" i="8" s="1"/>
  <c r="M21" s="1"/>
  <c r="AA24" s="1"/>
  <c r="AB24" s="1"/>
  <c r="AC24" s="1"/>
  <c r="AD24" s="1"/>
  <c r="X53" i="6"/>
  <c r="AB52"/>
  <c r="AE52" s="1"/>
  <c r="Z59"/>
  <c r="AD56"/>
  <c r="AB53"/>
  <c r="AE53" s="1"/>
  <c r="AB54"/>
  <c r="AE54" s="1"/>
  <c r="O55" s="1"/>
  <c r="AC54"/>
  <c r="AA52" l="1"/>
  <c r="O53" s="1"/>
  <c r="AA53"/>
  <c r="O54" s="1"/>
  <c r="AE51"/>
  <c r="AE56"/>
  <c r="O57" s="1"/>
  <c r="AA51"/>
  <c r="O52" s="1"/>
  <c r="AA23" i="8"/>
  <c r="AB23" s="1"/>
  <c r="AC23" s="1"/>
  <c r="AD23" s="1"/>
  <c r="M24" s="1"/>
  <c r="X57" i="6"/>
  <c r="AC57"/>
  <c r="AD57"/>
  <c r="Y57"/>
  <c r="Z57"/>
  <c r="AB57"/>
  <c r="M25" i="8"/>
  <c r="AE57" i="6" l="1"/>
  <c r="O58"/>
  <c r="O59" s="1"/>
  <c r="K127" i="11" s="1"/>
  <c r="K128" s="1"/>
  <c r="K129" s="1"/>
  <c r="AA57" i="6"/>
  <c r="M26" i="8"/>
  <c r="M28" s="1"/>
  <c r="O60" i="6" l="1"/>
  <c r="O61" s="1"/>
  <c r="O62" s="1"/>
  <c r="O64" s="1"/>
  <c r="A67" s="1"/>
  <c r="K130" i="11"/>
  <c r="K132" s="1"/>
  <c r="K134" l="1"/>
  <c r="B134"/>
  <c r="O67" i="6"/>
</calcChain>
</file>

<file path=xl/comments1.xml><?xml version="1.0" encoding="utf-8"?>
<comments xmlns="http://schemas.openxmlformats.org/spreadsheetml/2006/main">
  <authors>
    <author>Windows User</author>
  </authors>
  <commentList>
    <comment ref="B11" authorId="0">
      <text/>
    </comment>
    <comment ref="B1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2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R18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31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<sst xmlns="http://schemas.openxmlformats.org/spreadsheetml/2006/main" count="801" uniqueCount="629">
  <si>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</si>
  <si>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</si>
  <si>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</si>
  <si>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</si>
  <si>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</si>
  <si>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</si>
  <si>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</si>
  <si>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</si>
  <si>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</si>
  <si>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Ajmer</t>
  </si>
  <si>
    <t>Fix Pay</t>
  </si>
  <si>
    <t>foadykax HkÙkk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</si>
  <si>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</si>
  <si>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</si>
  <si>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</si>
  <si>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</si>
  <si>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</si>
  <si>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</si>
  <si>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</si>
  <si>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</si>
  <si>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</si>
  <si>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</si>
  <si>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</si>
  <si>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</si>
  <si>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</si>
  <si>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</si>
  <si>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</si>
  <si>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</si>
  <si>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</si>
  <si>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</si>
  <si>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</si>
  <si>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</si>
  <si>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</si>
  <si>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</si>
  <si>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</si>
  <si>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</si>
  <si>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</si>
  <si>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</si>
  <si>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</si>
  <si>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</si>
  <si>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</si>
  <si>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</si>
  <si>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</si>
  <si>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</si>
  <si>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</si>
  <si>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</si>
  <si>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</si>
  <si>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</si>
  <si>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</si>
  <si>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</si>
  <si>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</si>
  <si>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</si>
  <si>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</si>
  <si>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</si>
  <si>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</si>
  <si>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</si>
  <si>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</si>
  <si>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</si>
  <si>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</si>
  <si>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</si>
  <si>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</si>
  <si>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</si>
  <si>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</si>
  <si>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</si>
  <si>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</si>
  <si>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</si>
  <si>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</si>
  <si>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</si>
  <si>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TOTAL</t>
  </si>
  <si>
    <t>Income Tax</t>
  </si>
  <si>
    <t>G.I. + S. Tax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</si>
  <si>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</si>
  <si>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</si>
  <si>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</si>
  <si>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</si>
  <si>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</si>
  <si>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</si>
  <si>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</si>
  <si>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</si>
  <si>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</si>
  <si>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</si>
  <si>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</si>
  <si>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</si>
  <si>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</si>
  <si>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</si>
  <si>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</si>
  <si>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</si>
  <si>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</si>
  <si>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</si>
  <si>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</si>
  <si>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</si>
  <si>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</si>
  <si>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</si>
  <si>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</si>
  <si>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</si>
  <si>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</si>
  <si>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</si>
  <si>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</si>
  <si>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</si>
  <si>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</si>
  <si>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</si>
  <si>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</si>
  <si>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GPF Loan</t>
  </si>
  <si>
    <t>SI Loan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</si>
  <si>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</si>
  <si>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1- edku fdjk;k HkRrk ¼;fn jlhn ds ek/;e ls NwV ysuh gS rks½</t>
  </si>
  <si>
    <t>osru dVkSrh ds vfrfjDr dVkSfr;k ftlds rgr vki vk;dj esa NwV pkgrs gSa] rFkk vfrfjDr ¼vU;½ vk; dks ;gkW ij bUnzkt djsA</t>
  </si>
  <si>
    <t>PAN No. :-</t>
  </si>
  <si>
    <t>SI No.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</si>
  <si>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</si>
  <si>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</si>
  <si>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</si>
  <si>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</si>
  <si>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Usha Paliya</t>
  </si>
  <si>
    <t>Mahatma Gandhi Govt. School (English Medium) Bar, PALI</t>
  </si>
  <si>
    <t>M.G.G.S. Bar</t>
  </si>
  <si>
    <t>uke deZpkjh %</t>
  </si>
  <si>
    <t xml:space="preserve"> in %</t>
  </si>
  <si>
    <t>PAN :</t>
  </si>
  <si>
    <t>#-</t>
  </si>
  <si>
    <t>E</t>
  </si>
  <si>
    <t xml:space="preserve">                                                              'ks"k ¼2&amp;3½</t>
  </si>
  <si>
    <t xml:space="preserve">                                                           'ks"k ¼4&amp;5½</t>
  </si>
  <si>
    <t>¼v½x`g lEifr ls vk;%¼1½ Loa; ds mi;ksx esa &amp;'kwU;</t>
  </si>
  <si>
    <t>¼2½ izkIr fdjk;k #-</t>
  </si>
  <si>
    <t xml:space="preserve">¼c½ ?kVk;sa </t>
  </si>
  <si>
    <t xml:space="preserve"> x`g _.k ij C;kt</t>
  </si>
  <si>
    <t xml:space="preserve"> x`gdj </t>
  </si>
  <si>
    <t xml:space="preserve">  ;ksx 7¼c½</t>
  </si>
  <si>
    <t xml:space="preserve"> 'ks"k &amp;@$¼7¼v½ ,oa ;ksx 7¼c½ dk½  </t>
  </si>
  <si>
    <t>cpr [kkrs ij C;kt %</t>
  </si>
  <si>
    <t>dqy 'ks"k &amp;@$¼6,oa 7½</t>
  </si>
  <si>
    <t xml:space="preserve"> ;ksx ¼8$9½</t>
  </si>
  <si>
    <t xml:space="preserve">ldy vk;                                                                                     </t>
  </si>
  <si>
    <t>(i)</t>
  </si>
  <si>
    <t>(xi)</t>
  </si>
  <si>
    <t>(ii)</t>
  </si>
  <si>
    <t>(xii)</t>
  </si>
  <si>
    <r>
      <t xml:space="preserve">isa'ku Iyku gsrq va'knku ¼/kkjk </t>
    </r>
    <r>
      <rPr>
        <sz val="11"/>
        <rFont val="Calibri"/>
        <family val="2"/>
        <scheme val="minor"/>
      </rPr>
      <t>80ccc</t>
    </r>
    <r>
      <rPr>
        <sz val="11"/>
        <rFont val="Kruti Dev 010"/>
      </rPr>
      <t>½</t>
    </r>
  </si>
  <si>
    <t>(iii)</t>
  </si>
  <si>
    <t>(xiii)</t>
  </si>
  <si>
    <t>jk"Vªh; cpr i= ij vnr C;kt</t>
  </si>
  <si>
    <t>(iv)</t>
  </si>
  <si>
    <t>(xiv)</t>
  </si>
  <si>
    <t xml:space="preserve">V;w'ku Qhl </t>
  </si>
  <si>
    <t>(v)</t>
  </si>
  <si>
    <t>(xv)</t>
  </si>
  <si>
    <t>bfDoVh fyad lsfoax Ldhe</t>
  </si>
  <si>
    <t>(vi)</t>
  </si>
  <si>
    <t>(xvi)</t>
  </si>
  <si>
    <r>
      <t>LFkfxr okf"kZdh ¼</t>
    </r>
    <r>
      <rPr>
        <sz val="11"/>
        <rFont val="Calibri"/>
        <family val="2"/>
        <scheme val="minor"/>
      </rPr>
      <t>Defferred Annuty)</t>
    </r>
  </si>
  <si>
    <t>(vii)</t>
  </si>
  <si>
    <t>(xvii)</t>
  </si>
  <si>
    <t>(viii)</t>
  </si>
  <si>
    <t>;w- ,y- vkbZ- ih-@okf"kZd Iyku</t>
  </si>
  <si>
    <t>(xviii)</t>
  </si>
  <si>
    <t>(ix)</t>
  </si>
  <si>
    <t>(xix)</t>
  </si>
  <si>
    <t>lqdU;k le`f) ;kstuk esa tek jkf'k</t>
  </si>
  <si>
    <t>(x)</t>
  </si>
  <si>
    <t>(xx)</t>
  </si>
  <si>
    <t xml:space="preserve">                        vf/kdre dVkSrh dh jkf'k 1-50 yk[k #i, rd</t>
  </si>
  <si>
    <r>
      <t xml:space="preserve">;ksx </t>
    </r>
    <r>
      <rPr>
        <sz val="13"/>
        <rFont val="Calibri"/>
        <family val="2"/>
        <scheme val="minor"/>
      </rPr>
      <t xml:space="preserve">11(A+B+C)      </t>
    </r>
  </si>
  <si>
    <t xml:space="preserve"> vU; dVkSfr;k¡</t>
  </si>
  <si>
    <t>dqy ;ksx 12 ¼ 1 ls 8 rd ½</t>
  </si>
  <si>
    <t xml:space="preserve"> vk;dj dh x.kuk  mijksDr dkWye 15 ds vk/kkj ij</t>
  </si>
  <si>
    <t>,d O;fDr dj nkrk</t>
  </si>
  <si>
    <t>ofj"B ukxfjd ¼60 ls 80 o"kZ rd½</t>
  </si>
  <si>
    <t>80 o"kZ ;k vf/kd vk;q</t>
  </si>
  <si>
    <t>¼1½ ;ksx vk;dj</t>
  </si>
  <si>
    <t>¼3½ 'ks"k vk;dj ¼1&amp;2½</t>
  </si>
  <si>
    <r>
      <t xml:space="preserve">¼4½ </t>
    </r>
    <r>
      <rPr>
        <sz val="12"/>
        <rFont val="Kruti Dev 010"/>
      </rPr>
      <t/>
    </r>
  </si>
  <si>
    <t xml:space="preserve">                                                             dqy vk;dj ¼3$4½</t>
  </si>
  <si>
    <t xml:space="preserve">?kVkb;s  %&amp; jkgr /kkjk 89 ds rgr </t>
  </si>
  <si>
    <t>dqy 'ks"k vk;dj</t>
  </si>
  <si>
    <t xml:space="preserve"> vk;dj dVkSrh
 dk fooj.k</t>
  </si>
  <si>
    <t xml:space="preserve">dqy;ksx dkWye 19 </t>
  </si>
  <si>
    <t>gLrk{kj dkfeZd</t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</si>
  <si>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</si>
  <si>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</si>
  <si>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</si>
  <si>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</si>
  <si>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</si>
  <si>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</si>
  <si>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</si>
  <si>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r>
      <t xml:space="preserve">Enter net taxable income for 2015-16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</si>
  <si>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2015-16 </t>
    </r>
    <r>
      <rPr>
        <b/>
        <sz val="12"/>
        <color theme="1"/>
        <rFont val="Kruti Dev 010"/>
      </rPr>
      <t>¼bl l= 2015&amp;16 dh feyus okyh ,fj;j jkf'k ½</t>
    </r>
  </si>
  <si>
    <t>FINANCIAL YEAR- 2016-17</t>
  </si>
  <si>
    <r>
      <t xml:space="preserve">Enter net taxable income for 2016-17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</si>
  <si>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2016-17  </t>
    </r>
    <r>
      <rPr>
        <b/>
        <sz val="12"/>
        <color theme="1"/>
        <rFont val="Kruti Dev 010"/>
      </rPr>
      <t>¼bl l= 2016&amp;17 dh feyus okyh ,fj;j jkf'k ½</t>
    </r>
  </si>
  <si>
    <t>FINANCIAL YEAR- 2017-18</t>
  </si>
  <si>
    <r>
      <t xml:space="preserve">Enter net taxable income for 2017-18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</si>
  <si>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2017-18  </t>
    </r>
    <r>
      <rPr>
        <b/>
        <sz val="12"/>
        <color theme="1"/>
        <rFont val="Kruti Dev 010"/>
      </rPr>
      <t>¼bl l= 2017&amp;18 dh feyus okyh ,fj;j jkf'k ½</t>
    </r>
  </si>
  <si>
    <t>FINANCIAL YEAR- 2018-19</t>
  </si>
  <si>
    <r>
      <t xml:space="preserve">Enter net taxable income for 2018-19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</si>
  <si>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2018-19     </t>
    </r>
    <r>
      <rPr>
        <b/>
        <sz val="12"/>
        <color theme="1"/>
        <rFont val="Kruti Dev 010"/>
      </rPr>
      <t>¼bl l= 2018&amp;19 dh feyus okyh ,fj;j jkf'k ½</t>
    </r>
  </si>
  <si>
    <t>FINANCIAL YEAR- 2019-20</t>
  </si>
  <si>
    <r>
      <t xml:space="preserve">FORM NO. 10 E </t>
    </r>
    <r>
      <rPr>
        <b/>
        <i/>
        <sz val="12"/>
        <color theme="1"/>
        <rFont val="Calibri"/>
        <family val="2"/>
        <scheme val="minor"/>
      </rPr>
      <t>(See rule 21AA)</t>
    </r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</si>
  <si>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</si>
  <si>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</si>
  <si>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</si>
  <si>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</si>
  <si>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</si>
  <si>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</si>
  <si>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</si>
  <si>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</si>
  <si>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</si>
  <si>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</si>
  <si>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</si>
  <si>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</si>
  <si>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</si>
  <si>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</si>
  <si>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</si>
  <si>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</si>
  <si>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</si>
  <si>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</si>
  <si>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</si>
  <si>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</si>
  <si>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</si>
  <si>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</si>
  <si>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</si>
  <si>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</si>
  <si>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</si>
  <si>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</si>
  <si>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</si>
  <si>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</si>
  <si>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</si>
  <si>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</si>
  <si>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</si>
  <si>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</si>
  <si>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</si>
  <si>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</si>
  <si>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</si>
  <si>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</si>
  <si>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YEAR- 2012-13</t>
  </si>
  <si>
    <r>
      <t xml:space="preserve">Enter net taxable income for 2012-13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</si>
  <si>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2012-13 </t>
    </r>
    <r>
      <rPr>
        <b/>
        <sz val="12"/>
        <color theme="1"/>
        <rFont val="Kruti Dev 010"/>
      </rPr>
      <t>¼bl l= 2012&amp;13 dh feyus okyh ,fj;j jkf'k ½</t>
    </r>
  </si>
  <si>
    <t>FINANCIAL YEAR- 2013-14</t>
  </si>
  <si>
    <r>
      <t xml:space="preserve">Enter net taxable income for 2013-14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</si>
  <si>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2013-14 </t>
    </r>
    <r>
      <rPr>
        <b/>
        <sz val="12"/>
        <color theme="1"/>
        <rFont val="Kruti Dev 010"/>
      </rPr>
      <t>¼bl l= 2013&amp;14 dh feyus okyh ,fj;j jkf'k ½</t>
    </r>
  </si>
  <si>
    <t>MONTHS</t>
  </si>
  <si>
    <t>"Y"</t>
  </si>
  <si>
    <t>MARCH 20</t>
  </si>
  <si>
    <t>Y</t>
  </si>
  <si>
    <t>APRIL 20</t>
  </si>
  <si>
    <t>MAY  20</t>
  </si>
  <si>
    <t>JUNE 20</t>
  </si>
  <si>
    <t>JULY 20</t>
  </si>
  <si>
    <t>AUGUST 20</t>
  </si>
  <si>
    <t>SEPTEMBER 20</t>
  </si>
  <si>
    <t>OCTOBER 20</t>
  </si>
  <si>
    <t>NOVEMBER 20</t>
  </si>
  <si>
    <t>DECEMBER 20</t>
  </si>
  <si>
    <t>JANUARY 21</t>
  </si>
  <si>
    <t>FEBRUARY 21</t>
  </si>
  <si>
    <r>
      <t xml:space="preserve">HRA EXEMPTION AMOUNT   </t>
    </r>
    <r>
      <rPr>
        <b/>
        <sz val="18"/>
        <color rgb="FFCC0099"/>
        <rFont val="Calibri"/>
        <family val="2"/>
        <scheme val="minor"/>
      </rPr>
      <t xml:space="preserve">  </t>
    </r>
    <r>
      <rPr>
        <b/>
        <sz val="18"/>
        <color rgb="FFCC0099"/>
        <rFont val="Wingdings"/>
        <charset val="2"/>
      </rPr>
      <t>F</t>
    </r>
  </si>
  <si>
    <r>
      <t xml:space="preserve">RENT PAID AMOUNT MONTHLY  </t>
    </r>
    <r>
      <rPr>
        <b/>
        <sz val="20"/>
        <color rgb="FF400E3C"/>
        <rFont val="Calibri"/>
        <family val="2"/>
        <scheme val="minor"/>
      </rPr>
      <t xml:space="preserve"> </t>
    </r>
    <r>
      <rPr>
        <b/>
        <sz val="20"/>
        <color rgb="FF400E3C"/>
        <rFont val="Wingdings"/>
        <charset val="2"/>
      </rPr>
      <t>F</t>
    </r>
  </si>
  <si>
    <r>
      <t xml:space="preserve">Rent receipt required for max. exemption  </t>
    </r>
    <r>
      <rPr>
        <b/>
        <sz val="18"/>
        <color rgb="FF002060"/>
        <rFont val="Wingdings"/>
        <charset val="2"/>
      </rPr>
      <t>F</t>
    </r>
  </si>
  <si>
    <t>Salary other than monthly salary (DA,PL,Other)</t>
  </si>
  <si>
    <t>Basic Pay + DA.</t>
  </si>
  <si>
    <t>Other Cities</t>
  </si>
  <si>
    <t>Bombay</t>
  </si>
  <si>
    <t>Delhi</t>
  </si>
  <si>
    <r>
      <t xml:space="preserve">House Rent Per Month        </t>
    </r>
    <r>
      <rPr>
        <b/>
        <sz val="18"/>
        <color rgb="FF002060"/>
        <rFont val="Wingdings"/>
        <charset val="2"/>
      </rPr>
      <t>F</t>
    </r>
  </si>
  <si>
    <r>
      <t xml:space="preserve">City of Living        </t>
    </r>
    <r>
      <rPr>
        <b/>
        <sz val="18"/>
        <color rgb="FF002060"/>
        <rFont val="Wingdings"/>
        <charset val="2"/>
      </rPr>
      <t>F</t>
    </r>
  </si>
  <si>
    <r>
      <t xml:space="preserve">Max. HRA exemption amount 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rgb="FF002060"/>
        <rFont val="Wingdings"/>
        <charset val="2"/>
      </rPr>
      <t>F</t>
    </r>
  </si>
  <si>
    <t>Calcutta</t>
  </si>
  <si>
    <t>Madras</t>
  </si>
  <si>
    <t>Select</t>
  </si>
  <si>
    <t xml:space="preserve">After selecting months, Fill rent paid amount in white colour cell. </t>
  </si>
  <si>
    <t>vk;dj x.kuk izi= o"kZ &amp;</t>
  </si>
  <si>
    <t>¼dj fu/kkZj.k o"kZ &amp;</t>
  </si>
  <si>
    <t>5- x`g lEifr ls izkIr fdjk;k &amp; vk;</t>
  </si>
  <si>
    <t xml:space="preserve">6- x`gdj </t>
  </si>
  <si>
    <t>7- x`g _.k dh ewy fdLr ;gkW fy[kuh gSaA tks NwV ysuh gSaA</t>
  </si>
  <si>
    <t>8- x`g _.k fdLr ij C;kt tks NwV ysuk gS] ;gkW fy[ksA</t>
  </si>
  <si>
    <t>12- ;w- ,y- vkbZ- ih-@okf"kZd Iyku</t>
  </si>
  <si>
    <t>14- jk"Vªh; cpr i= ij vnr C;kt</t>
  </si>
  <si>
    <t>FINANCIAL YEAR- 2014-15</t>
  </si>
  <si>
    <r>
      <t xml:space="preserve">Enter net taxable income for 2014-15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</si>
  <si>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2014-15 </t>
    </r>
    <r>
      <rPr>
        <b/>
        <sz val="12"/>
        <color theme="1"/>
        <rFont val="Kruti Dev 010"/>
      </rPr>
      <t>¼bl l= 2014&amp;15 dh feyus okyh ,fj;j jkf'k ½</t>
    </r>
  </si>
  <si>
    <r>
      <t xml:space="preserve">Enter net taxable income for 2019-20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</si>
  <si>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2019-20     </t>
    </r>
    <r>
      <rPr>
        <b/>
        <sz val="12"/>
        <color theme="1"/>
        <rFont val="Kruti Dev 010"/>
      </rPr>
      <t>¼bl l= 2019&amp;20 dh feyus okyh ,fj;j jkf'k ½</t>
    </r>
  </si>
  <si>
    <t>FINANCIAL YEAR- 2020-21</t>
  </si>
  <si>
    <t xml:space="preserve"> HRA Rasid Calculator</t>
  </si>
  <si>
    <t>20- bfDoVh fyad lsfoax Ldhe</t>
  </si>
  <si>
    <t xml:space="preserve">21- x`g fdjk;k] /kkjk 10¼13-A½ ds vUrxrZ ,oa /kkjk 10¼14½ds vUrxrZ vU; Hkrs tks dj eqDÙk gSA </t>
  </si>
  <si>
    <r>
      <t>23- osru ds vykok tek djk;k x;k aavk;dj</t>
    </r>
    <r>
      <rPr>
        <b/>
        <sz val="14"/>
        <rFont val="Calibri"/>
        <family val="2"/>
        <scheme val="minor"/>
      </rPr>
      <t xml:space="preserve"> (TDS)</t>
    </r>
  </si>
  <si>
    <r>
      <t xml:space="preserve">26- /kkjk </t>
    </r>
    <r>
      <rPr>
        <b/>
        <sz val="14"/>
        <rFont val="Calibri"/>
        <family val="2"/>
        <scheme val="minor"/>
      </rPr>
      <t xml:space="preserve">80CCC </t>
    </r>
    <r>
      <rPr>
        <b/>
        <sz val="14"/>
        <rFont val="Kruti Dev 010"/>
      </rPr>
      <t>- isa'ku Iyku gsrq va'knku</t>
    </r>
  </si>
  <si>
    <r>
      <t xml:space="preserve">28- /kkjk </t>
    </r>
    <r>
      <rPr>
        <b/>
        <sz val="14"/>
        <rFont val="Calibri"/>
        <family val="2"/>
        <scheme val="minor"/>
      </rPr>
      <t>80CCD(1B) -</t>
    </r>
    <r>
      <rPr>
        <b/>
        <sz val="14"/>
        <rFont val="Kruti Dev 010"/>
      </rPr>
      <t>uohu isa'ku ;kstuk esa vfrfjDr va'knku ¼vf/kdre :- 50]000½</t>
    </r>
  </si>
  <si>
    <r>
      <t xml:space="preserve">29- /kkjk </t>
    </r>
    <r>
      <rPr>
        <b/>
        <sz val="14"/>
        <rFont val="Calibri"/>
        <family val="2"/>
        <scheme val="minor"/>
      </rPr>
      <t xml:space="preserve">80D </t>
    </r>
    <r>
      <rPr>
        <b/>
        <sz val="14"/>
        <rFont val="Kruti Dev 010"/>
      </rPr>
      <t xml:space="preserve">- fpfdRlk chek izhfe;e </t>
    </r>
  </si>
  <si>
    <r>
      <t xml:space="preserve">30- /kkjk </t>
    </r>
    <r>
      <rPr>
        <b/>
        <sz val="14"/>
        <rFont val="Calibri"/>
        <family val="2"/>
        <scheme val="minor"/>
      </rPr>
      <t>80DD -</t>
    </r>
    <r>
      <rPr>
        <b/>
        <sz val="14"/>
        <rFont val="Kruti Dev 010"/>
      </rPr>
      <t xml:space="preserve"> fodykax vkfJrksa ds fpfdRlk mipkj </t>
    </r>
  </si>
  <si>
    <r>
      <t xml:space="preserve">31- /kkjk </t>
    </r>
    <r>
      <rPr>
        <b/>
        <sz val="14"/>
        <rFont val="Calibri"/>
        <family val="2"/>
        <scheme val="minor"/>
      </rPr>
      <t xml:space="preserve">80DDB </t>
    </r>
    <r>
      <rPr>
        <b/>
        <sz val="14"/>
        <rFont val="Kruti Dev 010"/>
      </rPr>
      <t>- fof'k"V jksxksa ds mipkj gsrq dVkSrh ¼vf/kdre 40000 :½</t>
    </r>
  </si>
  <si>
    <r>
      <t xml:space="preserve">32- /kkjk </t>
    </r>
    <r>
      <rPr>
        <b/>
        <sz val="14"/>
        <rFont val="Calibri"/>
        <family val="2"/>
        <scheme val="minor"/>
      </rPr>
      <t xml:space="preserve">80E </t>
    </r>
    <r>
      <rPr>
        <b/>
        <sz val="14"/>
        <rFont val="Kruti Dev 010"/>
      </rPr>
      <t xml:space="preserve">- mPp f'k{kk gsrq fy, _.k dk C;kt ¼/kkjk </t>
    </r>
    <r>
      <rPr>
        <b/>
        <sz val="14"/>
        <rFont val="Calibri"/>
        <family val="2"/>
        <scheme val="minor"/>
      </rPr>
      <t>80E</t>
    </r>
    <r>
      <rPr>
        <b/>
        <sz val="14"/>
        <rFont val="Kruti Dev 010"/>
      </rPr>
      <t>½</t>
    </r>
  </si>
  <si>
    <r>
      <t xml:space="preserve">33- /kkjk </t>
    </r>
    <r>
      <rPr>
        <b/>
        <sz val="14"/>
        <rFont val="Calibri"/>
        <family val="2"/>
        <scheme val="minor"/>
      </rPr>
      <t xml:space="preserve">80G </t>
    </r>
    <r>
      <rPr>
        <b/>
        <sz val="14"/>
        <rFont val="Kruti Dev 010"/>
      </rPr>
      <t xml:space="preserve">- /kekZFkZ laLFkkvksa vkfn dks fn;s nku ¼d Js.kh </t>
    </r>
    <r>
      <rPr>
        <b/>
        <sz val="14"/>
        <rFont val="Calibri"/>
        <family val="2"/>
        <scheme val="minor"/>
      </rPr>
      <t xml:space="preserve">100% </t>
    </r>
    <r>
      <rPr>
        <b/>
        <sz val="14"/>
        <rFont val="Kruti Dev 010"/>
      </rPr>
      <t xml:space="preserve">,oa [k Js.kh </t>
    </r>
    <r>
      <rPr>
        <b/>
        <sz val="14"/>
        <rFont val="Calibri"/>
        <family val="2"/>
        <scheme val="minor"/>
      </rPr>
      <t>50%</t>
    </r>
    <r>
      <rPr>
        <b/>
        <sz val="14"/>
        <rFont val="Kruti Dev 010"/>
      </rPr>
      <t>½</t>
    </r>
  </si>
  <si>
    <r>
      <t xml:space="preserve">34- /kkjk </t>
    </r>
    <r>
      <rPr>
        <b/>
        <sz val="14"/>
        <rFont val="Calibri"/>
        <family val="2"/>
        <scheme val="minor"/>
      </rPr>
      <t xml:space="preserve">80U </t>
    </r>
    <r>
      <rPr>
        <b/>
        <sz val="14"/>
        <rFont val="Kruti Dev 010"/>
      </rPr>
      <t xml:space="preserve">- LFkkbZ :i ls 'kkjhfjd vleFkZrrk </t>
    </r>
  </si>
  <si>
    <r>
      <t xml:space="preserve">36- /kkjk </t>
    </r>
    <r>
      <rPr>
        <b/>
        <sz val="14"/>
        <rFont val="Calibri"/>
        <family val="2"/>
        <scheme val="minor"/>
      </rPr>
      <t xml:space="preserve">80 GGA - </t>
    </r>
    <r>
      <rPr>
        <b/>
        <sz val="14"/>
        <rFont val="Kruti Dev 010"/>
      </rPr>
      <t>vuqeksfnr oSKkfud]lkekftd]xzkeh.k fodkl vkfn gsrq fn;k x;k nku</t>
    </r>
  </si>
  <si>
    <t>Up to Rs. 2,50,000</t>
  </si>
  <si>
    <r>
      <t xml:space="preserve">38- jkgr /kkjk 89 ds rgr ¼ vxj NwV ysuh gS rks </t>
    </r>
    <r>
      <rPr>
        <b/>
        <sz val="14"/>
        <color rgb="FF0000FF"/>
        <rFont val="Calibri"/>
        <family val="2"/>
        <scheme val="minor"/>
      </rPr>
      <t xml:space="preserve">YES </t>
    </r>
    <r>
      <rPr>
        <b/>
        <sz val="14"/>
        <color rgb="FF0000FF"/>
        <rFont val="Kruti Dev 010"/>
      </rPr>
      <t xml:space="preserve">ugh rks </t>
    </r>
    <r>
      <rPr>
        <b/>
        <sz val="14"/>
        <color rgb="FF0000FF"/>
        <rFont val="Calibri"/>
        <family val="2"/>
        <scheme val="minor"/>
      </rPr>
      <t>No</t>
    </r>
    <r>
      <rPr>
        <b/>
        <sz val="14"/>
        <color rgb="FF0000FF"/>
        <rFont val="Kruti Dev 010"/>
      </rPr>
      <t xml:space="preserve"> lysDV djsA½</t>
    </r>
  </si>
  <si>
    <r>
      <t>22- LFkfxr okf"kZdh ¼</t>
    </r>
    <r>
      <rPr>
        <b/>
        <sz val="14"/>
        <rFont val="Calibri"/>
        <family val="2"/>
        <scheme val="minor"/>
      </rPr>
      <t>Defferred Annuty)</t>
    </r>
  </si>
  <si>
    <t>37-   ,QMh vkfn vU; tek jkf'k ij izkIr dqy C;kt ¼ihih,Q dks NksM+dj½</t>
  </si>
  <si>
    <t>,QMh vkfn vU; tek jkf'k ij izkIr dqy C;kt</t>
  </si>
  <si>
    <t>2,50,001  to  5,00,000</t>
  </si>
  <si>
    <t>old</t>
  </si>
  <si>
    <t>New</t>
  </si>
  <si>
    <t>2012-13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</si>
  <si>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</si>
  <si>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</si>
  <si>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</si>
  <si>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</si>
  <si>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</si>
  <si>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</si>
  <si>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</si>
  <si>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</si>
  <si>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</si>
  <si>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</si>
  <si>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</si>
  <si>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</si>
  <si>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</si>
  <si>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</si>
  <si>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</si>
  <si>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r>
      <rPr>
        <b/>
        <i/>
        <sz val="18"/>
        <color rgb="FFFF0000"/>
        <rFont val="Wingdings"/>
        <charset val="2"/>
      </rPr>
      <t xml:space="preserve"> E</t>
    </r>
    <r>
      <rPr>
        <b/>
        <i/>
        <sz val="18"/>
        <color rgb="FFFF0000"/>
        <rFont val="Times New Roman"/>
        <family val="1"/>
      </rPr>
      <t xml:space="preserve"> </t>
    </r>
    <r>
      <rPr>
        <b/>
        <i/>
        <sz val="18"/>
        <color indexed="17"/>
        <rFont val="Times New Roman"/>
        <family val="1"/>
      </rPr>
      <t xml:space="preserve">  </t>
    </r>
    <r>
      <rPr>
        <b/>
        <i/>
        <sz val="18"/>
        <color indexed="17"/>
        <rFont val="Calibri"/>
        <family val="2"/>
        <scheme val="minor"/>
      </rPr>
      <t>Please select months by typing</t>
    </r>
    <r>
      <rPr>
        <b/>
        <i/>
        <sz val="18"/>
        <color indexed="17"/>
        <rFont val="Times New Roman"/>
        <family val="1"/>
      </rPr>
      <t xml:space="preserve"> "Y" </t>
    </r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</si>
  <si>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</si>
  <si>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</si>
  <si>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</si>
  <si>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t>;g ,Dly izksxzke esjs ije~ iwT; xq:nso Jh Jh 1008 oklqnso th egkjkt o esjs bZ"V izHkq t;  ctjaxcyh o ikcwth egkjkt dks lefiZr gSaA esjs ekrk &amp; firk o xq:tuksa ds vk'khokZn ls ;g izksxzke f'k{kd cU/kqvksa ds lkFk lHkh foHkkx ds dkfeZdksa dh lsok esa lknj izLrqr gSaA</t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</si>
  <si>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</si>
  <si>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</si>
  <si>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Only Put Here Curser</t>
  </si>
  <si>
    <t>Above 80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</si>
  <si>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</si>
  <si>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</si>
  <si>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</si>
  <si>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</si>
  <si>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</si>
  <si>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</si>
  <si>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</si>
  <si>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</si>
  <si>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</si>
  <si>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</si>
  <si>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</si>
  <si>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</si>
  <si>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</si>
  <si>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</si>
  <si>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</si>
  <si>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</si>
  <si>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</si>
  <si>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</si>
  <si>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</si>
  <si>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</si>
  <si>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</si>
  <si>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</si>
  <si>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</si>
  <si>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</si>
  <si>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</si>
  <si>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</si>
  <si>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</si>
  <si>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</si>
  <si>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</si>
  <si>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</si>
  <si>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</si>
  <si>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</si>
  <si>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</si>
  <si>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</si>
  <si>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</si>
  <si>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</si>
  <si>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</si>
  <si>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</si>
  <si>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</si>
  <si>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</si>
  <si>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</si>
  <si>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</si>
  <si>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</si>
  <si>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</si>
  <si>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</si>
  <si>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</si>
  <si>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</si>
  <si>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</si>
  <si>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</si>
  <si>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</si>
  <si>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</si>
  <si>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</si>
  <si>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</si>
  <si>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</si>
  <si>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</si>
  <si>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</si>
  <si>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</si>
  <si>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</si>
  <si>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</si>
  <si>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</si>
  <si>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</si>
  <si>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</si>
  <si>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</si>
  <si>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</si>
  <si>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</si>
  <si>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</si>
  <si>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</si>
  <si>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</si>
  <si>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</si>
  <si>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</si>
  <si>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</si>
  <si>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</si>
  <si>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</si>
  <si>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</si>
  <si>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</si>
  <si>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</si>
  <si>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</si>
  <si>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</si>
  <si>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</si>
  <si>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</si>
  <si>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</si>
  <si>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</si>
  <si>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</si>
  <si>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</si>
  <si>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</si>
  <si>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</si>
  <si>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</si>
  <si>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</si>
  <si>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</si>
  <si>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</si>
  <si>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</si>
  <si>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</si>
  <si>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</si>
  <si>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</si>
  <si>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</si>
  <si>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</si>
  <si>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</si>
  <si>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</si>
  <si>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</si>
  <si>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</si>
  <si>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</si>
  <si>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</si>
  <si>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</si>
  <si>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</si>
  <si>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</si>
  <si>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</si>
  <si>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</si>
  <si>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</si>
  <si>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</si>
  <si>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</si>
  <si>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</si>
  <si>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</si>
  <si>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</si>
  <si>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</si>
  <si>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</si>
  <si>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</si>
  <si>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</si>
  <si>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</si>
  <si>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</si>
  <si>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</si>
  <si>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</si>
  <si>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</si>
  <si>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</si>
  <si>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</si>
  <si>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</si>
  <si>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</si>
  <si>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</si>
  <si>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</si>
  <si>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</si>
  <si>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</si>
  <si>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</si>
  <si>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</si>
  <si>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</si>
  <si>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</si>
  <si>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</si>
  <si>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</si>
  <si>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</si>
  <si>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</si>
  <si>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vU; tekjkf'k ¼/kkjk 80 lh ds vUrxZr½ E;qpy QaM</t>
  </si>
  <si>
    <t>27- vU; tek jkf'k ¼/kkjk 80 lh ds vUrxZr½ o E;qpvy QaM</t>
  </si>
  <si>
    <t>vU; o fQDl fMiksftV ¼5 o"kZ gsrq½</t>
  </si>
  <si>
    <t>US 80TTA [Exempt Saving Bank Int. Max. RS. 10,000/-]</t>
  </si>
  <si>
    <t>ije~ iwT; xq:nso</t>
  </si>
  <si>
    <t>Watch the You Tube Video For More Information.</t>
  </si>
  <si>
    <t>You Tube Channel</t>
  </si>
  <si>
    <t>Move Curser Here</t>
  </si>
  <si>
    <t xml:space="preserve">यदि आपको धारा 87A  के बारे में जानकारी चाहिए तो नीचे सेल पर माउस को ले जाइये। </t>
  </si>
  <si>
    <t>https://www.youtube.com/playlist?list=PLmNJTudmvkgL-ZI7qFKfQ6oz6WTNnW31z</t>
  </si>
  <si>
    <t xml:space="preserve">                            यदि आपको आयकर की नयी व विद्यमान कर स्लैब देखनी हो तो क्रसर को सामने की सेल पर ले जाइये।  </t>
  </si>
  <si>
    <t>Move curser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</si>
  <si>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</si>
  <si>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</si>
  <si>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</si>
  <si>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</si>
  <si>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 xml:space="preserve">यदि आपको धारा 80 TTA  के बारे में डिटेल से जानकारी चाहिए तो नीचे सेल पर माउस को ले जाइये।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</si>
  <si>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</si>
  <si>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</si>
  <si>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(xxi)</t>
  </si>
  <si>
    <r>
      <t xml:space="preserve">/kkjk </t>
    </r>
    <r>
      <rPr>
        <b/>
        <sz val="14"/>
        <color rgb="FF0000FF"/>
        <rFont val="Calibri"/>
        <family val="2"/>
        <scheme val="minor"/>
      </rPr>
      <t>80G -</t>
    </r>
    <r>
      <rPr>
        <b/>
        <sz val="14"/>
        <color rgb="FF0000FF"/>
        <rFont val="Kruti Dev 010"/>
      </rPr>
      <t xml:space="preserve"> /kekZFkZ laLFkkvksa vkfn dks fn;s nku ¼[k Js.kh </t>
    </r>
    <r>
      <rPr>
        <b/>
        <sz val="14"/>
        <color rgb="FF0000FF"/>
        <rFont val="Calibri"/>
        <family val="2"/>
        <scheme val="minor"/>
      </rPr>
      <t>50 %</t>
    </r>
    <r>
      <rPr>
        <b/>
        <sz val="14"/>
        <color rgb="FF0000FF"/>
        <rFont val="Kruti Dev 010"/>
      </rPr>
      <t>½</t>
    </r>
  </si>
  <si>
    <t xml:space="preserve">24- vU; o fQDl fMiksftV ¼5 o"kZ gsrq½ </t>
  </si>
  <si>
    <t xml:space="preserve">अन्य आय </t>
  </si>
  <si>
    <t>Fixation arear</t>
  </si>
  <si>
    <t>PL Surrender Arrear</t>
  </si>
  <si>
    <t>SI Int.</t>
  </si>
  <si>
    <t>Vh-Mh-,l- ls dVkSrh</t>
  </si>
  <si>
    <t>FINANCIAL YEAR- 2021-22</t>
  </si>
  <si>
    <r>
      <t xml:space="preserve">Enter net taxable income for 2020-21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</si>
  <si>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2020-21     </t>
    </r>
    <r>
      <rPr>
        <b/>
        <sz val="12"/>
        <color theme="1"/>
        <rFont val="Kruti Dev 010"/>
      </rPr>
      <t>¼bl l= 2020&amp;21 dh feyus okyh ,fj;j jkf'k ½</t>
    </r>
  </si>
  <si>
    <r>
      <t xml:space="preserve">Enter net taxable income for 2021-22 including entire arrears received (as per ITR/Form-16)   
 </t>
    </r>
    <r>
      <rPr>
        <b/>
        <sz val="12"/>
        <color theme="1"/>
        <rFont val="Kruti Dev 010"/>
      </rPr>
      <t>¼'kq) dj ;ksX; vk; nl ds xq.kkad esa ½</t>
    </r>
  </si>
  <si>
    <t>fiNys lkyksa dh ,UV~zh;k eSU;qyh VkbZi djds lko/kkuh ls fy[ksaA</t>
  </si>
  <si>
    <t>20-21</t>
  </si>
  <si>
    <t>2020-21</t>
  </si>
  <si>
    <t>30% of Rent</t>
  </si>
  <si>
    <t>Interest on Home Loan</t>
  </si>
  <si>
    <t>house Tax</t>
  </si>
  <si>
    <t xml:space="preserve"> Income chargeable under the head "salaries" (3-5)</t>
  </si>
  <si>
    <t>6. Income From House Property (a + b)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</si>
  <si>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</si>
  <si>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</si>
  <si>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</si>
  <si>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>New</t>
    </r>
    <r>
      <rPr>
        <sz val="14"/>
        <rFont val="Kruti Dev 010"/>
      </rPr>
      <t xml:space="preserve">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</si>
  <si>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t>https://www.youtube.com/c/Heeralaljat</t>
  </si>
  <si>
    <t>You Tube Video Link</t>
  </si>
  <si>
    <t>Gazetted / Non-Gazetted</t>
  </si>
  <si>
    <t>HITKARI NIDHI</t>
  </si>
  <si>
    <t xml:space="preserve">Other </t>
  </si>
  <si>
    <t>Gazetted</t>
  </si>
  <si>
    <t>Group Insurance Rate @ :-</t>
  </si>
  <si>
    <t>New Updates Sheet Information</t>
  </si>
  <si>
    <t>Pension Plan (US80ccc+US 80CCD)(1)</t>
  </si>
  <si>
    <t>GPF-2004</t>
  </si>
  <si>
    <t xml:space="preserve"> RGHS</t>
  </si>
  <si>
    <t>Other</t>
  </si>
  <si>
    <t>क्या आपने समर्पित अवकाश वेतन लिया है ?</t>
  </si>
  <si>
    <t xml:space="preserve">यदि हाँ तो माह सलेक्ट करे  :- </t>
  </si>
  <si>
    <t xml:space="preserve">आप किस आयु वर्ग श्रेणी में आते है ? </t>
  </si>
  <si>
    <t xml:space="preserve">क्या आपको बोनस मिला है :- </t>
  </si>
  <si>
    <r>
      <rPr>
        <b/>
        <sz val="12"/>
        <color theme="1"/>
        <rFont val="Kruti Dev 010"/>
      </rPr>
      <t>यदि आपको बोनस मिला है] तो जितने माह का बोनस मिला है उन माह की संख्या को सलेक्ट करे</t>
    </r>
    <r>
      <rPr>
        <b/>
        <sz val="13"/>
        <color theme="1"/>
        <rFont val="Kruti Dev 010"/>
      </rPr>
      <t xml:space="preserve">     </t>
    </r>
    <r>
      <rPr>
        <b/>
        <sz val="14"/>
        <color rgb="FF400E3C"/>
        <rFont val="Wingdings"/>
        <charset val="2"/>
      </rPr>
      <t>F</t>
    </r>
  </si>
  <si>
    <t xml:space="preserve">विकलांग भत्ता  :- </t>
  </si>
  <si>
    <t xml:space="preserve">    7th PAY  HRA प्रतिशत में सलेक्ट करे :- </t>
  </si>
  <si>
    <r>
      <t xml:space="preserve">CCA </t>
    </r>
    <r>
      <rPr>
        <b/>
        <sz val="11"/>
        <color theme="1"/>
        <rFont val="Cambria"/>
        <family val="1"/>
        <scheme val="major"/>
      </rPr>
      <t>लागु हो तो</t>
    </r>
    <r>
      <rPr>
        <b/>
        <sz val="12"/>
        <color theme="1"/>
        <rFont val="Cambria"/>
        <family val="1"/>
        <scheme val="major"/>
      </rPr>
      <t xml:space="preserve">  select Yes / No   :-</t>
    </r>
  </si>
  <si>
    <t xml:space="preserve">आपको अभी कोनसा वेतन मिल रहा है :- </t>
  </si>
  <si>
    <t xml:space="preserve"> CCA लागू हो तो CITY सलेक्ट करे :-  </t>
  </si>
  <si>
    <t xml:space="preserve">पे मेट्रिक्स के अनुसार पे लेवल लिखे  :- </t>
  </si>
  <si>
    <t>आपको जिस अवधि का वेतन बनाना है , उस अवधि को सलेक्ट करे</t>
  </si>
  <si>
    <t>इन्क्रीमेंट के अलावा यदि मूल वेतन में कोई परिवर्तन हुआ तो परिवर्तित वेतन लिखें :-</t>
  </si>
  <si>
    <t xml:space="preserve">यदि वितीय वर्ष  2022-23 में इन्क्रीमेंट के अलावा मूल वेतन में परिवर्तन हुआ है तो माह सलेक्ट करे : - </t>
  </si>
  <si>
    <t xml:space="preserve"> यदि विकलांग भत्ता देय हो तो राशि लिखें  :- </t>
  </si>
  <si>
    <t>ROP</t>
  </si>
  <si>
    <t>Allowances</t>
  </si>
  <si>
    <t>Deducation</t>
  </si>
  <si>
    <t>PRAN No. (GPF-2004) :-</t>
  </si>
  <si>
    <r>
      <rPr>
        <b/>
        <sz val="16"/>
        <rFont val="Kruti Dev 010"/>
      </rPr>
      <t xml:space="preserve">                           </t>
    </r>
    <r>
      <rPr>
        <b/>
        <sz val="16"/>
        <rFont val="Calibri"/>
        <family val="2"/>
        <scheme val="minor"/>
      </rPr>
      <t>GPF / GPF-2004 :-</t>
    </r>
    <r>
      <rPr>
        <b/>
        <sz val="16"/>
        <rFont val="Kruti Dev 010"/>
      </rPr>
      <t xml:space="preserve"> </t>
    </r>
  </si>
  <si>
    <t>Pay Manager</t>
  </si>
  <si>
    <t xml:space="preserve">Select Pay Manager/Pre-Pay manager :- </t>
  </si>
  <si>
    <t>DA Arrear 31 to 34%</t>
  </si>
  <si>
    <t>DA Arrear 34 to 38%</t>
  </si>
  <si>
    <r>
      <t xml:space="preserve">lcls igys vki jktLFkku ds lHkh 'kSf{kd osclkbZV ij ,Dly xq: ghjkyky tkV }kjk fufeZr vk;dj x.kuk ,Dly ,Iyhds'ku 2022&amp;23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</si>
  <si>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t>new update on 20-11-2022 
 you tube video link For your Help</t>
  </si>
  <si>
    <t>2022-2023</t>
  </si>
  <si>
    <t>2023-2024)</t>
  </si>
  <si>
    <t>flrEcj 2022
rd dqy dVkSrh</t>
  </si>
  <si>
    <t>vDVwcj ls fnlEcj
2022 rd dVkSrh</t>
  </si>
  <si>
    <t>tuojh 2023
ekg esa dVkSrh</t>
  </si>
  <si>
    <t>Qjojh 2023
ekg esa dVkSrh</t>
  </si>
  <si>
    <t>Non-Gazetted</t>
  </si>
  <si>
    <t xml:space="preserve">आप पुरानी आयकर दर या नवीन आयकर दर दोनों में से किसी एक विकल्प को चुनकर आयकर गणना प्रपत्र तैयार कर सकते है।  </t>
  </si>
  <si>
    <t>vk; % o"kZ&amp;2022&amp;23 esa izkIr dqy osru ¼ dj ;ksX; lqfo/kkvksa ds eqY; lfgr ½</t>
  </si>
  <si>
    <r>
      <t xml:space="preserve"> ¼</t>
    </r>
    <r>
      <rPr>
        <sz val="13"/>
        <rFont val="Calibri"/>
        <family val="2"/>
        <scheme val="minor"/>
      </rPr>
      <t>i</t>
    </r>
    <r>
      <rPr>
        <sz val="13"/>
        <rFont val="Kruti Dev 010"/>
      </rPr>
      <t>½euksjatu Hkrk /kkjk 16 ¼</t>
    </r>
    <r>
      <rPr>
        <sz val="13"/>
        <rFont val="Calibri"/>
        <family val="2"/>
        <scheme val="minor"/>
      </rPr>
      <t>ii</t>
    </r>
    <r>
      <rPr>
        <sz val="13"/>
        <rFont val="Kruti Dev 010"/>
      </rPr>
      <t xml:space="preserve">½ ds vUrxrZ </t>
    </r>
  </si>
  <si>
    <r>
      <t xml:space="preserve"> ¼</t>
    </r>
    <r>
      <rPr>
        <sz val="13"/>
        <rFont val="Calibri"/>
        <family val="2"/>
        <scheme val="minor"/>
      </rPr>
      <t>ii</t>
    </r>
    <r>
      <rPr>
        <sz val="13"/>
        <rFont val="Kruti Dev 010"/>
      </rPr>
      <t>½ O;o;k; dj /kkjk 16 ¼</t>
    </r>
    <r>
      <rPr>
        <sz val="13"/>
        <rFont val="Calibri"/>
        <family val="2"/>
        <scheme val="minor"/>
      </rPr>
      <t>iii</t>
    </r>
    <r>
      <rPr>
        <sz val="13"/>
        <rFont val="Kruti Dev 010"/>
      </rPr>
      <t xml:space="preserve">½ ds vUrxrZ </t>
    </r>
  </si>
  <si>
    <r>
      <t xml:space="preserve"> ¼</t>
    </r>
    <r>
      <rPr>
        <sz val="13"/>
        <rFont val="Calibri"/>
        <family val="2"/>
        <scheme val="minor"/>
      </rPr>
      <t>iii</t>
    </r>
    <r>
      <rPr>
        <sz val="13"/>
        <rFont val="Kruti Dev 010"/>
      </rPr>
      <t>½ LVs.MMZ fMMsD'ku</t>
    </r>
    <r>
      <rPr>
        <sz val="13"/>
        <rFont val="Calibri"/>
        <family val="2"/>
        <scheme val="minor"/>
      </rPr>
      <t xml:space="preserve"> (Standard Deduction)</t>
    </r>
    <r>
      <rPr>
        <sz val="13"/>
        <rFont val="Kruti Dev 010"/>
      </rPr>
      <t xml:space="preserve">  50]000 ¼vf/kdre½</t>
    </r>
  </si>
  <si>
    <r>
      <t>x`g fdjk;k] /kkjk 10¼</t>
    </r>
    <r>
      <rPr>
        <sz val="13"/>
        <rFont val="Calibri"/>
        <family val="2"/>
        <scheme val="minor"/>
      </rPr>
      <t>13-A</t>
    </r>
    <r>
      <rPr>
        <sz val="13"/>
        <rFont val="Kruti Dev 010"/>
      </rPr>
      <t xml:space="preserve">½ ds vUrxrZ ,oa /kkjk 10¼14½ ds vUrxrZ vU; Hkrs tks dj eqDÙk gSA </t>
    </r>
  </si>
  <si>
    <r>
      <t xml:space="preserve"> fdjk;s dk </t>
    </r>
    <r>
      <rPr>
        <sz val="13"/>
        <rFont val="Calibri"/>
        <family val="2"/>
        <scheme val="minor"/>
      </rPr>
      <t>30%</t>
    </r>
  </si>
  <si>
    <r>
      <t xml:space="preserve">Bonds </t>
    </r>
    <r>
      <rPr>
        <sz val="13"/>
        <rFont val="Kruti Dev 010"/>
      </rPr>
      <t>ls C;kt</t>
    </r>
  </si>
  <si>
    <r>
      <rPr>
        <b/>
        <sz val="13"/>
        <rFont val="Kruti Dev 010"/>
      </rPr>
      <t xml:space="preserve">?kVkb;s dVkSSfr;k¡ %&amp; /kkjk </t>
    </r>
    <r>
      <rPr>
        <b/>
        <sz val="13"/>
        <rFont val="Calibri"/>
        <family val="2"/>
        <scheme val="minor"/>
      </rPr>
      <t xml:space="preserve">US </t>
    </r>
    <r>
      <rPr>
        <b/>
        <sz val="13"/>
        <rFont val="Arial"/>
        <family val="2"/>
      </rPr>
      <t>80C, 80CCC,80CCD (1)</t>
    </r>
  </si>
  <si>
    <r>
      <t xml:space="preserve">(A) </t>
    </r>
    <r>
      <rPr>
        <sz val="11"/>
        <rFont val="Kruti Dev 010"/>
      </rPr>
      <t xml:space="preserve">vf/kdre lhek </t>
    </r>
    <r>
      <rPr>
        <sz val="11"/>
        <rFont val="Calibri"/>
        <family val="2"/>
        <scheme val="minor"/>
      </rPr>
      <t>1,50,000</t>
    </r>
    <r>
      <rPr>
        <sz val="11"/>
        <rFont val="DevLys 010"/>
      </rPr>
      <t xml:space="preserve">@&amp; </t>
    </r>
    <r>
      <rPr>
        <sz val="11"/>
        <rFont val="Kruti Dev 010"/>
      </rPr>
      <t>¼/kkjk</t>
    </r>
    <r>
      <rPr>
        <sz val="11"/>
        <rFont val="DevLys 010"/>
      </rPr>
      <t xml:space="preserve"> </t>
    </r>
    <r>
      <rPr>
        <sz val="11"/>
        <rFont val="Arial"/>
        <family val="2"/>
      </rPr>
      <t>80CCE</t>
    </r>
    <r>
      <rPr>
        <sz val="11"/>
        <rFont val="DevLys 010"/>
      </rPr>
      <t xml:space="preserve"> </t>
    </r>
    <r>
      <rPr>
        <sz val="11"/>
        <rFont val="Kruti Dev 010"/>
      </rPr>
      <t xml:space="preserve">½ ] ¼/kkjk </t>
    </r>
    <r>
      <rPr>
        <sz val="11"/>
        <rFont val="Arial"/>
        <family val="2"/>
      </rPr>
      <t xml:space="preserve">80CCD (2), </t>
    </r>
    <r>
      <rPr>
        <sz val="11"/>
        <rFont val="Kruti Dev 010"/>
      </rPr>
      <t>ds vykok</t>
    </r>
  </si>
  <si>
    <r>
      <t>jkT; chek</t>
    </r>
    <r>
      <rPr>
        <sz val="12"/>
        <rFont val="Calibri"/>
        <family val="2"/>
        <scheme val="minor"/>
      </rPr>
      <t xml:space="preserve"> </t>
    </r>
    <r>
      <rPr>
        <sz val="12"/>
        <rFont val="Kruti Dev 010"/>
      </rPr>
      <t>¼</t>
    </r>
    <r>
      <rPr>
        <sz val="12"/>
        <rFont val="Calibri"/>
        <family val="2"/>
        <scheme val="minor"/>
      </rPr>
      <t>SI)</t>
    </r>
  </si>
  <si>
    <r>
      <t>thou chek izhfe;e ¼</t>
    </r>
    <r>
      <rPr>
        <sz val="12"/>
        <rFont val="Calibri"/>
        <family val="2"/>
        <scheme val="minor"/>
      </rPr>
      <t>LIC)</t>
    </r>
  </si>
  <si>
    <r>
      <t>jk"Vªh; cpr i= ¼</t>
    </r>
    <r>
      <rPr>
        <sz val="12"/>
        <rFont val="Calibri"/>
        <family val="2"/>
        <scheme val="minor"/>
      </rPr>
      <t>NSC)</t>
    </r>
  </si>
  <si>
    <r>
      <t>yksd Hkfo"; fuf/k ¼</t>
    </r>
    <r>
      <rPr>
        <sz val="12"/>
        <rFont val="Calibri"/>
        <family val="2"/>
        <scheme val="minor"/>
      </rPr>
      <t>PPF)</t>
    </r>
  </si>
  <si>
    <r>
      <t>jk"Vªh; cpr Ldhe ¼</t>
    </r>
    <r>
      <rPr>
        <sz val="12"/>
        <rFont val="Calibri"/>
        <family val="2"/>
        <scheme val="minor"/>
      </rPr>
      <t>NSS)</t>
    </r>
  </si>
  <si>
    <r>
      <t>lkekU; izko/kk;h fuf/k ¼</t>
    </r>
    <r>
      <rPr>
        <sz val="12"/>
        <rFont val="Calibri"/>
        <family val="2"/>
        <scheme val="minor"/>
      </rPr>
      <t>GPF)</t>
    </r>
  </si>
  <si>
    <r>
      <t>lkewfgd chek izhfe;e ¼</t>
    </r>
    <r>
      <rPr>
        <sz val="12"/>
        <rFont val="Calibri"/>
        <family val="2"/>
        <scheme val="minor"/>
      </rPr>
      <t>G.Ins.)</t>
    </r>
  </si>
  <si>
    <r>
      <t>x`g _.k fdLr ¼</t>
    </r>
    <r>
      <rPr>
        <sz val="12"/>
        <rFont val="Calibri"/>
        <family val="2"/>
        <scheme val="minor"/>
      </rPr>
      <t>HBA Premium)</t>
    </r>
  </si>
  <si>
    <r>
      <t xml:space="preserve">osru ls vfrfjDr thou chek </t>
    </r>
    <r>
      <rPr>
        <sz val="12"/>
        <rFont val="Calibri"/>
        <family val="2"/>
        <scheme val="minor"/>
      </rPr>
      <t>(Extra LIC)</t>
    </r>
  </si>
  <si>
    <r>
      <t xml:space="preserve">isa'ku ;kstuk esa va'knku </t>
    </r>
    <r>
      <rPr>
        <b/>
        <sz val="11"/>
        <rFont val="Calibri"/>
        <family val="2"/>
        <scheme val="minor"/>
      </rPr>
      <t xml:space="preserve">ECPF </t>
    </r>
    <r>
      <rPr>
        <b/>
        <sz val="11"/>
        <rFont val="Kruti Dev 010"/>
      </rPr>
      <t xml:space="preserve">/kkjk </t>
    </r>
    <r>
      <rPr>
        <b/>
        <sz val="11"/>
        <rFont val="Calibri"/>
        <family val="2"/>
        <scheme val="minor"/>
      </rPr>
      <t>80ccd(1</t>
    </r>
    <r>
      <rPr>
        <b/>
        <sz val="11"/>
        <rFont val="Kruti Dev 010"/>
      </rPr>
      <t>½</t>
    </r>
    <r>
      <rPr>
        <sz val="11"/>
        <rFont val="Kruti Dev 010"/>
      </rPr>
      <t xml:space="preserve">
</t>
    </r>
  </si>
  <si>
    <r>
      <t xml:space="preserve">ih-,y-vkbZ- </t>
    </r>
    <r>
      <rPr>
        <b/>
        <sz val="11"/>
        <rFont val="Kruti Dev 010"/>
      </rPr>
      <t>¼</t>
    </r>
    <r>
      <rPr>
        <b/>
        <sz val="11"/>
        <rFont val="Calibri"/>
        <family val="2"/>
        <scheme val="minor"/>
      </rPr>
      <t>PLI)</t>
    </r>
  </si>
  <si>
    <r>
      <t xml:space="preserve">(B) </t>
    </r>
    <r>
      <rPr>
        <sz val="13"/>
        <rFont val="Kruti Dev 010"/>
      </rPr>
      <t>?kVkb;s&amp; /kkjk</t>
    </r>
    <r>
      <rPr>
        <sz val="13"/>
        <rFont val="DevLys 010"/>
      </rPr>
      <t xml:space="preserve"> </t>
    </r>
    <r>
      <rPr>
        <sz val="13"/>
        <rFont val="Calibri"/>
        <family val="2"/>
        <scheme val="minor"/>
      </rPr>
      <t>80CCD(2)</t>
    </r>
    <r>
      <rPr>
        <sz val="13"/>
        <rFont val="DevLys 010"/>
      </rPr>
      <t xml:space="preserve"> </t>
    </r>
    <r>
      <rPr>
        <sz val="13"/>
        <rFont val="Kruti Dev 010"/>
      </rPr>
      <t xml:space="preserve">fu;ksDrk }kjk isa'ku va'knku dh jkf'k ¼vf/kdre osru dk </t>
    </r>
    <r>
      <rPr>
        <sz val="13"/>
        <rFont val="Calibri"/>
        <family val="2"/>
        <scheme val="minor"/>
      </rPr>
      <t>10%)</t>
    </r>
    <r>
      <rPr>
        <sz val="13"/>
        <rFont val="Kruti Dev 010"/>
      </rPr>
      <t xml:space="preserve"> i`Fkd ls NwV</t>
    </r>
  </si>
  <si>
    <r>
      <t xml:space="preserve">(C) </t>
    </r>
    <r>
      <rPr>
        <sz val="13"/>
        <rFont val="Kruti Dev 010"/>
      </rPr>
      <t>?kVkb;s &amp; /kkjk</t>
    </r>
    <r>
      <rPr>
        <sz val="13"/>
        <rFont val="Calibri"/>
        <family val="2"/>
        <scheme val="minor"/>
      </rPr>
      <t xml:space="preserve"> 80CCD (1B)</t>
    </r>
    <r>
      <rPr>
        <sz val="13"/>
        <rFont val="Arial"/>
        <family val="2"/>
      </rPr>
      <t xml:space="preserve"> </t>
    </r>
    <r>
      <rPr>
        <sz val="13"/>
        <rFont val="Kruti Dev 010"/>
      </rPr>
      <t>uohu isa'ku ;kstuk esa vfrfjDr va'knku ¼vf/kdre :- 50]000</t>
    </r>
    <r>
      <rPr>
        <sz val="13"/>
        <rFont val="Arial"/>
        <family val="2"/>
      </rPr>
      <t>)</t>
    </r>
  </si>
  <si>
    <r>
      <t xml:space="preserve">1-/kkjk </t>
    </r>
    <r>
      <rPr>
        <sz val="13"/>
        <rFont val="Calibri"/>
        <family val="2"/>
        <scheme val="minor"/>
      </rPr>
      <t>80 D</t>
    </r>
    <r>
      <rPr>
        <sz val="13"/>
        <rFont val="Kruti Dev 010"/>
      </rPr>
      <t xml:space="preserve"> fpfdRlk chek izhfe;e ¼Lo;a]ifr@iRuh o cPpksa ds fy, : 25000] ekrk&amp;firk ds fy, : 25000]lhfu;j flVhtu : 50000½</t>
    </r>
  </si>
  <si>
    <r>
      <t xml:space="preserve">2- /kkjk </t>
    </r>
    <r>
      <rPr>
        <sz val="13"/>
        <rFont val="Calibri"/>
        <family val="2"/>
        <scheme val="minor"/>
      </rPr>
      <t>80DD</t>
    </r>
    <r>
      <rPr>
        <sz val="13"/>
        <rFont val="Kruti Dev 010"/>
      </rPr>
      <t xml:space="preserve"> fodykax vkfJrksa ds fpfdRlk mipkj ¼vf/kdre 75]000 rFkk </t>
    </r>
    <r>
      <rPr>
        <sz val="13"/>
        <rFont val="Calibri"/>
        <family val="2"/>
        <scheme val="minor"/>
      </rPr>
      <t>80%</t>
    </r>
    <r>
      <rPr>
        <sz val="13"/>
        <rFont val="Kruti Dev 010"/>
      </rPr>
      <t xml:space="preserve"> ;k vf/kd fodykaxrk 125]000½</t>
    </r>
  </si>
  <si>
    <r>
      <t xml:space="preserve">3- /kkjk </t>
    </r>
    <r>
      <rPr>
        <sz val="13"/>
        <rFont val="Calibri"/>
        <family val="2"/>
        <scheme val="minor"/>
      </rPr>
      <t xml:space="preserve">80DDB </t>
    </r>
    <r>
      <rPr>
        <sz val="13"/>
        <rFont val="Kruti Dev 010"/>
      </rPr>
      <t>fof'k"V jksaxksa ds mipkj gsrq dVkSrh ¼vf/kdre : 40]000] lhfu;j flVhtu gsrq : 100]000½</t>
    </r>
  </si>
  <si>
    <r>
      <t xml:space="preserve">4- /kkjk </t>
    </r>
    <r>
      <rPr>
        <sz val="13"/>
        <rFont val="Calibri"/>
        <family val="2"/>
        <scheme val="minor"/>
      </rPr>
      <t>80E</t>
    </r>
    <r>
      <rPr>
        <sz val="13"/>
        <rFont val="Kruti Dev 010"/>
      </rPr>
      <t xml:space="preserve"> mPp f'k{kk gsrq fy, _.k dk C;kt</t>
    </r>
  </si>
  <si>
    <r>
      <t xml:space="preserve">5- /kkjk </t>
    </r>
    <r>
      <rPr>
        <sz val="13"/>
        <rFont val="Calibri"/>
        <family val="2"/>
        <scheme val="minor"/>
      </rPr>
      <t>80G</t>
    </r>
    <r>
      <rPr>
        <sz val="13"/>
        <rFont val="Kruti Dev 010"/>
      </rPr>
      <t xml:space="preserve"> /kekZFkZ laLFkkvksa vkfn dks fn;s nku ¼ d Js.kh esa 100 izfr'kr ,oa [k Js.kh esa 50 izfr'kr½ ¼dsUnz o jkT; ljdkj ds QaM esa ½</t>
    </r>
  </si>
  <si>
    <r>
      <t xml:space="preserve">6- /kkjk </t>
    </r>
    <r>
      <rPr>
        <sz val="13"/>
        <rFont val="Calibri"/>
        <family val="2"/>
        <scheme val="minor"/>
      </rPr>
      <t xml:space="preserve">80U </t>
    </r>
    <r>
      <rPr>
        <sz val="13"/>
        <rFont val="Kruti Dev 010"/>
      </rPr>
      <t>LFkkbZ :i ls 'kkjhfjd vleFkZrrk dh n'kk esa ¼vf/kdre 75]000 rFkk  vf/kfu;e 1995ds vuqlkj 125]000½</t>
    </r>
  </si>
  <si>
    <r>
      <t xml:space="preserve">7- /kkjk </t>
    </r>
    <r>
      <rPr>
        <sz val="13"/>
        <rFont val="Calibri"/>
        <family val="2"/>
        <scheme val="minor"/>
      </rPr>
      <t>80 TTA</t>
    </r>
    <r>
      <rPr>
        <sz val="13"/>
        <rFont val="Kruti Dev 010"/>
      </rPr>
      <t xml:space="preserve"> cpr [kkrs ij vf/kdre C;kt :- 10]000 </t>
    </r>
    <r>
      <rPr>
        <sz val="13"/>
        <rFont val="Calibri"/>
        <family val="2"/>
        <scheme val="minor"/>
      </rPr>
      <t xml:space="preserve">194(IA)  , ( </t>
    </r>
    <r>
      <rPr>
        <sz val="13"/>
        <rFont val="Kruti Dev 010"/>
      </rPr>
      <t>ofj"B ukxfjdks C;kt ij NwV 50000rd ½</t>
    </r>
  </si>
  <si>
    <r>
      <t xml:space="preserve">8- /kkjk </t>
    </r>
    <r>
      <rPr>
        <sz val="13"/>
        <rFont val="Calibri"/>
        <family val="2"/>
        <scheme val="minor"/>
      </rPr>
      <t>80 GGA</t>
    </r>
    <r>
      <rPr>
        <sz val="13"/>
        <rFont val="Kruti Dev 010"/>
      </rPr>
      <t xml:space="preserve"> vuqeksfnr oSKkfud] lkekftd] xzkeh.k fodkl vkfn gsrq fn;k x;k nku</t>
    </r>
  </si>
  <si>
    <r>
      <t xml:space="preserve">dqy dVkSrh </t>
    </r>
    <r>
      <rPr>
        <b/>
        <sz val="13"/>
        <rFont val="Calibri"/>
        <family val="2"/>
        <scheme val="minor"/>
      </rPr>
      <t>( 11 + 12)</t>
    </r>
  </si>
  <si>
    <r>
      <t>dj ;ksX; vk;</t>
    </r>
    <r>
      <rPr>
        <sz val="13"/>
        <rFont val="Calibri"/>
        <family val="2"/>
        <scheme val="minor"/>
      </rPr>
      <t xml:space="preserve"> ( 10 - 13 )</t>
    </r>
  </si>
  <si>
    <r>
      <t xml:space="preserve">dqy vk; dh jkf'k dks lEiw.kZ djuk ¼ nl ds xq.kd esa ½ /kkjk </t>
    </r>
    <r>
      <rPr>
        <b/>
        <sz val="13"/>
        <rFont val="Calibri"/>
        <family val="2"/>
        <scheme val="minor"/>
      </rPr>
      <t>288A</t>
    </r>
  </si>
  <si>
    <r>
      <rPr>
        <b/>
        <sz val="13"/>
        <rFont val="Kruti Dev 010"/>
      </rPr>
      <t>¼2½</t>
    </r>
    <r>
      <rPr>
        <sz val="13"/>
        <rFont val="Kruti Dev 010"/>
      </rPr>
      <t xml:space="preserve"> NwV ?kkjk 87¼</t>
    </r>
    <r>
      <rPr>
        <sz val="13"/>
        <rFont val="Calibri"/>
        <family val="2"/>
        <scheme val="minor"/>
      </rPr>
      <t>A</t>
    </r>
    <r>
      <rPr>
        <sz val="13"/>
        <rFont val="Kruti Dev 010"/>
      </rPr>
      <t xml:space="preserve">½ ¼ 5yk[k rd dh dj ;ksX; vk; ij vk;dj dh NwV vf/kdre :- </t>
    </r>
    <r>
      <rPr>
        <b/>
        <sz val="13"/>
        <rFont val="Kruti Dev 010"/>
      </rPr>
      <t>12500</t>
    </r>
    <r>
      <rPr>
        <sz val="13"/>
        <rFont val="Kruti Dev 010"/>
      </rPr>
      <t>@&amp; rd½</t>
    </r>
  </si>
  <si>
    <r>
      <t xml:space="preserve">f'k{kk ,oa fpfdRlk midj </t>
    </r>
    <r>
      <rPr>
        <sz val="13"/>
        <rFont val="Calibri"/>
        <family val="2"/>
        <scheme val="minor"/>
      </rPr>
      <t xml:space="preserve"> 4% </t>
    </r>
    <r>
      <rPr>
        <sz val="13"/>
        <rFont val="Kruti Dev 010"/>
      </rPr>
      <t xml:space="preserve"> ¼vk;dj ij ½</t>
    </r>
  </si>
  <si>
    <t>FINANCIAL YEAR- 2022-23</t>
  </si>
  <si>
    <t>2021-22</t>
  </si>
  <si>
    <t>21-22</t>
  </si>
  <si>
    <t>Particulars of Income referred to in rule 21A of the Income tax Rules, 1962, during the previous year relevant to assessment year 2022-23</t>
  </si>
  <si>
    <t>1. (a) Salary received in arrears or in advance during 2021-22 in accordance with the provision of sub-rule (2) of rule 21A</t>
  </si>
  <si>
    <t>Form for furnishing particulars of income undr scetion 192(2A) for year ending 31st March 2022 for claiming relief under section 89(1) by a Government servant or an employee in a company, co-operative society, local authority, university, institution, association or body.</t>
  </si>
  <si>
    <t>01-4-2022</t>
  </si>
  <si>
    <t>31-03-2023</t>
  </si>
  <si>
    <t>2023-24</t>
  </si>
  <si>
    <t>GPF/
GPF-2004</t>
  </si>
  <si>
    <r>
      <t xml:space="preserve">thih,Q&amp;2004 dVksrh </t>
    </r>
    <r>
      <rPr>
        <sz val="11"/>
        <rFont val="Calibri"/>
        <family val="2"/>
        <scheme val="minor"/>
      </rPr>
      <t>(GPF-2004)</t>
    </r>
  </si>
  <si>
    <t>19- vU; lzksr ls vk;  %</t>
  </si>
  <si>
    <r>
      <t>2- LVs.MMZ fMMsD'ku</t>
    </r>
    <r>
      <rPr>
        <b/>
        <sz val="14"/>
        <color rgb="FF0000FF"/>
        <rFont val="Calibri"/>
        <family val="2"/>
        <scheme val="minor"/>
      </rPr>
      <t xml:space="preserve"> (Standard Deduction)</t>
    </r>
    <r>
      <rPr>
        <b/>
        <sz val="14"/>
        <color rgb="FF0000FF"/>
        <rFont val="Kruti Dev 010"/>
      </rPr>
      <t xml:space="preserve">  50]000 ¼vf/kdre½</t>
    </r>
  </si>
  <si>
    <r>
      <t xml:space="preserve">3- euksjatu Hkrk /kkjk </t>
    </r>
    <r>
      <rPr>
        <b/>
        <sz val="14"/>
        <color rgb="FF0000FF"/>
        <rFont val="Calibri"/>
        <family val="2"/>
        <scheme val="minor"/>
      </rPr>
      <t>16 (ii)</t>
    </r>
    <r>
      <rPr>
        <b/>
        <sz val="14"/>
        <color rgb="FF0000FF"/>
        <rFont val="Kruti Dev 010"/>
      </rPr>
      <t xml:space="preserve"> ds vUrxZr </t>
    </r>
  </si>
  <si>
    <r>
      <t>4- O;o;k; dj /kkjk 16 ¼</t>
    </r>
    <r>
      <rPr>
        <b/>
        <sz val="14"/>
        <color rgb="FF0000FF"/>
        <rFont val="Calibri"/>
        <family val="2"/>
        <scheme val="minor"/>
      </rPr>
      <t>iii</t>
    </r>
    <r>
      <rPr>
        <b/>
        <sz val="14"/>
        <color rgb="FF0000FF"/>
        <rFont val="Kruti Dev 010"/>
      </rPr>
      <t xml:space="preserve">½ ds vUrxrZ </t>
    </r>
  </si>
  <si>
    <r>
      <t xml:space="preserve">9- thou chek izhfe;e ¼tks osru ls ugh dkVk x;k½ </t>
    </r>
    <r>
      <rPr>
        <b/>
        <sz val="14"/>
        <color rgb="FFCC0099"/>
        <rFont val="Calibri"/>
        <family val="2"/>
        <scheme val="minor"/>
      </rPr>
      <t>LIC</t>
    </r>
  </si>
  <si>
    <r>
      <t xml:space="preserve">10- ih-,y-vkbZ- </t>
    </r>
    <r>
      <rPr>
        <b/>
        <sz val="14"/>
        <color rgb="FF0000FF"/>
        <rFont val="Calibri"/>
        <family val="2"/>
        <scheme val="minor"/>
      </rPr>
      <t>(PLI)</t>
    </r>
  </si>
  <si>
    <r>
      <t xml:space="preserve">11- V;w'ku Qhl </t>
    </r>
    <r>
      <rPr>
        <b/>
        <sz val="14"/>
        <color rgb="FF0000FF"/>
        <rFont val="Calibri"/>
        <family val="2"/>
        <scheme val="minor"/>
      </rPr>
      <t>(Tution Fees)</t>
    </r>
  </si>
  <si>
    <r>
      <t>13- jk"Vªh; cpr i=</t>
    </r>
    <r>
      <rPr>
        <b/>
        <sz val="14"/>
        <color rgb="FF0000FF"/>
        <rFont val="Calibri"/>
        <family val="2"/>
        <scheme val="minor"/>
      </rPr>
      <t xml:space="preserve"> (NSC)</t>
    </r>
  </si>
  <si>
    <r>
      <t xml:space="preserve">15- yksd Hkfo"; fuf/k </t>
    </r>
    <r>
      <rPr>
        <b/>
        <sz val="14"/>
        <color rgb="FF0000FF"/>
        <rFont val="Calibri"/>
        <family val="2"/>
        <scheme val="minor"/>
      </rPr>
      <t>(PPF)</t>
    </r>
  </si>
  <si>
    <r>
      <t xml:space="preserve">16- jk"Vªh; cpr Ldhe </t>
    </r>
    <r>
      <rPr>
        <b/>
        <sz val="14"/>
        <color rgb="FF0000FF"/>
        <rFont val="Calibri"/>
        <family val="2"/>
        <scheme val="minor"/>
      </rPr>
      <t>(NSS)</t>
    </r>
  </si>
  <si>
    <r>
      <t>17- lqdU;k le`f) ;kstuk</t>
    </r>
    <r>
      <rPr>
        <b/>
        <sz val="14"/>
        <color rgb="FF0000FF"/>
        <rFont val="Calibri"/>
        <family val="2"/>
        <scheme val="minor"/>
      </rPr>
      <t xml:space="preserve"> (SSY)</t>
    </r>
  </si>
  <si>
    <r>
      <t xml:space="preserve">18-  </t>
    </r>
    <r>
      <rPr>
        <b/>
        <sz val="14"/>
        <color rgb="FF0000FF"/>
        <rFont val="Calibri"/>
        <family val="2"/>
        <scheme val="minor"/>
      </rPr>
      <t>Bonds</t>
    </r>
    <r>
      <rPr>
        <b/>
        <sz val="14"/>
        <color rgb="FF0000FF"/>
        <rFont val="Kruti Dev 010"/>
      </rPr>
      <t xml:space="preserve"> ls C;kt</t>
    </r>
  </si>
  <si>
    <r>
      <t xml:space="preserve">/kkjk </t>
    </r>
    <r>
      <rPr>
        <b/>
        <sz val="14"/>
        <color rgb="FF0000FF"/>
        <rFont val="Calibri"/>
        <family val="2"/>
        <scheme val="minor"/>
      </rPr>
      <t xml:space="preserve">80G - </t>
    </r>
    <r>
      <rPr>
        <b/>
        <sz val="14"/>
        <color rgb="FF0000FF"/>
        <rFont val="Kruti Dev 010"/>
      </rPr>
      <t xml:space="preserve">/kekZFkZ laLFkkvksa vkfn dks fn;s nku ¼d Js.kh </t>
    </r>
    <r>
      <rPr>
        <b/>
        <sz val="14"/>
        <color rgb="FF0000FF"/>
        <rFont val="Calibri"/>
        <family val="2"/>
        <scheme val="minor"/>
      </rPr>
      <t>100 %</t>
    </r>
    <r>
      <rPr>
        <b/>
        <sz val="14"/>
        <color rgb="FF0000FF"/>
        <rFont val="Kruti Dev 010"/>
      </rPr>
      <t>½</t>
    </r>
  </si>
  <si>
    <r>
      <t xml:space="preserve">35- /kkjk </t>
    </r>
    <r>
      <rPr>
        <b/>
        <sz val="14"/>
        <color rgb="FFCC0099"/>
        <rFont val="Calibri"/>
        <family val="2"/>
        <scheme val="minor"/>
      </rPr>
      <t>80TTA -</t>
    </r>
    <r>
      <rPr>
        <b/>
        <sz val="14"/>
        <color rgb="FFCC0099"/>
        <rFont val="Kruti Dev 010"/>
      </rPr>
      <t xml:space="preserve"> cpr [kkrs ij vf/kdre C;kt :- 10]000 </t>
    </r>
    <r>
      <rPr>
        <b/>
        <sz val="14"/>
        <color rgb="FFCC0099"/>
        <rFont val="Calibri"/>
        <family val="2"/>
        <scheme val="minor"/>
      </rPr>
      <t>194(IA)</t>
    </r>
  </si>
  <si>
    <t>25- vU; dksbZ Hkh izdkj NqV feyrh gSa tks /kkjk 10¼13&amp;,½ o 10¼13½ds vUrxZr vkrh gks rks ;gk fy[ks ,oa lkFk gh vU; dj eqDr HkRrk ;gkW fy[ksaA</t>
  </si>
  <si>
    <t>Deductions</t>
  </si>
  <si>
    <t>Pay Drawn</t>
  </si>
  <si>
    <t>vU; lzksr ls vk; %</t>
  </si>
  <si>
    <t>Equity link saving schame + Defferred Annuty</t>
  </si>
  <si>
    <t>Total Deducation :</t>
  </si>
  <si>
    <r>
      <t xml:space="preserve">7- /kkjk </t>
    </r>
    <r>
      <rPr>
        <sz val="13"/>
        <rFont val="Calibri"/>
        <family val="2"/>
        <scheme val="minor"/>
      </rPr>
      <t>80 GG</t>
    </r>
  </si>
  <si>
    <r>
      <t>Tax Calculate From Month</t>
    </r>
    <r>
      <rPr>
        <b/>
        <i/>
        <sz val="16"/>
        <color rgb="FFFF0000"/>
        <rFont val="Calibri"/>
        <family val="2"/>
        <scheme val="minor"/>
      </rPr>
      <t xml:space="preserve">  :-</t>
    </r>
    <r>
      <rPr>
        <b/>
        <i/>
        <u/>
        <sz val="16"/>
        <color rgb="FFFF0000"/>
        <rFont val="Calibri"/>
        <family val="2"/>
        <scheme val="minor"/>
      </rPr>
      <t xml:space="preserve">
</t>
    </r>
  </si>
  <si>
    <r>
      <t>To Month</t>
    </r>
    <r>
      <rPr>
        <b/>
        <i/>
        <sz val="14"/>
        <color rgb="FFCC00FF"/>
        <rFont val="Calibri"/>
        <family val="2"/>
        <scheme val="minor"/>
      </rPr>
      <t xml:space="preserve"> :-</t>
    </r>
    <r>
      <rPr>
        <b/>
        <i/>
        <u/>
        <sz val="14"/>
        <color rgb="FFCC00FF"/>
        <rFont val="Calibri"/>
        <family val="2"/>
        <scheme val="minor"/>
      </rPr>
      <t xml:space="preserve">
</t>
    </r>
  </si>
  <si>
    <r>
      <rPr>
        <b/>
        <sz val="12"/>
        <rFont val="Kruti Dev 010"/>
      </rPr>
      <t>;ksx</t>
    </r>
    <r>
      <rPr>
        <b/>
        <sz val="12"/>
        <rFont val="Times New Roman"/>
        <family val="1"/>
      </rPr>
      <t xml:space="preserve"> ( i </t>
    </r>
    <r>
      <rPr>
        <b/>
        <sz val="12"/>
        <rFont val="Kruti Dev 010"/>
      </rPr>
      <t>ls</t>
    </r>
    <r>
      <rPr>
        <b/>
        <sz val="12"/>
        <rFont val="Times New Roman"/>
        <family val="1"/>
      </rPr>
      <t xml:space="preserve"> xxi )</t>
    </r>
  </si>
  <si>
    <t>https://youtu.be/4qmZxfwDsg0</t>
  </si>
  <si>
    <r>
      <rPr>
        <b/>
        <sz val="16"/>
        <color rgb="FF0000FF"/>
        <rFont val="Calibri"/>
        <family val="2"/>
        <scheme val="minor"/>
      </rPr>
      <t xml:space="preserve">              BASIC On 01 March 2022</t>
    </r>
    <r>
      <rPr>
        <b/>
        <sz val="14"/>
        <color theme="1"/>
        <rFont val="Calibri"/>
        <family val="2"/>
        <scheme val="minor"/>
      </rPr>
      <t xml:space="preserve">     </t>
    </r>
    <r>
      <rPr>
        <b/>
        <sz val="18"/>
        <color rgb="FFFF0000"/>
        <rFont val="Wingdings"/>
        <charset val="2"/>
      </rPr>
      <t>F</t>
    </r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</si>
</sst>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27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b/>
      <sz val="13"/>
      <name val="Kruti Dev 010"/>
    </font>
    <font>
      <sz val="11"/>
      <color theme="1"/>
      <name val="Kruti Dev 010"/>
    </font>
    <font>
      <b/>
      <sz val="16"/>
      <color rgb="FF0000FF"/>
      <name val="Kruti Dev 010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2"/>
      <color rgb="FF002060"/>
      <name val="Kruti Dev 010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Kruti Dev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sz val="11"/>
      <name val="Kruti Dev 010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sz val="10"/>
      <name val="Kruti Dev 010"/>
    </font>
    <font>
      <b/>
      <sz val="12"/>
      <name val="Times New Roman"/>
      <family val="1"/>
    </font>
    <font>
      <b/>
      <i/>
      <sz val="11"/>
      <name val="Calibri"/>
      <family val="2"/>
      <scheme val="minor"/>
    </font>
    <font>
      <sz val="13"/>
      <name val="Kruti Dev 010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10"/>
      <name val="Times New Roman"/>
      <family val="1"/>
    </font>
    <font>
      <b/>
      <sz val="8"/>
      <color indexed="16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33CC33"/>
      <name val="Cambria"/>
      <family val="1"/>
      <scheme val="major"/>
    </font>
    <font>
      <b/>
      <sz val="11"/>
      <color indexed="12"/>
      <name val="Cambria"/>
      <family val="1"/>
      <scheme val="major"/>
    </font>
    <font>
      <b/>
      <sz val="18"/>
      <color rgb="FFCC0099"/>
      <name val="Calibri"/>
      <family val="2"/>
      <scheme val="minor"/>
    </font>
    <font>
      <b/>
      <sz val="18"/>
      <color rgb="FFCC0099"/>
      <name val="Wingdings"/>
      <charset val="2"/>
    </font>
    <font>
      <b/>
      <sz val="14"/>
      <color rgb="FF400E3C"/>
      <name val="Calibri"/>
      <family val="2"/>
      <scheme val="minor"/>
    </font>
    <font>
      <b/>
      <sz val="20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4"/>
      <color rgb="FF002060"/>
      <name val="Calibri"/>
      <family val="2"/>
      <scheme val="minor"/>
    </font>
    <font>
      <b/>
      <sz val="18"/>
      <color rgb="FF002060"/>
      <name val="Wingdings"/>
      <charset val="2"/>
    </font>
    <font>
      <b/>
      <i/>
      <sz val="11"/>
      <color rgb="FF990033"/>
      <name val="Cambria"/>
      <family val="1"/>
      <scheme val="major"/>
    </font>
    <font>
      <b/>
      <sz val="14"/>
      <color indexed="16"/>
      <name val="Calibri"/>
      <family val="2"/>
      <scheme val="minor"/>
    </font>
    <font>
      <b/>
      <sz val="14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CC0099"/>
      <name val="Calibri"/>
      <family val="2"/>
      <scheme val="minor"/>
    </font>
    <font>
      <b/>
      <sz val="14"/>
      <color rgb="FFCC0099"/>
      <name val="Cambria"/>
      <family val="1"/>
      <scheme val="major"/>
    </font>
    <font>
      <b/>
      <sz val="18"/>
      <color rgb="FF002060"/>
      <name val="Calibri"/>
      <family val="2"/>
      <scheme val="minor"/>
    </font>
    <font>
      <b/>
      <u/>
      <sz val="16"/>
      <color rgb="FF33CC33"/>
      <name val="Cambria"/>
      <family val="1"/>
      <scheme val="major"/>
    </font>
    <font>
      <b/>
      <i/>
      <u/>
      <sz val="14"/>
      <color indexed="17"/>
      <name val="Calibri"/>
      <family val="2"/>
      <scheme val="minor"/>
    </font>
    <font>
      <b/>
      <sz val="13"/>
      <color rgb="FF002060"/>
      <name val="Cambria"/>
      <family val="1"/>
      <scheme val="major"/>
    </font>
    <font>
      <b/>
      <sz val="11"/>
      <name val="Kruti Dev 010"/>
    </font>
    <font>
      <sz val="8"/>
      <name val="Tahoma"/>
      <family val="2"/>
    </font>
    <font>
      <b/>
      <sz val="14"/>
      <color rgb="FF33CC3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17"/>
      <name val="Times New Roman"/>
      <family val="1"/>
    </font>
    <font>
      <b/>
      <i/>
      <sz val="18"/>
      <color rgb="FFFF0000"/>
      <name val="Wingdings"/>
      <charset val="2"/>
    </font>
    <font>
      <b/>
      <i/>
      <sz val="18"/>
      <color rgb="FFFF0000"/>
      <name val="Times New Roman"/>
      <family val="1"/>
    </font>
    <font>
      <b/>
      <i/>
      <sz val="18"/>
      <color indexed="17"/>
      <name val="Calibri"/>
      <family val="2"/>
      <scheme val="minor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i/>
      <u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FF00"/>
      <name val="Calibri"/>
      <family val="2"/>
      <scheme val="minor"/>
    </font>
    <font>
      <b/>
      <sz val="12"/>
      <color rgb="FF400E3C"/>
      <name val="Calibri"/>
      <family val="2"/>
      <scheme val="minor"/>
    </font>
    <font>
      <b/>
      <i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u/>
      <sz val="16"/>
      <color rgb="FF0000FF"/>
      <name val="Calibri"/>
      <family val="2"/>
    </font>
    <font>
      <b/>
      <u/>
      <sz val="18"/>
      <color rgb="FF0000FF"/>
      <name val="Calibri"/>
      <family val="2"/>
    </font>
    <font>
      <b/>
      <sz val="18"/>
      <color rgb="FF0000FF"/>
      <name val="Calibri"/>
      <family val="2"/>
    </font>
    <font>
      <b/>
      <sz val="14"/>
      <color rgb="FFFFFF00"/>
      <name val="Calibri"/>
      <family val="2"/>
      <scheme val="minor"/>
    </font>
    <font>
      <b/>
      <sz val="14"/>
      <color rgb="FFFFFF00"/>
      <name val="Cambria"/>
      <family val="1"/>
      <scheme val="major"/>
    </font>
    <font>
      <b/>
      <u/>
      <sz val="14"/>
      <color rgb="FFFFFF00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2" tint="-9.9978637043366805E-2"/>
      <name val="DevLys 010"/>
    </font>
    <font>
      <sz val="14"/>
      <color theme="2" tint="-9.9978637043366805E-2"/>
      <name val="Calibri"/>
      <family val="2"/>
      <scheme val="minor"/>
    </font>
    <font>
      <sz val="14"/>
      <color theme="2" tint="-9.9978637043366805E-2"/>
      <name val="DevLys 010"/>
    </font>
    <font>
      <sz val="16"/>
      <color theme="2" tint="-9.9978637043366805E-2"/>
      <name val="Kruti Dev 010"/>
    </font>
    <font>
      <b/>
      <u/>
      <sz val="14"/>
      <color rgb="FF33CC33"/>
      <name val="Calibri"/>
      <family val="2"/>
    </font>
    <font>
      <b/>
      <u/>
      <sz val="12"/>
      <color rgb="FF33CC33"/>
      <name val="Calibri"/>
      <family val="2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3"/>
      <color theme="1"/>
      <name val="Kruti Dev 010"/>
    </font>
    <font>
      <b/>
      <sz val="14"/>
      <color rgb="FF400E3C"/>
      <name val="Wingdings"/>
      <charset val="2"/>
    </font>
    <font>
      <b/>
      <sz val="12"/>
      <color rgb="FFCC00FF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rgb="FFFF0000"/>
      <name val="Calibri"/>
      <family val="2"/>
      <scheme val="minor"/>
    </font>
    <font>
      <b/>
      <sz val="14"/>
      <color rgb="FFFFFF99"/>
      <name val="Calibri"/>
      <family val="2"/>
      <scheme val="minor"/>
    </font>
    <font>
      <b/>
      <sz val="16"/>
      <name val="Cambria"/>
      <family val="1"/>
      <scheme val="major"/>
    </font>
    <font>
      <b/>
      <sz val="11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8"/>
      <color rgb="FFFF0000"/>
      <name val="Wingdings"/>
      <charset val="2"/>
    </font>
    <font>
      <b/>
      <sz val="18"/>
      <color rgb="FFFF0000"/>
      <name val="Calibri"/>
      <family val="2"/>
      <scheme val="minor"/>
    </font>
    <font>
      <b/>
      <sz val="13"/>
      <name val="DevLys 010"/>
    </font>
    <font>
      <b/>
      <sz val="13"/>
      <name val="Calibri"/>
      <family val="2"/>
      <scheme val="minor"/>
    </font>
    <font>
      <b/>
      <sz val="13"/>
      <name val="Arial"/>
      <family val="2"/>
    </font>
    <font>
      <sz val="11"/>
      <name val="Arial"/>
      <family val="2"/>
    </font>
    <font>
      <sz val="11"/>
      <name val="DevLys 010"/>
    </font>
    <font>
      <sz val="11"/>
      <name val="Times New Roman"/>
      <family val="1"/>
    </font>
    <font>
      <sz val="13"/>
      <name val="Arial"/>
      <family val="2"/>
    </font>
    <font>
      <sz val="13"/>
      <name val="DevLys 010"/>
    </font>
    <font>
      <b/>
      <sz val="12"/>
      <color rgb="FFCC0099"/>
      <name val="Calibri"/>
      <family val="2"/>
      <scheme val="minor"/>
    </font>
    <font>
      <b/>
      <sz val="13"/>
      <color rgb="FFCC0099"/>
      <name val="Kruti Dev 010"/>
    </font>
    <font>
      <b/>
      <sz val="13"/>
      <color rgb="FFCC00FF"/>
      <name val="Kruti Dev 010"/>
    </font>
    <font>
      <b/>
      <sz val="13"/>
      <color rgb="FF0000FF"/>
      <name val="Kruti Dev 010"/>
    </font>
    <font>
      <b/>
      <sz val="14"/>
      <color rgb="FFCC0099"/>
      <name val="Kruti Dev 010"/>
    </font>
    <font>
      <i/>
      <u/>
      <sz val="12"/>
      <color theme="1"/>
      <name val="Calibri"/>
      <family val="2"/>
      <scheme val="minor"/>
    </font>
    <font>
      <b/>
      <i/>
      <u/>
      <sz val="16"/>
      <color rgb="FFCC0099"/>
      <name val="Calibri"/>
      <family val="2"/>
      <scheme val="minor"/>
    </font>
    <font>
      <b/>
      <i/>
      <sz val="12"/>
      <color rgb="FFCC0099"/>
      <name val="Calibri"/>
      <family val="2"/>
      <scheme val="minor"/>
    </font>
    <font>
      <b/>
      <i/>
      <sz val="14"/>
      <color rgb="FF660033"/>
      <name val="Calibri"/>
      <family val="2"/>
      <scheme val="minor"/>
    </font>
    <font>
      <i/>
      <sz val="9"/>
      <name val="Times New Roman"/>
      <family val="1"/>
    </font>
    <font>
      <b/>
      <i/>
      <u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4"/>
      <color rgb="FFCC00FF"/>
      <name val="Calibri"/>
      <family val="2"/>
      <scheme val="minor"/>
    </font>
    <font>
      <b/>
      <i/>
      <sz val="14"/>
      <color rgb="FFCC00FF"/>
      <name val="Calibri"/>
      <family val="2"/>
      <scheme val="minor"/>
    </font>
    <font>
      <b/>
      <u val="double"/>
      <sz val="12"/>
      <color rgb="FF0000FF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Kruti Dev 010"/>
    </font>
    <font>
      <sz val="11"/>
      <color theme="0"/>
      <name val="Kruti Dev 010"/>
    </font>
    <font>
      <sz val="12"/>
      <color theme="0"/>
      <name val="Calibri"/>
      <family val="2"/>
      <scheme val="minor"/>
    </font>
    <font>
      <u/>
      <sz val="16"/>
      <color rgb="FF00FFFF"/>
      <name val="Calibri"/>
      <family val="2"/>
    </font>
    <font>
      <b/>
      <sz val="16"/>
      <color rgb="FF33CC33"/>
      <name val="Cambria"/>
      <family val="1"/>
      <scheme val="major"/>
    </font>
    <font>
      <b/>
      <u/>
      <sz val="12"/>
      <color rgb="FFCC0099"/>
      <name val="Calibri"/>
      <family val="2"/>
    </font>
    <font>
      <b/>
      <sz val="10"/>
      <color rgb="FF990033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patternFill patternType="solid">
        <fgColor rgb="FF400E3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8" tint="0.59999389629810485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3" tint="0.40000610370189521"/>
        </stop>
        <stop position="1">
          <color theme="1" tint="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auto="1"/>
      </patternFill>
    </fill>
    <fill>
      <gradientFill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theme="6" tint="0.40000610370189521"/>
        </stop>
        <stop position="1">
          <color theme="6" tint="-0.25098422193060094"/>
        </stop>
      </gradientFill>
    </fill>
    <fill>
      <gradientFill degree="90">
        <stop position="0">
          <color theme="5" tint="0.59999389629810485"/>
        </stop>
        <stop position="1">
          <color theme="7" tint="0.59999389629810485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gradientFill degree="90">
        <stop position="0">
          <color theme="5" tint="0.40000610370189521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5A5A5"/>
      </patternFill>
    </fill>
    <fill>
      <gradientFill type="path" left="0.5" right="0.5" top="0.5" bottom="0.5">
        <stop position="0">
          <color theme="6" tint="-0.25098422193060094"/>
        </stop>
        <stop position="1">
          <color theme="5" tint="0.40000610370189521"/>
        </stop>
      </gradientFill>
    </fill>
    <fill>
      <gradientFill degree="45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7" tint="0.40000610370189521"/>
        </stop>
        <stop position="1">
          <color rgb="FF33CC33"/>
        </stop>
      </gradientFill>
    </fill>
    <fill>
      <gradientFill degree="90">
        <stop position="0">
          <color rgb="FF99FFCC"/>
        </stop>
        <stop position="1">
          <color rgb="FFFFFF00"/>
        </stop>
      </gradientFill>
    </fill>
    <fill>
      <gradientFill degree="90">
        <stop position="0">
          <color theme="5" tint="0.40000610370189521"/>
        </stop>
        <stop position="1">
          <color rgb="FF33CC33"/>
        </stop>
      </gradientFill>
    </fill>
    <fill>
      <patternFill patternType="solid">
        <fgColor rgb="FF99FFCC"/>
        <bgColor auto="1"/>
      </patternFill>
    </fill>
    <fill>
      <gradientFill degree="90">
        <stop position="0">
          <color rgb="FF400E3C"/>
        </stop>
        <stop position="1">
          <color theme="3" tint="-0.49803155613879818"/>
        </stop>
      </gradientFill>
    </fill>
    <fill>
      <gradientFill degree="45">
        <stop position="0">
          <color rgb="FF99FFCC"/>
        </stop>
        <stop position="1">
          <color rgb="FFFFFF00"/>
        </stop>
      </gradientFill>
    </fill>
    <fill>
      <gradientFill type="path" left="0.5" right="0.5" top="0.5" bottom="0.5">
        <stop position="0">
          <color rgb="FF99FFCC"/>
        </stop>
        <stop position="1">
          <color rgb="FF33CC33"/>
        </stop>
      </gradientFill>
    </fill>
    <fill>
      <gradientFill degree="45">
        <stop position="0">
          <color rgb="FF00B0F0"/>
        </stop>
        <stop position="1">
          <color rgb="FFFFC000"/>
        </stop>
      </gradientFill>
    </fill>
    <fill>
      <gradientFill degree="90">
        <stop position="0">
          <color rgb="FF990033"/>
        </stop>
        <stop position="1">
          <color theme="7" tint="-0.25098422193060094"/>
        </stop>
      </gradientFill>
    </fill>
    <fill>
      <gradientFill degree="90">
        <stop position="0">
          <color theme="9" tint="-0.25098422193060094"/>
        </stop>
        <stop position="1">
          <color theme="3"/>
        </stop>
      </gradientFill>
    </fill>
    <fill>
      <patternFill patternType="solid">
        <fgColor theme="6" tint="0.39994506668294322"/>
        <bgColor theme="6" tint="0.39991454817346722"/>
      </patternFill>
    </fill>
    <fill>
      <patternFill patternType="solid">
        <fgColor rgb="FFFFFF99"/>
        <bgColor auto="1"/>
      </patternFill>
    </fill>
    <fill>
      <gradientFill degree="90">
        <stop position="0">
          <color rgb="FFFFFF99"/>
        </stop>
        <stop position="1">
          <color theme="7" tint="0.59999389629810485"/>
        </stop>
      </gradientFill>
    </fill>
    <fill>
      <gradientFill degree="90">
        <stop position="0">
          <color theme="7" tint="0.40000610370189521"/>
        </stop>
        <stop position="1">
          <color theme="6" tint="0.40000610370189521"/>
        </stop>
      </gradientFill>
    </fill>
    <fill>
      <gradientFill degree="90">
        <stop position="0">
          <color theme="5" tint="0.40000610370189521"/>
        </stop>
        <stop position="1">
          <color theme="7" tint="0.40000610370189521"/>
        </stop>
      </gradientFill>
    </fill>
    <fill>
      <gradientFill degree="90">
        <stop position="0">
          <color theme="8" tint="-0.25098422193060094"/>
        </stop>
        <stop position="1">
          <color theme="5" tint="0.59999389629810485"/>
        </stop>
      </gradientFill>
    </fill>
    <fill>
      <gradientFill degree="90">
        <stop position="0">
          <color theme="6" tint="0.40000610370189521"/>
        </stop>
        <stop position="1">
          <color theme="6" tint="0.40000610370189521"/>
        </stop>
      </gradientFill>
    </fill>
    <fill>
      <gradientFill degree="135">
        <stop position="0">
          <color theme="5" tint="0.59999389629810485"/>
        </stop>
        <stop position="1">
          <color rgb="FFFFC000"/>
        </stop>
      </gradientFill>
    </fill>
  </fills>
  <borders count="160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/>
      <top/>
      <bottom/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/>
      <diagonal/>
    </border>
    <border>
      <left/>
      <right style="medium">
        <color indexed="64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 style="double">
        <color rgb="FF33CC33"/>
      </left>
      <right/>
      <top style="double">
        <color rgb="FF33CC33"/>
      </top>
      <bottom style="double">
        <color rgb="FF33CC33"/>
      </bottom>
      <diagonal/>
    </border>
    <border>
      <left/>
      <right/>
      <top style="double">
        <color rgb="FF33CC33"/>
      </top>
      <bottom style="double">
        <color rgb="FF33CC33"/>
      </bottom>
      <diagonal/>
    </border>
    <border>
      <left/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33CC33"/>
      </top>
      <bottom/>
      <diagonal/>
    </border>
    <border>
      <left style="double">
        <color rgb="FF33CC33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00B050"/>
      </top>
      <bottom/>
      <diagonal/>
    </border>
    <border>
      <left style="double">
        <color rgb="FF33CC33"/>
      </left>
      <right/>
      <top style="double">
        <color rgb="FF33CC33"/>
      </top>
      <bottom/>
      <diagonal/>
    </border>
    <border>
      <left/>
      <right style="double">
        <color rgb="FF33CC33"/>
      </right>
      <top style="double">
        <color rgb="FF33CC33"/>
      </top>
      <bottom/>
      <diagonal/>
    </border>
    <border>
      <left style="double">
        <color rgb="FF33CC33"/>
      </left>
      <right/>
      <top/>
      <bottom style="double">
        <color rgb="FF33CC33"/>
      </bottom>
      <diagonal/>
    </border>
    <border>
      <left/>
      <right/>
      <top/>
      <bottom style="double">
        <color rgb="FF33CC33"/>
      </bottom>
      <diagonal/>
    </border>
    <border>
      <left/>
      <right style="double">
        <color rgb="FF33CC33"/>
      </right>
      <top/>
      <bottom style="double">
        <color rgb="FF33CC33"/>
      </bottom>
      <diagonal/>
    </border>
    <border>
      <left/>
      <right style="double">
        <color rgb="FF33CC33"/>
      </right>
      <top/>
      <bottom/>
      <diagonal/>
    </border>
    <border>
      <left style="double">
        <color rgb="FF33CC33"/>
      </left>
      <right style="double">
        <color rgb="FF33CC33"/>
      </right>
      <top/>
      <bottom/>
      <diagonal/>
    </border>
    <border>
      <left style="double">
        <color rgb="FF33CC33"/>
      </left>
      <right style="double">
        <color rgb="FF33CC33"/>
      </right>
      <top/>
      <bottom style="double">
        <color rgb="FF33CC33"/>
      </bottom>
      <diagonal/>
    </border>
    <border>
      <left style="medium">
        <color rgb="FF33CC33"/>
      </left>
      <right/>
      <top style="medium">
        <color rgb="FF33CC33"/>
      </top>
      <bottom style="medium">
        <color rgb="FF33CC33"/>
      </bottom>
      <diagonal/>
    </border>
    <border>
      <left/>
      <right/>
      <top style="medium">
        <color rgb="FF33CC33"/>
      </top>
      <bottom style="medium">
        <color rgb="FF33CC33"/>
      </bottom>
      <diagonal/>
    </border>
    <border>
      <left/>
      <right style="medium">
        <color rgb="FF33CC33"/>
      </right>
      <top style="medium">
        <color rgb="FF33CC33"/>
      </top>
      <bottom style="medium">
        <color rgb="FF33CC33"/>
      </bottom>
      <diagonal/>
    </border>
    <border>
      <left style="medium">
        <color rgb="FFFFFF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FF00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660033"/>
      </left>
      <right/>
      <top style="dotted">
        <color rgb="FF660033"/>
      </top>
      <bottom style="dotted">
        <color rgb="FF660033"/>
      </bottom>
      <diagonal/>
    </border>
    <border>
      <left/>
      <right style="dotted">
        <color rgb="FF660033"/>
      </right>
      <top style="dotted">
        <color rgb="FF660033"/>
      </top>
      <bottom style="dotted">
        <color rgb="FF66003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protection locked="0"/>
    </xf>
    <xf numFmtId="0" fontId="52" fillId="0" borderId="0">
      <alignment vertical="center"/>
    </xf>
    <xf numFmtId="0" fontId="52" fillId="0" borderId="0">
      <protection locked="0"/>
    </xf>
    <xf numFmtId="0" fontId="52" fillId="0" borderId="0">
      <alignment vertical="center"/>
    </xf>
    <xf numFmtId="0" fontId="158" fillId="0" borderId="0" applyNumberFormat="0" applyFill="0" applyBorder="0" applyAlignment="0" applyProtection="0">
      <alignment vertical="top"/>
      <protection locked="0"/>
    </xf>
    <xf numFmtId="0" fontId="218" fillId="68" borderId="125" applyNumberFormat="0" applyAlignment="0" applyProtection="0"/>
  </cellStyleXfs>
  <cellXfs count="1022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vertical="center"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1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wrapText="1"/>
      <protection hidden="1"/>
    </xf>
    <xf numFmtId="0" fontId="34" fillId="0" borderId="0" xfId="0" applyFont="1" applyAlignment="1" applyProtection="1">
      <alignment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37" fillId="12" borderId="9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wrapText="1"/>
      <protection hidden="1"/>
    </xf>
    <xf numFmtId="0" fontId="39" fillId="0" borderId="0" xfId="0" applyFont="1" applyAlignment="1" applyProtection="1">
      <alignment wrapText="1"/>
      <protection hidden="1"/>
    </xf>
    <xf numFmtId="0" fontId="33" fillId="13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1" fontId="42" fillId="12" borderId="9" xfId="0" applyNumberFormat="1" applyFont="1" applyFill="1" applyBorder="1" applyAlignment="1" applyProtection="1">
      <alignment horizontal="center" vertical="center"/>
      <protection hidden="1"/>
    </xf>
    <xf numFmtId="166" fontId="3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29" fillId="2" borderId="0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17" fillId="22" borderId="0" xfId="0" applyFont="1" applyFill="1" applyAlignment="1" applyProtection="1">
      <alignment horizontal="center" vertical="center"/>
      <protection hidden="1"/>
    </xf>
    <xf numFmtId="0" fontId="35" fillId="10" borderId="16" xfId="0" applyFont="1" applyFill="1" applyBorder="1" applyAlignment="1" applyProtection="1">
      <alignment horizontal="center" vertical="center"/>
      <protection hidden="1"/>
    </xf>
    <xf numFmtId="0" fontId="11" fillId="10" borderId="17" xfId="0" applyFont="1" applyFill="1" applyBorder="1" applyAlignment="1" applyProtection="1">
      <alignment horizontal="center" vertical="center"/>
      <protection hidden="1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2" fontId="55" fillId="26" borderId="0" xfId="2" applyNumberFormat="1" applyFont="1" applyFill="1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3" fillId="0" borderId="30" xfId="0" applyFont="1" applyBorder="1" applyAlignment="1" applyProtection="1">
      <alignment horizontal="center" vertical="center" wrapText="1"/>
      <protection hidden="1"/>
    </xf>
    <xf numFmtId="0" fontId="63" fillId="0" borderId="9" xfId="0" applyFont="1" applyBorder="1" applyAlignment="1" applyProtection="1">
      <alignment horizontal="center" vertical="center" wrapText="1"/>
      <protection hidden="1"/>
    </xf>
    <xf numFmtId="0" fontId="64" fillId="0" borderId="0" xfId="0" applyFont="1" applyAlignment="1" applyProtection="1">
      <alignment wrapText="1"/>
      <protection hidden="1"/>
    </xf>
    <xf numFmtId="0" fontId="64" fillId="0" borderId="0" xfId="0" applyFont="1" applyAlignment="1" applyProtection="1">
      <alignment horizontal="center" vertical="center" wrapText="1"/>
      <protection hidden="1"/>
    </xf>
    <xf numFmtId="0" fontId="65" fillId="0" borderId="30" xfId="0" applyFont="1" applyBorder="1" applyAlignment="1" applyProtection="1">
      <alignment horizontal="center" vertical="center"/>
      <protection hidden="1"/>
    </xf>
    <xf numFmtId="1" fontId="64" fillId="0" borderId="9" xfId="0" applyNumberFormat="1" applyFont="1" applyBorder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0" fontId="62" fillId="0" borderId="30" xfId="0" applyFont="1" applyBorder="1" applyAlignment="1" applyProtection="1">
      <alignment horizontal="center" vertical="center"/>
      <protection hidden="1"/>
    </xf>
    <xf numFmtId="0" fontId="65" fillId="0" borderId="16" xfId="0" applyFont="1" applyBorder="1" applyAlignment="1" applyProtection="1">
      <alignment horizontal="right" vertical="center"/>
      <protection hidden="1"/>
    </xf>
    <xf numFmtId="1" fontId="63" fillId="0" borderId="9" xfId="0" applyNumberFormat="1" applyFont="1" applyBorder="1" applyAlignment="1" applyProtection="1">
      <alignment horizontal="center" vertical="center"/>
      <protection hidden="1"/>
    </xf>
    <xf numFmtId="1" fontId="65" fillId="0" borderId="1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68" fillId="0" borderId="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33" fillId="0" borderId="11" xfId="0" applyFont="1" applyBorder="1" applyAlignment="1" applyProtection="1">
      <alignment vertical="center"/>
      <protection hidden="1"/>
    </xf>
    <xf numFmtId="0" fontId="33" fillId="0" borderId="11" xfId="0" applyFont="1" applyBorder="1" applyAlignment="1" applyProtection="1">
      <alignment vertical="center" wrapText="1"/>
      <protection hidden="1"/>
    </xf>
    <xf numFmtId="0" fontId="33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56" fillId="0" borderId="0" xfId="3" applyFont="1" applyBorder="1" applyAlignment="1" applyProtection="1">
      <alignment vertical="center"/>
      <protection hidden="1"/>
    </xf>
    <xf numFmtId="0" fontId="76" fillId="0" borderId="0" xfId="0" applyFont="1" applyAlignment="1" applyProtection="1">
      <alignment horizontal="right" vertical="center"/>
      <protection hidden="1"/>
    </xf>
    <xf numFmtId="0" fontId="53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96" fillId="0" borderId="0" xfId="3" applyFont="1" applyBorder="1" applyAlignment="1" applyProtection="1">
      <protection hidden="1"/>
    </xf>
    <xf numFmtId="0" fontId="97" fillId="0" borderId="0" xfId="3" applyFont="1" applyBorder="1" applyAlignment="1" applyProtection="1">
      <protection hidden="1"/>
    </xf>
    <xf numFmtId="0" fontId="98" fillId="0" borderId="0" xfId="3" applyFont="1" applyBorder="1" applyAlignment="1" applyProtection="1">
      <alignment horizontal="center" vertical="center"/>
      <protection hidden="1"/>
    </xf>
    <xf numFmtId="0" fontId="97" fillId="0" borderId="0" xfId="6" applyFont="1" applyAlignment="1" applyProtection="1">
      <protection hidden="1"/>
    </xf>
    <xf numFmtId="0" fontId="79" fillId="0" borderId="0" xfId="6" applyFont="1" applyProtection="1">
      <alignment vertical="center"/>
      <protection hidden="1"/>
    </xf>
    <xf numFmtId="0" fontId="100" fillId="0" borderId="0" xfId="3" applyFont="1" applyBorder="1" applyAlignment="1" applyProtection="1">
      <alignment horizontal="right"/>
      <protection hidden="1"/>
    </xf>
    <xf numFmtId="0" fontId="97" fillId="0" borderId="0" xfId="3" applyFont="1" applyBorder="1" applyAlignment="1" applyProtection="1">
      <alignment horizontal="right"/>
      <protection hidden="1"/>
    </xf>
    <xf numFmtId="0" fontId="96" fillId="0" borderId="0" xfId="3" applyFont="1" applyFill="1" applyBorder="1" applyAlignment="1" applyProtection="1">
      <protection hidden="1"/>
    </xf>
    <xf numFmtId="0" fontId="99" fillId="0" borderId="0" xfId="3" applyFont="1" applyFill="1" applyAlignment="1" applyProtection="1">
      <alignment vertical="top"/>
      <protection hidden="1"/>
    </xf>
    <xf numFmtId="0" fontId="97" fillId="0" borderId="0" xfId="6" applyFont="1" applyFill="1" applyAlignment="1" applyProtection="1">
      <protection hidden="1"/>
    </xf>
    <xf numFmtId="0" fontId="96" fillId="0" borderId="0" xfId="3" applyFont="1" applyFill="1" applyAlignment="1" applyProtection="1">
      <protection hidden="1"/>
    </xf>
    <xf numFmtId="0" fontId="97" fillId="0" borderId="0" xfId="3" applyFont="1" applyFill="1" applyBorder="1" applyAlignment="1" applyProtection="1">
      <protection hidden="1"/>
    </xf>
    <xf numFmtId="0" fontId="101" fillId="0" borderId="0" xfId="3" applyFont="1" applyFill="1" applyBorder="1" applyAlignment="1" applyProtection="1">
      <alignment vertical="center"/>
      <protection hidden="1"/>
    </xf>
    <xf numFmtId="0" fontId="97" fillId="0" borderId="0" xfId="3" applyFont="1" applyFill="1" applyAlignment="1" applyProtection="1">
      <protection hidden="1"/>
    </xf>
    <xf numFmtId="0" fontId="100" fillId="0" borderId="0" xfId="3" applyFont="1" applyFill="1" applyAlignment="1" applyProtection="1">
      <protection hidden="1"/>
    </xf>
    <xf numFmtId="0" fontId="96" fillId="25" borderId="0" xfId="3" applyFont="1" applyFill="1" applyAlignment="1" applyProtection="1">
      <protection hidden="1"/>
    </xf>
    <xf numFmtId="0" fontId="97" fillId="25" borderId="0" xfId="3" applyFont="1" applyFill="1" applyAlignment="1" applyProtection="1">
      <protection hidden="1"/>
    </xf>
    <xf numFmtId="0" fontId="97" fillId="25" borderId="0" xfId="6" applyFont="1" applyFill="1" applyAlignment="1" applyProtection="1">
      <protection hidden="1"/>
    </xf>
    <xf numFmtId="0" fontId="0" fillId="25" borderId="0" xfId="0" applyFill="1" applyAlignment="1" applyProtection="1">
      <protection hidden="1"/>
    </xf>
    <xf numFmtId="0" fontId="0" fillId="25" borderId="0" xfId="0" applyFill="1" applyProtection="1">
      <protection hidden="1"/>
    </xf>
    <xf numFmtId="0" fontId="100" fillId="25" borderId="0" xfId="3" applyFont="1" applyFill="1" applyAlignment="1" applyProtection="1">
      <alignment horizontal="right"/>
      <protection hidden="1"/>
    </xf>
    <xf numFmtId="0" fontId="97" fillId="25" borderId="0" xfId="3" applyFont="1" applyFill="1" applyAlignment="1" applyProtection="1">
      <alignment horizontal="right"/>
      <protection hidden="1"/>
    </xf>
    <xf numFmtId="0" fontId="100" fillId="25" borderId="0" xfId="3" applyFont="1" applyFill="1" applyAlignment="1" applyProtection="1">
      <protection hidden="1"/>
    </xf>
    <xf numFmtId="2" fontId="97" fillId="25" borderId="0" xfId="3" applyNumberFormat="1" applyFont="1" applyFill="1" applyAlignment="1" applyProtection="1">
      <alignment horizontal="right"/>
      <protection hidden="1"/>
    </xf>
    <xf numFmtId="0" fontId="96" fillId="0" borderId="0" xfId="3" applyFont="1" applyAlignment="1" applyProtection="1">
      <protection hidden="1"/>
    </xf>
    <xf numFmtId="0" fontId="97" fillId="0" borderId="0" xfId="3" applyFont="1" applyAlignment="1" applyProtection="1">
      <protection hidden="1"/>
    </xf>
    <xf numFmtId="0" fontId="100" fillId="0" borderId="0" xfId="3" applyFont="1" applyAlignment="1" applyProtection="1">
      <alignment horizontal="right"/>
      <protection hidden="1"/>
    </xf>
    <xf numFmtId="0" fontId="97" fillId="0" borderId="0" xfId="3" applyFont="1" applyAlignment="1" applyProtection="1">
      <alignment horizontal="right"/>
      <protection hidden="1"/>
    </xf>
    <xf numFmtId="0" fontId="59" fillId="0" borderId="0" xfId="0" applyFont="1" applyProtection="1">
      <protection hidden="1"/>
    </xf>
    <xf numFmtId="0" fontId="59" fillId="0" borderId="0" xfId="0" applyFont="1" applyAlignment="1" applyProtection="1">
      <protection hidden="1"/>
    </xf>
    <xf numFmtId="0" fontId="0" fillId="24" borderId="0" xfId="0" applyFill="1" applyProtection="1">
      <protection hidden="1"/>
    </xf>
    <xf numFmtId="0" fontId="34" fillId="24" borderId="0" xfId="0" applyFont="1" applyFill="1" applyProtection="1">
      <protection hidden="1"/>
    </xf>
    <xf numFmtId="0" fontId="102" fillId="0" borderId="0" xfId="0" applyFont="1" applyAlignment="1" applyProtection="1">
      <alignment vertical="center"/>
      <protection hidden="1"/>
    </xf>
    <xf numFmtId="0" fontId="110" fillId="10" borderId="13" xfId="0" applyFont="1" applyFill="1" applyBorder="1" applyAlignment="1" applyProtection="1">
      <alignment horizontal="center" vertical="center"/>
      <protection locked="0"/>
    </xf>
    <xf numFmtId="0" fontId="110" fillId="10" borderId="9" xfId="0" applyFont="1" applyFill="1" applyBorder="1" applyAlignment="1" applyProtection="1">
      <alignment horizontal="center" vertical="center"/>
      <protection locked="0"/>
    </xf>
    <xf numFmtId="0" fontId="110" fillId="10" borderId="31" xfId="0" applyFont="1" applyFill="1" applyBorder="1" applyAlignment="1" applyProtection="1">
      <alignment horizontal="center" vertical="center"/>
      <protection locked="0"/>
    </xf>
    <xf numFmtId="0" fontId="11" fillId="38" borderId="0" xfId="0" applyFont="1" applyFill="1" applyBorder="1" applyAlignment="1" applyProtection="1">
      <protection hidden="1"/>
    </xf>
    <xf numFmtId="0" fontId="117" fillId="38" borderId="0" xfId="0" applyFont="1" applyFill="1" applyBorder="1" applyAlignment="1" applyProtection="1">
      <alignment horizontal="right"/>
      <protection hidden="1"/>
    </xf>
    <xf numFmtId="0" fontId="107" fillId="38" borderId="0" xfId="0" applyFont="1" applyFill="1" applyBorder="1" applyAlignment="1" applyProtection="1">
      <alignment horizontal="right"/>
      <protection hidden="1"/>
    </xf>
    <xf numFmtId="0" fontId="120" fillId="38" borderId="0" xfId="0" applyFont="1" applyFill="1" applyBorder="1" applyAlignment="1" applyProtection="1">
      <alignment horizontal="right"/>
      <protection hidden="1"/>
    </xf>
    <xf numFmtId="164" fontId="63" fillId="0" borderId="9" xfId="0" applyNumberFormat="1" applyFont="1" applyBorder="1" applyAlignment="1" applyProtection="1">
      <alignment horizontal="center" vertical="center" wrapText="1"/>
      <protection hidden="1"/>
    </xf>
    <xf numFmtId="0" fontId="127" fillId="0" borderId="0" xfId="0" applyFont="1" applyFill="1" applyBorder="1" applyProtection="1">
      <protection hidden="1"/>
    </xf>
    <xf numFmtId="0" fontId="128" fillId="0" borderId="0" xfId="0" applyFont="1" applyFill="1" applyBorder="1" applyProtection="1">
      <protection hidden="1"/>
    </xf>
    <xf numFmtId="1" fontId="129" fillId="38" borderId="0" xfId="0" applyNumberFormat="1" applyFont="1" applyFill="1" applyBorder="1" applyAlignment="1" applyProtection="1">
      <alignment horizontal="center"/>
      <protection hidden="1"/>
    </xf>
    <xf numFmtId="0" fontId="120" fillId="38" borderId="0" xfId="0" applyFont="1" applyFill="1" applyBorder="1" applyAlignment="1" applyProtection="1">
      <alignment horizontal="right" vertical="center"/>
      <protection hidden="1"/>
    </xf>
    <xf numFmtId="0" fontId="22" fillId="40" borderId="9" xfId="0" applyFont="1" applyFill="1" applyBorder="1" applyAlignment="1" applyProtection="1">
      <alignment horizontal="center" vertical="center"/>
      <protection locked="0"/>
    </xf>
    <xf numFmtId="0" fontId="0" fillId="38" borderId="0" xfId="0" applyFill="1" applyProtection="1">
      <protection hidden="1"/>
    </xf>
    <xf numFmtId="0" fontId="108" fillId="38" borderId="0" xfId="0" applyFont="1" applyFill="1" applyAlignment="1" applyProtection="1">
      <alignment horizontal="center" vertical="center"/>
      <protection hidden="1"/>
    </xf>
    <xf numFmtId="0" fontId="108" fillId="0" borderId="0" xfId="0" applyFont="1" applyAlignment="1" applyProtection="1">
      <alignment horizontal="center" vertical="center"/>
      <protection hidden="1"/>
    </xf>
    <xf numFmtId="0" fontId="113" fillId="41" borderId="62" xfId="0" applyFont="1" applyFill="1" applyBorder="1" applyAlignment="1" applyProtection="1">
      <alignment horizontal="center" vertical="center"/>
      <protection hidden="1"/>
    </xf>
    <xf numFmtId="0" fontId="113" fillId="41" borderId="63" xfId="0" applyFont="1" applyFill="1" applyBorder="1" applyAlignment="1" applyProtection="1">
      <alignment horizontal="center" vertical="center"/>
      <protection hidden="1"/>
    </xf>
    <xf numFmtId="0" fontId="113" fillId="41" borderId="64" xfId="0" applyFont="1" applyFill="1" applyBorder="1" applyAlignment="1" applyProtection="1">
      <alignment horizontal="center" vertical="center"/>
      <protection hidden="1"/>
    </xf>
    <xf numFmtId="0" fontId="109" fillId="33" borderId="65" xfId="0" applyFont="1" applyFill="1" applyBorder="1" applyAlignment="1" applyProtection="1">
      <alignment horizontal="center" vertical="center"/>
      <protection hidden="1"/>
    </xf>
    <xf numFmtId="0" fontId="108" fillId="38" borderId="0" xfId="0" applyFont="1" applyFill="1" applyBorder="1" applyAlignment="1" applyProtection="1">
      <alignment horizontal="center" vertical="center"/>
      <protection hidden="1"/>
    </xf>
    <xf numFmtId="49" fontId="114" fillId="38" borderId="67" xfId="0" applyNumberFormat="1" applyFont="1" applyFill="1" applyBorder="1" applyAlignment="1" applyProtection="1">
      <alignment horizontal="center" vertical="center"/>
      <protection hidden="1"/>
    </xf>
    <xf numFmtId="0" fontId="126" fillId="38" borderId="0" xfId="0" applyFont="1" applyFill="1" applyBorder="1" applyAlignment="1" applyProtection="1">
      <alignment horizontal="center" vertical="center"/>
      <protection hidden="1"/>
    </xf>
    <xf numFmtId="164" fontId="108" fillId="38" borderId="0" xfId="0" applyNumberFormat="1" applyFont="1" applyFill="1" applyBorder="1" applyAlignment="1" applyProtection="1">
      <alignment horizontal="center" vertical="center"/>
      <protection hidden="1"/>
    </xf>
    <xf numFmtId="49" fontId="114" fillId="38" borderId="68" xfId="0" applyNumberFormat="1" applyFont="1" applyFill="1" applyBorder="1" applyAlignment="1" applyProtection="1">
      <alignment horizontal="center" vertical="center"/>
      <protection hidden="1"/>
    </xf>
    <xf numFmtId="0" fontId="108" fillId="38" borderId="66" xfId="0" applyFont="1" applyFill="1" applyBorder="1" applyAlignment="1" applyProtection="1">
      <alignment horizontal="center" vertical="center"/>
      <protection hidden="1"/>
    </xf>
    <xf numFmtId="3" fontId="124" fillId="38" borderId="0" xfId="0" applyNumberFormat="1" applyFont="1" applyFill="1" applyBorder="1" applyAlignment="1" applyProtection="1">
      <alignment horizontal="center" vertical="center"/>
      <protection hidden="1"/>
    </xf>
    <xf numFmtId="0" fontId="125" fillId="38" borderId="0" xfId="0" applyFont="1" applyFill="1" applyBorder="1" applyAlignment="1" applyProtection="1">
      <alignment horizontal="center" vertical="center"/>
      <protection hidden="1"/>
    </xf>
    <xf numFmtId="0" fontId="111" fillId="38" borderId="0" xfId="0" applyFont="1" applyFill="1" applyBorder="1" applyAlignment="1" applyProtection="1">
      <alignment vertical="center" wrapText="1"/>
      <protection hidden="1"/>
    </xf>
    <xf numFmtId="0" fontId="111" fillId="38" borderId="66" xfId="0" applyFont="1" applyFill="1" applyBorder="1" applyAlignment="1" applyProtection="1">
      <alignment vertical="center" wrapText="1"/>
      <protection hidden="1"/>
    </xf>
    <xf numFmtId="0" fontId="108" fillId="0" borderId="0" xfId="0" applyFont="1" applyBorder="1" applyAlignment="1" applyProtection="1">
      <alignment horizontal="center" vertical="center"/>
      <protection hidden="1"/>
    </xf>
    <xf numFmtId="49" fontId="114" fillId="38" borderId="69" xfId="0" applyNumberFormat="1" applyFont="1" applyFill="1" applyBorder="1" applyAlignment="1" applyProtection="1">
      <alignment horizontal="center" vertical="center"/>
      <protection hidden="1"/>
    </xf>
    <xf numFmtId="0" fontId="123" fillId="38" borderId="0" xfId="0" applyFont="1" applyFill="1" applyBorder="1" applyAlignment="1" applyProtection="1">
      <alignment horizontal="center" vertical="center" wrapText="1"/>
      <protection hidden="1"/>
    </xf>
    <xf numFmtId="1" fontId="126" fillId="38" borderId="0" xfId="0" applyNumberFormat="1" applyFont="1" applyFill="1" applyBorder="1" applyAlignment="1" applyProtection="1">
      <alignment horizontal="center" vertical="center"/>
      <protection hidden="1"/>
    </xf>
    <xf numFmtId="3" fontId="108" fillId="38" borderId="0" xfId="0" applyNumberFormat="1" applyFont="1" applyFill="1" applyBorder="1" applyAlignment="1" applyProtection="1">
      <alignment horizontal="center" vertical="center"/>
      <protection hidden="1"/>
    </xf>
    <xf numFmtId="0" fontId="112" fillId="38" borderId="66" xfId="0" applyFont="1" applyFill="1" applyBorder="1" applyAlignment="1" applyProtection="1">
      <alignment horizontal="left" vertical="center"/>
      <protection hidden="1"/>
    </xf>
    <xf numFmtId="1" fontId="57" fillId="38" borderId="0" xfId="0" applyNumberFormat="1" applyFont="1" applyFill="1" applyBorder="1" applyAlignment="1" applyProtection="1">
      <alignment horizontal="center" vertical="center"/>
      <protection hidden="1"/>
    </xf>
    <xf numFmtId="3" fontId="57" fillId="38" borderId="0" xfId="0" applyNumberFormat="1" applyFont="1" applyFill="1" applyBorder="1" applyAlignment="1" applyProtection="1">
      <alignment horizontal="center" vertical="center"/>
      <protection hidden="1"/>
    </xf>
    <xf numFmtId="0" fontId="107" fillId="38" borderId="0" xfId="0" applyFont="1" applyFill="1" applyBorder="1" applyAlignment="1" applyProtection="1">
      <alignment horizontal="center" vertical="center"/>
      <protection hidden="1"/>
    </xf>
    <xf numFmtId="0" fontId="108" fillId="38" borderId="71" xfId="0" applyFont="1" applyFill="1" applyBorder="1" applyAlignment="1" applyProtection="1">
      <alignment horizontal="center" vertical="center"/>
      <protection hidden="1"/>
    </xf>
    <xf numFmtId="0" fontId="108" fillId="38" borderId="72" xfId="0" applyFont="1" applyFill="1" applyBorder="1" applyAlignment="1" applyProtection="1">
      <alignment horizontal="center" vertical="center"/>
      <protection hidden="1"/>
    </xf>
    <xf numFmtId="0" fontId="108" fillId="38" borderId="73" xfId="0" applyFont="1" applyFill="1" applyBorder="1" applyAlignment="1" applyProtection="1">
      <alignment horizontal="center" vertical="center"/>
      <protection hidden="1"/>
    </xf>
    <xf numFmtId="0" fontId="127" fillId="0" borderId="0" xfId="0" applyFont="1" applyFill="1" applyBorder="1" applyAlignment="1" applyProtection="1">
      <alignment horizontal="right"/>
      <protection hidden="1"/>
    </xf>
    <xf numFmtId="0" fontId="11" fillId="38" borderId="9" xfId="0" applyFont="1" applyFill="1" applyBorder="1" applyAlignment="1" applyProtection="1">
      <alignment horizontal="center" vertical="center"/>
      <protection hidden="1"/>
    </xf>
    <xf numFmtId="1" fontId="23" fillId="32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top" wrapText="1"/>
      <protection hidden="1"/>
    </xf>
    <xf numFmtId="0" fontId="39" fillId="0" borderId="0" xfId="0" applyFont="1" applyProtection="1">
      <protection hidden="1"/>
    </xf>
    <xf numFmtId="0" fontId="139" fillId="0" borderId="0" xfId="0" applyFont="1" applyAlignment="1" applyProtection="1">
      <protection hidden="1"/>
    </xf>
    <xf numFmtId="0" fontId="140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53" fillId="0" borderId="0" xfId="0" applyFont="1" applyBorder="1" applyAlignment="1" applyProtection="1">
      <alignment vertical="center" wrapText="1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53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43" fillId="0" borderId="0" xfId="0" applyFont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6" fillId="4" borderId="0" xfId="0" applyFont="1" applyFill="1" applyBorder="1" applyAlignment="1" applyProtection="1">
      <alignment horizontal="right" vertical="center"/>
      <protection hidden="1"/>
    </xf>
    <xf numFmtId="49" fontId="6" fillId="4" borderId="0" xfId="0" applyNumberFormat="1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67" fontId="6" fillId="4" borderId="0" xfId="0" applyNumberFormat="1" applyFont="1" applyFill="1" applyBorder="1" applyAlignment="1" applyProtection="1">
      <alignment horizontal="left" vertical="center"/>
      <protection hidden="1"/>
    </xf>
    <xf numFmtId="3" fontId="6" fillId="4" borderId="0" xfId="0" applyNumberFormat="1" applyFont="1" applyFill="1" applyBorder="1" applyAlignment="1" applyProtection="1">
      <alignment horizontal="left" vertical="center"/>
      <protection hidden="1"/>
    </xf>
    <xf numFmtId="0" fontId="26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Protection="1"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44" fillId="4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4" fillId="4" borderId="0" xfId="0" applyFont="1" applyFill="1" applyBorder="1" applyAlignment="1" applyProtection="1">
      <alignment horizontal="right" vertical="center"/>
      <protection hidden="1"/>
    </xf>
    <xf numFmtId="164" fontId="12" fillId="4" borderId="0" xfId="0" applyNumberFormat="1" applyFont="1" applyFill="1" applyBorder="1" applyAlignment="1" applyProtection="1">
      <alignment horizontal="center" vertical="center"/>
      <protection hidden="1"/>
    </xf>
    <xf numFmtId="1" fontId="12" fillId="4" borderId="0" xfId="0" applyNumberFormat="1" applyFont="1" applyFill="1" applyBorder="1" applyAlignment="1" applyProtection="1">
      <alignment horizontal="center" vertical="center"/>
      <protection hidden="1"/>
    </xf>
    <xf numFmtId="0" fontId="5" fillId="19" borderId="1" xfId="0" applyFont="1" applyFill="1" applyBorder="1" applyAlignment="1" applyProtection="1">
      <alignment horizontal="center" vertical="center" wrapText="1"/>
      <protection hidden="1"/>
    </xf>
    <xf numFmtId="0" fontId="5" fillId="16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1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2" fontId="21" fillId="0" borderId="0" xfId="0" applyNumberFormat="1" applyFont="1" applyFill="1" applyBorder="1" applyAlignment="1" applyProtection="1">
      <alignment vertical="center" wrapText="1"/>
      <protection hidden="1"/>
    </xf>
    <xf numFmtId="0" fontId="0" fillId="23" borderId="0" xfId="0" applyFill="1" applyProtection="1">
      <protection hidden="1"/>
    </xf>
    <xf numFmtId="0" fontId="0" fillId="37" borderId="0" xfId="0" applyFill="1" applyProtection="1">
      <protection hidden="1"/>
    </xf>
    <xf numFmtId="0" fontId="0" fillId="29" borderId="0" xfId="0" applyFill="1" applyProtection="1">
      <protection hidden="1"/>
    </xf>
    <xf numFmtId="0" fontId="0" fillId="30" borderId="0" xfId="0" applyFill="1" applyAlignment="1" applyProtection="1">
      <protection hidden="1"/>
    </xf>
    <xf numFmtId="0" fontId="6" fillId="25" borderId="9" xfId="0" applyFont="1" applyFill="1" applyBorder="1" applyAlignment="1" applyProtection="1">
      <alignment horizontal="center" vertical="center"/>
      <protection locked="0"/>
    </xf>
    <xf numFmtId="0" fontId="146" fillId="33" borderId="0" xfId="0" applyFont="1" applyFill="1" applyBorder="1" applyAlignment="1" applyProtection="1">
      <alignment horizontal="center" vertical="center"/>
      <protection hidden="1"/>
    </xf>
    <xf numFmtId="0" fontId="147" fillId="33" borderId="0" xfId="0" applyFont="1" applyFill="1" applyBorder="1" applyAlignment="1" applyProtection="1">
      <alignment horizontal="center" vertical="center" wrapText="1"/>
      <protection hidden="1"/>
    </xf>
    <xf numFmtId="0" fontId="147" fillId="33" borderId="0" xfId="0" applyFont="1" applyFill="1" applyBorder="1" applyAlignment="1" applyProtection="1">
      <alignment horizontal="center" vertical="center"/>
      <protection hidden="1"/>
    </xf>
    <xf numFmtId="0" fontId="72" fillId="0" borderId="81" xfId="4" applyFont="1" applyBorder="1" applyAlignment="1" applyProtection="1">
      <alignment horizontal="center" vertical="center"/>
      <protection hidden="1"/>
    </xf>
    <xf numFmtId="0" fontId="74" fillId="0" borderId="81" xfId="4" applyFont="1" applyBorder="1" applyAlignment="1" applyProtection="1">
      <alignment horizontal="right" vertical="center"/>
      <protection hidden="1"/>
    </xf>
    <xf numFmtId="0" fontId="75" fillId="0" borderId="0" xfId="4" applyFont="1" applyFill="1" applyBorder="1" applyAlignment="1" applyProtection="1">
      <alignment horizontal="center" vertical="center"/>
      <protection hidden="1"/>
    </xf>
    <xf numFmtId="1" fontId="72" fillId="0" borderId="76" xfId="4" applyNumberFormat="1" applyFont="1" applyBorder="1" applyAlignment="1" applyProtection="1">
      <alignment horizontal="right" vertical="center"/>
      <protection hidden="1"/>
    </xf>
    <xf numFmtId="1" fontId="5" fillId="0" borderId="84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77" fillId="0" borderId="0" xfId="4" applyNumberFormat="1" applyFont="1" applyBorder="1" applyAlignment="1" applyProtection="1">
      <alignment horizontal="right" vertical="center"/>
      <protection hidden="1"/>
    </xf>
    <xf numFmtId="0" fontId="78" fillId="0" borderId="0" xfId="4" applyFont="1" applyBorder="1" applyAlignment="1" applyProtection="1">
      <alignment horizontal="center" vertical="center"/>
      <protection hidden="1"/>
    </xf>
    <xf numFmtId="0" fontId="81" fillId="0" borderId="0" xfId="4" applyFont="1" applyBorder="1" applyAlignment="1" applyProtection="1">
      <alignment horizontal="center" vertical="center"/>
      <protection hidden="1"/>
    </xf>
    <xf numFmtId="0" fontId="73" fillId="0" borderId="76" xfId="4" applyFont="1" applyBorder="1" applyAlignment="1" applyProtection="1">
      <alignment horizontal="center" vertical="center"/>
      <protection hidden="1"/>
    </xf>
    <xf numFmtId="0" fontId="73" fillId="0" borderId="77" xfId="4" applyFont="1" applyBorder="1" applyAlignment="1" applyProtection="1">
      <alignment horizontal="center" vertical="center"/>
      <protection hidden="1"/>
    </xf>
    <xf numFmtId="0" fontId="83" fillId="0" borderId="0" xfId="4" applyFont="1" applyBorder="1" applyAlignment="1" applyProtection="1">
      <alignment horizontal="left" vertical="center"/>
      <protection hidden="1"/>
    </xf>
    <xf numFmtId="0" fontId="85" fillId="0" borderId="0" xfId="4" applyFont="1" applyBorder="1" applyAlignment="1" applyProtection="1">
      <alignment horizontal="left" vertical="center"/>
      <protection hidden="1"/>
    </xf>
    <xf numFmtId="0" fontId="72" fillId="0" borderId="76" xfId="4" applyFont="1" applyBorder="1" applyAlignment="1" applyProtection="1">
      <alignment horizontal="right"/>
      <protection hidden="1"/>
    </xf>
    <xf numFmtId="1" fontId="87" fillId="0" borderId="76" xfId="4" applyNumberFormat="1" applyFont="1" applyBorder="1" applyAlignment="1" applyProtection="1">
      <alignment horizontal="right"/>
      <protection hidden="1"/>
    </xf>
    <xf numFmtId="0" fontId="77" fillId="0" borderId="0" xfId="4" applyFont="1" applyBorder="1" applyAlignment="1" applyProtection="1">
      <alignment horizontal="center" vertical="center"/>
      <protection hidden="1"/>
    </xf>
    <xf numFmtId="1" fontId="87" fillId="31" borderId="76" xfId="4" applyNumberFormat="1" applyFont="1" applyFill="1" applyBorder="1" applyAlignment="1" applyProtection="1">
      <alignment horizontal="right"/>
      <protection hidden="1"/>
    </xf>
    <xf numFmtId="1" fontId="91" fillId="0" borderId="76" xfId="4" applyNumberFormat="1" applyFont="1" applyBorder="1" applyAlignment="1" applyProtection="1">
      <alignment horizontal="right"/>
      <protection hidden="1"/>
    </xf>
    <xf numFmtId="0" fontId="72" fillId="0" borderId="76" xfId="4" applyFont="1" applyBorder="1" applyAlignment="1" applyProtection="1">
      <alignment horizontal="right" vertical="center"/>
      <protection hidden="1"/>
    </xf>
    <xf numFmtId="1" fontId="145" fillId="0" borderId="84" xfId="4" applyNumberFormat="1" applyFont="1" applyBorder="1" applyAlignment="1" applyProtection="1">
      <alignment horizontal="right" vertical="center"/>
      <protection hidden="1"/>
    </xf>
    <xf numFmtId="1" fontId="77" fillId="0" borderId="84" xfId="4" applyNumberFormat="1" applyFont="1" applyBorder="1" applyAlignment="1" applyProtection="1">
      <alignment horizontal="right" vertical="center"/>
      <protection hidden="1"/>
    </xf>
    <xf numFmtId="2" fontId="94" fillId="0" borderId="0" xfId="4" applyNumberFormat="1" applyFont="1" applyBorder="1" applyAlignment="1" applyProtection="1">
      <alignment horizontal="right" vertical="center"/>
      <protection hidden="1"/>
    </xf>
    <xf numFmtId="0" fontId="78" fillId="0" borderId="0" xfId="4" applyFont="1" applyBorder="1" applyAlignment="1" applyProtection="1">
      <alignment horizontal="left" vertical="center"/>
      <protection hidden="1"/>
    </xf>
    <xf numFmtId="0" fontId="89" fillId="0" borderId="76" xfId="4" applyFont="1" applyBorder="1" applyAlignment="1" applyProtection="1">
      <alignment horizontal="right" vertical="center"/>
      <protection hidden="1"/>
    </xf>
    <xf numFmtId="0" fontId="83" fillId="0" borderId="84" xfId="4" applyFont="1" applyBorder="1" applyAlignment="1" applyProtection="1">
      <alignment vertical="center"/>
      <protection hidden="1"/>
    </xf>
    <xf numFmtId="0" fontId="83" fillId="0" borderId="0" xfId="4" applyFont="1" applyBorder="1" applyAlignment="1" applyProtection="1">
      <alignment vertical="center"/>
      <protection hidden="1"/>
    </xf>
    <xf numFmtId="1" fontId="94" fillId="0" borderId="84" xfId="4" applyNumberFormat="1" applyFont="1" applyBorder="1" applyAlignment="1" applyProtection="1">
      <alignment vertical="center"/>
      <protection hidden="1"/>
    </xf>
    <xf numFmtId="2" fontId="77" fillId="0" borderId="0" xfId="4" applyNumberFormat="1" applyFont="1" applyBorder="1" applyAlignment="1" applyProtection="1">
      <alignment vertical="center"/>
      <protection hidden="1"/>
    </xf>
    <xf numFmtId="0" fontId="135" fillId="0" borderId="84" xfId="4" applyFont="1" applyBorder="1" applyAlignment="1" applyProtection="1">
      <alignment horizontal="center" vertical="center" wrapText="1"/>
      <protection hidden="1"/>
    </xf>
    <xf numFmtId="0" fontId="83" fillId="0" borderId="0" xfId="4" applyFont="1" applyBorder="1" applyAlignment="1" applyProtection="1">
      <alignment horizontal="center" vertical="center" wrapText="1"/>
      <protection hidden="1"/>
    </xf>
    <xf numFmtId="2" fontId="77" fillId="0" borderId="0" xfId="4" applyNumberFormat="1" applyFont="1" applyBorder="1" applyAlignment="1" applyProtection="1">
      <alignment horizontal="right" vertical="center" wrapText="1"/>
      <protection hidden="1"/>
    </xf>
    <xf numFmtId="0" fontId="72" fillId="0" borderId="87" xfId="4" applyFont="1" applyBorder="1" applyAlignment="1" applyProtection="1">
      <alignment horizontal="right" vertical="center"/>
      <protection hidden="1"/>
    </xf>
    <xf numFmtId="0" fontId="95" fillId="0" borderId="0" xfId="4" applyFont="1" applyBorder="1" applyAlignment="1" applyProtection="1">
      <alignment horizontal="right" vertical="center"/>
      <protection hidden="1"/>
    </xf>
    <xf numFmtId="0" fontId="72" fillId="0" borderId="0" xfId="4" applyFont="1" applyBorder="1" applyAlignment="1" applyProtection="1">
      <alignment horizontal="right" vertical="center"/>
      <protection hidden="1"/>
    </xf>
    <xf numFmtId="0" fontId="142" fillId="0" borderId="0" xfId="0" applyFont="1" applyProtection="1">
      <protection locked="0"/>
    </xf>
    <xf numFmtId="0" fontId="0" fillId="0" borderId="0" xfId="0" applyProtection="1">
      <protection locked="0"/>
    </xf>
    <xf numFmtId="0" fontId="39" fillId="0" borderId="0" xfId="0" applyFont="1" applyProtection="1">
      <protection locked="0"/>
    </xf>
    <xf numFmtId="0" fontId="53" fillId="0" borderId="0" xfId="0" applyFont="1" applyBorder="1" applyAlignment="1" applyProtection="1">
      <alignment vertical="center" wrapText="1"/>
      <protection locked="0"/>
    </xf>
    <xf numFmtId="0" fontId="141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1" fontId="36" fillId="18" borderId="9" xfId="0" applyNumberFormat="1" applyFont="1" applyFill="1" applyBorder="1" applyAlignment="1" applyProtection="1">
      <alignment horizontal="center" vertical="center"/>
      <protection locked="0"/>
    </xf>
    <xf numFmtId="1" fontId="36" fillId="10" borderId="9" xfId="0" applyNumberFormat="1" applyFont="1" applyFill="1" applyBorder="1" applyAlignment="1" applyProtection="1">
      <alignment horizontal="center" vertical="center"/>
      <protection locked="0"/>
    </xf>
    <xf numFmtId="0" fontId="33" fillId="13" borderId="0" xfId="0" applyFont="1" applyFill="1" applyAlignment="1" applyProtection="1">
      <alignment wrapText="1"/>
      <protection hidden="1"/>
    </xf>
    <xf numFmtId="0" fontId="33" fillId="0" borderId="0" xfId="0" applyFont="1" applyAlignment="1" applyProtection="1">
      <alignment wrapText="1"/>
      <protection hidden="1"/>
    </xf>
    <xf numFmtId="0" fontId="163" fillId="0" borderId="0" xfId="0" applyFont="1" applyAlignment="1" applyProtection="1">
      <alignment horizontal="center" vertical="center"/>
      <protection hidden="1"/>
    </xf>
    <xf numFmtId="0" fontId="153" fillId="53" borderId="92" xfId="0" applyFont="1" applyFill="1" applyBorder="1" applyAlignment="1" applyProtection="1">
      <alignment horizontal="center" vertical="center"/>
      <protection hidden="1"/>
    </xf>
    <xf numFmtId="0" fontId="4" fillId="54" borderId="92" xfId="0" applyFont="1" applyFill="1" applyBorder="1" applyAlignment="1" applyProtection="1">
      <alignment horizontal="center" vertical="center"/>
      <protection hidden="1"/>
    </xf>
    <xf numFmtId="0" fontId="80" fillId="54" borderId="92" xfId="0" applyFont="1" applyFill="1" applyBorder="1" applyAlignment="1" applyProtection="1">
      <alignment horizontal="justify" vertical="justify" wrapText="1"/>
      <protection hidden="1"/>
    </xf>
    <xf numFmtId="0" fontId="26" fillId="57" borderId="94" xfId="0" applyFont="1" applyFill="1" applyBorder="1" applyAlignment="1" applyProtection="1">
      <alignment horizontal="center" vertical="top"/>
      <protection hidden="1"/>
    </xf>
    <xf numFmtId="0" fontId="80" fillId="55" borderId="92" xfId="0" applyFont="1" applyFill="1" applyBorder="1" applyAlignment="1" applyProtection="1">
      <alignment horizontal="justify" vertical="justify" wrapText="1"/>
      <protection hidden="1"/>
    </xf>
    <xf numFmtId="0" fontId="35" fillId="59" borderId="0" xfId="0" applyFont="1" applyFill="1" applyAlignment="1" applyProtection="1">
      <alignment horizontal="center" vertical="center"/>
      <protection hidden="1"/>
    </xf>
    <xf numFmtId="0" fontId="169" fillId="0" borderId="0" xfId="0" applyFont="1" applyBorder="1" applyAlignment="1" applyProtection="1">
      <alignment horizontal="center" vertical="center" wrapText="1"/>
      <protection hidden="1"/>
    </xf>
    <xf numFmtId="0" fontId="164" fillId="60" borderId="98" xfId="0" applyFont="1" applyFill="1" applyBorder="1" applyAlignment="1" applyProtection="1">
      <alignment horizontal="center" vertical="center" wrapText="1"/>
      <protection locked="0"/>
    </xf>
    <xf numFmtId="49" fontId="168" fillId="0" borderId="90" xfId="0" applyNumberFormat="1" applyFont="1" applyBorder="1" applyAlignment="1" applyProtection="1">
      <alignment horizontal="center" vertical="center" wrapText="1"/>
      <protection locked="0"/>
    </xf>
    <xf numFmtId="168" fontId="165" fillId="63" borderId="98" xfId="0" applyNumberFormat="1" applyFont="1" applyFill="1" applyBorder="1" applyAlignment="1" applyProtection="1">
      <alignment horizontal="center" vertical="center" wrapText="1"/>
      <protection locked="0"/>
    </xf>
    <xf numFmtId="0" fontId="164" fillId="0" borderId="98" xfId="0" applyFont="1" applyFill="1" applyBorder="1" applyAlignment="1" applyProtection="1">
      <alignment horizontal="center" vertical="center" wrapText="1"/>
      <protection hidden="1"/>
    </xf>
    <xf numFmtId="0" fontId="165" fillId="0" borderId="98" xfId="0" applyFont="1" applyFill="1" applyBorder="1" applyAlignment="1" applyProtection="1">
      <alignment horizontal="center" vertical="center" wrapText="1"/>
      <protection hidden="1"/>
    </xf>
    <xf numFmtId="0" fontId="0" fillId="0" borderId="98" xfId="0" applyBorder="1" applyAlignment="1" applyProtection="1">
      <alignment horizontal="center" vertical="center"/>
      <protection hidden="1"/>
    </xf>
    <xf numFmtId="0" fontId="69" fillId="0" borderId="98" xfId="0" applyFont="1" applyBorder="1" applyAlignment="1" applyProtection="1">
      <alignment horizontal="center" vertical="center"/>
      <protection hidden="1"/>
    </xf>
    <xf numFmtId="168" fontId="164" fillId="0" borderId="98" xfId="0" applyNumberFormat="1" applyFont="1" applyBorder="1" applyAlignment="1" applyProtection="1">
      <alignment horizontal="center" vertical="center" wrapText="1"/>
      <protection hidden="1"/>
    </xf>
    <xf numFmtId="0" fontId="164" fillId="62" borderId="90" xfId="0" applyFont="1" applyFill="1" applyBorder="1" applyAlignment="1" applyProtection="1">
      <alignment horizontal="center" vertical="center" wrapText="1"/>
      <protection hidden="1"/>
    </xf>
    <xf numFmtId="0" fontId="168" fillId="0" borderId="90" xfId="0" applyFont="1" applyBorder="1" applyAlignment="1" applyProtection="1">
      <alignment horizontal="center" vertical="center" wrapText="1"/>
      <protection hidden="1"/>
    </xf>
    <xf numFmtId="49" fontId="168" fillId="0" borderId="90" xfId="0" applyNumberFormat="1" applyFont="1" applyBorder="1" applyAlignment="1" applyProtection="1">
      <alignment horizontal="center" vertical="center" wrapText="1"/>
      <protection hidden="1"/>
    </xf>
    <xf numFmtId="0" fontId="166" fillId="0" borderId="90" xfId="0" applyFont="1" applyBorder="1" applyAlignment="1" applyProtection="1">
      <alignment vertical="center" wrapText="1"/>
      <protection hidden="1"/>
    </xf>
    <xf numFmtId="0" fontId="168" fillId="0" borderId="107" xfId="0" applyFont="1" applyBorder="1" applyAlignment="1" applyProtection="1">
      <alignment horizontal="center" vertical="center" wrapText="1"/>
      <protection hidden="1"/>
    </xf>
    <xf numFmtId="0" fontId="166" fillId="0" borderId="107" xfId="0" applyFont="1" applyBorder="1" applyAlignment="1" applyProtection="1">
      <alignment horizontal="center" vertical="center" wrapText="1"/>
      <protection hidden="1"/>
    </xf>
    <xf numFmtId="0" fontId="108" fillId="0" borderId="0" xfId="0" applyFont="1" applyBorder="1" applyAlignment="1" applyProtection="1">
      <alignment horizontal="center" vertical="center" wrapText="1"/>
      <protection hidden="1"/>
    </xf>
    <xf numFmtId="0" fontId="181" fillId="0" borderId="0" xfId="0" applyFont="1" applyBorder="1" applyAlignment="1" applyProtection="1">
      <alignment horizontal="center" vertical="center" wrapText="1"/>
      <protection hidden="1"/>
    </xf>
    <xf numFmtId="0" fontId="174" fillId="0" borderId="0" xfId="0" applyFont="1" applyBorder="1" applyAlignment="1" applyProtection="1">
      <alignment horizontal="right" vertical="center" wrapText="1"/>
      <protection hidden="1"/>
    </xf>
    <xf numFmtId="2" fontId="169" fillId="0" borderId="0" xfId="0" applyNumberFormat="1" applyFont="1" applyBorder="1" applyAlignment="1" applyProtection="1">
      <alignment horizontal="center" vertical="center" wrapText="1"/>
      <protection hidden="1"/>
    </xf>
    <xf numFmtId="0" fontId="164" fillId="0" borderId="0" xfId="0" applyFont="1" applyBorder="1" applyAlignment="1" applyProtection="1">
      <alignment horizontal="right" vertical="center" wrapText="1"/>
      <protection hidden="1"/>
    </xf>
    <xf numFmtId="169" fontId="168" fillId="0" borderId="91" xfId="0" applyNumberFormat="1" applyFont="1" applyBorder="1" applyAlignment="1" applyProtection="1">
      <alignment horizontal="right" vertical="center" wrapText="1"/>
      <protection hidden="1"/>
    </xf>
    <xf numFmtId="0" fontId="168" fillId="0" borderId="91" xfId="0" applyFont="1" applyBorder="1" applyAlignment="1" applyProtection="1">
      <alignment horizontal="right" vertical="center" wrapText="1"/>
      <protection hidden="1"/>
    </xf>
    <xf numFmtId="0" fontId="168" fillId="0" borderId="91" xfId="0" applyFont="1" applyBorder="1" applyAlignment="1" applyProtection="1">
      <alignment horizontal="center" vertical="center" wrapText="1"/>
      <protection hidden="1"/>
    </xf>
    <xf numFmtId="0" fontId="169" fillId="0" borderId="9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98" xfId="0" applyBorder="1" applyAlignment="1" applyProtection="1">
      <alignment horizontal="center"/>
      <protection hidden="1"/>
    </xf>
    <xf numFmtId="0" fontId="181" fillId="0" borderId="0" xfId="0" applyFont="1" applyBorder="1" applyAlignment="1" applyProtection="1">
      <alignment horizontal="center" wrapText="1"/>
      <protection hidden="1"/>
    </xf>
    <xf numFmtId="1" fontId="170" fillId="0" borderId="0" xfId="0" applyNumberFormat="1" applyFont="1" applyBorder="1" applyAlignment="1" applyProtection="1">
      <alignment horizontal="center" vertical="center" wrapText="1"/>
      <protection hidden="1"/>
    </xf>
    <xf numFmtId="169" fontId="168" fillId="0" borderId="91" xfId="0" applyNumberFormat="1" applyFont="1" applyBorder="1" applyAlignment="1" applyProtection="1">
      <alignment horizontal="right" vertical="center" wrapText="1"/>
      <protection locked="0"/>
    </xf>
    <xf numFmtId="165" fontId="173" fillId="0" borderId="29" xfId="0" applyNumberFormat="1" applyFont="1" applyBorder="1" applyAlignment="1" applyProtection="1">
      <alignment horizontal="center" vertical="center"/>
      <protection hidden="1"/>
    </xf>
    <xf numFmtId="0" fontId="158" fillId="0" borderId="0" xfId="7" applyAlignment="1" applyProtection="1">
      <protection hidden="1"/>
    </xf>
    <xf numFmtId="0" fontId="190" fillId="0" borderId="111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2" fontId="77" fillId="64" borderId="101" xfId="4" applyNumberFormat="1" applyFont="1" applyFill="1" applyBorder="1" applyAlignment="1" applyProtection="1">
      <alignment vertical="center"/>
      <protection hidden="1"/>
    </xf>
    <xf numFmtId="2" fontId="77" fillId="64" borderId="104" xfId="4" applyNumberFormat="1" applyFont="1" applyFill="1" applyBorder="1" applyAlignment="1" applyProtection="1">
      <alignment vertical="center"/>
      <protection hidden="1"/>
    </xf>
    <xf numFmtId="0" fontId="5" fillId="19" borderId="1" xfId="0" applyFont="1" applyFill="1" applyBorder="1" applyAlignment="1" applyProtection="1">
      <alignment horizontal="center" vertical="center" wrapText="1"/>
      <protection locked="0"/>
    </xf>
    <xf numFmtId="0" fontId="194" fillId="13" borderId="0" xfId="0" applyFont="1" applyFill="1" applyAlignment="1" applyProtection="1">
      <alignment horizontal="center" vertical="center"/>
      <protection hidden="1"/>
    </xf>
    <xf numFmtId="0" fontId="191" fillId="48" borderId="0" xfId="7" applyFont="1" applyFill="1" applyAlignment="1" applyProtection="1">
      <alignment horizontal="center" vertical="center"/>
      <protection hidden="1"/>
    </xf>
    <xf numFmtId="164" fontId="195" fillId="9" borderId="2" xfId="0" applyNumberFormat="1" applyFont="1" applyFill="1" applyBorder="1" applyAlignment="1" applyProtection="1">
      <alignment horizontal="center" vertical="center"/>
      <protection locked="0"/>
    </xf>
    <xf numFmtId="164" fontId="195" fillId="9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vertical="center"/>
      <protection hidden="1"/>
    </xf>
    <xf numFmtId="0" fontId="39" fillId="13" borderId="0" xfId="0" applyFont="1" applyFill="1" applyAlignment="1" applyProtection="1">
      <alignment wrapText="1"/>
      <protection hidden="1"/>
    </xf>
    <xf numFmtId="0" fontId="138" fillId="0" borderId="0" xfId="0" applyFont="1" applyProtection="1">
      <protection hidden="1"/>
    </xf>
    <xf numFmtId="0" fontId="138" fillId="0" borderId="0" xfId="0" applyFont="1" applyProtection="1">
      <protection locked="0"/>
    </xf>
    <xf numFmtId="1" fontId="138" fillId="0" borderId="0" xfId="0" applyNumberFormat="1" applyFont="1" applyProtection="1">
      <protection hidden="1"/>
    </xf>
    <xf numFmtId="164" fontId="12" fillId="4" borderId="0" xfId="0" applyNumberFormat="1" applyFont="1" applyFill="1" applyBorder="1" applyAlignment="1" applyProtection="1">
      <alignment horizontal="center" vertical="center"/>
      <protection hidden="1"/>
    </xf>
    <xf numFmtId="0" fontId="206" fillId="0" borderId="0" xfId="7" applyFont="1" applyAlignment="1" applyProtection="1">
      <alignment vertical="center"/>
      <protection hidden="1"/>
    </xf>
    <xf numFmtId="0" fontId="0" fillId="28" borderId="0" xfId="0" applyFill="1" applyBorder="1" applyAlignment="1" applyProtection="1">
      <alignment horizontal="center"/>
      <protection hidden="1"/>
    </xf>
    <xf numFmtId="0" fontId="0" fillId="30" borderId="0" xfId="0" applyFill="1" applyBorder="1" applyAlignment="1" applyProtection="1">
      <alignment horizontal="center" vertical="center"/>
      <protection hidden="1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6" fillId="13" borderId="9" xfId="0" applyFont="1" applyFill="1" applyBorder="1" applyAlignment="1" applyProtection="1">
      <alignment horizontal="center" vertical="center"/>
      <protection hidden="1"/>
    </xf>
    <xf numFmtId="1" fontId="87" fillId="0" borderId="76" xfId="4" applyNumberFormat="1" applyFont="1" applyBorder="1" applyAlignment="1" applyProtection="1">
      <alignment horizontal="right"/>
      <protection locked="0"/>
    </xf>
    <xf numFmtId="0" fontId="6" fillId="47" borderId="9" xfId="0" applyFont="1" applyFill="1" applyBorder="1" applyAlignment="1" applyProtection="1">
      <alignment horizontal="center" vertical="center"/>
      <protection locked="0"/>
    </xf>
    <xf numFmtId="169" fontId="169" fillId="11" borderId="109" xfId="0" applyNumberFormat="1" applyFont="1" applyFill="1" applyBorder="1" applyAlignment="1" applyProtection="1">
      <alignment vertical="center" wrapText="1"/>
      <protection hidden="1"/>
    </xf>
    <xf numFmtId="169" fontId="169" fillId="11" borderId="110" xfId="0" applyNumberFormat="1" applyFont="1" applyFill="1" applyBorder="1" applyAlignment="1" applyProtection="1">
      <alignment vertical="center" wrapText="1"/>
      <protection hidden="1"/>
    </xf>
    <xf numFmtId="169" fontId="169" fillId="11" borderId="111" xfId="0" applyNumberFormat="1" applyFont="1" applyFill="1" applyBorder="1" applyAlignment="1" applyProtection="1">
      <alignment vertical="center" wrapText="1"/>
      <protection hidden="1"/>
    </xf>
    <xf numFmtId="169" fontId="169" fillId="11" borderId="112" xfId="0" applyNumberFormat="1" applyFont="1" applyFill="1" applyBorder="1" applyAlignment="1" applyProtection="1">
      <alignment vertical="center" wrapText="1"/>
      <protection hidden="1"/>
    </xf>
    <xf numFmtId="164" fontId="103" fillId="10" borderId="9" xfId="0" applyNumberFormat="1" applyFont="1" applyFill="1" applyBorder="1" applyAlignment="1" applyProtection="1">
      <alignment horizontal="center" vertical="center" wrapText="1"/>
      <protection locked="0"/>
    </xf>
    <xf numFmtId="1" fontId="144" fillId="11" borderId="9" xfId="0" applyNumberFormat="1" applyFont="1" applyFill="1" applyBorder="1" applyAlignment="1" applyProtection="1">
      <alignment horizontal="center" vertical="center"/>
      <protection locked="0"/>
    </xf>
    <xf numFmtId="1" fontId="208" fillId="12" borderId="9" xfId="0" applyNumberFormat="1" applyFont="1" applyFill="1" applyBorder="1" applyAlignment="1" applyProtection="1">
      <alignment horizontal="center" vertical="center"/>
      <protection hidden="1"/>
    </xf>
    <xf numFmtId="0" fontId="185" fillId="0" borderId="95" xfId="0" applyFont="1" applyBorder="1" applyAlignment="1" applyProtection="1">
      <alignment horizontal="right" vertical="center" wrapText="1"/>
      <protection hidden="1"/>
    </xf>
    <xf numFmtId="169" fontId="164" fillId="0" borderId="111" xfId="0" applyNumberFormat="1" applyFont="1" applyFill="1" applyBorder="1" applyAlignment="1" applyProtection="1">
      <alignment vertical="center" wrapText="1"/>
      <protection hidden="1"/>
    </xf>
    <xf numFmtId="169" fontId="164" fillId="0" borderId="112" xfId="0" applyNumberFormat="1" applyFont="1" applyFill="1" applyBorder="1" applyAlignment="1" applyProtection="1">
      <alignment vertical="center" wrapText="1"/>
      <protection hidden="1"/>
    </xf>
    <xf numFmtId="169" fontId="164" fillId="0" borderId="113" xfId="0" applyNumberFormat="1" applyFont="1" applyFill="1" applyBorder="1" applyAlignment="1" applyProtection="1">
      <alignment vertical="center" wrapText="1"/>
      <protection hidden="1"/>
    </xf>
    <xf numFmtId="169" fontId="164" fillId="0" borderId="114" xfId="0" applyNumberFormat="1" applyFont="1" applyFill="1" applyBorder="1" applyAlignment="1" applyProtection="1">
      <alignment vertical="center" wrapText="1"/>
      <protection hidden="1"/>
    </xf>
    <xf numFmtId="0" fontId="209" fillId="0" borderId="91" xfId="0" applyFont="1" applyBorder="1" applyAlignment="1" applyProtection="1">
      <alignment horizontal="center" vertical="center" wrapText="1"/>
      <protection hidden="1"/>
    </xf>
    <xf numFmtId="1" fontId="22" fillId="0" borderId="88" xfId="4" applyNumberFormat="1" applyFont="1" applyBorder="1" applyAlignment="1" applyProtection="1">
      <alignment horizontal="right" vertical="center"/>
      <protection hidden="1"/>
    </xf>
    <xf numFmtId="0" fontId="211" fillId="5" borderId="0" xfId="7" applyFont="1" applyFill="1" applyAlignment="1" applyProtection="1">
      <alignment horizontal="center" vertical="center" wrapText="1"/>
      <protection hidden="1"/>
    </xf>
    <xf numFmtId="0" fontId="3" fillId="7" borderId="90" xfId="0" applyFont="1" applyFill="1" applyBorder="1" applyAlignment="1" applyProtection="1">
      <alignment horizontal="center" vertical="center"/>
      <protection locked="0"/>
    </xf>
    <xf numFmtId="1" fontId="7" fillId="9" borderId="90" xfId="0" applyNumberFormat="1" applyFont="1" applyFill="1" applyBorder="1" applyAlignment="1" applyProtection="1">
      <alignment horizontal="center" vertical="center"/>
      <protection locked="0"/>
    </xf>
    <xf numFmtId="0" fontId="6" fillId="7" borderId="90" xfId="0" applyFont="1" applyFill="1" applyBorder="1" applyAlignment="1" applyProtection="1">
      <alignment horizontal="center" vertical="center"/>
      <protection locked="0"/>
    </xf>
    <xf numFmtId="0" fontId="4" fillId="7" borderId="90" xfId="0" applyFont="1" applyFill="1" applyBorder="1" applyAlignment="1" applyProtection="1">
      <alignment horizontal="center" vertical="center"/>
      <protection locked="0"/>
    </xf>
    <xf numFmtId="0" fontId="1" fillId="67" borderId="0" xfId="0" applyFont="1" applyFill="1" applyAlignment="1" applyProtection="1">
      <alignment horizontal="center" wrapText="1"/>
      <protection hidden="1"/>
    </xf>
    <xf numFmtId="0" fontId="217" fillId="0" borderId="9" xfId="0" applyFont="1" applyBorder="1" applyAlignment="1" applyProtection="1">
      <alignment horizontal="center" vertical="center" wrapText="1"/>
      <protection hidden="1"/>
    </xf>
    <xf numFmtId="0" fontId="219" fillId="0" borderId="0" xfId="0" applyFont="1" applyAlignment="1" applyProtection="1">
      <alignment wrapText="1"/>
      <protection hidden="1"/>
    </xf>
    <xf numFmtId="0" fontId="221" fillId="0" borderId="0" xfId="0" applyFont="1" applyAlignment="1" applyProtection="1">
      <alignment wrapText="1"/>
      <protection hidden="1"/>
    </xf>
    <xf numFmtId="0" fontId="222" fillId="0" borderId="0" xfId="0" applyFont="1" applyAlignment="1" applyProtection="1">
      <alignment wrapText="1"/>
      <protection hidden="1"/>
    </xf>
    <xf numFmtId="0" fontId="223" fillId="0" borderId="0" xfId="0" applyFont="1" applyAlignment="1" applyProtection="1">
      <alignment wrapText="1"/>
      <protection hidden="1"/>
    </xf>
    <xf numFmtId="0" fontId="222" fillId="0" borderId="0" xfId="0" applyFont="1" applyAlignment="1" applyProtection="1">
      <alignment horizontal="center" vertical="center" wrapText="1"/>
      <protection hidden="1"/>
    </xf>
    <xf numFmtId="0" fontId="223" fillId="0" borderId="0" xfId="0" applyFont="1" applyAlignment="1" applyProtection="1">
      <alignment horizontal="center" vertical="center" wrapText="1"/>
      <protection hidden="1"/>
    </xf>
    <xf numFmtId="0" fontId="220" fillId="0" borderId="0" xfId="0" applyFont="1" applyProtection="1">
      <protection hidden="1"/>
    </xf>
    <xf numFmtId="0" fontId="224" fillId="0" borderId="0" xfId="0" applyFont="1" applyAlignment="1" applyProtection="1">
      <alignment wrapText="1"/>
      <protection hidden="1"/>
    </xf>
    <xf numFmtId="0" fontId="196" fillId="2" borderId="126" xfId="7" applyFont="1" applyFill="1" applyBorder="1" applyAlignment="1" applyProtection="1">
      <alignment vertical="top"/>
      <protection hidden="1"/>
    </xf>
    <xf numFmtId="0" fontId="196" fillId="2" borderId="0" xfId="7" applyFont="1" applyFill="1" applyAlignment="1" applyProtection="1">
      <alignment vertical="top"/>
      <protection hidden="1"/>
    </xf>
    <xf numFmtId="0" fontId="206" fillId="0" borderId="0" xfId="7" applyFont="1" applyAlignment="1" applyProtection="1">
      <alignment horizontal="center" vertical="center"/>
      <protection hidden="1"/>
    </xf>
    <xf numFmtId="0" fontId="6" fillId="62" borderId="0" xfId="0" applyFont="1" applyFill="1" applyAlignment="1" applyProtection="1">
      <alignment horizontal="center" vertical="center"/>
      <protection hidden="1"/>
    </xf>
    <xf numFmtId="0" fontId="207" fillId="2" borderId="0" xfId="0" applyFont="1" applyFill="1" applyAlignment="1" applyProtection="1">
      <alignment vertical="center" wrapText="1"/>
      <protection hidden="1"/>
    </xf>
    <xf numFmtId="0" fontId="53" fillId="65" borderId="0" xfId="0" applyFont="1" applyFill="1" applyBorder="1" applyAlignment="1" applyProtection="1">
      <alignment vertical="center" wrapText="1"/>
      <protection hidden="1"/>
    </xf>
    <xf numFmtId="0" fontId="215" fillId="4" borderId="0" xfId="0" applyFont="1" applyFill="1" applyBorder="1" applyAlignment="1" applyProtection="1">
      <alignment vertical="center" wrapText="1"/>
      <protection hidden="1"/>
    </xf>
    <xf numFmtId="0" fontId="113" fillId="4" borderId="124" xfId="0" applyFont="1" applyFill="1" applyBorder="1" applyAlignment="1" applyProtection="1">
      <alignment wrapText="1"/>
      <protection hidden="1"/>
    </xf>
    <xf numFmtId="0" fontId="113" fillId="4" borderId="0" xfId="0" applyFont="1" applyFill="1" applyBorder="1" applyAlignment="1" applyProtection="1">
      <alignment wrapText="1"/>
      <protection hidden="1"/>
    </xf>
    <xf numFmtId="0" fontId="216" fillId="4" borderId="0" xfId="7" applyFont="1" applyFill="1" applyBorder="1" applyAlignment="1" applyProtection="1">
      <alignment vertical="center" wrapText="1"/>
      <protection hidden="1"/>
    </xf>
    <xf numFmtId="0" fontId="225" fillId="2" borderId="0" xfId="7" applyFont="1" applyFill="1" applyAlignment="1" applyProtection="1">
      <alignment vertical="center"/>
      <protection hidden="1"/>
    </xf>
    <xf numFmtId="0" fontId="137" fillId="2" borderId="0" xfId="0" applyFont="1" applyFill="1" applyAlignment="1" applyProtection="1">
      <alignment vertical="center"/>
      <protection hidden="1"/>
    </xf>
    <xf numFmtId="0" fontId="107" fillId="68" borderId="90" xfId="8" applyFont="1" applyBorder="1" applyAlignment="1" applyProtection="1">
      <alignment horizontal="center" vertical="center" wrapText="1"/>
      <protection locked="0"/>
    </xf>
    <xf numFmtId="1" fontId="233" fillId="5" borderId="122" xfId="0" applyNumberFormat="1" applyFont="1" applyFill="1" applyBorder="1" applyAlignment="1" applyProtection="1">
      <alignment horizontal="center" vertical="center"/>
      <protection locked="0"/>
    </xf>
    <xf numFmtId="0" fontId="61" fillId="7" borderId="90" xfId="0" applyFont="1" applyFill="1" applyBorder="1" applyAlignment="1" applyProtection="1">
      <alignment horizontal="center" vertical="center"/>
      <protection locked="0"/>
    </xf>
    <xf numFmtId="0" fontId="234" fillId="2" borderId="0" xfId="0" applyFont="1" applyFill="1" applyAlignment="1" applyProtection="1">
      <alignment horizontal="left" vertical="center"/>
      <protection hidden="1"/>
    </xf>
    <xf numFmtId="0" fontId="107" fillId="2" borderId="0" xfId="0" applyFont="1" applyFill="1" applyAlignment="1" applyProtection="1">
      <alignment horizontal="right" vertical="center"/>
      <protection hidden="1"/>
    </xf>
    <xf numFmtId="0" fontId="214" fillId="75" borderId="90" xfId="0" applyFont="1" applyFill="1" applyBorder="1" applyAlignment="1" applyProtection="1">
      <alignment horizontal="center" vertical="center" wrapText="1"/>
      <protection hidden="1"/>
    </xf>
    <xf numFmtId="0" fontId="226" fillId="2" borderId="0" xfId="7" applyFont="1" applyFill="1" applyAlignment="1" applyProtection="1">
      <alignment vertical="center"/>
      <protection hidden="1"/>
    </xf>
    <xf numFmtId="0" fontId="226" fillId="2" borderId="0" xfId="7" applyFont="1" applyFill="1" applyBorder="1" applyAlignment="1" applyProtection="1">
      <alignment vertical="center"/>
      <protection hidden="1"/>
    </xf>
    <xf numFmtId="0" fontId="238" fillId="0" borderId="0" xfId="0" applyFont="1" applyAlignment="1" applyProtection="1">
      <alignment wrapText="1"/>
      <protection hidden="1"/>
    </xf>
    <xf numFmtId="0" fontId="239" fillId="0" borderId="0" xfId="0" applyFont="1" applyAlignment="1" applyProtection="1">
      <alignment wrapText="1"/>
      <protection hidden="1"/>
    </xf>
    <xf numFmtId="0" fontId="239" fillId="0" borderId="0" xfId="0" applyFont="1" applyAlignment="1" applyProtection="1">
      <alignment horizontal="center" vertical="center" wrapText="1"/>
      <protection hidden="1"/>
    </xf>
    <xf numFmtId="0" fontId="237" fillId="0" borderId="0" xfId="0" applyFont="1" applyProtection="1">
      <protection hidden="1"/>
    </xf>
    <xf numFmtId="0" fontId="102" fillId="0" borderId="0" xfId="0" applyFont="1" applyAlignment="1" applyProtection="1">
      <alignment wrapText="1"/>
      <protection hidden="1"/>
    </xf>
    <xf numFmtId="0" fontId="82" fillId="0" borderId="76" xfId="4" applyFont="1" applyBorder="1" applyAlignment="1" applyProtection="1">
      <alignment horizontal="center" vertical="center" wrapText="1"/>
      <protection hidden="1"/>
    </xf>
    <xf numFmtId="0" fontId="242" fillId="7" borderId="121" xfId="0" applyFont="1" applyFill="1" applyBorder="1" applyAlignment="1" applyProtection="1">
      <alignment horizontal="center" vertical="center"/>
      <protection locked="0"/>
    </xf>
    <xf numFmtId="0" fontId="40" fillId="0" borderId="80" xfId="4" applyFont="1" applyBorder="1" applyAlignment="1" applyProtection="1">
      <alignment horizontal="center" vertical="center"/>
      <protection hidden="1"/>
    </xf>
    <xf numFmtId="0" fontId="40" fillId="0" borderId="83" xfId="4" applyFont="1" applyBorder="1" applyAlignment="1" applyProtection="1">
      <alignment horizontal="center" vertical="center"/>
      <protection hidden="1"/>
    </xf>
    <xf numFmtId="0" fontId="40" fillId="0" borderId="85" xfId="4" applyFont="1" applyBorder="1" applyAlignment="1" applyProtection="1">
      <alignment horizontal="center" vertical="center"/>
      <protection hidden="1"/>
    </xf>
    <xf numFmtId="0" fontId="248" fillId="0" borderId="76" xfId="4" applyFont="1" applyBorder="1" applyAlignment="1" applyProtection="1">
      <alignment horizontal="center"/>
      <protection hidden="1"/>
    </xf>
    <xf numFmtId="9" fontId="40" fillId="0" borderId="76" xfId="4" applyNumberFormat="1" applyFont="1" applyBorder="1" applyAlignment="1" applyProtection="1">
      <alignment horizontal="center" vertical="center"/>
      <protection hidden="1"/>
    </xf>
    <xf numFmtId="0" fontId="40" fillId="0" borderId="76" xfId="4" applyFont="1" applyBorder="1" applyAlignment="1" applyProtection="1">
      <alignment horizontal="center" vertical="center"/>
      <protection hidden="1"/>
    </xf>
    <xf numFmtId="2" fontId="58" fillId="0" borderId="76" xfId="6" applyNumberFormat="1" applyFont="1" applyBorder="1" applyAlignment="1" applyProtection="1">
      <protection hidden="1"/>
    </xf>
    <xf numFmtId="1" fontId="73" fillId="0" borderId="76" xfId="4" applyNumberFormat="1" applyFont="1" applyBorder="1" applyAlignment="1" applyProtection="1">
      <alignment horizontal="center" vertical="center"/>
      <protection hidden="1"/>
    </xf>
    <xf numFmtId="1" fontId="5" fillId="0" borderId="84" xfId="4" applyNumberFormat="1" applyFont="1" applyBorder="1" applyAlignment="1" applyProtection="1">
      <alignment vertical="center" wrapText="1"/>
      <protection hidden="1"/>
    </xf>
    <xf numFmtId="0" fontId="11" fillId="10" borderId="138" xfId="0" applyFont="1" applyFill="1" applyBorder="1" applyAlignment="1" applyProtection="1">
      <alignment horizontal="center" vertical="center"/>
      <protection hidden="1"/>
    </xf>
    <xf numFmtId="164" fontId="103" fillId="10" borderId="13" xfId="0" applyNumberFormat="1" applyFont="1" applyFill="1" applyBorder="1" applyAlignment="1" applyProtection="1">
      <alignment horizontal="center" vertical="center" wrapText="1"/>
      <protection locked="0"/>
    </xf>
    <xf numFmtId="1" fontId="36" fillId="18" borderId="13" xfId="0" applyNumberFormat="1" applyFont="1" applyFill="1" applyBorder="1" applyAlignment="1" applyProtection="1">
      <alignment horizontal="center" vertical="center"/>
      <protection locked="0"/>
    </xf>
    <xf numFmtId="1" fontId="36" fillId="10" borderId="13" xfId="0" applyNumberFormat="1" applyFont="1" applyFill="1" applyBorder="1" applyAlignment="1" applyProtection="1">
      <alignment horizontal="center" vertical="center"/>
      <protection locked="0"/>
    </xf>
    <xf numFmtId="1" fontId="42" fillId="12" borderId="13" xfId="0" applyNumberFormat="1" applyFont="1" applyFill="1" applyBorder="1" applyAlignment="1" applyProtection="1">
      <alignment horizontal="center" vertical="center"/>
      <protection hidden="1"/>
    </xf>
    <xf numFmtId="1" fontId="144" fillId="11" borderId="13" xfId="0" applyNumberFormat="1" applyFont="1" applyFill="1" applyBorder="1" applyAlignment="1" applyProtection="1">
      <alignment horizontal="center" vertical="center"/>
      <protection locked="0"/>
    </xf>
    <xf numFmtId="1" fontId="208" fillId="12" borderId="13" xfId="0" applyNumberFormat="1" applyFont="1" applyFill="1" applyBorder="1" applyAlignment="1" applyProtection="1">
      <alignment horizontal="center" vertical="center"/>
      <protection hidden="1"/>
    </xf>
    <xf numFmtId="1" fontId="37" fillId="12" borderId="13" xfId="0" applyNumberFormat="1" applyFont="1" applyFill="1" applyBorder="1" applyAlignment="1" applyProtection="1">
      <alignment horizontal="center" vertical="center"/>
      <protection hidden="1"/>
    </xf>
    <xf numFmtId="0" fontId="36" fillId="83" borderId="152" xfId="0" applyFont="1" applyFill="1" applyBorder="1" applyAlignment="1" applyProtection="1">
      <alignment horizontal="center" vertical="center" wrapText="1"/>
      <protection locked="0"/>
    </xf>
    <xf numFmtId="0" fontId="35" fillId="83" borderId="153" xfId="0" applyFont="1" applyFill="1" applyBorder="1" applyAlignment="1" applyProtection="1">
      <alignment vertical="center" wrapText="1"/>
      <protection locked="0"/>
    </xf>
    <xf numFmtId="0" fontId="5" fillId="16" borderId="1" xfId="0" applyFont="1" applyFill="1" applyBorder="1" applyAlignment="1" applyProtection="1">
      <alignment horizontal="center" vertical="center" wrapText="1"/>
      <protection locked="0"/>
    </xf>
    <xf numFmtId="1" fontId="168" fillId="0" borderId="91" xfId="0" applyNumberFormat="1" applyFont="1" applyBorder="1" applyAlignment="1" applyProtection="1">
      <alignment horizontal="center" vertical="center" wrapText="1"/>
      <protection hidden="1"/>
    </xf>
    <xf numFmtId="0" fontId="189" fillId="63" borderId="105" xfId="0" applyFont="1" applyFill="1" applyBorder="1" applyAlignment="1" applyProtection="1">
      <alignment horizontal="center" wrapText="1"/>
      <protection hidden="1"/>
    </xf>
    <xf numFmtId="0" fontId="189" fillId="63" borderId="0" xfId="0" applyFont="1" applyFill="1" applyBorder="1" applyAlignment="1" applyProtection="1">
      <alignment horizontal="center" wrapText="1"/>
      <protection hidden="1"/>
    </xf>
    <xf numFmtId="2" fontId="254" fillId="84" borderId="9" xfId="1" applyNumberFormat="1" applyFont="1" applyFill="1" applyBorder="1" applyAlignment="1" applyProtection="1">
      <alignment horizontal="left" vertical="center" wrapText="1"/>
      <protection hidden="1"/>
    </xf>
    <xf numFmtId="0" fontId="36" fillId="0" borderId="0" xfId="0" applyFont="1" applyBorder="1" applyAlignment="1" applyProtection="1">
      <alignment horizontal="center" vertical="center" wrapText="1"/>
      <protection hidden="1"/>
    </xf>
    <xf numFmtId="0" fontId="57" fillId="0" borderId="0" xfId="0" applyNumberFormat="1" applyFont="1" applyBorder="1" applyAlignment="1" applyProtection="1">
      <alignment horizontal="center" vertical="center" wrapText="1"/>
      <protection hidden="1"/>
    </xf>
    <xf numFmtId="1" fontId="5" fillId="0" borderId="84" xfId="4" applyNumberFormat="1" applyFont="1" applyBorder="1" applyAlignment="1" applyProtection="1">
      <alignment horizontal="right" vertical="center"/>
      <protection locked="0"/>
    </xf>
    <xf numFmtId="1" fontId="77" fillId="0" borderId="84" xfId="4" applyNumberFormat="1" applyFont="1" applyBorder="1" applyAlignment="1" applyProtection="1">
      <alignment horizontal="right" vertical="center"/>
      <protection locked="0"/>
    </xf>
    <xf numFmtId="0" fontId="263" fillId="15" borderId="1" xfId="0" applyFont="1" applyFill="1" applyBorder="1" applyAlignment="1" applyProtection="1">
      <alignment horizontal="center" vertical="center"/>
      <protection hidden="1"/>
    </xf>
    <xf numFmtId="0" fontId="266" fillId="25" borderId="0" xfId="0" applyFont="1" applyFill="1" applyAlignment="1" applyProtection="1">
      <alignment wrapText="1"/>
      <protection hidden="1"/>
    </xf>
    <xf numFmtId="0" fontId="51" fillId="25" borderId="0" xfId="0" applyFont="1" applyFill="1" applyProtection="1">
      <protection hidden="1"/>
    </xf>
    <xf numFmtId="0" fontId="267" fillId="25" borderId="0" xfId="0" applyFont="1" applyFill="1" applyAlignment="1" applyProtection="1">
      <alignment wrapText="1"/>
      <protection hidden="1"/>
    </xf>
    <xf numFmtId="0" fontId="267" fillId="25" borderId="0" xfId="0" applyFont="1" applyFill="1" applyAlignment="1" applyProtection="1">
      <alignment horizontal="center" vertical="center" wrapText="1"/>
      <protection hidden="1"/>
    </xf>
    <xf numFmtId="0" fontId="267" fillId="25" borderId="0" xfId="0" applyFont="1" applyFill="1" applyAlignment="1" applyProtection="1">
      <alignment horizontal="center" vertical="center"/>
      <protection hidden="1"/>
    </xf>
    <xf numFmtId="0" fontId="218" fillId="25" borderId="0" xfId="0" applyFont="1" applyFill="1" applyAlignment="1" applyProtection="1">
      <alignment wrapText="1"/>
      <protection hidden="1"/>
    </xf>
    <xf numFmtId="17" fontId="51" fillId="25" borderId="0" xfId="0" applyNumberFormat="1" applyFont="1" applyFill="1" applyProtection="1">
      <protection hidden="1"/>
    </xf>
    <xf numFmtId="17" fontId="51" fillId="25" borderId="0" xfId="0" applyNumberFormat="1" applyFont="1" applyFill="1" applyBorder="1" applyProtection="1">
      <protection hidden="1"/>
    </xf>
    <xf numFmtId="0" fontId="51" fillId="25" borderId="4" xfId="0" applyFont="1" applyFill="1" applyBorder="1" applyProtection="1">
      <protection hidden="1"/>
    </xf>
    <xf numFmtId="0" fontId="51" fillId="25" borderId="5" xfId="0" applyFont="1" applyFill="1" applyBorder="1" applyProtection="1">
      <protection hidden="1"/>
    </xf>
    <xf numFmtId="14" fontId="51" fillId="25" borderId="5" xfId="0" applyNumberFormat="1" applyFont="1" applyFill="1" applyBorder="1" applyProtection="1">
      <protection hidden="1"/>
    </xf>
    <xf numFmtId="0" fontId="51" fillId="25" borderId="6" xfId="0" applyFont="1" applyFill="1" applyBorder="1" applyProtection="1">
      <protection hidden="1"/>
    </xf>
    <xf numFmtId="0" fontId="51" fillId="25" borderId="0" xfId="0" applyFont="1" applyFill="1" applyBorder="1" applyProtection="1">
      <protection hidden="1"/>
    </xf>
    <xf numFmtId="0" fontId="51" fillId="25" borderId="7" xfId="0" applyFont="1" applyFill="1" applyBorder="1" applyProtection="1">
      <protection hidden="1"/>
    </xf>
    <xf numFmtId="0" fontId="51" fillId="25" borderId="0" xfId="0" applyFont="1" applyFill="1" applyBorder="1" applyAlignment="1" applyProtection="1">
      <alignment horizontal="center" vertical="center"/>
      <protection hidden="1"/>
    </xf>
    <xf numFmtId="1" fontId="51" fillId="25" borderId="0" xfId="0" applyNumberFormat="1" applyFont="1" applyFill="1" applyBorder="1" applyProtection="1">
      <protection hidden="1"/>
    </xf>
    <xf numFmtId="0" fontId="51" fillId="25" borderId="8" xfId="0" applyFont="1" applyFill="1" applyBorder="1" applyProtection="1">
      <protection hidden="1"/>
    </xf>
    <xf numFmtId="164" fontId="51" fillId="25" borderId="0" xfId="0" applyNumberFormat="1" applyFont="1" applyFill="1" applyProtection="1">
      <protection hidden="1"/>
    </xf>
    <xf numFmtId="0" fontId="268" fillId="25" borderId="0" xfId="0" applyFont="1" applyFill="1" applyBorder="1" applyProtection="1">
      <protection hidden="1"/>
    </xf>
    <xf numFmtId="14" fontId="51" fillId="25" borderId="0" xfId="0" applyNumberFormat="1" applyFont="1" applyFill="1" applyBorder="1" applyProtection="1">
      <protection hidden="1"/>
    </xf>
    <xf numFmtId="14" fontId="51" fillId="25" borderId="0" xfId="0" applyNumberFormat="1" applyFont="1" applyFill="1" applyProtection="1">
      <protection hidden="1"/>
    </xf>
    <xf numFmtId="1" fontId="51" fillId="25" borderId="0" xfId="0" applyNumberFormat="1" applyFont="1" applyFill="1" applyProtection="1">
      <protection hidden="1"/>
    </xf>
    <xf numFmtId="164" fontId="51" fillId="25" borderId="0" xfId="0" applyNumberFormat="1" applyFont="1" applyFill="1" applyBorder="1" applyProtection="1">
      <protection hidden="1"/>
    </xf>
    <xf numFmtId="0" fontId="269" fillId="25" borderId="0" xfId="0" applyFont="1" applyFill="1" applyAlignment="1" applyProtection="1">
      <alignment wrapText="1"/>
      <protection hidden="1"/>
    </xf>
    <xf numFmtId="0" fontId="270" fillId="25" borderId="7" xfId="0" applyFont="1" applyFill="1" applyBorder="1" applyProtection="1">
      <protection hidden="1"/>
    </xf>
    <xf numFmtId="0" fontId="270" fillId="25" borderId="0" xfId="0" applyFont="1" applyFill="1" applyBorder="1" applyProtection="1">
      <protection hidden="1"/>
    </xf>
    <xf numFmtId="0" fontId="270" fillId="25" borderId="0" xfId="0" applyFont="1" applyFill="1" applyProtection="1">
      <protection hidden="1"/>
    </xf>
    <xf numFmtId="1" fontId="270" fillId="25" borderId="0" xfId="0" applyNumberFormat="1" applyFont="1" applyFill="1" applyProtection="1">
      <protection hidden="1"/>
    </xf>
    <xf numFmtId="14" fontId="270" fillId="25" borderId="0" xfId="0" applyNumberFormat="1" applyFont="1" applyFill="1" applyProtection="1">
      <protection hidden="1"/>
    </xf>
    <xf numFmtId="14" fontId="270" fillId="25" borderId="0" xfId="0" applyNumberFormat="1" applyFont="1" applyFill="1" applyBorder="1" applyProtection="1">
      <protection hidden="1"/>
    </xf>
    <xf numFmtId="0" fontId="271" fillId="25" borderId="0" xfId="0" applyFont="1" applyFill="1" applyAlignment="1" applyProtection="1">
      <protection hidden="1"/>
    </xf>
    <xf numFmtId="0" fontId="274" fillId="0" borderId="0" xfId="7" applyFont="1" applyAlignment="1" applyProtection="1">
      <alignment horizontal="center" vertical="center"/>
      <protection hidden="1"/>
    </xf>
    <xf numFmtId="0" fontId="193" fillId="13" borderId="0" xfId="0" applyFont="1" applyFill="1" applyAlignment="1" applyProtection="1">
      <alignment horizontal="center" vertical="center" wrapText="1"/>
      <protection hidden="1"/>
    </xf>
    <xf numFmtId="0" fontId="212" fillId="60" borderId="7" xfId="7" applyFont="1" applyFill="1" applyBorder="1" applyAlignment="1" applyProtection="1">
      <alignment horizontal="center"/>
      <protection hidden="1"/>
    </xf>
    <xf numFmtId="0" fontId="213" fillId="60" borderId="8" xfId="0" applyFont="1" applyFill="1" applyBorder="1" applyAlignment="1" applyProtection="1">
      <alignment horizontal="center"/>
      <protection hidden="1"/>
    </xf>
    <xf numFmtId="0" fontId="159" fillId="60" borderId="10" xfId="0" applyFont="1" applyFill="1" applyBorder="1" applyAlignment="1" applyProtection="1">
      <alignment horizontal="center"/>
      <protection hidden="1"/>
    </xf>
    <xf numFmtId="0" fontId="159" fillId="60" borderId="12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5" fillId="5" borderId="1" xfId="0" applyFont="1" applyFill="1" applyBorder="1" applyAlignment="1" applyProtection="1">
      <alignment horizontal="left" vertical="top" wrapText="1"/>
      <protection hidden="1"/>
    </xf>
    <xf numFmtId="0" fontId="162" fillId="60" borderId="4" xfId="0" applyFont="1" applyFill="1" applyBorder="1" applyAlignment="1" applyProtection="1">
      <alignment horizontal="center"/>
      <protection hidden="1"/>
    </xf>
    <xf numFmtId="0" fontId="162" fillId="60" borderId="6" xfId="0" applyFont="1" applyFill="1" applyBorder="1" applyAlignment="1" applyProtection="1">
      <alignment horizontal="center"/>
      <protection hidden="1"/>
    </xf>
    <xf numFmtId="0" fontId="161" fillId="60" borderId="7" xfId="0" applyFont="1" applyFill="1" applyBorder="1" applyAlignment="1" applyProtection="1">
      <alignment horizontal="center"/>
      <protection hidden="1"/>
    </xf>
    <xf numFmtId="0" fontId="161" fillId="60" borderId="8" xfId="0" applyFont="1" applyFill="1" applyBorder="1" applyAlignment="1" applyProtection="1">
      <alignment horizontal="center"/>
      <protection hidden="1"/>
    </xf>
    <xf numFmtId="0" fontId="160" fillId="60" borderId="7" xfId="0" applyFont="1" applyFill="1" applyBorder="1" applyAlignment="1" applyProtection="1">
      <alignment horizontal="center"/>
      <protection hidden="1"/>
    </xf>
    <xf numFmtId="0" fontId="160" fillId="60" borderId="8" xfId="0" applyFont="1" applyFill="1" applyBorder="1" applyAlignment="1" applyProtection="1">
      <alignment horizontal="center"/>
      <protection hidden="1"/>
    </xf>
    <xf numFmtId="0" fontId="156" fillId="52" borderId="91" xfId="0" applyFont="1" applyFill="1" applyBorder="1" applyAlignment="1" applyProtection="1">
      <alignment horizontal="center" vertical="top" wrapText="1"/>
      <protection hidden="1"/>
    </xf>
    <xf numFmtId="0" fontId="0" fillId="56" borderId="91" xfId="0" applyFill="1" applyBorder="1" applyAlignment="1" applyProtection="1">
      <alignment horizontal="center"/>
      <protection hidden="1"/>
    </xf>
    <xf numFmtId="0" fontId="0" fillId="56" borderId="93" xfId="0" applyFill="1" applyBorder="1" applyAlignment="1" applyProtection="1">
      <alignment horizontal="center"/>
      <protection hidden="1"/>
    </xf>
    <xf numFmtId="0" fontId="80" fillId="54" borderId="95" xfId="0" applyFont="1" applyFill="1" applyBorder="1" applyAlignment="1" applyProtection="1">
      <alignment horizontal="justify" vertical="center" wrapText="1"/>
      <protection hidden="1"/>
    </xf>
    <xf numFmtId="0" fontId="80" fillId="54" borderId="92" xfId="0" applyFont="1" applyFill="1" applyBorder="1" applyAlignment="1" applyProtection="1">
      <alignment horizontal="justify" vertical="center" wrapText="1"/>
      <protection hidden="1"/>
    </xf>
    <xf numFmtId="0" fontId="45" fillId="58" borderId="95" xfId="0" applyFont="1" applyFill="1" applyBorder="1" applyAlignment="1" applyProtection="1">
      <alignment horizontal="center" vertical="center"/>
      <protection hidden="1"/>
    </xf>
    <xf numFmtId="0" fontId="45" fillId="58" borderId="92" xfId="0" applyFont="1" applyFill="1" applyBorder="1" applyAlignment="1" applyProtection="1">
      <alignment horizontal="center" vertical="center"/>
      <protection hidden="1"/>
    </xf>
    <xf numFmtId="0" fontId="0" fillId="0" borderId="97" xfId="0" applyBorder="1" applyAlignment="1" applyProtection="1">
      <alignment horizontal="center"/>
      <protection hidden="1"/>
    </xf>
    <xf numFmtId="0" fontId="6" fillId="72" borderId="14" xfId="0" applyFont="1" applyFill="1" applyBorder="1" applyAlignment="1" applyProtection="1">
      <alignment horizontal="right" vertical="center"/>
      <protection hidden="1"/>
    </xf>
    <xf numFmtId="49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76" borderId="14" xfId="0" applyFont="1" applyFill="1" applyBorder="1" applyAlignment="1" applyProtection="1">
      <alignment horizontal="right" vertical="center"/>
      <protection hidden="1"/>
    </xf>
    <xf numFmtId="167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20" borderId="14" xfId="0" applyFont="1" applyFill="1" applyBorder="1" applyAlignment="1" applyProtection="1">
      <alignment horizontal="left" vertical="center"/>
      <protection locked="0"/>
    </xf>
    <xf numFmtId="0" fontId="6" fillId="6" borderId="14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1" fontId="6" fillId="6" borderId="14" xfId="0" applyNumberFormat="1" applyFont="1" applyFill="1" applyBorder="1" applyAlignment="1" applyProtection="1">
      <alignment horizontal="left" vertical="center"/>
      <protection locked="0"/>
    </xf>
    <xf numFmtId="0" fontId="235" fillId="70" borderId="119" xfId="0" applyFont="1" applyFill="1" applyBorder="1" applyAlignment="1" applyProtection="1">
      <alignment horizontal="right" vertical="center"/>
      <protection hidden="1"/>
    </xf>
    <xf numFmtId="0" fontId="228" fillId="70" borderId="120" xfId="0" applyFont="1" applyFill="1" applyBorder="1" applyAlignment="1" applyProtection="1">
      <alignment horizontal="right" vertical="center"/>
      <protection hidden="1"/>
    </xf>
    <xf numFmtId="0" fontId="228" fillId="70" borderId="121" xfId="0" applyFont="1" applyFill="1" applyBorder="1" applyAlignment="1" applyProtection="1">
      <alignment horizontal="right" vertical="center"/>
      <protection hidden="1"/>
    </xf>
    <xf numFmtId="0" fontId="44" fillId="69" borderId="1" xfId="0" applyFont="1" applyFill="1" applyBorder="1" applyAlignment="1" applyProtection="1">
      <alignment horizontal="right" vertical="center"/>
      <protection hidden="1"/>
    </xf>
    <xf numFmtId="0" fontId="44" fillId="69" borderId="2" xfId="0" applyFont="1" applyFill="1" applyBorder="1" applyAlignment="1" applyProtection="1">
      <alignment horizontal="right" vertical="center"/>
      <protection hidden="1"/>
    </xf>
    <xf numFmtId="0" fontId="228" fillId="70" borderId="119" xfId="0" applyFont="1" applyFill="1" applyBorder="1" applyAlignment="1" applyProtection="1">
      <alignment horizontal="right" vertical="center"/>
      <protection hidden="1"/>
    </xf>
    <xf numFmtId="0" fontId="261" fillId="14" borderId="2" xfId="0" applyFont="1" applyFill="1" applyBorder="1" applyAlignment="1" applyProtection="1">
      <alignment horizontal="right" vertical="center"/>
      <protection hidden="1"/>
    </xf>
    <xf numFmtId="0" fontId="261" fillId="14" borderId="96" xfId="0" applyFont="1" applyFill="1" applyBorder="1" applyAlignment="1" applyProtection="1">
      <alignment horizontal="right" vertical="center"/>
      <protection hidden="1"/>
    </xf>
    <xf numFmtId="0" fontId="261" fillId="14" borderId="3" xfId="0" applyFont="1" applyFill="1" applyBorder="1" applyAlignment="1" applyProtection="1">
      <alignment horizontal="right" vertical="center"/>
      <protection hidden="1"/>
    </xf>
    <xf numFmtId="0" fontId="227" fillId="69" borderId="1" xfId="0" applyFont="1" applyFill="1" applyBorder="1" applyAlignment="1" applyProtection="1">
      <alignment horizontal="right" vertical="center"/>
      <protection hidden="1"/>
    </xf>
    <xf numFmtId="0" fontId="227" fillId="69" borderId="2" xfId="0" applyFont="1" applyFill="1" applyBorder="1" applyAlignment="1" applyProtection="1">
      <alignment horizontal="right" vertical="center"/>
      <protection hidden="1"/>
    </xf>
    <xf numFmtId="0" fontId="236" fillId="78" borderId="14" xfId="0" applyFont="1" applyFill="1" applyBorder="1" applyAlignment="1" applyProtection="1">
      <alignment horizontal="right" vertical="center"/>
      <protection hidden="1"/>
    </xf>
    <xf numFmtId="0" fontId="265" fillId="72" borderId="0" xfId="0" applyFont="1" applyFill="1" applyAlignment="1" applyProtection="1">
      <alignment horizontal="center" vertical="center" wrapText="1"/>
      <protection hidden="1"/>
    </xf>
    <xf numFmtId="0" fontId="30" fillId="79" borderId="135" xfId="0" applyFont="1" applyFill="1" applyBorder="1" applyAlignment="1" applyProtection="1">
      <alignment horizontal="center" vertical="center"/>
      <protection hidden="1"/>
    </xf>
    <xf numFmtId="0" fontId="30" fillId="79" borderId="136" xfId="0" applyFont="1" applyFill="1" applyBorder="1" applyAlignment="1" applyProtection="1">
      <alignment horizontal="center" vertical="center"/>
      <protection hidden="1"/>
    </xf>
    <xf numFmtId="0" fontId="30" fillId="79" borderId="137" xfId="0" applyFont="1" applyFill="1" applyBorder="1" applyAlignment="1" applyProtection="1">
      <alignment horizontal="center" vertical="center"/>
      <protection hidden="1"/>
    </xf>
    <xf numFmtId="1" fontId="195" fillId="9" borderId="108" xfId="0" applyNumberFormat="1" applyFont="1" applyFill="1" applyBorder="1" applyAlignment="1" applyProtection="1">
      <alignment horizontal="center" vertical="center"/>
      <protection locked="0"/>
    </xf>
    <xf numFmtId="1" fontId="195" fillId="9" borderId="133" xfId="0" applyNumberFormat="1" applyFont="1" applyFill="1" applyBorder="1" applyAlignment="1" applyProtection="1">
      <alignment horizontal="center" vertical="center"/>
      <protection locked="0"/>
    </xf>
    <xf numFmtId="1" fontId="195" fillId="9" borderId="134" xfId="0" applyNumberFormat="1" applyFont="1" applyFill="1" applyBorder="1" applyAlignment="1" applyProtection="1">
      <alignment horizontal="center" vertical="center"/>
      <protection locked="0"/>
    </xf>
    <xf numFmtId="0" fontId="273" fillId="4" borderId="0" xfId="0" applyFont="1" applyFill="1" applyBorder="1" applyAlignment="1" applyProtection="1">
      <alignment horizontal="center" vertical="center" wrapText="1"/>
      <protection hidden="1"/>
    </xf>
    <xf numFmtId="0" fontId="43" fillId="74" borderId="119" xfId="0" applyFont="1" applyFill="1" applyBorder="1" applyAlignment="1" applyProtection="1">
      <alignment horizontal="right" vertical="center" wrapText="1"/>
      <protection hidden="1"/>
    </xf>
    <xf numFmtId="0" fontId="43" fillId="74" borderId="120" xfId="0" applyFont="1" applyFill="1" applyBorder="1" applyAlignment="1" applyProtection="1">
      <alignment horizontal="right" vertical="center" wrapText="1"/>
      <protection hidden="1"/>
    </xf>
    <xf numFmtId="0" fontId="43" fillId="74" borderId="121" xfId="0" applyFont="1" applyFill="1" applyBorder="1" applyAlignment="1" applyProtection="1">
      <alignment horizontal="right" vertical="center" wrapText="1"/>
      <protection hidden="1"/>
    </xf>
    <xf numFmtId="0" fontId="49" fillId="2" borderId="0" xfId="0" applyFont="1" applyFill="1" applyAlignment="1" applyProtection="1">
      <alignment horizontal="center" vertical="center"/>
      <protection hidden="1"/>
    </xf>
    <xf numFmtId="0" fontId="47" fillId="77" borderId="0" xfId="0" applyFont="1" applyFill="1" applyAlignment="1" applyProtection="1">
      <alignment horizontal="center" vertical="center"/>
      <protection hidden="1"/>
    </xf>
    <xf numFmtId="0" fontId="4" fillId="17" borderId="0" xfId="0" applyFont="1" applyFill="1" applyBorder="1" applyAlignment="1" applyProtection="1">
      <alignment horizontal="center" vertical="center"/>
      <protection hidden="1"/>
    </xf>
    <xf numFmtId="0" fontId="229" fillId="71" borderId="0" xfId="0" applyFont="1" applyFill="1" applyBorder="1" applyAlignment="1" applyProtection="1">
      <alignment horizontal="center"/>
      <protection hidden="1"/>
    </xf>
    <xf numFmtId="0" fontId="232" fillId="65" borderId="127" xfId="0" applyFont="1" applyFill="1" applyBorder="1" applyAlignment="1" applyProtection="1">
      <alignment horizontal="right" vertical="center" wrapText="1"/>
      <protection hidden="1"/>
    </xf>
    <xf numFmtId="0" fontId="232" fillId="65" borderId="123" xfId="0" applyFont="1" applyFill="1" applyBorder="1" applyAlignment="1" applyProtection="1">
      <alignment horizontal="right" vertical="center" wrapText="1"/>
      <protection hidden="1"/>
    </xf>
    <xf numFmtId="0" fontId="232" fillId="65" borderId="128" xfId="0" applyFont="1" applyFill="1" applyBorder="1" applyAlignment="1" applyProtection="1">
      <alignment horizontal="right" vertical="center" wrapText="1"/>
      <protection hidden="1"/>
    </xf>
    <xf numFmtId="0" fontId="232" fillId="65" borderId="124" xfId="0" applyFont="1" applyFill="1" applyBorder="1" applyAlignment="1" applyProtection="1">
      <alignment horizontal="right" vertical="center" wrapText="1"/>
      <protection hidden="1"/>
    </xf>
    <xf numFmtId="0" fontId="232" fillId="65" borderId="0" xfId="0" applyFont="1" applyFill="1" applyBorder="1" applyAlignment="1" applyProtection="1">
      <alignment horizontal="right" vertical="center" wrapText="1"/>
      <protection hidden="1"/>
    </xf>
    <xf numFmtId="0" fontId="232" fillId="65" borderId="132" xfId="0" applyFont="1" applyFill="1" applyBorder="1" applyAlignment="1" applyProtection="1">
      <alignment horizontal="right" vertical="center" wrapText="1"/>
      <protection hidden="1"/>
    </xf>
    <xf numFmtId="0" fontId="232" fillId="65" borderId="129" xfId="0" applyFont="1" applyFill="1" applyBorder="1" applyAlignment="1" applyProtection="1">
      <alignment horizontal="right" vertical="center" wrapText="1"/>
      <protection hidden="1"/>
    </xf>
    <xf numFmtId="0" fontId="232" fillId="65" borderId="130" xfId="0" applyFont="1" applyFill="1" applyBorder="1" applyAlignment="1" applyProtection="1">
      <alignment horizontal="right" vertical="center" wrapText="1"/>
      <protection hidden="1"/>
    </xf>
    <xf numFmtId="0" fontId="232" fillId="65" borderId="131" xfId="0" applyFont="1" applyFill="1" applyBorder="1" applyAlignment="1" applyProtection="1">
      <alignment horizontal="right" vertical="center" wrapText="1"/>
      <protection hidden="1"/>
    </xf>
    <xf numFmtId="0" fontId="6" fillId="8" borderId="90" xfId="0" applyFont="1" applyFill="1" applyBorder="1" applyAlignment="1" applyProtection="1">
      <alignment horizontal="center" vertical="center"/>
      <protection hidden="1"/>
    </xf>
    <xf numFmtId="0" fontId="272" fillId="2" borderId="0" xfId="7" applyFont="1" applyFill="1" applyAlignment="1" applyProtection="1">
      <alignment horizontal="center" vertical="center"/>
      <protection hidden="1"/>
    </xf>
    <xf numFmtId="0" fontId="30" fillId="80" borderId="135" xfId="0" applyFont="1" applyFill="1" applyBorder="1" applyAlignment="1" applyProtection="1">
      <alignment horizontal="center" vertical="center"/>
      <protection hidden="1"/>
    </xf>
    <xf numFmtId="0" fontId="30" fillId="80" borderId="136" xfId="0" applyFont="1" applyFill="1" applyBorder="1" applyAlignment="1" applyProtection="1">
      <alignment horizontal="center" vertical="center"/>
      <protection hidden="1"/>
    </xf>
    <xf numFmtId="0" fontId="30" fillId="80" borderId="137" xfId="0" applyFont="1" applyFill="1" applyBorder="1" applyAlignment="1" applyProtection="1">
      <alignment horizontal="center"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46" fillId="3" borderId="15" xfId="0" applyFont="1" applyFill="1" applyBorder="1" applyAlignment="1" applyProtection="1">
      <alignment horizontal="center" vertical="center"/>
      <protection hidden="1"/>
    </xf>
    <xf numFmtId="0" fontId="231" fillId="73" borderId="127" xfId="0" applyFont="1" applyFill="1" applyBorder="1" applyAlignment="1" applyProtection="1">
      <alignment horizontal="right" vertical="center" wrapText="1"/>
      <protection hidden="1"/>
    </xf>
    <xf numFmtId="0" fontId="231" fillId="73" borderId="123" xfId="0" applyFont="1" applyFill="1" applyBorder="1" applyAlignment="1" applyProtection="1">
      <alignment horizontal="right" vertical="center" wrapText="1"/>
      <protection hidden="1"/>
    </xf>
    <xf numFmtId="0" fontId="231" fillId="73" borderId="128" xfId="0" applyFont="1" applyFill="1" applyBorder="1" applyAlignment="1" applyProtection="1">
      <alignment horizontal="right" vertical="center" wrapText="1"/>
      <protection hidden="1"/>
    </xf>
    <xf numFmtId="0" fontId="231" fillId="73" borderId="124" xfId="0" applyFont="1" applyFill="1" applyBorder="1" applyAlignment="1" applyProtection="1">
      <alignment horizontal="right" vertical="center" wrapText="1"/>
      <protection hidden="1"/>
    </xf>
    <xf numFmtId="0" fontId="231" fillId="73" borderId="0" xfId="0" applyFont="1" applyFill="1" applyBorder="1" applyAlignment="1" applyProtection="1">
      <alignment horizontal="right" vertical="center" wrapText="1"/>
      <protection hidden="1"/>
    </xf>
    <xf numFmtId="0" fontId="231" fillId="73" borderId="132" xfId="0" applyFont="1" applyFill="1" applyBorder="1" applyAlignment="1" applyProtection="1">
      <alignment horizontal="right" vertical="center" wrapText="1"/>
      <protection hidden="1"/>
    </xf>
    <xf numFmtId="0" fontId="231" fillId="73" borderId="129" xfId="0" applyFont="1" applyFill="1" applyBorder="1" applyAlignment="1" applyProtection="1">
      <alignment horizontal="right" vertical="center" wrapText="1"/>
      <protection hidden="1"/>
    </xf>
    <xf numFmtId="0" fontId="231" fillId="73" borderId="130" xfId="0" applyFont="1" applyFill="1" applyBorder="1" applyAlignment="1" applyProtection="1">
      <alignment horizontal="right" vertical="center" wrapText="1"/>
      <protection hidden="1"/>
    </xf>
    <xf numFmtId="0" fontId="231" fillId="73" borderId="131" xfId="0" applyFont="1" applyFill="1" applyBorder="1" applyAlignment="1" applyProtection="1">
      <alignment horizontal="right" vertical="center" wrapText="1"/>
      <protection hidden="1"/>
    </xf>
    <xf numFmtId="164" fontId="195" fillId="9" borderId="108" xfId="0" applyNumberFormat="1" applyFont="1" applyFill="1" applyBorder="1" applyAlignment="1" applyProtection="1">
      <alignment horizontal="center" vertical="center"/>
      <protection locked="0"/>
    </xf>
    <xf numFmtId="164" fontId="195" fillId="9" borderId="133" xfId="0" applyNumberFormat="1" applyFont="1" applyFill="1" applyBorder="1" applyAlignment="1" applyProtection="1">
      <alignment horizontal="center" vertical="center"/>
      <protection locked="0"/>
    </xf>
    <xf numFmtId="164" fontId="195" fillId="9" borderId="134" xfId="0" applyNumberFormat="1" applyFont="1" applyFill="1" applyBorder="1" applyAlignment="1" applyProtection="1">
      <alignment horizontal="center" vertical="center"/>
      <protection locked="0"/>
    </xf>
    <xf numFmtId="3" fontId="6" fillId="6" borderId="14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hidden="1"/>
    </xf>
    <xf numFmtId="0" fontId="198" fillId="13" borderId="0" xfId="0" applyFont="1" applyFill="1" applyAlignment="1" applyProtection="1">
      <alignment horizontal="center" vertical="center" wrapText="1"/>
      <protection hidden="1"/>
    </xf>
    <xf numFmtId="0" fontId="144" fillId="82" borderId="140" xfId="0" applyFont="1" applyFill="1" applyBorder="1" applyAlignment="1" applyProtection="1">
      <alignment horizontal="center" vertical="center" wrapText="1"/>
      <protection hidden="1"/>
    </xf>
    <xf numFmtId="0" fontId="144" fillId="82" borderId="144" xfId="0" applyFont="1" applyFill="1" applyBorder="1" applyAlignment="1" applyProtection="1">
      <alignment horizontal="center" vertical="center" wrapText="1"/>
      <protection hidden="1"/>
    </xf>
    <xf numFmtId="0" fontId="144" fillId="82" borderId="141" xfId="0" applyFont="1" applyFill="1" applyBorder="1" applyAlignment="1" applyProtection="1">
      <alignment horizontal="center" vertical="center" wrapText="1"/>
      <protection hidden="1"/>
    </xf>
    <xf numFmtId="0" fontId="144" fillId="82" borderId="145" xfId="0" applyFont="1" applyFill="1" applyBorder="1" applyAlignment="1" applyProtection="1">
      <alignment horizontal="center" vertical="center" wrapText="1"/>
      <protection hidden="1"/>
    </xf>
    <xf numFmtId="0" fontId="144" fillId="82" borderId="142" xfId="0" applyFont="1" applyFill="1" applyBorder="1" applyAlignment="1" applyProtection="1">
      <alignment horizontal="center" vertical="center" wrapText="1"/>
      <protection hidden="1"/>
    </xf>
    <xf numFmtId="0" fontId="144" fillId="82" borderId="146" xfId="0" applyFont="1" applyFill="1" applyBorder="1" applyAlignment="1" applyProtection="1">
      <alignment horizontal="center" vertical="center" wrapText="1"/>
      <protection hidden="1"/>
    </xf>
    <xf numFmtId="0" fontId="152" fillId="21" borderId="156" xfId="0" applyFont="1" applyFill="1" applyBorder="1" applyAlignment="1" applyProtection="1">
      <alignment horizontal="right" vertical="center"/>
      <protection hidden="1"/>
    </xf>
    <xf numFmtId="0" fontId="152" fillId="21" borderId="157" xfId="0" applyFont="1" applyFill="1" applyBorder="1" applyAlignment="1" applyProtection="1">
      <alignment horizontal="right" vertical="center"/>
      <protection hidden="1"/>
    </xf>
    <xf numFmtId="0" fontId="48" fillId="81" borderId="154" xfId="0" applyFont="1" applyFill="1" applyBorder="1" applyAlignment="1" applyProtection="1">
      <alignment horizontal="left" vertical="center" wrapText="1"/>
      <protection hidden="1"/>
    </xf>
    <xf numFmtId="0" fontId="48" fillId="81" borderId="155" xfId="0" applyFont="1" applyFill="1" applyBorder="1" applyAlignment="1" applyProtection="1">
      <alignment horizontal="left" vertical="center" wrapText="1"/>
      <protection hidden="1"/>
    </xf>
    <xf numFmtId="0" fontId="144" fillId="82" borderId="143" xfId="0" applyFont="1" applyFill="1" applyBorder="1" applyAlignment="1" applyProtection="1">
      <alignment horizontal="center" vertical="center" wrapText="1"/>
      <protection hidden="1"/>
    </xf>
    <xf numFmtId="0" fontId="144" fillId="82" borderId="147" xfId="0" applyFont="1" applyFill="1" applyBorder="1" applyAlignment="1" applyProtection="1">
      <alignment horizontal="center" vertical="center" wrapText="1"/>
      <protection hidden="1"/>
    </xf>
    <xf numFmtId="0" fontId="144" fillId="82" borderId="150" xfId="0" applyFont="1" applyFill="1" applyBorder="1" applyAlignment="1" applyProtection="1">
      <alignment horizontal="center" vertical="center" wrapText="1"/>
      <protection hidden="1"/>
    </xf>
    <xf numFmtId="0" fontId="144" fillId="82" borderId="151" xfId="0" applyFont="1" applyFill="1" applyBorder="1" applyAlignment="1" applyProtection="1">
      <alignment horizontal="center" vertical="center" wrapText="1"/>
      <protection hidden="1"/>
    </xf>
    <xf numFmtId="0" fontId="144" fillId="82" borderId="148" xfId="0" applyFont="1" applyFill="1" applyBorder="1" applyAlignment="1" applyProtection="1">
      <alignment horizontal="center" vertical="center" wrapText="1"/>
      <protection hidden="1"/>
    </xf>
    <xf numFmtId="0" fontId="144" fillId="82" borderId="149" xfId="0" applyFont="1" applyFill="1" applyBorder="1" applyAlignment="1" applyProtection="1">
      <alignment horizontal="center" vertical="center" wrapText="1"/>
      <protection hidden="1"/>
    </xf>
    <xf numFmtId="0" fontId="200" fillId="13" borderId="0" xfId="7" applyFont="1" applyFill="1" applyAlignment="1" applyProtection="1">
      <alignment horizontal="center" wrapText="1"/>
      <protection hidden="1"/>
    </xf>
    <xf numFmtId="0" fontId="156" fillId="13" borderId="0" xfId="0" applyFont="1" applyFill="1" applyAlignment="1" applyProtection="1">
      <alignment horizontal="center" wrapText="1"/>
      <protection hidden="1"/>
    </xf>
    <xf numFmtId="2" fontId="254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54" fillId="84" borderId="159" xfId="1" applyNumberFormat="1" applyFont="1" applyFill="1" applyBorder="1" applyAlignment="1" applyProtection="1">
      <alignment horizontal="left" vertical="center" wrapText="1"/>
      <protection hidden="1"/>
    </xf>
    <xf numFmtId="0" fontId="201" fillId="23" borderId="0" xfId="7" applyFont="1" applyFill="1" applyAlignment="1" applyProtection="1">
      <alignment horizontal="center" vertical="center"/>
      <protection hidden="1"/>
    </xf>
    <xf numFmtId="0" fontId="54" fillId="23" borderId="0" xfId="0" applyFont="1" applyFill="1" applyAlignment="1" applyProtection="1">
      <alignment horizontal="center" vertical="center"/>
      <protection hidden="1"/>
    </xf>
    <xf numFmtId="0" fontId="202" fillId="23" borderId="0" xfId="0" applyFont="1" applyFill="1" applyAlignment="1" applyProtection="1">
      <alignment horizontal="center" vertical="top"/>
      <protection hidden="1"/>
    </xf>
    <xf numFmtId="0" fontId="60" fillId="27" borderId="0" xfId="0" applyFont="1" applyFill="1" applyAlignment="1" applyProtection="1">
      <alignment horizontal="center" vertical="center"/>
      <protection hidden="1"/>
    </xf>
    <xf numFmtId="0" fontId="0" fillId="28" borderId="22" xfId="0" applyFill="1" applyBorder="1" applyAlignment="1" applyProtection="1">
      <alignment horizontal="center"/>
      <protection hidden="1"/>
    </xf>
    <xf numFmtId="2" fontId="27" fillId="85" borderId="9" xfId="2" applyNumberFormat="1" applyFont="1" applyFill="1" applyBorder="1" applyAlignment="1" applyProtection="1">
      <alignment horizontal="left" vertical="center"/>
      <protection hidden="1"/>
    </xf>
    <xf numFmtId="2" fontId="58" fillId="87" borderId="16" xfId="2" applyNumberFormat="1" applyFont="1" applyFill="1" applyBorder="1" applyAlignment="1" applyProtection="1">
      <alignment horizontal="left" vertical="center" wrapText="1"/>
      <protection hidden="1"/>
    </xf>
    <xf numFmtId="2" fontId="58" fillId="87" borderId="28" xfId="2" applyNumberFormat="1" applyFont="1" applyFill="1" applyBorder="1" applyAlignment="1" applyProtection="1">
      <alignment horizontal="left" vertical="center" wrapText="1"/>
      <protection hidden="1"/>
    </xf>
    <xf numFmtId="2" fontId="27" fillId="49" borderId="9" xfId="2" applyNumberFormat="1" applyFont="1" applyFill="1" applyBorder="1" applyAlignment="1" applyProtection="1">
      <alignment horizontal="left" vertical="center" wrapText="1"/>
      <protection hidden="1"/>
    </xf>
    <xf numFmtId="0" fontId="0" fillId="29" borderId="0" xfId="0" applyFill="1" applyAlignment="1" applyProtection="1">
      <alignment horizontal="center"/>
      <protection hidden="1"/>
    </xf>
    <xf numFmtId="0" fontId="0" fillId="30" borderId="22" xfId="0" applyFill="1" applyBorder="1" applyAlignment="1" applyProtection="1">
      <alignment horizontal="center" vertical="center"/>
      <protection hidden="1"/>
    </xf>
    <xf numFmtId="2" fontId="255" fillId="86" borderId="9" xfId="2" applyNumberFormat="1" applyFont="1" applyFill="1" applyBorder="1" applyAlignment="1" applyProtection="1">
      <alignment horizontal="left" vertical="center"/>
      <protection hidden="1"/>
    </xf>
    <xf numFmtId="2" fontId="253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53" fillId="84" borderId="159" xfId="1" applyNumberFormat="1" applyFont="1" applyFill="1" applyBorder="1" applyAlignment="1" applyProtection="1">
      <alignment horizontal="left" vertical="center" wrapText="1"/>
      <protection hidden="1"/>
    </xf>
    <xf numFmtId="2" fontId="252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52" fillId="84" borderId="159" xfId="1" applyNumberFormat="1" applyFont="1" applyFill="1" applyBorder="1" applyAlignment="1" applyProtection="1">
      <alignment horizontal="left" vertical="center" wrapText="1"/>
      <protection hidden="1"/>
    </xf>
    <xf numFmtId="0" fontId="108" fillId="42" borderId="62" xfId="0" applyFont="1" applyFill="1" applyBorder="1" applyAlignment="1" applyProtection="1">
      <alignment horizontal="center" vertical="center"/>
      <protection hidden="1"/>
    </xf>
    <xf numFmtId="0" fontId="108" fillId="42" borderId="65" xfId="0" applyFont="1" applyFill="1" applyBorder="1" applyAlignment="1" applyProtection="1">
      <alignment horizontal="center" vertical="center"/>
      <protection hidden="1"/>
    </xf>
    <xf numFmtId="0" fontId="108" fillId="42" borderId="71" xfId="0" applyFont="1" applyFill="1" applyBorder="1" applyAlignment="1" applyProtection="1">
      <alignment horizontal="center" vertical="center"/>
      <protection hidden="1"/>
    </xf>
    <xf numFmtId="0" fontId="108" fillId="43" borderId="72" xfId="0" applyFont="1" applyFill="1" applyBorder="1" applyAlignment="1" applyProtection="1">
      <alignment horizontal="center" vertical="center"/>
      <protection hidden="1"/>
    </xf>
    <xf numFmtId="0" fontId="133" fillId="45" borderId="0" xfId="0" applyFont="1" applyFill="1" applyBorder="1" applyAlignment="1" applyProtection="1">
      <alignment horizontal="center" vertical="center"/>
      <protection hidden="1"/>
    </xf>
    <xf numFmtId="0" fontId="133" fillId="45" borderId="66" xfId="0" applyFont="1" applyFill="1" applyBorder="1" applyAlignment="1" applyProtection="1">
      <alignment horizontal="center" vertical="center"/>
      <protection hidden="1"/>
    </xf>
    <xf numFmtId="0" fontId="148" fillId="44" borderId="0" xfId="0" applyFont="1" applyFill="1" applyBorder="1" applyAlignment="1" applyProtection="1">
      <alignment horizontal="left" vertical="center"/>
      <protection hidden="1"/>
    </xf>
    <xf numFmtId="0" fontId="148" fillId="44" borderId="66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22" fillId="38" borderId="70" xfId="0" applyFont="1" applyFill="1" applyBorder="1" applyAlignment="1" applyProtection="1">
      <alignment horizontal="center" vertical="center" wrapText="1"/>
      <protection hidden="1"/>
    </xf>
    <xf numFmtId="0" fontId="122" fillId="38" borderId="32" xfId="0" applyFont="1" applyFill="1" applyBorder="1" applyAlignment="1" applyProtection="1">
      <alignment horizontal="center" vertical="center" wrapText="1"/>
      <protection hidden="1"/>
    </xf>
    <xf numFmtId="49" fontId="114" fillId="38" borderId="65" xfId="0" applyNumberFormat="1" applyFont="1" applyFill="1" applyBorder="1" applyAlignment="1" applyProtection="1">
      <alignment horizontal="center" vertical="center"/>
      <protection hidden="1"/>
    </xf>
    <xf numFmtId="49" fontId="114" fillId="38" borderId="0" xfId="0" applyNumberFormat="1" applyFont="1" applyFill="1" applyBorder="1" applyAlignment="1" applyProtection="1">
      <alignment horizontal="center" vertical="center"/>
      <protection hidden="1"/>
    </xf>
    <xf numFmtId="0" fontId="108" fillId="42" borderId="64" xfId="0" applyFont="1" applyFill="1" applyBorder="1" applyAlignment="1" applyProtection="1">
      <alignment horizontal="center" vertical="center"/>
      <protection hidden="1"/>
    </xf>
    <xf numFmtId="0" fontId="108" fillId="42" borderId="66" xfId="0" applyFont="1" applyFill="1" applyBorder="1" applyAlignment="1" applyProtection="1">
      <alignment horizontal="center" vertical="center"/>
      <protection hidden="1"/>
    </xf>
    <xf numFmtId="0" fontId="108" fillId="42" borderId="73" xfId="0" applyFont="1" applyFill="1" applyBorder="1" applyAlignment="1" applyProtection="1">
      <alignment horizontal="center" vertical="center"/>
      <protection hidden="1"/>
    </xf>
    <xf numFmtId="0" fontId="132" fillId="39" borderId="74" xfId="0" applyFont="1" applyFill="1" applyBorder="1" applyAlignment="1" applyProtection="1">
      <alignment horizontal="center" vertical="center"/>
      <protection hidden="1"/>
    </xf>
    <xf numFmtId="0" fontId="132" fillId="39" borderId="63" xfId="0" applyFont="1" applyFill="1" applyBorder="1" applyAlignment="1" applyProtection="1">
      <alignment horizontal="center" vertical="center"/>
      <protection hidden="1"/>
    </xf>
    <xf numFmtId="0" fontId="132" fillId="39" borderId="75" xfId="0" applyFont="1" applyFill="1" applyBorder="1" applyAlignment="1" applyProtection="1">
      <alignment horizontal="center" vertical="center"/>
      <protection hidden="1"/>
    </xf>
    <xf numFmtId="0" fontId="130" fillId="38" borderId="0" xfId="0" applyFont="1" applyFill="1" applyBorder="1" applyAlignment="1" applyProtection="1">
      <alignment horizontal="center" vertical="center"/>
      <protection hidden="1"/>
    </xf>
    <xf numFmtId="0" fontId="113" fillId="42" borderId="63" xfId="0" applyFont="1" applyFill="1" applyBorder="1" applyAlignment="1" applyProtection="1">
      <alignment horizontal="center" vertical="center"/>
      <protection hidden="1"/>
    </xf>
    <xf numFmtId="0" fontId="113" fillId="42" borderId="0" xfId="0" applyFont="1" applyFill="1" applyBorder="1" applyAlignment="1" applyProtection="1">
      <alignment horizontal="center" vertical="center"/>
      <protection hidden="1"/>
    </xf>
    <xf numFmtId="0" fontId="113" fillId="42" borderId="72" xfId="0" applyFont="1" applyFill="1" applyBorder="1" applyAlignment="1" applyProtection="1">
      <alignment horizontal="center" vertical="center"/>
      <protection hidden="1"/>
    </xf>
    <xf numFmtId="0" fontId="259" fillId="0" borderId="0" xfId="0" applyFont="1" applyBorder="1" applyAlignment="1" applyProtection="1">
      <alignment horizontal="center" vertical="center"/>
      <protection hidden="1"/>
    </xf>
    <xf numFmtId="0" fontId="258" fillId="0" borderId="0" xfId="0" applyFont="1" applyBorder="1" applyAlignment="1" applyProtection="1">
      <alignment horizontal="center" vertical="center" wrapText="1"/>
      <protection hidden="1"/>
    </xf>
    <xf numFmtId="0" fontId="34" fillId="0" borderId="11" xfId="0" applyFont="1" applyBorder="1" applyAlignment="1" applyProtection="1">
      <alignment horizontal="center" vertical="center"/>
      <protection hidden="1"/>
    </xf>
    <xf numFmtId="0" fontId="34" fillId="0" borderId="11" xfId="0" applyFont="1" applyBorder="1" applyAlignment="1" applyProtection="1">
      <alignment horizontal="center" vertical="center" wrapText="1"/>
      <protection hidden="1"/>
    </xf>
    <xf numFmtId="0" fontId="257" fillId="0" borderId="5" xfId="0" applyNumberFormat="1" applyFont="1" applyBorder="1" applyAlignment="1" applyProtection="1">
      <alignment horizontal="center" vertical="center"/>
      <protection hidden="1"/>
    </xf>
    <xf numFmtId="0" fontId="57" fillId="0" borderId="0" xfId="0" applyFont="1" applyBorder="1" applyAlignment="1" applyProtection="1">
      <alignment horizontal="center" vertical="center" wrapText="1"/>
      <protection hidden="1"/>
    </xf>
    <xf numFmtId="1" fontId="35" fillId="0" borderId="24" xfId="0" applyNumberFormat="1" applyFont="1" applyBorder="1" applyAlignment="1" applyProtection="1">
      <alignment horizontal="left" vertical="center" wrapText="1"/>
      <protection hidden="1"/>
    </xf>
    <xf numFmtId="1" fontId="35" fillId="0" borderId="25" xfId="0" applyNumberFormat="1" applyFont="1" applyBorder="1" applyAlignment="1" applyProtection="1">
      <alignment horizontal="left" vertical="center" wrapText="1"/>
      <protection hidden="1"/>
    </xf>
    <xf numFmtId="0" fontId="67" fillId="0" borderId="26" xfId="0" applyFont="1" applyBorder="1" applyAlignment="1" applyProtection="1">
      <alignment horizontal="center" vertical="center"/>
      <protection hidden="1"/>
    </xf>
    <xf numFmtId="0" fontId="67" fillId="0" borderId="27" xfId="0" applyFont="1" applyBorder="1" applyAlignment="1" applyProtection="1">
      <alignment horizontal="center" vertical="center"/>
      <protection hidden="1"/>
    </xf>
    <xf numFmtId="0" fontId="67" fillId="0" borderId="16" xfId="0" applyFont="1" applyBorder="1" applyAlignment="1" applyProtection="1">
      <alignment horizontal="center" vertical="center"/>
      <protection hidden="1"/>
    </xf>
    <xf numFmtId="0" fontId="67" fillId="0" borderId="2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 textRotation="90"/>
      <protection hidden="1"/>
    </xf>
    <xf numFmtId="0" fontId="1" fillId="0" borderId="29" xfId="0" applyFont="1" applyBorder="1" applyAlignment="1" applyProtection="1">
      <alignment horizontal="center" vertical="center" textRotation="90"/>
      <protection hidden="1"/>
    </xf>
    <xf numFmtId="0" fontId="57" fillId="0" borderId="23" xfId="0" applyFont="1" applyBorder="1" applyAlignment="1" applyProtection="1">
      <alignment horizontal="right" vertical="center" wrapText="1"/>
      <protection hidden="1"/>
    </xf>
    <xf numFmtId="0" fontId="57" fillId="0" borderId="24" xfId="0" applyFont="1" applyBorder="1" applyAlignment="1" applyProtection="1">
      <alignment horizontal="righ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1" fontId="6" fillId="0" borderId="24" xfId="0" applyNumberFormat="1" applyFont="1" applyBorder="1" applyAlignment="1" applyProtection="1">
      <alignment horizontal="left" vertical="center" wrapText="1"/>
      <protection hidden="1"/>
    </xf>
    <xf numFmtId="0" fontId="57" fillId="0" borderId="2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57" fillId="0" borderId="7" xfId="0" applyFont="1" applyBorder="1" applyAlignment="1" applyProtection="1">
      <alignment horizontal="right" vertical="center" wrapText="1"/>
      <protection hidden="1"/>
    </xf>
    <xf numFmtId="0" fontId="57" fillId="0" borderId="0" xfId="0" applyFont="1" applyBorder="1" applyAlignment="1" applyProtection="1">
      <alignment horizontal="right" vertical="center" wrapText="1"/>
      <protection hidden="1"/>
    </xf>
    <xf numFmtId="0" fontId="61" fillId="0" borderId="0" xfId="0" applyFont="1" applyBorder="1" applyAlignment="1" applyProtection="1">
      <alignment horizontal="left" vertical="center" wrapText="1"/>
      <protection hidden="1"/>
    </xf>
    <xf numFmtId="0" fontId="35" fillId="0" borderId="0" xfId="0" applyFont="1" applyBorder="1" applyAlignment="1" applyProtection="1">
      <alignment horizontal="left" vertical="center" wrapText="1"/>
      <protection hidden="1"/>
    </xf>
    <xf numFmtId="0" fontId="256" fillId="0" borderId="0" xfId="0" applyFont="1" applyBorder="1" applyAlignment="1" applyProtection="1">
      <alignment horizontal="center" vertical="center" wrapText="1"/>
      <protection hidden="1"/>
    </xf>
    <xf numFmtId="0" fontId="256" fillId="0" borderId="8" xfId="0" applyFont="1" applyBorder="1" applyAlignment="1" applyProtection="1">
      <alignment horizontal="center" vertical="center" wrapText="1"/>
      <protection hidden="1"/>
    </xf>
    <xf numFmtId="0" fontId="92" fillId="0" borderId="77" xfId="4" applyFont="1" applyBorder="1" applyAlignment="1" applyProtection="1">
      <alignment horizontal="left" vertical="center"/>
      <protection hidden="1"/>
    </xf>
    <xf numFmtId="0" fontId="92" fillId="0" borderId="78" xfId="4" applyFont="1" applyBorder="1" applyAlignment="1" applyProtection="1">
      <alignment horizontal="left" vertical="center"/>
      <protection hidden="1"/>
    </xf>
    <xf numFmtId="0" fontId="74" fillId="0" borderId="78" xfId="4" applyFont="1" applyBorder="1" applyAlignment="1" applyProtection="1">
      <alignment horizontal="right" vertical="center"/>
      <protection hidden="1"/>
    </xf>
    <xf numFmtId="0" fontId="74" fillId="0" borderId="79" xfId="4" applyFont="1" applyBorder="1" applyAlignment="1" applyProtection="1">
      <alignment horizontal="right" vertical="center"/>
      <protection hidden="1"/>
    </xf>
    <xf numFmtId="0" fontId="40" fillId="0" borderId="85" xfId="4" applyFont="1" applyBorder="1" applyAlignment="1" applyProtection="1">
      <alignment horizontal="center" vertical="top"/>
      <protection hidden="1"/>
    </xf>
    <xf numFmtId="0" fontId="40" fillId="0" borderId="76" xfId="4" applyFont="1" applyBorder="1" applyAlignment="1" applyProtection="1">
      <alignment horizontal="center"/>
      <protection hidden="1"/>
    </xf>
    <xf numFmtId="2" fontId="58" fillId="0" borderId="76" xfId="0" applyNumberFormat="1" applyFont="1" applyBorder="1" applyAlignment="1" applyProtection="1">
      <alignment horizontal="left"/>
      <protection hidden="1"/>
    </xf>
    <xf numFmtId="0" fontId="90" fillId="0" borderId="77" xfId="4" applyFont="1" applyBorder="1" applyAlignment="1" applyProtection="1">
      <alignment horizontal="right"/>
      <protection hidden="1"/>
    </xf>
    <xf numFmtId="0" fontId="90" fillId="0" borderId="78" xfId="4" applyFont="1" applyBorder="1" applyAlignment="1" applyProtection="1">
      <alignment horizontal="right"/>
      <protection hidden="1"/>
    </xf>
    <xf numFmtId="0" fontId="90" fillId="0" borderId="79" xfId="4" applyFont="1" applyBorder="1" applyAlignment="1" applyProtection="1">
      <alignment horizontal="right"/>
      <protection hidden="1"/>
    </xf>
    <xf numFmtId="0" fontId="92" fillId="0" borderId="76" xfId="4" applyFont="1" applyBorder="1" applyAlignment="1" applyProtection="1">
      <alignment horizontal="left"/>
      <protection hidden="1"/>
    </xf>
    <xf numFmtId="0" fontId="58" fillId="0" borderId="76" xfId="4" applyFont="1" applyBorder="1" applyAlignment="1" applyProtection="1">
      <alignment horizontal="left"/>
      <protection hidden="1"/>
    </xf>
    <xf numFmtId="0" fontId="58" fillId="0" borderId="76" xfId="4" applyFont="1" applyBorder="1" applyAlignment="1" applyProtection="1">
      <alignment horizontal="left" vertical="center"/>
      <protection hidden="1"/>
    </xf>
    <xf numFmtId="0" fontId="58" fillId="0" borderId="84" xfId="4" applyFont="1" applyBorder="1" applyAlignment="1" applyProtection="1">
      <alignment horizontal="left" vertical="center"/>
      <protection hidden="1"/>
    </xf>
    <xf numFmtId="0" fontId="249" fillId="0" borderId="76" xfId="4" applyFont="1" applyBorder="1" applyAlignment="1" applyProtection="1">
      <alignment horizontal="left" vertical="top" wrapText="1"/>
      <protection hidden="1"/>
    </xf>
    <xf numFmtId="0" fontId="86" fillId="0" borderId="76" xfId="4" applyFont="1" applyFill="1" applyBorder="1" applyAlignment="1" applyProtection="1">
      <alignment horizontal="left"/>
      <protection hidden="1"/>
    </xf>
    <xf numFmtId="0" fontId="73" fillId="0" borderId="77" xfId="4" applyFont="1" applyBorder="1" applyAlignment="1" applyProtection="1">
      <alignment horizontal="center" vertical="center"/>
      <protection hidden="1"/>
    </xf>
    <xf numFmtId="0" fontId="73" fillId="0" borderId="79" xfId="4" applyFont="1" applyBorder="1" applyAlignment="1" applyProtection="1">
      <alignment horizontal="center" vertical="center"/>
      <protection hidden="1"/>
    </xf>
    <xf numFmtId="0" fontId="92" fillId="0" borderId="76" xfId="4" applyFont="1" applyBorder="1" applyAlignment="1" applyProtection="1">
      <alignment horizontal="center" vertical="center"/>
      <protection hidden="1"/>
    </xf>
    <xf numFmtId="0" fontId="93" fillId="0" borderId="77" xfId="4" applyFont="1" applyBorder="1" applyAlignment="1" applyProtection="1">
      <alignment horizontal="center" vertical="center"/>
      <protection hidden="1"/>
    </xf>
    <xf numFmtId="0" fontId="93" fillId="0" borderId="79" xfId="4" applyFont="1" applyBorder="1" applyAlignment="1" applyProtection="1">
      <alignment horizontal="center" vertical="center"/>
      <protection hidden="1"/>
    </xf>
    <xf numFmtId="0" fontId="92" fillId="0" borderId="77" xfId="4" applyFont="1" applyBorder="1" applyAlignment="1" applyProtection="1">
      <alignment horizontal="right" vertical="center"/>
      <protection hidden="1"/>
    </xf>
    <xf numFmtId="0" fontId="92" fillId="0" borderId="78" xfId="4" applyFont="1" applyBorder="1" applyAlignment="1" applyProtection="1">
      <alignment horizontal="right" vertical="center"/>
      <protection hidden="1"/>
    </xf>
    <xf numFmtId="0" fontId="92" fillId="0" borderId="79" xfId="4" applyFont="1" applyBorder="1" applyAlignment="1" applyProtection="1">
      <alignment horizontal="right" vertical="center"/>
      <protection hidden="1"/>
    </xf>
    <xf numFmtId="0" fontId="58" fillId="0" borderId="77" xfId="4" applyFont="1" applyBorder="1" applyAlignment="1" applyProtection="1">
      <alignment horizontal="left" vertical="center"/>
      <protection hidden="1"/>
    </xf>
    <xf numFmtId="0" fontId="58" fillId="0" borderId="78" xfId="4" applyFont="1" applyBorder="1" applyAlignment="1" applyProtection="1">
      <alignment horizontal="left" vertical="center"/>
      <protection hidden="1"/>
    </xf>
    <xf numFmtId="0" fontId="58" fillId="0" borderId="79" xfId="4" applyFont="1" applyBorder="1" applyAlignment="1" applyProtection="1">
      <alignment horizontal="left" vertical="center"/>
      <protection hidden="1"/>
    </xf>
    <xf numFmtId="0" fontId="82" fillId="0" borderId="76" xfId="4" applyFont="1" applyBorder="1" applyAlignment="1" applyProtection="1">
      <alignment horizontal="center" vertical="center" wrapText="1"/>
      <protection hidden="1"/>
    </xf>
    <xf numFmtId="0" fontId="135" fillId="0" borderId="76" xfId="4" applyFont="1" applyBorder="1" applyAlignment="1" applyProtection="1">
      <alignment horizontal="center" vertical="center" wrapText="1"/>
      <protection hidden="1"/>
    </xf>
    <xf numFmtId="0" fontId="89" fillId="0" borderId="76" xfId="4" applyFont="1" applyBorder="1" applyAlignment="1" applyProtection="1">
      <alignment horizontal="center" vertical="center" wrapText="1"/>
      <protection hidden="1"/>
    </xf>
    <xf numFmtId="1" fontId="73" fillId="0" borderId="76" xfId="4" applyNumberFormat="1" applyFont="1" applyBorder="1" applyAlignment="1" applyProtection="1">
      <alignment horizontal="center" vertical="center"/>
      <protection hidden="1"/>
    </xf>
    <xf numFmtId="2" fontId="77" fillId="0" borderId="0" xfId="4" applyNumberFormat="1" applyFont="1" applyBorder="1" applyAlignment="1" applyProtection="1">
      <alignment horizontal="center" vertical="center"/>
      <protection hidden="1"/>
    </xf>
    <xf numFmtId="0" fontId="189" fillId="63" borderId="99" xfId="0" applyFont="1" applyFill="1" applyBorder="1" applyAlignment="1" applyProtection="1">
      <alignment horizontal="center" vertical="center" wrapText="1"/>
      <protection hidden="1"/>
    </xf>
    <xf numFmtId="0" fontId="189" fillId="63" borderId="100" xfId="0" applyFont="1" applyFill="1" applyBorder="1" applyAlignment="1" applyProtection="1">
      <alignment horizontal="center" vertical="center" wrapText="1"/>
      <protection hidden="1"/>
    </xf>
    <xf numFmtId="0" fontId="189" fillId="63" borderId="101" xfId="0" applyFont="1" applyFill="1" applyBorder="1" applyAlignment="1" applyProtection="1">
      <alignment horizontal="center" vertical="center" wrapText="1"/>
      <protection hidden="1"/>
    </xf>
    <xf numFmtId="0" fontId="189" fillId="63" borderId="105" xfId="0" applyFont="1" applyFill="1" applyBorder="1" applyAlignment="1" applyProtection="1">
      <alignment horizontal="center" vertical="center" wrapText="1"/>
      <protection hidden="1"/>
    </xf>
    <xf numFmtId="0" fontId="189" fillId="63" borderId="0" xfId="0" applyFont="1" applyFill="1" applyBorder="1" applyAlignment="1" applyProtection="1">
      <alignment horizontal="center" vertical="center" wrapText="1"/>
      <protection hidden="1"/>
    </xf>
    <xf numFmtId="0" fontId="189" fillId="63" borderId="106" xfId="0" applyFont="1" applyFill="1" applyBorder="1" applyAlignment="1" applyProtection="1">
      <alignment horizontal="center" vertical="center" wrapText="1"/>
      <protection hidden="1"/>
    </xf>
    <xf numFmtId="0" fontId="189" fillId="63" borderId="102" xfId="0" applyFont="1" applyFill="1" applyBorder="1" applyAlignment="1" applyProtection="1">
      <alignment horizontal="center" vertical="center" wrapText="1"/>
      <protection hidden="1"/>
    </xf>
    <xf numFmtId="0" fontId="189" fillId="63" borderId="103" xfId="0" applyFont="1" applyFill="1" applyBorder="1" applyAlignment="1" applyProtection="1">
      <alignment horizontal="center" vertical="center" wrapText="1"/>
      <protection hidden="1"/>
    </xf>
    <xf numFmtId="0" fontId="189" fillId="63" borderId="104" xfId="0" applyFont="1" applyFill="1" applyBorder="1" applyAlignment="1" applyProtection="1">
      <alignment horizontal="center" vertical="center" wrapText="1"/>
      <protection hidden="1"/>
    </xf>
    <xf numFmtId="2" fontId="92" fillId="0" borderId="76" xfId="0" applyNumberFormat="1" applyFont="1" applyBorder="1" applyAlignment="1" applyProtection="1">
      <alignment horizontal="left"/>
      <protection hidden="1"/>
    </xf>
    <xf numFmtId="0" fontId="138" fillId="0" borderId="76" xfId="4" applyFont="1" applyBorder="1" applyAlignment="1" applyProtection="1">
      <alignment horizontal="center"/>
      <protection hidden="1"/>
    </xf>
    <xf numFmtId="0" fontId="197" fillId="0" borderId="0" xfId="0" applyFont="1" applyAlignment="1" applyProtection="1">
      <alignment horizontal="center"/>
      <protection hidden="1"/>
    </xf>
    <xf numFmtId="0" fontId="21" fillId="0" borderId="5" xfId="0" applyFont="1" applyBorder="1" applyAlignment="1" applyProtection="1">
      <alignment horizontal="center" vertical="top" wrapText="1"/>
      <protection hidden="1"/>
    </xf>
    <xf numFmtId="0" fontId="21" fillId="0" borderId="0" xfId="0" applyFont="1" applyBorder="1" applyAlignment="1" applyProtection="1">
      <alignment horizontal="center" vertical="top" wrapText="1"/>
      <protection hidden="1"/>
    </xf>
    <xf numFmtId="0" fontId="189" fillId="63" borderId="99" xfId="0" applyFont="1" applyFill="1" applyBorder="1" applyAlignment="1" applyProtection="1">
      <alignment horizontal="center" wrapText="1"/>
      <protection hidden="1"/>
    </xf>
    <xf numFmtId="0" fontId="189" fillId="63" borderId="100" xfId="0" applyFont="1" applyFill="1" applyBorder="1" applyAlignment="1" applyProtection="1">
      <alignment horizontal="center" wrapText="1"/>
      <protection hidden="1"/>
    </xf>
    <xf numFmtId="0" fontId="189" fillId="63" borderId="101" xfId="0" applyFont="1" applyFill="1" applyBorder="1" applyAlignment="1" applyProtection="1">
      <alignment horizontal="center" wrapText="1"/>
      <protection hidden="1"/>
    </xf>
    <xf numFmtId="0" fontId="189" fillId="63" borderId="105" xfId="0" applyFont="1" applyFill="1" applyBorder="1" applyAlignment="1" applyProtection="1">
      <alignment horizontal="center" wrapText="1"/>
      <protection hidden="1"/>
    </xf>
    <xf numFmtId="0" fontId="189" fillId="63" borderId="0" xfId="0" applyFont="1" applyFill="1" applyBorder="1" applyAlignment="1" applyProtection="1">
      <alignment horizontal="center" wrapText="1"/>
      <protection hidden="1"/>
    </xf>
    <xf numFmtId="0" fontId="189" fillId="63" borderId="106" xfId="0" applyFont="1" applyFill="1" applyBorder="1" applyAlignment="1" applyProtection="1">
      <alignment horizontal="center" wrapText="1"/>
      <protection hidden="1"/>
    </xf>
    <xf numFmtId="0" fontId="189" fillId="63" borderId="103" xfId="0" applyFont="1" applyFill="1" applyBorder="1" applyAlignment="1" applyProtection="1">
      <alignment horizontal="center" wrapText="1"/>
      <protection hidden="1"/>
    </xf>
    <xf numFmtId="0" fontId="189" fillId="63" borderId="104" xfId="0" applyFont="1" applyFill="1" applyBorder="1" applyAlignment="1" applyProtection="1">
      <alignment horizontal="center" wrapText="1"/>
      <protection hidden="1"/>
    </xf>
    <xf numFmtId="2" fontId="192" fillId="64" borderId="99" xfId="4" applyNumberFormat="1" applyFont="1" applyFill="1" applyBorder="1" applyAlignment="1" applyProtection="1">
      <alignment horizontal="center" vertical="center"/>
      <protection hidden="1"/>
    </xf>
    <xf numFmtId="2" fontId="192" fillId="64" borderId="101" xfId="4" applyNumberFormat="1" applyFont="1" applyFill="1" applyBorder="1" applyAlignment="1" applyProtection="1">
      <alignment horizontal="center" vertical="center"/>
      <protection hidden="1"/>
    </xf>
    <xf numFmtId="2" fontId="192" fillId="64" borderId="102" xfId="4" applyNumberFormat="1" applyFont="1" applyFill="1" applyBorder="1" applyAlignment="1" applyProtection="1">
      <alignment horizontal="center" vertical="center"/>
      <protection hidden="1"/>
    </xf>
    <xf numFmtId="2" fontId="192" fillId="64" borderId="104" xfId="4" applyNumberFormat="1" applyFont="1" applyFill="1" applyBorder="1" applyAlignment="1" applyProtection="1">
      <alignment horizontal="center" vertical="center"/>
      <protection hidden="1"/>
    </xf>
    <xf numFmtId="0" fontId="72" fillId="0" borderId="76" xfId="4" applyFont="1" applyBorder="1" applyAlignment="1" applyProtection="1">
      <alignment horizontal="left"/>
      <protection hidden="1"/>
    </xf>
    <xf numFmtId="0" fontId="86" fillId="0" borderId="76" xfId="4" applyFont="1" applyFill="1" applyBorder="1" applyAlignment="1" applyProtection="1">
      <protection hidden="1"/>
    </xf>
    <xf numFmtId="0" fontId="92" fillId="0" borderId="76" xfId="4" applyFont="1" applyBorder="1" applyAlignment="1" applyProtection="1">
      <alignment horizontal="right" vertical="center"/>
      <protection hidden="1"/>
    </xf>
    <xf numFmtId="0" fontId="99" fillId="0" borderId="0" xfId="3" applyFont="1" applyBorder="1" applyAlignment="1" applyProtection="1">
      <alignment horizontal="center" vertical="center"/>
      <protection hidden="1"/>
    </xf>
    <xf numFmtId="2" fontId="58" fillId="0" borderId="77" xfId="0" applyNumberFormat="1" applyFont="1" applyBorder="1" applyAlignment="1" applyProtection="1">
      <alignment horizontal="right" vertical="center"/>
      <protection hidden="1"/>
    </xf>
    <xf numFmtId="2" fontId="58" fillId="0" borderId="78" xfId="0" applyNumberFormat="1" applyFont="1" applyBorder="1" applyAlignment="1" applyProtection="1">
      <alignment horizontal="right" vertical="center"/>
      <protection hidden="1"/>
    </xf>
    <xf numFmtId="2" fontId="58" fillId="0" borderId="79" xfId="0" applyNumberFormat="1" applyFont="1" applyBorder="1" applyAlignment="1" applyProtection="1">
      <alignment horizontal="right" vertical="center"/>
      <protection hidden="1"/>
    </xf>
    <xf numFmtId="0" fontId="92" fillId="0" borderId="76" xfId="4" applyFont="1" applyBorder="1" applyAlignment="1" applyProtection="1">
      <alignment horizontal="left" vertical="center"/>
      <protection hidden="1"/>
    </xf>
    <xf numFmtId="0" fontId="84" fillId="0" borderId="86" xfId="4" applyFont="1" applyBorder="1" applyAlignment="1" applyProtection="1">
      <alignment horizontal="right" vertical="center"/>
      <protection hidden="1"/>
    </xf>
    <xf numFmtId="0" fontId="84" fillId="0" borderId="87" xfId="4" applyFont="1" applyBorder="1" applyAlignment="1" applyProtection="1">
      <alignment horizontal="right" vertical="center"/>
      <protection hidden="1"/>
    </xf>
    <xf numFmtId="0" fontId="92" fillId="0" borderId="84" xfId="4" applyFont="1" applyBorder="1" applyAlignment="1" applyProtection="1">
      <alignment horizontal="left"/>
      <protection hidden="1"/>
    </xf>
    <xf numFmtId="0" fontId="82" fillId="0" borderId="76" xfId="4" applyFont="1" applyBorder="1" applyAlignment="1" applyProtection="1">
      <alignment horizontal="center" vertical="center"/>
      <protection hidden="1"/>
    </xf>
    <xf numFmtId="0" fontId="246" fillId="0" borderId="76" xfId="4" applyFont="1" applyBorder="1" applyAlignment="1" applyProtection="1">
      <alignment horizontal="center"/>
      <protection hidden="1"/>
    </xf>
    <xf numFmtId="0" fontId="80" fillId="0" borderId="76" xfId="4" applyFont="1" applyBorder="1" applyAlignment="1" applyProtection="1">
      <alignment horizontal="right" vertical="center"/>
      <protection hidden="1"/>
    </xf>
    <xf numFmtId="0" fontId="249" fillId="0" borderId="76" xfId="4" applyFont="1" applyBorder="1" applyAlignment="1" applyProtection="1">
      <alignment horizontal="left" vertical="center" wrapText="1"/>
      <protection hidden="1"/>
    </xf>
    <xf numFmtId="0" fontId="86" fillId="0" borderId="77" xfId="4" applyFont="1" applyBorder="1" applyAlignment="1" applyProtection="1">
      <alignment horizontal="left"/>
      <protection hidden="1"/>
    </xf>
    <xf numFmtId="0" fontId="86" fillId="0" borderId="78" xfId="4" applyFont="1" applyBorder="1" applyAlignment="1" applyProtection="1">
      <alignment horizontal="left"/>
      <protection hidden="1"/>
    </xf>
    <xf numFmtId="0" fontId="86" fillId="0" borderId="79" xfId="4" applyFont="1" applyBorder="1" applyAlignment="1" applyProtection="1">
      <alignment horizontal="left"/>
      <protection hidden="1"/>
    </xf>
    <xf numFmtId="0" fontId="246" fillId="0" borderId="76" xfId="4" applyFont="1" applyBorder="1" applyAlignment="1" applyProtection="1">
      <alignment horizontal="left"/>
      <protection hidden="1"/>
    </xf>
    <xf numFmtId="0" fontId="246" fillId="0" borderId="84" xfId="4" applyFont="1" applyBorder="1" applyAlignment="1" applyProtection="1">
      <alignment horizontal="left"/>
      <protection hidden="1"/>
    </xf>
    <xf numFmtId="0" fontId="86" fillId="0" borderId="77" xfId="4" applyFont="1" applyFill="1" applyBorder="1" applyAlignment="1" applyProtection="1">
      <alignment horizontal="left" vertical="center" wrapText="1"/>
      <protection locked="0"/>
    </xf>
    <xf numFmtId="0" fontId="86" fillId="0" borderId="78" xfId="4" applyFont="1" applyFill="1" applyBorder="1" applyAlignment="1" applyProtection="1">
      <alignment horizontal="left" vertical="center" wrapText="1"/>
      <protection locked="0"/>
    </xf>
    <xf numFmtId="0" fontId="86" fillId="0" borderId="79" xfId="4" applyFont="1" applyFill="1" applyBorder="1" applyAlignment="1" applyProtection="1">
      <alignment horizontal="left" vertical="center" wrapText="1"/>
      <protection locked="0"/>
    </xf>
    <xf numFmtId="0" fontId="72" fillId="0" borderId="76" xfId="4" applyFont="1" applyBorder="1" applyAlignment="1" applyProtection="1">
      <alignment horizontal="center"/>
      <protection hidden="1"/>
    </xf>
    <xf numFmtId="0" fontId="72" fillId="0" borderId="84" xfId="4" applyFont="1" applyBorder="1" applyAlignment="1" applyProtection="1">
      <alignment horizontal="center"/>
      <protection hidden="1"/>
    </xf>
    <xf numFmtId="2" fontId="77" fillId="0" borderId="76" xfId="4" applyNumberFormat="1" applyFont="1" applyBorder="1" applyAlignment="1" applyProtection="1">
      <alignment horizontal="center" vertical="center"/>
      <protection hidden="1"/>
    </xf>
    <xf numFmtId="1" fontId="78" fillId="0" borderId="76" xfId="4" applyNumberFormat="1" applyFont="1" applyBorder="1" applyAlignment="1" applyProtection="1">
      <alignment horizontal="center" vertical="center"/>
      <protection hidden="1"/>
    </xf>
    <xf numFmtId="1" fontId="78" fillId="0" borderId="84" xfId="4" applyNumberFormat="1" applyFont="1" applyBorder="1" applyAlignment="1" applyProtection="1">
      <alignment horizontal="center" vertical="center"/>
      <protection hidden="1"/>
    </xf>
    <xf numFmtId="0" fontId="86" fillId="0" borderId="77" xfId="4" applyFont="1" applyBorder="1" applyAlignment="1" applyProtection="1">
      <alignment horizontal="left" vertical="center"/>
      <protection hidden="1"/>
    </xf>
    <xf numFmtId="0" fontId="86" fillId="0" borderId="78" xfId="4" applyFont="1" applyBorder="1" applyAlignment="1" applyProtection="1">
      <alignment horizontal="left" vertical="center"/>
      <protection hidden="1"/>
    </xf>
    <xf numFmtId="0" fontId="86" fillId="0" borderId="79" xfId="4" applyFont="1" applyBorder="1" applyAlignment="1" applyProtection="1">
      <alignment horizontal="left" vertical="center"/>
      <protection hidden="1"/>
    </xf>
    <xf numFmtId="1" fontId="81" fillId="0" borderId="76" xfId="4" applyNumberFormat="1" applyFont="1" applyBorder="1" applyAlignment="1" applyProtection="1">
      <alignment horizontal="center" vertical="center"/>
      <protection hidden="1"/>
    </xf>
    <xf numFmtId="1" fontId="81" fillId="0" borderId="84" xfId="4" applyNumberFormat="1" applyFont="1" applyBorder="1" applyAlignment="1" applyProtection="1">
      <alignment horizontal="center" vertical="center"/>
      <protection hidden="1"/>
    </xf>
    <xf numFmtId="0" fontId="80" fillId="0" borderId="76" xfId="4" applyFont="1" applyBorder="1" applyAlignment="1" applyProtection="1">
      <alignment horizontal="left" vertical="center" wrapText="1"/>
      <protection hidden="1"/>
    </xf>
    <xf numFmtId="0" fontId="92" fillId="0" borderId="76" xfId="4" applyFont="1" applyBorder="1" applyAlignment="1" applyProtection="1">
      <alignment horizontal="center"/>
      <protection hidden="1"/>
    </xf>
    <xf numFmtId="0" fontId="73" fillId="0" borderId="76" xfId="4" applyFont="1" applyBorder="1" applyAlignment="1" applyProtection="1">
      <alignment horizontal="center" vertical="center"/>
      <protection hidden="1"/>
    </xf>
    <xf numFmtId="0" fontId="243" fillId="0" borderId="76" xfId="4" applyFont="1" applyBorder="1" applyAlignment="1" applyProtection="1">
      <alignment horizontal="left" vertical="center"/>
      <protection hidden="1"/>
    </xf>
    <xf numFmtId="0" fontId="243" fillId="0" borderId="84" xfId="4" applyFont="1" applyBorder="1" applyAlignment="1" applyProtection="1">
      <alignment horizontal="left" vertical="center"/>
      <protection hidden="1"/>
    </xf>
    <xf numFmtId="0" fontId="92" fillId="0" borderId="76" xfId="4" applyFont="1" applyBorder="1" applyAlignment="1" applyProtection="1">
      <alignment horizontal="left"/>
      <protection locked="0"/>
    </xf>
    <xf numFmtId="0" fontId="205" fillId="0" borderId="0" xfId="7" applyFont="1" applyBorder="1" applyAlignment="1" applyProtection="1">
      <alignment horizontal="center" vertical="center" wrapText="1"/>
      <protection hidden="1"/>
    </xf>
    <xf numFmtId="0" fontId="103" fillId="0" borderId="0" xfId="0" applyFont="1" applyAlignment="1" applyProtection="1">
      <alignment horizontal="center" vertical="center" wrapText="1"/>
      <protection hidden="1"/>
    </xf>
    <xf numFmtId="0" fontId="144" fillId="0" borderId="4" xfId="4" applyFont="1" applyBorder="1" applyAlignment="1" applyProtection="1">
      <alignment horizontal="justify" vertical="center" wrapText="1"/>
      <protection hidden="1"/>
    </xf>
    <xf numFmtId="0" fontId="144" fillId="0" borderId="5" xfId="4" applyFont="1" applyBorder="1" applyAlignment="1" applyProtection="1">
      <alignment horizontal="justify" vertical="center" wrapText="1"/>
      <protection hidden="1"/>
    </xf>
    <xf numFmtId="0" fontId="144" fillId="0" borderId="6" xfId="4" applyFont="1" applyBorder="1" applyAlignment="1" applyProtection="1">
      <alignment horizontal="justify" vertical="center" wrapText="1"/>
      <protection hidden="1"/>
    </xf>
    <xf numFmtId="0" fontId="144" fillId="0" borderId="7" xfId="4" applyFont="1" applyBorder="1" applyAlignment="1" applyProtection="1">
      <alignment horizontal="justify" vertical="center" wrapText="1"/>
      <protection hidden="1"/>
    </xf>
    <xf numFmtId="0" fontId="144" fillId="0" borderId="0" xfId="4" applyFont="1" applyBorder="1" applyAlignment="1" applyProtection="1">
      <alignment horizontal="justify" vertical="center" wrapText="1"/>
      <protection hidden="1"/>
    </xf>
    <xf numFmtId="0" fontId="144" fillId="0" borderId="8" xfId="4" applyFont="1" applyBorder="1" applyAlignment="1" applyProtection="1">
      <alignment horizontal="justify" vertical="center" wrapText="1"/>
      <protection hidden="1"/>
    </xf>
    <xf numFmtId="0" fontId="144" fillId="0" borderId="10" xfId="4" applyFont="1" applyBorder="1" applyAlignment="1" applyProtection="1">
      <alignment horizontal="justify" vertical="center" wrapText="1"/>
      <protection hidden="1"/>
    </xf>
    <xf numFmtId="0" fontId="144" fillId="0" borderId="11" xfId="4" applyFont="1" applyBorder="1" applyAlignment="1" applyProtection="1">
      <alignment horizontal="justify" vertical="center" wrapText="1"/>
      <protection hidden="1"/>
    </xf>
    <xf numFmtId="0" fontId="144" fillId="0" borderId="12" xfId="4" applyFont="1" applyBorder="1" applyAlignment="1" applyProtection="1">
      <alignment horizontal="justify" vertical="center" wrapText="1"/>
      <protection hidden="1"/>
    </xf>
    <xf numFmtId="0" fontId="70" fillId="0" borderId="0" xfId="3" applyFont="1" applyAlignment="1" applyProtection="1">
      <alignment horizontal="center" vertical="center"/>
      <protection hidden="1"/>
    </xf>
    <xf numFmtId="0" fontId="72" fillId="0" borderId="81" xfId="4" applyFont="1" applyBorder="1" applyAlignment="1" applyProtection="1">
      <alignment horizontal="left" vertical="center"/>
      <protection hidden="1"/>
    </xf>
    <xf numFmtId="0" fontId="73" fillId="0" borderId="81" xfId="5" applyFont="1" applyFill="1" applyBorder="1" applyAlignment="1" applyProtection="1">
      <alignment horizontal="left" vertical="center"/>
      <protection hidden="1"/>
    </xf>
    <xf numFmtId="0" fontId="73" fillId="0" borderId="81" xfId="4" applyFont="1" applyFill="1" applyBorder="1" applyAlignment="1" applyProtection="1">
      <alignment horizontal="left" vertical="center"/>
      <protection hidden="1"/>
    </xf>
    <xf numFmtId="0" fontId="73" fillId="0" borderId="81" xfId="4" applyFont="1" applyFill="1" applyBorder="1" applyAlignment="1" applyProtection="1">
      <alignment horizontal="center" vertical="center"/>
      <protection hidden="1"/>
    </xf>
    <xf numFmtId="0" fontId="73" fillId="0" borderId="82" xfId="4" applyFont="1" applyFill="1" applyBorder="1" applyAlignment="1" applyProtection="1">
      <alignment horizontal="center" vertical="center"/>
      <protection hidden="1"/>
    </xf>
    <xf numFmtId="0" fontId="71" fillId="0" borderId="0" xfId="3" applyFont="1" applyBorder="1" applyAlignment="1" applyProtection="1">
      <alignment horizontal="right" vertical="center"/>
      <protection hidden="1"/>
    </xf>
    <xf numFmtId="0" fontId="41" fillId="0" borderId="0" xfId="3" applyFont="1" applyBorder="1" applyAlignment="1" applyProtection="1">
      <alignment horizontal="center" vertical="center"/>
      <protection hidden="1"/>
    </xf>
    <xf numFmtId="0" fontId="71" fillId="0" borderId="89" xfId="3" applyFont="1" applyBorder="1" applyAlignment="1" applyProtection="1">
      <alignment horizontal="right" vertical="center"/>
      <protection hidden="1"/>
    </xf>
    <xf numFmtId="0" fontId="134" fillId="88" borderId="0" xfId="3" applyFont="1" applyFill="1" applyBorder="1" applyAlignment="1" applyProtection="1">
      <alignment horizontal="center" vertical="center" wrapText="1"/>
      <protection hidden="1"/>
    </xf>
    <xf numFmtId="0" fontId="134" fillId="88" borderId="0" xfId="3" applyFont="1" applyFill="1" applyBorder="1" applyAlignment="1" applyProtection="1">
      <alignment horizontal="center" vertical="center"/>
      <protection hidden="1"/>
    </xf>
    <xf numFmtId="0" fontId="41" fillId="0" borderId="89" xfId="3" applyFont="1" applyBorder="1" applyAlignment="1" applyProtection="1">
      <alignment horizontal="left" vertical="center"/>
      <protection hidden="1"/>
    </xf>
    <xf numFmtId="1" fontId="77" fillId="0" borderId="76" xfId="4" applyNumberFormat="1" applyFont="1" applyFill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justify" vertical="center" wrapText="1"/>
      <protection hidden="1"/>
    </xf>
    <xf numFmtId="0" fontId="10" fillId="0" borderId="5" xfId="0" applyFont="1" applyBorder="1" applyAlignment="1" applyProtection="1">
      <alignment horizontal="justify" vertical="center" wrapText="1"/>
      <protection hidden="1"/>
    </xf>
    <xf numFmtId="0" fontId="10" fillId="0" borderId="6" xfId="0" applyFont="1" applyBorder="1" applyAlignment="1" applyProtection="1">
      <alignment horizontal="justify" vertical="center" wrapText="1"/>
      <protection hidden="1"/>
    </xf>
    <xf numFmtId="0" fontId="10" fillId="0" borderId="7" xfId="0" applyFont="1" applyBorder="1" applyAlignment="1" applyProtection="1">
      <alignment horizontal="justify" vertical="center" wrapText="1"/>
      <protection hidden="1"/>
    </xf>
    <xf numFmtId="0" fontId="10" fillId="0" borderId="0" xfId="0" applyFont="1" applyBorder="1" applyAlignment="1" applyProtection="1">
      <alignment horizontal="justify" vertical="center" wrapText="1"/>
      <protection hidden="1"/>
    </xf>
    <xf numFmtId="0" fontId="10" fillId="0" borderId="8" xfId="0" applyFont="1" applyBorder="1" applyAlignment="1" applyProtection="1">
      <alignment horizontal="justify" vertical="center" wrapText="1"/>
      <protection hidden="1"/>
    </xf>
    <xf numFmtId="0" fontId="10" fillId="0" borderId="10" xfId="0" applyFont="1" applyBorder="1" applyAlignment="1" applyProtection="1">
      <alignment horizontal="justify" vertical="center" wrapText="1"/>
      <protection hidden="1"/>
    </xf>
    <xf numFmtId="0" fontId="10" fillId="0" borderId="11" xfId="0" applyFont="1" applyBorder="1" applyAlignment="1" applyProtection="1">
      <alignment horizontal="justify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6" fillId="36" borderId="51" xfId="0" applyFont="1" applyFill="1" applyBorder="1" applyAlignment="1" applyProtection="1">
      <alignment horizontal="center"/>
      <protection hidden="1"/>
    </xf>
    <xf numFmtId="0" fontId="6" fillId="36" borderId="37" xfId="0" applyFont="1" applyFill="1" applyBorder="1" applyAlignment="1" applyProtection="1">
      <alignment horizontal="center"/>
      <protection hidden="1"/>
    </xf>
    <xf numFmtId="0" fontId="6" fillId="36" borderId="38" xfId="0" applyFont="1" applyFill="1" applyBorder="1" applyAlignment="1" applyProtection="1">
      <alignment horizontal="center"/>
      <protection hidden="1"/>
    </xf>
    <xf numFmtId="0" fontId="6" fillId="36" borderId="36" xfId="0" applyFont="1" applyFill="1" applyBorder="1" applyAlignment="1" applyProtection="1">
      <alignment horizontal="center"/>
      <protection hidden="1"/>
    </xf>
    <xf numFmtId="0" fontId="6" fillId="36" borderId="50" xfId="0" applyFont="1" applyFill="1" applyBorder="1" applyAlignment="1" applyProtection="1">
      <alignment horizontal="center"/>
      <protection hidden="1"/>
    </xf>
    <xf numFmtId="0" fontId="35" fillId="32" borderId="52" xfId="0" applyFont="1" applyFill="1" applyBorder="1" applyAlignment="1" applyProtection="1">
      <alignment horizontal="left" vertical="top"/>
      <protection hidden="1"/>
    </xf>
    <xf numFmtId="0" fontId="35" fillId="32" borderId="40" xfId="0" applyFont="1" applyFill="1" applyBorder="1" applyAlignment="1" applyProtection="1">
      <alignment horizontal="left" vertical="top"/>
      <protection hidden="1"/>
    </xf>
    <xf numFmtId="0" fontId="35" fillId="32" borderId="41" xfId="0" applyFont="1" applyFill="1" applyBorder="1" applyAlignment="1" applyProtection="1">
      <alignment horizontal="left" vertical="top"/>
      <protection hidden="1"/>
    </xf>
    <xf numFmtId="1" fontId="57" fillId="0" borderId="36" xfId="0" applyNumberFormat="1" applyFont="1" applyBorder="1" applyAlignment="1" applyProtection="1">
      <alignment horizontal="center"/>
      <protection locked="0"/>
    </xf>
    <xf numFmtId="0" fontId="57" fillId="0" borderId="36" xfId="0" applyFont="1" applyBorder="1" applyAlignment="1" applyProtection="1">
      <alignment horizontal="center"/>
      <protection locked="0"/>
    </xf>
    <xf numFmtId="0" fontId="57" fillId="0" borderId="50" xfId="0" applyFont="1" applyBorder="1" applyAlignment="1" applyProtection="1">
      <alignment horizontal="center"/>
      <protection locked="0"/>
    </xf>
    <xf numFmtId="0" fontId="35" fillId="32" borderId="53" xfId="0" applyFont="1" applyFill="1" applyBorder="1" applyAlignment="1" applyProtection="1">
      <alignment horizontal="left" vertical="top"/>
      <protection hidden="1"/>
    </xf>
    <xf numFmtId="0" fontId="35" fillId="32" borderId="42" xfId="0" applyFont="1" applyFill="1" applyBorder="1" applyAlignment="1" applyProtection="1">
      <alignment horizontal="left" vertical="top"/>
      <protection hidden="1"/>
    </xf>
    <xf numFmtId="0" fontId="35" fillId="32" borderId="43" xfId="0" applyFont="1" applyFill="1" applyBorder="1" applyAlignment="1" applyProtection="1">
      <alignment horizontal="left" vertical="top"/>
      <protection hidden="1"/>
    </xf>
    <xf numFmtId="1" fontId="107" fillId="0" borderId="36" xfId="0" applyNumberFormat="1" applyFont="1" applyBorder="1" applyAlignment="1" applyProtection="1">
      <alignment horizontal="center"/>
      <protection locked="0"/>
    </xf>
    <xf numFmtId="0" fontId="107" fillId="0" borderId="36" xfId="0" applyFont="1" applyBorder="1" applyAlignment="1" applyProtection="1">
      <alignment horizontal="center"/>
      <protection locked="0"/>
    </xf>
    <xf numFmtId="0" fontId="107" fillId="0" borderId="50" xfId="0" applyFont="1" applyBorder="1" applyAlignment="1" applyProtection="1">
      <alignment horizontal="center"/>
      <protection locked="0"/>
    </xf>
    <xf numFmtId="0" fontId="35" fillId="32" borderId="54" xfId="0" applyFont="1" applyFill="1" applyBorder="1" applyAlignment="1" applyProtection="1">
      <alignment horizontal="left" vertical="top" wrapText="1"/>
      <protection hidden="1"/>
    </xf>
    <xf numFmtId="0" fontId="35" fillId="32" borderId="55" xfId="0" applyFont="1" applyFill="1" applyBorder="1" applyAlignment="1" applyProtection="1">
      <alignment horizontal="left" vertical="top" wrapText="1"/>
      <protection hidden="1"/>
    </xf>
    <xf numFmtId="0" fontId="35" fillId="32" borderId="56" xfId="0" applyFont="1" applyFill="1" applyBorder="1" applyAlignment="1" applyProtection="1">
      <alignment horizontal="left" vertical="top" wrapText="1"/>
      <protection hidden="1"/>
    </xf>
    <xf numFmtId="1" fontId="10" fillId="50" borderId="57" xfId="0" applyNumberFormat="1" applyFont="1" applyFill="1" applyBorder="1" applyAlignment="1" applyProtection="1">
      <alignment horizontal="center" vertical="center"/>
      <protection locked="0"/>
    </xf>
    <xf numFmtId="0" fontId="10" fillId="50" borderId="57" xfId="0" applyFont="1" applyFill="1" applyBorder="1" applyAlignment="1" applyProtection="1">
      <alignment horizontal="center" vertical="center"/>
      <protection locked="0"/>
    </xf>
    <xf numFmtId="0" fontId="10" fillId="50" borderId="58" xfId="0" applyFont="1" applyFill="1" applyBorder="1" applyAlignment="1" applyProtection="1">
      <alignment horizontal="center" vertical="center"/>
      <protection locked="0"/>
    </xf>
    <xf numFmtId="0" fontId="33" fillId="46" borderId="33" xfId="0" applyFont="1" applyFill="1" applyBorder="1" applyAlignment="1" applyProtection="1">
      <alignment horizontal="center"/>
      <protection hidden="1"/>
    </xf>
    <xf numFmtId="0" fontId="33" fillId="46" borderId="34" xfId="0" applyFont="1" applyFill="1" applyBorder="1" applyAlignment="1" applyProtection="1">
      <alignment horizontal="center"/>
      <protection hidden="1"/>
    </xf>
    <xf numFmtId="0" fontId="33" fillId="46" borderId="35" xfId="0" applyFont="1" applyFill="1" applyBorder="1" applyAlignment="1" applyProtection="1">
      <alignment horizontal="center"/>
      <protection hidden="1"/>
    </xf>
    <xf numFmtId="0" fontId="6" fillId="36" borderId="39" xfId="0" applyFont="1" applyFill="1" applyBorder="1" applyAlignment="1" applyProtection="1">
      <alignment horizontal="center"/>
      <protection hidden="1"/>
    </xf>
    <xf numFmtId="0" fontId="106" fillId="24" borderId="0" xfId="0" applyFont="1" applyFill="1" applyAlignment="1" applyProtection="1">
      <alignment horizontal="center" vertical="center"/>
      <protection hidden="1"/>
    </xf>
    <xf numFmtId="0" fontId="106" fillId="24" borderId="0" xfId="0" applyFont="1" applyFill="1" applyBorder="1" applyAlignment="1" applyProtection="1">
      <alignment horizontal="center" vertical="center"/>
      <protection hidden="1"/>
    </xf>
    <xf numFmtId="0" fontId="34" fillId="33" borderId="59" xfId="0" applyFont="1" applyFill="1" applyBorder="1" applyAlignment="1" applyProtection="1">
      <alignment horizontal="right" vertical="center"/>
      <protection hidden="1"/>
    </xf>
    <xf numFmtId="0" fontId="34" fillId="33" borderId="47" xfId="0" applyFont="1" applyFill="1" applyBorder="1" applyAlignment="1" applyProtection="1">
      <alignment horizontal="right" vertical="center"/>
      <protection hidden="1"/>
    </xf>
    <xf numFmtId="0" fontId="34" fillId="34" borderId="47" xfId="0" applyFont="1" applyFill="1" applyBorder="1" applyAlignment="1" applyProtection="1">
      <alignment horizontal="left" vertical="center"/>
      <protection hidden="1"/>
    </xf>
    <xf numFmtId="0" fontId="34" fillId="34" borderId="48" xfId="0" applyFont="1" applyFill="1" applyBorder="1" applyAlignment="1" applyProtection="1">
      <alignment horizontal="left" vertical="center"/>
      <protection hidden="1"/>
    </xf>
    <xf numFmtId="0" fontId="34" fillId="33" borderId="60" xfId="0" applyFont="1" applyFill="1" applyBorder="1" applyAlignment="1" applyProtection="1">
      <alignment horizontal="right" vertical="center"/>
      <protection hidden="1"/>
    </xf>
    <xf numFmtId="0" fontId="34" fillId="33" borderId="36" xfId="0" applyFont="1" applyFill="1" applyBorder="1" applyAlignment="1" applyProtection="1">
      <alignment horizontal="right" vertical="center"/>
      <protection hidden="1"/>
    </xf>
    <xf numFmtId="0" fontId="34" fillId="0" borderId="36" xfId="0" applyFont="1" applyBorder="1" applyAlignment="1" applyProtection="1">
      <alignment horizontal="left" vertical="center"/>
      <protection locked="0"/>
    </xf>
    <xf numFmtId="0" fontId="34" fillId="0" borderId="50" xfId="0" applyFont="1" applyBorder="1" applyAlignment="1" applyProtection="1">
      <alignment horizontal="left" vertical="center"/>
      <protection locked="0"/>
    </xf>
    <xf numFmtId="0" fontId="34" fillId="33" borderId="61" xfId="0" applyFont="1" applyFill="1" applyBorder="1" applyAlignment="1" applyProtection="1">
      <alignment horizontal="right" vertical="center"/>
      <protection hidden="1"/>
    </xf>
    <xf numFmtId="0" fontId="34" fillId="33" borderId="57" xfId="0" applyFont="1" applyFill="1" applyBorder="1" applyAlignment="1" applyProtection="1">
      <alignment horizontal="right" vertical="center"/>
      <protection hidden="1"/>
    </xf>
    <xf numFmtId="0" fontId="34" fillId="34" borderId="57" xfId="0" applyFont="1" applyFill="1" applyBorder="1" applyAlignment="1" applyProtection="1">
      <alignment horizontal="left" vertical="center"/>
      <protection hidden="1"/>
    </xf>
    <xf numFmtId="0" fontId="34" fillId="35" borderId="57" xfId="0" applyFont="1" applyFill="1" applyBorder="1" applyAlignment="1" applyProtection="1">
      <alignment horizontal="center"/>
      <protection hidden="1"/>
    </xf>
    <xf numFmtId="0" fontId="34" fillId="0" borderId="57" xfId="0" applyFont="1" applyBorder="1" applyAlignment="1" applyProtection="1">
      <alignment horizontal="left" vertical="center"/>
      <protection locked="0"/>
    </xf>
    <xf numFmtId="0" fontId="34" fillId="0" borderId="58" xfId="0" applyFont="1" applyBorder="1" applyAlignment="1" applyProtection="1">
      <alignment horizontal="left" vertical="center"/>
      <protection locked="0"/>
    </xf>
    <xf numFmtId="0" fontId="6" fillId="36" borderId="44" xfId="0" applyFont="1" applyFill="1" applyBorder="1" applyAlignment="1" applyProtection="1">
      <alignment horizontal="center"/>
      <protection hidden="1"/>
    </xf>
    <xf numFmtId="0" fontId="6" fillId="36" borderId="45" xfId="0" applyFont="1" applyFill="1" applyBorder="1" applyAlignment="1" applyProtection="1">
      <alignment horizontal="center"/>
      <protection hidden="1"/>
    </xf>
    <xf numFmtId="0" fontId="6" fillId="36" borderId="46" xfId="0" applyFont="1" applyFill="1" applyBorder="1" applyAlignment="1" applyProtection="1">
      <alignment horizontal="center"/>
      <protection hidden="1"/>
    </xf>
    <xf numFmtId="0" fontId="6" fillId="36" borderId="47" xfId="0" applyFont="1" applyFill="1" applyBorder="1" applyAlignment="1" applyProtection="1">
      <alignment horizontal="center"/>
      <protection hidden="1"/>
    </xf>
    <xf numFmtId="0" fontId="6" fillId="36" borderId="48" xfId="0" applyFont="1" applyFill="1" applyBorder="1" applyAlignment="1" applyProtection="1">
      <alignment horizontal="center"/>
      <protection hidden="1"/>
    </xf>
    <xf numFmtId="0" fontId="35" fillId="32" borderId="49" xfId="0" applyFont="1" applyFill="1" applyBorder="1" applyAlignment="1" applyProtection="1">
      <alignment horizontal="left" vertical="top"/>
      <protection hidden="1"/>
    </xf>
    <xf numFmtId="0" fontId="35" fillId="32" borderId="0" xfId="0" applyFont="1" applyFill="1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" fontId="1" fillId="0" borderId="9" xfId="0" applyNumberFormat="1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28" xfId="0" applyFont="1" applyBorder="1" applyAlignment="1" applyProtection="1">
      <alignment horizontal="center" vertical="center"/>
      <protection hidden="1"/>
    </xf>
    <xf numFmtId="1" fontId="6" fillId="0" borderId="9" xfId="0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57" fillId="0" borderId="16" xfId="0" applyFont="1" applyBorder="1" applyAlignment="1" applyProtection="1">
      <alignment horizontal="center" vertical="center"/>
      <protection hidden="1"/>
    </xf>
    <xf numFmtId="0" fontId="57" fillId="0" borderId="28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64" fillId="0" borderId="9" xfId="0" applyFont="1" applyBorder="1" applyAlignment="1" applyProtection="1">
      <alignment horizontal="left" vertical="top"/>
      <protection hidden="1"/>
    </xf>
    <xf numFmtId="0" fontId="36" fillId="0" borderId="9" xfId="0" applyFont="1" applyBorder="1" applyAlignment="1" applyProtection="1">
      <alignment horizontal="center" vertical="center"/>
      <protection hidden="1"/>
    </xf>
    <xf numFmtId="0" fontId="64" fillId="0" borderId="9" xfId="0" applyFont="1" applyBorder="1" applyAlignment="1" applyProtection="1">
      <alignment horizontal="left" vertical="top" wrapText="1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62" fillId="0" borderId="9" xfId="0" applyFont="1" applyBorder="1" applyAlignment="1" applyProtection="1">
      <alignment horizontal="center" vertical="center" wrapText="1"/>
      <protection hidden="1"/>
    </xf>
    <xf numFmtId="0" fontId="251" fillId="0" borderId="9" xfId="0" applyFont="1" applyBorder="1" applyAlignment="1" applyProtection="1">
      <alignment horizontal="center" vertical="center"/>
      <protection hidden="1"/>
    </xf>
    <xf numFmtId="0" fontId="35" fillId="0" borderId="9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35" fillId="0" borderId="9" xfId="0" applyNumberFormat="1" applyFont="1" applyBorder="1" applyAlignment="1" applyProtection="1">
      <alignment horizontal="center" vertical="center"/>
      <protection hidden="1"/>
    </xf>
    <xf numFmtId="1" fontId="103" fillId="0" borderId="9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05" fillId="0" borderId="0" xfId="0" applyFont="1" applyAlignment="1" applyProtection="1">
      <alignment horizontal="center"/>
      <protection hidden="1"/>
    </xf>
    <xf numFmtId="0" fontId="67" fillId="0" borderId="0" xfId="0" applyFont="1" applyBorder="1" applyAlignment="1" applyProtection="1">
      <alignment horizontal="center" vertical="center"/>
      <protection hidden="1"/>
    </xf>
    <xf numFmtId="0" fontId="62" fillId="0" borderId="9" xfId="0" applyFont="1" applyBorder="1" applyAlignment="1" applyProtection="1">
      <alignment horizontal="left" vertical="top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104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35" fillId="0" borderId="9" xfId="0" applyFont="1" applyBorder="1" applyAlignment="1" applyProtection="1">
      <alignment horizontal="left" vertical="center"/>
      <protection hidden="1"/>
    </xf>
    <xf numFmtId="0" fontId="65" fillId="0" borderId="9" xfId="0" applyFont="1" applyBorder="1" applyAlignment="1" applyProtection="1">
      <alignment horizontal="left" vertical="top" wrapText="1"/>
      <protection hidden="1"/>
    </xf>
    <xf numFmtId="1" fontId="103" fillId="0" borderId="16" xfId="0" applyNumberFormat="1" applyFont="1" applyBorder="1" applyAlignment="1" applyProtection="1">
      <alignment horizontal="center" vertical="center"/>
      <protection hidden="1"/>
    </xf>
    <xf numFmtId="0" fontId="103" fillId="0" borderId="27" xfId="0" applyFont="1" applyBorder="1" applyAlignment="1" applyProtection="1">
      <alignment horizontal="center" vertical="center"/>
      <protection hidden="1"/>
    </xf>
    <xf numFmtId="0" fontId="103" fillId="0" borderId="28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65" fillId="0" borderId="0" xfId="0" applyNumberFormat="1" applyFont="1" applyAlignment="1" applyProtection="1">
      <alignment horizontal="left" vertical="top" wrapText="1"/>
      <protection hidden="1"/>
    </xf>
    <xf numFmtId="0" fontId="108" fillId="0" borderId="0" xfId="0" applyFont="1" applyBorder="1" applyAlignment="1" applyProtection="1">
      <alignment horizontal="center" vertical="center" wrapText="1"/>
      <protection hidden="1"/>
    </xf>
    <xf numFmtId="0" fontId="166" fillId="0" borderId="0" xfId="0" applyFont="1" applyBorder="1" applyAlignment="1" applyProtection="1">
      <alignment horizontal="center" vertical="center" wrapText="1"/>
      <protection hidden="1"/>
    </xf>
    <xf numFmtId="0" fontId="108" fillId="0" borderId="0" xfId="0" applyFont="1" applyBorder="1" applyAlignment="1" applyProtection="1">
      <alignment horizontal="left" vertical="center" wrapText="1"/>
      <protection hidden="1"/>
    </xf>
    <xf numFmtId="0" fontId="165" fillId="0" borderId="0" xfId="0" applyFont="1" applyBorder="1" applyAlignment="1" applyProtection="1">
      <alignment horizontal="center" vertical="center" wrapText="1"/>
      <protection hidden="1"/>
    </xf>
    <xf numFmtId="0" fontId="164" fillId="25" borderId="0" xfId="0" applyFont="1" applyFill="1" applyBorder="1" applyAlignment="1" applyProtection="1">
      <alignment horizontal="center" vertical="center" wrapText="1"/>
      <protection locked="0"/>
    </xf>
    <xf numFmtId="14" fontId="164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182" fillId="0" borderId="0" xfId="0" applyFont="1" applyBorder="1" applyAlignment="1" applyProtection="1">
      <alignment horizontal="right" vertical="center" wrapText="1"/>
      <protection hidden="1"/>
    </xf>
    <xf numFmtId="0" fontId="181" fillId="0" borderId="0" xfId="0" applyFont="1" applyBorder="1" applyAlignment="1" applyProtection="1">
      <alignment horizontal="center" wrapText="1"/>
      <protection hidden="1"/>
    </xf>
    <xf numFmtId="0" fontId="169" fillId="0" borderId="0" xfId="0" applyFont="1" applyBorder="1" applyAlignment="1" applyProtection="1">
      <alignment horizontal="center" vertical="center" wrapText="1"/>
      <protection hidden="1"/>
    </xf>
    <xf numFmtId="0" fontId="181" fillId="0" borderId="0" xfId="0" applyFont="1" applyFill="1" applyBorder="1" applyAlignment="1" applyProtection="1">
      <alignment horizontal="center" vertical="center" wrapText="1"/>
      <protection hidden="1"/>
    </xf>
    <xf numFmtId="0" fontId="181" fillId="0" borderId="0" xfId="0" applyFont="1" applyBorder="1" applyAlignment="1" applyProtection="1">
      <alignment horizontal="justify" vertical="center" wrapText="1"/>
      <protection hidden="1"/>
    </xf>
    <xf numFmtId="0" fontId="164" fillId="0" borderId="98" xfId="0" applyFont="1" applyBorder="1" applyAlignment="1" applyProtection="1">
      <alignment horizontal="left" vertical="center" wrapText="1"/>
      <protection hidden="1"/>
    </xf>
    <xf numFmtId="169" fontId="170" fillId="0" borderId="98" xfId="0" applyNumberFormat="1" applyFont="1" applyFill="1" applyBorder="1" applyAlignment="1" applyProtection="1">
      <alignment horizontal="center" vertical="center" wrapText="1"/>
      <protection hidden="1"/>
    </xf>
    <xf numFmtId="0" fontId="170" fillId="0" borderId="98" xfId="0" applyFont="1" applyFill="1" applyBorder="1" applyAlignment="1" applyProtection="1">
      <alignment horizontal="center" vertical="center" wrapText="1"/>
      <protection hidden="1"/>
    </xf>
    <xf numFmtId="0" fontId="188" fillId="0" borderId="100" xfId="0" applyFont="1" applyBorder="1" applyAlignment="1" applyProtection="1">
      <alignment horizontal="center" vertical="center" wrapText="1"/>
      <protection hidden="1"/>
    </xf>
    <xf numFmtId="0" fontId="169" fillId="0" borderId="0" xfId="0" applyFont="1" applyFill="1" applyBorder="1" applyAlignment="1" applyProtection="1">
      <alignment horizontal="left" vertical="center" wrapText="1"/>
      <protection hidden="1"/>
    </xf>
    <xf numFmtId="0" fontId="181" fillId="0" borderId="0" xfId="0" applyFont="1" applyFill="1" applyBorder="1" applyAlignment="1" applyProtection="1">
      <alignment horizontal="center" wrapText="1"/>
      <protection hidden="1"/>
    </xf>
    <xf numFmtId="0" fontId="95" fillId="0" borderId="115" xfId="4" applyFont="1" applyBorder="1" applyAlignment="1" applyProtection="1">
      <alignment horizontal="right" vertical="center"/>
      <protection hidden="1"/>
    </xf>
    <xf numFmtId="0" fontId="95" fillId="0" borderId="116" xfId="4" applyFont="1" applyBorder="1" applyAlignment="1" applyProtection="1">
      <alignment horizontal="right" vertical="center"/>
      <protection hidden="1"/>
    </xf>
    <xf numFmtId="0" fontId="95" fillId="0" borderId="117" xfId="4" applyFont="1" applyBorder="1" applyAlignment="1" applyProtection="1">
      <alignment horizontal="right" vertical="center"/>
      <protection hidden="1"/>
    </xf>
    <xf numFmtId="0" fontId="164" fillId="0" borderId="105" xfId="0" applyFont="1" applyBorder="1" applyAlignment="1" applyProtection="1">
      <alignment horizontal="left" vertical="center" wrapText="1"/>
      <protection hidden="1"/>
    </xf>
    <xf numFmtId="0" fontId="164" fillId="0" borderId="0" xfId="0" applyFont="1" applyBorder="1" applyAlignment="1" applyProtection="1">
      <alignment horizontal="left" vertical="center" wrapText="1"/>
      <protection hidden="1"/>
    </xf>
    <xf numFmtId="0" fontId="164" fillId="0" borderId="100" xfId="0" applyFont="1" applyBorder="1" applyAlignment="1" applyProtection="1">
      <alignment horizontal="left" vertical="center" wrapText="1"/>
      <protection hidden="1"/>
    </xf>
    <xf numFmtId="0" fontId="164" fillId="0" borderId="116" xfId="0" applyFont="1" applyBorder="1" applyAlignment="1" applyProtection="1">
      <alignment horizontal="left" vertical="center" wrapText="1"/>
      <protection hidden="1"/>
    </xf>
    <xf numFmtId="0" fontId="164" fillId="0" borderId="117" xfId="0" applyFont="1" applyBorder="1" applyAlignment="1" applyProtection="1">
      <alignment horizontal="left" vertical="center" wrapText="1"/>
      <protection hidden="1"/>
    </xf>
    <xf numFmtId="0" fontId="164" fillId="0" borderId="115" xfId="0" applyFont="1" applyBorder="1" applyAlignment="1" applyProtection="1">
      <alignment horizontal="left" vertical="center" wrapText="1"/>
      <protection hidden="1"/>
    </xf>
    <xf numFmtId="169" fontId="164" fillId="0" borderId="98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116" xfId="0" applyBorder="1"/>
    <xf numFmtId="0" fontId="170" fillId="0" borderId="115" xfId="0" applyFont="1" applyBorder="1" applyAlignment="1" applyProtection="1">
      <alignment horizontal="left" vertical="center" wrapText="1"/>
      <protection hidden="1"/>
    </xf>
    <xf numFmtId="0" fontId="170" fillId="0" borderId="116" xfId="0" applyFont="1" applyBorder="1" applyAlignment="1" applyProtection="1">
      <alignment horizontal="left" vertical="center" wrapText="1"/>
      <protection hidden="1"/>
    </xf>
    <xf numFmtId="0" fontId="170" fillId="0" borderId="117" xfId="0" applyFont="1" applyBorder="1" applyAlignment="1" applyProtection="1">
      <alignment horizontal="left" vertical="center" wrapText="1"/>
      <protection hidden="1"/>
    </xf>
    <xf numFmtId="0" fontId="165" fillId="0" borderId="116" xfId="0" applyFont="1" applyBorder="1" applyAlignment="1" applyProtection="1">
      <alignment horizontal="left" vertical="center" wrapText="1"/>
      <protection hidden="1"/>
    </xf>
    <xf numFmtId="0" fontId="165" fillId="0" borderId="117" xfId="0" applyFont="1" applyBorder="1" applyAlignment="1" applyProtection="1">
      <alignment horizontal="left" vertical="center" wrapText="1"/>
      <protection hidden="1"/>
    </xf>
    <xf numFmtId="169" fontId="170" fillId="0" borderId="115" xfId="0" applyNumberFormat="1" applyFont="1" applyFill="1" applyBorder="1" applyAlignment="1" applyProtection="1">
      <alignment horizontal="left" vertical="center" wrapText="1"/>
      <protection hidden="1"/>
    </xf>
    <xf numFmtId="169" fontId="170" fillId="0" borderId="117" xfId="0" applyNumberFormat="1" applyFont="1" applyFill="1" applyBorder="1" applyAlignment="1" applyProtection="1">
      <alignment horizontal="left" vertical="center" wrapText="1"/>
      <protection hidden="1"/>
    </xf>
    <xf numFmtId="0" fontId="164" fillId="25" borderId="115" xfId="0" applyFont="1" applyFill="1" applyBorder="1" applyAlignment="1" applyProtection="1">
      <alignment horizontal="left" vertical="center" wrapText="1"/>
      <protection hidden="1"/>
    </xf>
    <xf numFmtId="0" fontId="164" fillId="25" borderId="116" xfId="0" applyFont="1" applyFill="1" applyBorder="1" applyAlignment="1" applyProtection="1">
      <alignment horizontal="left" vertical="center" wrapText="1"/>
      <protection hidden="1"/>
    </xf>
    <xf numFmtId="0" fontId="164" fillId="25" borderId="117" xfId="0" applyFont="1" applyFill="1" applyBorder="1" applyAlignment="1" applyProtection="1">
      <alignment horizontal="left" vertical="center" wrapText="1"/>
      <protection hidden="1"/>
    </xf>
    <xf numFmtId="0" fontId="165" fillId="0" borderId="98" xfId="0" applyFont="1" applyBorder="1" applyAlignment="1" applyProtection="1">
      <alignment horizontal="center" vertical="center" wrapText="1"/>
      <protection hidden="1"/>
    </xf>
    <xf numFmtId="0" fontId="167" fillId="0" borderId="98" xfId="0" applyFont="1" applyBorder="1" applyAlignment="1" applyProtection="1">
      <alignment horizontal="center" vertical="center" wrapText="1"/>
      <protection hidden="1"/>
    </xf>
    <xf numFmtId="169" fontId="169" fillId="0" borderId="115" xfId="0" applyNumberFormat="1" applyFont="1" applyFill="1" applyBorder="1" applyAlignment="1" applyProtection="1">
      <alignment horizontal="center" vertical="center" wrapText="1"/>
      <protection hidden="1"/>
    </xf>
    <xf numFmtId="169" fontId="169" fillId="0" borderId="117" xfId="0" applyNumberFormat="1" applyFont="1" applyFill="1" applyBorder="1" applyAlignment="1" applyProtection="1">
      <alignment horizontal="center" vertical="center" wrapText="1"/>
      <protection hidden="1"/>
    </xf>
    <xf numFmtId="169" fontId="169" fillId="32" borderId="98" xfId="0" applyNumberFormat="1" applyFont="1" applyFill="1" applyBorder="1" applyAlignment="1" applyProtection="1">
      <alignment horizontal="center" vertical="center" wrapText="1"/>
      <protection hidden="1"/>
    </xf>
    <xf numFmtId="169" fontId="147" fillId="11" borderId="98" xfId="0" applyNumberFormat="1" applyFont="1" applyFill="1" applyBorder="1" applyAlignment="1" applyProtection="1">
      <alignment horizontal="center" vertical="center" wrapText="1"/>
      <protection hidden="1"/>
    </xf>
    <xf numFmtId="169" fontId="169" fillId="0" borderId="98" xfId="0" applyNumberFormat="1" applyFont="1" applyFill="1" applyBorder="1" applyAlignment="1" applyProtection="1">
      <alignment horizontal="center" vertical="center" wrapText="1"/>
      <protection hidden="1"/>
    </xf>
    <xf numFmtId="0" fontId="187" fillId="62" borderId="98" xfId="0" applyFont="1" applyFill="1" applyBorder="1" applyAlignment="1" applyProtection="1">
      <alignment horizontal="left" vertical="center" wrapText="1"/>
      <protection hidden="1"/>
    </xf>
    <xf numFmtId="0" fontId="170" fillId="62" borderId="98" xfId="0" applyFont="1" applyFill="1" applyBorder="1" applyAlignment="1" applyProtection="1">
      <alignment horizontal="center" vertical="center" wrapText="1"/>
      <protection hidden="1"/>
    </xf>
    <xf numFmtId="169" fontId="170" fillId="0" borderId="91" xfId="0" applyNumberFormat="1" applyFont="1" applyFill="1" applyBorder="1" applyAlignment="1" applyProtection="1">
      <alignment horizontal="right" vertical="center" wrapText="1"/>
      <protection hidden="1"/>
    </xf>
    <xf numFmtId="0" fontId="186" fillId="0" borderId="91" xfId="0" applyFont="1" applyBorder="1" applyAlignment="1" applyProtection="1">
      <alignment horizontal="left" vertical="center"/>
      <protection hidden="1"/>
    </xf>
    <xf numFmtId="169" fontId="168" fillId="0" borderId="91" xfId="0" applyNumberFormat="1" applyFont="1" applyFill="1" applyBorder="1" applyAlignment="1" applyProtection="1">
      <alignment horizontal="center" vertical="center" wrapText="1"/>
      <protection hidden="1"/>
    </xf>
    <xf numFmtId="0" fontId="183" fillId="0" borderId="91" xfId="0" applyFont="1" applyBorder="1" applyAlignment="1" applyProtection="1">
      <alignment horizontal="left" vertical="center" wrapText="1"/>
      <protection hidden="1"/>
    </xf>
    <xf numFmtId="169" fontId="166" fillId="0" borderId="91" xfId="0" applyNumberFormat="1" applyFont="1" applyFill="1" applyBorder="1" applyAlignment="1" applyProtection="1">
      <alignment horizontal="right" vertical="center" wrapText="1"/>
      <protection hidden="1"/>
    </xf>
    <xf numFmtId="169" fontId="170" fillId="0" borderId="91" xfId="0" applyNumberFormat="1" applyFont="1" applyFill="1" applyBorder="1" applyAlignment="1" applyProtection="1">
      <alignment horizontal="center" vertical="center" wrapText="1"/>
      <protection hidden="1"/>
    </xf>
    <xf numFmtId="169" fontId="88" fillId="25" borderId="109" xfId="0" applyNumberFormat="1" applyFont="1" applyFill="1" applyBorder="1" applyAlignment="1" applyProtection="1">
      <alignment horizontal="center" vertical="center" wrapText="1"/>
      <protection hidden="1"/>
    </xf>
    <xf numFmtId="169" fontId="88" fillId="25" borderId="110" xfId="0" applyNumberFormat="1" applyFont="1" applyFill="1" applyBorder="1" applyAlignment="1" applyProtection="1">
      <alignment horizontal="center" vertical="center" wrapText="1"/>
      <protection hidden="1"/>
    </xf>
    <xf numFmtId="169" fontId="88" fillId="25" borderId="111" xfId="0" applyNumberFormat="1" applyFont="1" applyFill="1" applyBorder="1" applyAlignment="1" applyProtection="1">
      <alignment horizontal="center" vertical="center" wrapText="1"/>
      <protection hidden="1"/>
    </xf>
    <xf numFmtId="169" fontId="88" fillId="25" borderId="112" xfId="0" applyNumberFormat="1" applyFont="1" applyFill="1" applyBorder="1" applyAlignment="1" applyProtection="1">
      <alignment horizontal="center" vertical="center" wrapText="1"/>
      <protection hidden="1"/>
    </xf>
    <xf numFmtId="169" fontId="88" fillId="25" borderId="113" xfId="0" applyNumberFormat="1" applyFont="1" applyFill="1" applyBorder="1" applyAlignment="1" applyProtection="1">
      <alignment horizontal="center" vertical="center" wrapText="1"/>
      <protection hidden="1"/>
    </xf>
    <xf numFmtId="169" fontId="88" fillId="25" borderId="114" xfId="0" applyNumberFormat="1" applyFont="1" applyFill="1" applyBorder="1" applyAlignment="1" applyProtection="1">
      <alignment horizontal="center" vertical="center" wrapText="1"/>
      <protection hidden="1"/>
    </xf>
    <xf numFmtId="169" fontId="168" fillId="25" borderId="109" xfId="0" applyNumberFormat="1" applyFont="1" applyFill="1" applyBorder="1" applyAlignment="1" applyProtection="1">
      <alignment horizontal="center" vertical="center" wrapText="1"/>
      <protection hidden="1"/>
    </xf>
    <xf numFmtId="169" fontId="168" fillId="25" borderId="110" xfId="0" applyNumberFormat="1" applyFont="1" applyFill="1" applyBorder="1" applyAlignment="1" applyProtection="1">
      <alignment horizontal="center" vertical="center" wrapText="1"/>
      <protection hidden="1"/>
    </xf>
    <xf numFmtId="169" fontId="168" fillId="25" borderId="111" xfId="0" applyNumberFormat="1" applyFont="1" applyFill="1" applyBorder="1" applyAlignment="1" applyProtection="1">
      <alignment horizontal="center" vertical="center" wrapText="1"/>
      <protection hidden="1"/>
    </xf>
    <xf numFmtId="169" fontId="168" fillId="25" borderId="112" xfId="0" applyNumberFormat="1" applyFont="1" applyFill="1" applyBorder="1" applyAlignment="1" applyProtection="1">
      <alignment horizontal="center" vertical="center" wrapText="1"/>
      <protection hidden="1"/>
    </xf>
    <xf numFmtId="169" fontId="168" fillId="25" borderId="113" xfId="0" applyNumberFormat="1" applyFont="1" applyFill="1" applyBorder="1" applyAlignment="1" applyProtection="1">
      <alignment horizontal="center" vertical="center" wrapText="1"/>
      <protection hidden="1"/>
    </xf>
    <xf numFmtId="169" fontId="168" fillId="25" borderId="11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91" xfId="0" applyBorder="1" applyAlignment="1" applyProtection="1">
      <alignment horizontal="center" vertical="center"/>
      <protection hidden="1"/>
    </xf>
    <xf numFmtId="0" fontId="169" fillId="0" borderId="91" xfId="0" applyFont="1" applyBorder="1" applyAlignment="1" applyProtection="1">
      <alignment horizontal="center" vertical="center" wrapText="1"/>
      <protection hidden="1"/>
    </xf>
    <xf numFmtId="0" fontId="260" fillId="0" borderId="91" xfId="0" applyFont="1" applyBorder="1" applyAlignment="1" applyProtection="1">
      <alignment horizontal="left" vertical="center"/>
      <protection hidden="1"/>
    </xf>
    <xf numFmtId="0" fontId="105" fillId="0" borderId="91" xfId="0" applyFont="1" applyBorder="1" applyAlignment="1" applyProtection="1">
      <alignment horizontal="center" vertical="center"/>
      <protection hidden="1"/>
    </xf>
    <xf numFmtId="0" fontId="164" fillId="0" borderId="95" xfId="0" applyFont="1" applyBorder="1" applyAlignment="1" applyProtection="1">
      <alignment horizontal="left" vertical="center" wrapText="1"/>
      <protection hidden="1"/>
    </xf>
    <xf numFmtId="0" fontId="164" fillId="0" borderId="118" xfId="0" applyFont="1" applyBorder="1" applyAlignment="1" applyProtection="1">
      <alignment horizontal="left" vertical="center" wrapText="1"/>
      <protection hidden="1"/>
    </xf>
    <xf numFmtId="0" fontId="164" fillId="0" borderId="92" xfId="0" applyFont="1" applyBorder="1" applyAlignment="1" applyProtection="1">
      <alignment horizontal="left" vertical="center" wrapText="1"/>
      <protection hidden="1"/>
    </xf>
    <xf numFmtId="0" fontId="183" fillId="0" borderId="95" xfId="0" applyFont="1" applyFill="1" applyBorder="1" applyAlignment="1" applyProtection="1">
      <alignment horizontal="left" vertical="center" wrapText="1"/>
      <protection hidden="1"/>
    </xf>
    <xf numFmtId="0" fontId="183" fillId="0" borderId="118" xfId="0" applyFont="1" applyFill="1" applyBorder="1" applyAlignment="1" applyProtection="1">
      <alignment horizontal="left" vertical="center" wrapText="1"/>
      <protection hidden="1"/>
    </xf>
    <xf numFmtId="0" fontId="183" fillId="0" borderId="92" xfId="0" applyFont="1" applyFill="1" applyBorder="1" applyAlignment="1" applyProtection="1">
      <alignment horizontal="left" vertical="center" wrapText="1"/>
      <protection hidden="1"/>
    </xf>
    <xf numFmtId="169" fontId="169" fillId="11" borderId="91" xfId="0" applyNumberFormat="1" applyFont="1" applyFill="1" applyBorder="1" applyAlignment="1" applyProtection="1">
      <alignment horizontal="center" vertical="center" wrapText="1"/>
      <protection hidden="1"/>
    </xf>
    <xf numFmtId="0" fontId="126" fillId="62" borderId="91" xfId="0" applyFont="1" applyFill="1" applyBorder="1" applyAlignment="1" applyProtection="1">
      <alignment horizontal="left" vertical="center" wrapText="1"/>
      <protection hidden="1"/>
    </xf>
    <xf numFmtId="0" fontId="126" fillId="62" borderId="91" xfId="0" applyFont="1" applyFill="1" applyBorder="1" applyAlignment="1" applyProtection="1">
      <alignment horizontal="center" vertical="center" wrapText="1"/>
      <protection hidden="1"/>
    </xf>
    <xf numFmtId="0" fontId="164" fillId="62" borderId="91" xfId="0" applyFont="1" applyFill="1" applyBorder="1" applyAlignment="1" applyProtection="1">
      <alignment horizontal="center" vertical="center" wrapText="1"/>
      <protection hidden="1"/>
    </xf>
    <xf numFmtId="169" fontId="164" fillId="0" borderId="91" xfId="0" applyNumberFormat="1" applyFont="1" applyFill="1" applyBorder="1" applyAlignment="1" applyProtection="1">
      <alignment horizontal="right" vertical="center" wrapText="1"/>
      <protection hidden="1"/>
    </xf>
    <xf numFmtId="0" fontId="185" fillId="0" borderId="91" xfId="0" applyFont="1" applyBorder="1" applyAlignment="1" applyProtection="1">
      <alignment horizontal="left" vertical="center" wrapText="1"/>
      <protection hidden="1"/>
    </xf>
    <xf numFmtId="0" fontId="168" fillId="0" borderId="91" xfId="0" applyFont="1" applyBorder="1" applyAlignment="1" applyProtection="1">
      <alignment horizontal="center" vertical="center" wrapText="1"/>
      <protection hidden="1"/>
    </xf>
    <xf numFmtId="0" fontId="183" fillId="0" borderId="91" xfId="0" applyFont="1" applyBorder="1" applyAlignment="1" applyProtection="1">
      <alignment horizontal="center" vertical="center" wrapText="1"/>
      <protection hidden="1"/>
    </xf>
    <xf numFmtId="169" fontId="169" fillId="0" borderId="91" xfId="0" applyNumberFormat="1" applyFont="1" applyFill="1" applyBorder="1" applyAlignment="1" applyProtection="1">
      <alignment horizontal="right" vertical="center" wrapText="1"/>
      <protection hidden="1"/>
    </xf>
    <xf numFmtId="0" fontId="209" fillId="0" borderId="95" xfId="0" applyFont="1" applyBorder="1" applyAlignment="1" applyProtection="1">
      <alignment horizontal="center" vertical="center" wrapText="1"/>
      <protection hidden="1"/>
    </xf>
    <xf numFmtId="0" fontId="209" fillId="0" borderId="92" xfId="0" applyFont="1" applyBorder="1" applyAlignment="1" applyProtection="1">
      <alignment horizontal="center" vertical="center" wrapText="1"/>
      <protection hidden="1"/>
    </xf>
    <xf numFmtId="0" fontId="185" fillId="0" borderId="95" xfId="0" applyFont="1" applyBorder="1" applyAlignment="1" applyProtection="1">
      <alignment horizontal="right" vertical="center" wrapText="1"/>
      <protection hidden="1"/>
    </xf>
    <xf numFmtId="0" fontId="185" fillId="0" borderId="118" xfId="0" applyFont="1" applyBorder="1" applyAlignment="1" applyProtection="1">
      <alignment horizontal="right" vertical="center" wrapText="1"/>
      <protection hidden="1"/>
    </xf>
    <xf numFmtId="0" fontId="185" fillId="0" borderId="92" xfId="0" applyFont="1" applyBorder="1" applyAlignment="1" applyProtection="1">
      <alignment horizontal="right" vertical="center" wrapText="1"/>
      <protection hidden="1"/>
    </xf>
    <xf numFmtId="169" fontId="170" fillId="11" borderId="91" xfId="0" applyNumberFormat="1" applyFont="1" applyFill="1" applyBorder="1" applyAlignment="1" applyProtection="1">
      <alignment horizontal="right" vertical="center" wrapText="1"/>
      <protection hidden="1"/>
    </xf>
    <xf numFmtId="169" fontId="164" fillId="0" borderId="109" xfId="0" applyNumberFormat="1" applyFont="1" applyFill="1" applyBorder="1" applyAlignment="1" applyProtection="1">
      <alignment horizontal="center" vertical="center" wrapText="1"/>
      <protection hidden="1"/>
    </xf>
    <xf numFmtId="169" fontId="164" fillId="0" borderId="110" xfId="0" applyNumberFormat="1" applyFont="1" applyFill="1" applyBorder="1" applyAlignment="1" applyProtection="1">
      <alignment horizontal="center" vertical="center" wrapText="1"/>
      <protection hidden="1"/>
    </xf>
    <xf numFmtId="169" fontId="164" fillId="0" borderId="111" xfId="0" applyNumberFormat="1" applyFont="1" applyFill="1" applyBorder="1" applyAlignment="1" applyProtection="1">
      <alignment horizontal="center" vertical="center" wrapText="1"/>
      <protection hidden="1"/>
    </xf>
    <xf numFmtId="169" fontId="164" fillId="0" borderId="112" xfId="0" applyNumberFormat="1" applyFont="1" applyFill="1" applyBorder="1" applyAlignment="1" applyProtection="1">
      <alignment horizontal="center" vertical="center" wrapText="1"/>
      <protection hidden="1"/>
    </xf>
    <xf numFmtId="169" fontId="164" fillId="0" borderId="113" xfId="0" applyNumberFormat="1" applyFont="1" applyFill="1" applyBorder="1" applyAlignment="1" applyProtection="1">
      <alignment horizontal="center" vertical="center" wrapText="1"/>
      <protection hidden="1"/>
    </xf>
    <xf numFmtId="169" fontId="164" fillId="0" borderId="114" xfId="0" applyNumberFormat="1" applyFont="1" applyFill="1" applyBorder="1" applyAlignment="1" applyProtection="1">
      <alignment horizontal="center" vertical="center" wrapText="1"/>
      <protection hidden="1"/>
    </xf>
    <xf numFmtId="169" fontId="169" fillId="11" borderId="109" xfId="0" applyNumberFormat="1" applyFont="1" applyFill="1" applyBorder="1" applyAlignment="1" applyProtection="1">
      <alignment horizontal="center" vertical="center" wrapText="1"/>
      <protection hidden="1"/>
    </xf>
    <xf numFmtId="169" fontId="169" fillId="11" borderId="110" xfId="0" applyNumberFormat="1" applyFont="1" applyFill="1" applyBorder="1" applyAlignment="1" applyProtection="1">
      <alignment horizontal="center" vertical="center" wrapText="1"/>
      <protection hidden="1"/>
    </xf>
    <xf numFmtId="169" fontId="169" fillId="11" borderId="111" xfId="0" applyNumberFormat="1" applyFont="1" applyFill="1" applyBorder="1" applyAlignment="1" applyProtection="1">
      <alignment horizontal="center" vertical="center" wrapText="1"/>
      <protection hidden="1"/>
    </xf>
    <xf numFmtId="169" fontId="169" fillId="11" borderId="112" xfId="0" applyNumberFormat="1" applyFont="1" applyFill="1" applyBorder="1" applyAlignment="1" applyProtection="1">
      <alignment horizontal="center" vertical="center" wrapText="1"/>
      <protection hidden="1"/>
    </xf>
    <xf numFmtId="169" fontId="169" fillId="11" borderId="113" xfId="0" applyNumberFormat="1" applyFont="1" applyFill="1" applyBorder="1" applyAlignment="1" applyProtection="1">
      <alignment horizontal="center" vertical="center" wrapText="1"/>
      <protection hidden="1"/>
    </xf>
    <xf numFmtId="169" fontId="169" fillId="11" borderId="114" xfId="0" applyNumberFormat="1" applyFont="1" applyFill="1" applyBorder="1" applyAlignment="1" applyProtection="1">
      <alignment horizontal="center" vertical="center" wrapText="1"/>
      <protection hidden="1"/>
    </xf>
    <xf numFmtId="0" fontId="164" fillId="0" borderId="91" xfId="0" applyFont="1" applyFill="1" applyBorder="1" applyAlignment="1" applyProtection="1">
      <alignment horizontal="center" vertical="center" wrapText="1"/>
      <protection hidden="1"/>
    </xf>
    <xf numFmtId="0" fontId="164" fillId="0" borderId="91" xfId="0" applyFont="1" applyBorder="1" applyAlignment="1" applyProtection="1">
      <alignment horizontal="left" vertical="center" wrapText="1"/>
      <protection hidden="1"/>
    </xf>
    <xf numFmtId="169" fontId="169" fillId="11" borderId="91" xfId="0" applyNumberFormat="1" applyFont="1" applyFill="1" applyBorder="1" applyAlignment="1" applyProtection="1">
      <alignment horizontal="right" vertical="center" wrapText="1"/>
      <protection hidden="1"/>
    </xf>
    <xf numFmtId="0" fontId="165" fillId="0" borderId="91" xfId="0" applyFont="1" applyBorder="1" applyAlignment="1" applyProtection="1">
      <alignment horizontal="right" vertical="center" wrapText="1"/>
      <protection hidden="1"/>
    </xf>
    <xf numFmtId="169" fontId="169" fillId="61" borderId="91" xfId="0" applyNumberFormat="1" applyFont="1" applyFill="1" applyBorder="1" applyAlignment="1" applyProtection="1">
      <alignment horizontal="center" vertical="center" wrapText="1"/>
      <protection hidden="1"/>
    </xf>
    <xf numFmtId="0" fontId="178" fillId="0" borderId="0" xfId="0" applyFont="1" applyBorder="1" applyAlignment="1" applyProtection="1">
      <alignment horizontal="center" vertical="center" wrapText="1"/>
      <protection hidden="1"/>
    </xf>
    <xf numFmtId="169" fontId="164" fillId="11" borderId="91" xfId="0" applyNumberFormat="1" applyFont="1" applyFill="1" applyBorder="1" applyAlignment="1" applyProtection="1">
      <alignment horizontal="center" vertical="center" wrapText="1"/>
      <protection hidden="1"/>
    </xf>
    <xf numFmtId="169" fontId="147" fillId="11" borderId="91" xfId="0" applyNumberFormat="1" applyFont="1" applyFill="1" applyBorder="1" applyAlignment="1" applyProtection="1">
      <alignment horizontal="right" vertical="center" wrapText="1"/>
      <protection hidden="1"/>
    </xf>
    <xf numFmtId="0" fontId="210" fillId="0" borderId="91" xfId="0" applyFont="1" applyBorder="1" applyAlignment="1" applyProtection="1">
      <alignment horizontal="left" vertical="center" wrapText="1"/>
      <protection hidden="1"/>
    </xf>
    <xf numFmtId="169" fontId="169" fillId="0" borderId="91" xfId="0" applyNumberFormat="1" applyFont="1" applyFill="1" applyBorder="1" applyAlignment="1" applyProtection="1">
      <alignment horizontal="right" vertical="center" wrapText="1"/>
      <protection locked="0"/>
    </xf>
    <xf numFmtId="169" fontId="169" fillId="61" borderId="91" xfId="0" applyNumberFormat="1" applyFont="1" applyFill="1" applyBorder="1" applyAlignment="1" applyProtection="1">
      <alignment horizontal="right" vertical="center" wrapText="1"/>
      <protection locked="0"/>
    </xf>
    <xf numFmtId="0" fontId="167" fillId="0" borderId="91" xfId="0" applyFont="1" applyBorder="1" applyAlignment="1" applyProtection="1">
      <alignment horizontal="left" vertical="center" wrapText="1"/>
      <protection hidden="1"/>
    </xf>
    <xf numFmtId="169" fontId="170" fillId="11" borderId="91" xfId="0" applyNumberFormat="1" applyFont="1" applyFill="1" applyBorder="1" applyAlignment="1" applyProtection="1">
      <alignment horizontal="center" vertical="center" wrapText="1"/>
      <protection hidden="1"/>
    </xf>
    <xf numFmtId="0" fontId="184" fillId="0" borderId="91" xfId="0" applyFont="1" applyBorder="1" applyAlignment="1" applyProtection="1">
      <alignment horizontal="center" vertical="center" wrapText="1"/>
      <protection hidden="1"/>
    </xf>
    <xf numFmtId="0" fontId="147" fillId="0" borderId="0" xfId="0" applyFont="1" applyBorder="1" applyAlignment="1" applyProtection="1">
      <alignment horizontal="center" vertical="center" wrapText="1"/>
      <protection hidden="1"/>
    </xf>
    <xf numFmtId="0" fontId="182" fillId="0" borderId="0" xfId="0" applyFont="1" applyBorder="1" applyAlignment="1" applyProtection="1">
      <alignment horizontal="center" vertical="center" wrapText="1"/>
      <protection hidden="1"/>
    </xf>
    <xf numFmtId="0" fontId="164" fillId="0" borderId="0" xfId="0" applyFont="1" applyBorder="1" applyAlignment="1" applyProtection="1">
      <alignment horizontal="center" vertical="center" wrapText="1"/>
      <protection hidden="1"/>
    </xf>
    <xf numFmtId="0" fontId="165" fillId="0" borderId="0" xfId="0" applyFont="1" applyBorder="1" applyAlignment="1" applyProtection="1">
      <alignment horizontal="left" vertical="center" wrapText="1"/>
      <protection hidden="1"/>
    </xf>
    <xf numFmtId="0" fontId="108" fillId="0" borderId="0" xfId="0" applyFont="1" applyFill="1" applyBorder="1" applyAlignment="1" applyProtection="1">
      <alignment horizontal="center" vertical="center" wrapText="1"/>
      <protection hidden="1"/>
    </xf>
    <xf numFmtId="0" fontId="181" fillId="0" borderId="0" xfId="0" applyFont="1" applyBorder="1" applyAlignment="1" applyProtection="1">
      <alignment horizontal="left" vertical="center" wrapText="1"/>
      <protection hidden="1"/>
    </xf>
    <xf numFmtId="0" fontId="164" fillId="0" borderId="0" xfId="0" applyFont="1" applyFill="1" applyBorder="1" applyAlignment="1" applyProtection="1">
      <alignment horizontal="center" vertical="center" wrapText="1"/>
      <protection locked="0"/>
    </xf>
    <xf numFmtId="0" fontId="126" fillId="0" borderId="0" xfId="0" applyFont="1" applyBorder="1" applyAlignment="1" applyProtection="1">
      <alignment horizontal="center" wrapText="1"/>
      <protection hidden="1"/>
    </xf>
    <xf numFmtId="0" fontId="165" fillId="60" borderId="0" xfId="0" applyFont="1" applyFill="1" applyBorder="1" applyAlignment="1" applyProtection="1">
      <alignment horizontal="center" vertical="center" wrapText="1"/>
      <protection locked="0"/>
    </xf>
    <xf numFmtId="0" fontId="181" fillId="0" borderId="0" xfId="0" applyFont="1" applyFill="1" applyBorder="1" applyAlignment="1" applyProtection="1">
      <alignment horizontal="left" vertical="center" wrapText="1"/>
      <protection hidden="1"/>
    </xf>
    <xf numFmtId="0" fontId="181" fillId="0" borderId="0" xfId="0" applyFont="1" applyBorder="1" applyAlignment="1" applyProtection="1">
      <alignment horizontal="center" vertical="center" wrapText="1"/>
      <protection hidden="1"/>
    </xf>
    <xf numFmtId="0" fontId="108" fillId="0" borderId="0" xfId="0" applyFont="1" applyFill="1" applyBorder="1" applyAlignment="1" applyProtection="1">
      <alignment horizontal="left" vertical="center" wrapText="1"/>
      <protection hidden="1"/>
    </xf>
    <xf numFmtId="0" fontId="168" fillId="0" borderId="107" xfId="0" applyFont="1" applyBorder="1" applyAlignment="1" applyProtection="1">
      <alignment horizontal="center" vertical="center" wrapText="1"/>
      <protection hidden="1"/>
    </xf>
    <xf numFmtId="49" fontId="168" fillId="0" borderId="107" xfId="0" applyNumberFormat="1" applyFont="1" applyBorder="1" applyAlignment="1" applyProtection="1">
      <alignment horizontal="center" vertical="center" wrapText="1"/>
      <protection hidden="1"/>
    </xf>
    <xf numFmtId="0" fontId="0" fillId="0" borderId="107" xfId="0" applyBorder="1" applyAlignment="1" applyProtection="1">
      <alignment horizontal="center"/>
      <protection hidden="1"/>
    </xf>
    <xf numFmtId="49" fontId="173" fillId="0" borderId="107" xfId="0" applyNumberFormat="1" applyFont="1" applyBorder="1" applyAlignment="1" applyProtection="1">
      <alignment horizontal="center"/>
      <protection hidden="1"/>
    </xf>
    <xf numFmtId="0" fontId="166" fillId="0" borderId="107" xfId="0" applyFont="1" applyBorder="1" applyAlignment="1" applyProtection="1">
      <alignment horizontal="center" vertical="center" wrapText="1"/>
      <protection hidden="1"/>
    </xf>
    <xf numFmtId="0" fontId="168" fillId="0" borderId="107" xfId="0" applyFont="1" applyBorder="1" applyAlignment="1" applyProtection="1">
      <alignment horizontal="center" vertical="center" wrapText="1"/>
      <protection locked="0"/>
    </xf>
    <xf numFmtId="49" fontId="168" fillId="0" borderId="107" xfId="0" applyNumberFormat="1" applyFont="1" applyBorder="1" applyAlignment="1" applyProtection="1">
      <alignment horizontal="center" vertical="center" wrapText="1"/>
      <protection locked="0"/>
    </xf>
    <xf numFmtId="0" fontId="0" fillId="0" borderId="107" xfId="0" applyBorder="1" applyAlignment="1" applyProtection="1">
      <alignment horizontal="center"/>
      <protection locked="0"/>
    </xf>
    <xf numFmtId="49" fontId="173" fillId="0" borderId="107" xfId="0" applyNumberFormat="1" applyFont="1" applyBorder="1" applyAlignment="1" applyProtection="1">
      <alignment horizontal="center"/>
      <protection locked="0"/>
    </xf>
    <xf numFmtId="0" fontId="170" fillId="62" borderId="107" xfId="0" applyFont="1" applyFill="1" applyBorder="1" applyAlignment="1" applyProtection="1">
      <alignment horizontal="center" vertical="center" wrapText="1"/>
      <protection hidden="1"/>
    </xf>
    <xf numFmtId="168" fontId="166" fillId="0" borderId="90" xfId="0" applyNumberFormat="1" applyFont="1" applyBorder="1" applyAlignment="1" applyProtection="1">
      <alignment horizontal="center" vertical="center" wrapText="1"/>
      <protection hidden="1"/>
    </xf>
    <xf numFmtId="0" fontId="166" fillId="0" borderId="90" xfId="0" applyFont="1" applyBorder="1" applyAlignment="1" applyProtection="1">
      <alignment horizontal="center" vertical="center" wrapText="1"/>
      <protection hidden="1"/>
    </xf>
    <xf numFmtId="0" fontId="164" fillId="0" borderId="90" xfId="0" applyFont="1" applyFill="1" applyBorder="1" applyAlignment="1" applyProtection="1">
      <alignment horizontal="center" vertical="center" wrapText="1"/>
      <protection hidden="1"/>
    </xf>
    <xf numFmtId="0" fontId="170" fillId="0" borderId="108" xfId="0" applyFont="1" applyFill="1" applyBorder="1" applyAlignment="1" applyProtection="1">
      <alignment horizontal="center" vertical="center" wrapText="1"/>
      <protection hidden="1"/>
    </xf>
    <xf numFmtId="0" fontId="166" fillId="62" borderId="107" xfId="0" applyFont="1" applyFill="1" applyBorder="1" applyAlignment="1" applyProtection="1">
      <alignment horizontal="center" vertical="center" wrapText="1"/>
      <protection hidden="1"/>
    </xf>
    <xf numFmtId="168" fontId="168" fillId="0" borderId="90" xfId="0" applyNumberFormat="1" applyFont="1" applyBorder="1" applyAlignment="1" applyProtection="1">
      <alignment horizontal="center" vertical="center" wrapText="1"/>
      <protection hidden="1"/>
    </xf>
    <xf numFmtId="49" fontId="168" fillId="0" borderId="90" xfId="0" applyNumberFormat="1" applyFont="1" applyBorder="1" applyAlignment="1" applyProtection="1">
      <alignment horizontal="center" vertical="center" wrapText="1"/>
      <protection locked="0"/>
    </xf>
    <xf numFmtId="0" fontId="168" fillId="0" borderId="90" xfId="0" applyNumberFormat="1" applyFont="1" applyBorder="1" applyAlignment="1" applyProtection="1">
      <alignment horizontal="center" vertical="center" wrapText="1"/>
      <protection hidden="1"/>
    </xf>
    <xf numFmtId="49" fontId="168" fillId="0" borderId="90" xfId="0" applyNumberFormat="1" applyFont="1" applyBorder="1" applyAlignment="1" applyProtection="1">
      <alignment horizontal="center" vertical="center" wrapText="1"/>
      <protection hidden="1"/>
    </xf>
    <xf numFmtId="0" fontId="164" fillId="0" borderId="99" xfId="0" applyFont="1" applyFill="1" applyBorder="1" applyAlignment="1" applyProtection="1">
      <alignment horizontal="center" vertical="center" wrapText="1"/>
      <protection hidden="1"/>
    </xf>
    <xf numFmtId="0" fontId="164" fillId="0" borderId="100" xfId="0" applyFont="1" applyFill="1" applyBorder="1" applyAlignment="1" applyProtection="1">
      <alignment horizontal="center" vertical="center" wrapText="1"/>
      <protection hidden="1"/>
    </xf>
    <xf numFmtId="0" fontId="164" fillId="0" borderId="101" xfId="0" applyFont="1" applyFill="1" applyBorder="1" applyAlignment="1" applyProtection="1">
      <alignment horizontal="center" vertical="center" wrapText="1"/>
      <protection hidden="1"/>
    </xf>
    <xf numFmtId="0" fontId="164" fillId="0" borderId="105" xfId="0" applyFont="1" applyFill="1" applyBorder="1" applyAlignment="1" applyProtection="1">
      <alignment horizontal="center" vertical="center" wrapText="1"/>
      <protection hidden="1"/>
    </xf>
    <xf numFmtId="0" fontId="164" fillId="0" borderId="0" xfId="0" applyFont="1" applyFill="1" applyBorder="1" applyAlignment="1" applyProtection="1">
      <alignment horizontal="center" vertical="center" wrapText="1"/>
      <protection hidden="1"/>
    </xf>
    <xf numFmtId="0" fontId="164" fillId="0" borderId="106" xfId="0" applyFont="1" applyFill="1" applyBorder="1" applyAlignment="1" applyProtection="1">
      <alignment horizontal="center" vertical="center" wrapText="1"/>
      <protection hidden="1"/>
    </xf>
    <xf numFmtId="0" fontId="166" fillId="62" borderId="90" xfId="0" applyFont="1" applyFill="1" applyBorder="1" applyAlignment="1" applyProtection="1">
      <alignment horizontal="center" vertical="center" wrapText="1"/>
      <protection hidden="1"/>
    </xf>
    <xf numFmtId="0" fontId="164" fillId="62" borderId="90" xfId="0" applyFont="1" applyFill="1" applyBorder="1" applyAlignment="1" applyProtection="1">
      <alignment horizontal="center" vertical="center" wrapText="1"/>
      <protection hidden="1"/>
    </xf>
    <xf numFmtId="49" fontId="168" fillId="0" borderId="98" xfId="0" applyNumberFormat="1" applyFont="1" applyFill="1" applyBorder="1" applyAlignment="1" applyProtection="1">
      <alignment horizontal="center" vertical="center" wrapText="1"/>
      <protection locked="0"/>
    </xf>
    <xf numFmtId="168" fontId="169" fillId="66" borderId="98" xfId="0" applyNumberFormat="1" applyFont="1" applyFill="1" applyBorder="1" applyAlignment="1" applyProtection="1">
      <alignment horizontal="center" vertical="center" wrapText="1"/>
      <protection locked="0"/>
    </xf>
    <xf numFmtId="168" fontId="165" fillId="0" borderId="98" xfId="0" applyNumberFormat="1" applyFont="1" applyBorder="1" applyAlignment="1" applyProtection="1">
      <alignment horizontal="center" vertical="center" wrapText="1"/>
      <protection hidden="1"/>
    </xf>
    <xf numFmtId="0" fontId="164" fillId="0" borderId="98" xfId="0" applyFont="1" applyBorder="1" applyAlignment="1" applyProtection="1">
      <alignment horizontal="center" vertical="center" wrapText="1"/>
      <protection hidden="1"/>
    </xf>
    <xf numFmtId="168" fontId="164" fillId="0" borderId="98" xfId="0" applyNumberFormat="1" applyFont="1" applyBorder="1" applyAlignment="1" applyProtection="1">
      <alignment horizontal="center" vertical="center" wrapText="1"/>
      <protection hidden="1"/>
    </xf>
    <xf numFmtId="0" fontId="169" fillId="0" borderId="98" xfId="0" applyFont="1" applyFill="1" applyBorder="1" applyAlignment="1" applyProtection="1">
      <alignment horizontal="center" vertical="center" wrapText="1"/>
      <protection hidden="1"/>
    </xf>
    <xf numFmtId="0" fontId="165" fillId="0" borderId="98" xfId="0" applyFont="1" applyFill="1" applyBorder="1" applyAlignment="1" applyProtection="1">
      <alignment horizontal="center" vertical="center" wrapText="1"/>
      <protection hidden="1"/>
    </xf>
    <xf numFmtId="0" fontId="164" fillId="60" borderId="98" xfId="0" applyFont="1" applyFill="1" applyBorder="1" applyAlignment="1" applyProtection="1">
      <alignment horizontal="center" vertical="center" wrapText="1"/>
      <protection locked="0"/>
    </xf>
    <xf numFmtId="49" fontId="167" fillId="0" borderId="98" xfId="0" applyNumberFormat="1" applyFont="1" applyBorder="1" applyAlignment="1" applyProtection="1">
      <alignment horizontal="center" vertical="center" wrapText="1"/>
      <protection locked="0"/>
    </xf>
    <xf numFmtId="49" fontId="164" fillId="0" borderId="98" xfId="0" applyNumberFormat="1" applyFont="1" applyBorder="1" applyAlignment="1" applyProtection="1">
      <alignment horizontal="center" vertical="center" wrapText="1"/>
      <protection locked="0"/>
    </xf>
    <xf numFmtId="0" fontId="175" fillId="0" borderId="0" xfId="0" applyFont="1" applyBorder="1" applyAlignment="1" applyProtection="1">
      <alignment horizontal="center" vertical="center" wrapText="1"/>
      <protection hidden="1"/>
    </xf>
    <xf numFmtId="0" fontId="177" fillId="0" borderId="0" xfId="0" applyFont="1" applyBorder="1" applyAlignment="1" applyProtection="1">
      <alignment horizontal="center" vertical="center" wrapText="1"/>
      <protection hidden="1"/>
    </xf>
    <xf numFmtId="0" fontId="176" fillId="0" borderId="0" xfId="0" applyFont="1" applyBorder="1" applyAlignment="1" applyProtection="1">
      <alignment horizontal="center" vertical="center" wrapText="1"/>
      <protection hidden="1"/>
    </xf>
    <xf numFmtId="0" fontId="167" fillId="62" borderId="98" xfId="0" applyFont="1" applyFill="1" applyBorder="1" applyAlignment="1" applyProtection="1">
      <alignment horizontal="center" vertical="center" wrapText="1"/>
      <protection hidden="1"/>
    </xf>
    <xf numFmtId="169" fontId="170" fillId="11" borderId="109" xfId="0" applyNumberFormat="1" applyFont="1" applyFill="1" applyBorder="1" applyAlignment="1" applyProtection="1">
      <alignment horizontal="center" vertical="center" wrapText="1"/>
      <protection hidden="1"/>
    </xf>
    <xf numFmtId="169" fontId="170" fillId="11" borderId="110" xfId="0" applyNumberFormat="1" applyFont="1" applyFill="1" applyBorder="1" applyAlignment="1" applyProtection="1">
      <alignment horizontal="center" vertical="center" wrapText="1"/>
      <protection hidden="1"/>
    </xf>
    <xf numFmtId="169" fontId="170" fillId="11" borderId="111" xfId="0" applyNumberFormat="1" applyFont="1" applyFill="1" applyBorder="1" applyAlignment="1" applyProtection="1">
      <alignment horizontal="center" vertical="center" wrapText="1"/>
      <protection hidden="1"/>
    </xf>
    <xf numFmtId="169" fontId="170" fillId="11" borderId="112" xfId="0" applyNumberFormat="1" applyFont="1" applyFill="1" applyBorder="1" applyAlignment="1" applyProtection="1">
      <alignment horizontal="center" vertical="center" wrapText="1"/>
      <protection hidden="1"/>
    </xf>
    <xf numFmtId="169" fontId="170" fillId="11" borderId="113" xfId="0" applyNumberFormat="1" applyFont="1" applyFill="1" applyBorder="1" applyAlignment="1" applyProtection="1">
      <alignment horizontal="center" vertical="center" wrapText="1"/>
      <protection hidden="1"/>
    </xf>
    <xf numFmtId="169" fontId="170" fillId="11" borderId="114" xfId="0" applyNumberFormat="1" applyFont="1" applyFill="1" applyBorder="1" applyAlignment="1" applyProtection="1">
      <alignment horizontal="center" vertical="center" wrapText="1"/>
      <protection hidden="1"/>
    </xf>
    <xf numFmtId="0" fontId="183" fillId="0" borderId="95" xfId="0" applyFont="1" applyBorder="1" applyAlignment="1" applyProtection="1">
      <alignment horizontal="left" vertical="center" wrapText="1"/>
      <protection hidden="1"/>
    </xf>
    <xf numFmtId="0" fontId="183" fillId="0" borderId="118" xfId="0" applyFont="1" applyBorder="1" applyAlignment="1" applyProtection="1">
      <alignment horizontal="left" vertical="center" wrapText="1"/>
      <protection hidden="1"/>
    </xf>
    <xf numFmtId="0" fontId="183" fillId="0" borderId="92" xfId="0" applyFont="1" applyBorder="1" applyAlignment="1" applyProtection="1">
      <alignment horizontal="left" vertical="center" wrapText="1"/>
      <protection hidden="1"/>
    </xf>
    <xf numFmtId="3" fontId="167" fillId="51" borderId="98" xfId="0" applyNumberFormat="1" applyFont="1" applyFill="1" applyBorder="1" applyAlignment="1" applyProtection="1">
      <alignment horizontal="center" vertical="center" wrapText="1"/>
      <protection locked="0"/>
    </xf>
    <xf numFmtId="0" fontId="167" fillId="51" borderId="98" xfId="0" applyFont="1" applyFill="1" applyBorder="1" applyAlignment="1" applyProtection="1">
      <alignment horizontal="center" vertical="center" wrapText="1"/>
      <protection locked="0"/>
    </xf>
    <xf numFmtId="0" fontId="170" fillId="0" borderId="98" xfId="0" applyFont="1" applyBorder="1" applyAlignment="1" applyProtection="1">
      <alignment horizontal="center" vertical="center" wrapText="1"/>
      <protection hidden="1"/>
    </xf>
    <xf numFmtId="0" fontId="164" fillId="0" borderId="98" xfId="0" applyFont="1" applyFill="1" applyBorder="1" applyAlignment="1" applyProtection="1">
      <alignment horizontal="center" vertical="center" wrapText="1"/>
      <protection hidden="1"/>
    </xf>
    <xf numFmtId="0" fontId="166" fillId="51" borderId="99" xfId="0" applyFont="1" applyFill="1" applyBorder="1" applyAlignment="1" applyProtection="1">
      <alignment horizontal="center" vertical="center" wrapText="1"/>
      <protection hidden="1"/>
    </xf>
    <xf numFmtId="0" fontId="166" fillId="51" borderId="100" xfId="0" applyFont="1" applyFill="1" applyBorder="1" applyAlignment="1" applyProtection="1">
      <alignment horizontal="center" vertical="center" wrapText="1"/>
      <protection hidden="1"/>
    </xf>
    <xf numFmtId="0" fontId="166" fillId="51" borderId="101" xfId="0" applyFont="1" applyFill="1" applyBorder="1" applyAlignment="1" applyProtection="1">
      <alignment horizontal="center" vertical="center" wrapText="1"/>
      <protection hidden="1"/>
    </xf>
    <xf numFmtId="0" fontId="176" fillId="0" borderId="98" xfId="0" applyFont="1" applyBorder="1" applyAlignment="1" applyProtection="1">
      <alignment horizontal="center" vertical="center" wrapText="1"/>
      <protection hidden="1"/>
    </xf>
    <xf numFmtId="0" fontId="166" fillId="51" borderId="102" xfId="0" applyFont="1" applyFill="1" applyBorder="1" applyAlignment="1" applyProtection="1">
      <alignment horizontal="center" vertical="center" wrapText="1"/>
      <protection locked="0"/>
    </xf>
    <xf numFmtId="0" fontId="166" fillId="51" borderId="103" xfId="0" applyFont="1" applyFill="1" applyBorder="1" applyAlignment="1" applyProtection="1">
      <alignment horizontal="center" vertical="center" wrapText="1"/>
      <protection locked="0"/>
    </xf>
    <xf numFmtId="0" fontId="166" fillId="51" borderId="104" xfId="0" applyFont="1" applyFill="1" applyBorder="1" applyAlignment="1" applyProtection="1">
      <alignment horizontal="center" vertical="center" wrapText="1"/>
      <protection locked="0"/>
    </xf>
    <xf numFmtId="165" fontId="173" fillId="0" borderId="9" xfId="0" applyNumberFormat="1" applyFont="1" applyBorder="1" applyAlignment="1" applyProtection="1">
      <alignment horizontal="center" vertical="center" wrapText="1"/>
      <protection hidden="1"/>
    </xf>
    <xf numFmtId="165" fontId="275" fillId="10" borderId="139" xfId="0" applyNumberFormat="1" applyFont="1" applyFill="1" applyBorder="1" applyAlignment="1" applyProtection="1">
      <alignment horizontal="center" vertical="center"/>
      <protection locked="0"/>
    </xf>
    <xf numFmtId="165" fontId="275" fillId="10" borderId="18" xfId="0" applyNumberFormat="1" applyFont="1" applyFill="1" applyBorder="1" applyAlignment="1" applyProtection="1">
      <alignment horizontal="center" vertical="center"/>
      <protection locked="0"/>
    </xf>
    <xf numFmtId="1" fontId="275" fillId="10" borderId="18" xfId="0" applyNumberFormat="1" applyFont="1" applyFill="1" applyBorder="1" applyAlignment="1" applyProtection="1">
      <alignment horizontal="center" vertical="center"/>
      <protection locked="0"/>
    </xf>
    <xf numFmtId="1" fontId="275" fillId="10" borderId="21" xfId="0" applyNumberFormat="1" applyFont="1" applyFill="1" applyBorder="1" applyAlignment="1" applyProtection="1">
      <alignment horizontal="center" vertical="center"/>
      <protection locked="0"/>
    </xf>
    <xf numFmtId="1" fontId="276" fillId="10" borderId="13" xfId="0" applyNumberFormat="1" applyFont="1" applyFill="1" applyBorder="1" applyAlignment="1" applyProtection="1">
      <alignment horizontal="center" vertical="center"/>
      <protection locked="0"/>
    </xf>
    <xf numFmtId="1" fontId="276" fillId="10" borderId="9" xfId="0" applyNumberFormat="1" applyFont="1" applyFill="1" applyBorder="1" applyAlignment="1" applyProtection="1">
      <alignment horizontal="center" vertical="center"/>
      <protection locked="0"/>
    </xf>
    <xf numFmtId="1" fontId="276" fillId="10" borderId="20" xfId="0" applyNumberFormat="1" applyFont="1" applyFill="1" applyBorder="1" applyAlignment="1" applyProtection="1">
      <alignment horizontal="center" vertical="center"/>
      <protection locked="0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6">
    <dxf>
      <font>
        <b/>
        <i val="0"/>
        <color rgb="FF0000FF"/>
      </font>
    </dxf>
    <dxf>
      <font>
        <b/>
        <i val="0"/>
        <color rgb="FFFF0000"/>
      </font>
    </dxf>
    <dxf>
      <fill>
        <patternFill patternType="solid">
          <fgColor auto="1"/>
          <bgColor theme="9" tint="0.79998168889431442"/>
        </patternFill>
      </fill>
    </dxf>
    <dxf>
      <font>
        <b/>
        <i val="0"/>
        <color rgb="FFC00000"/>
      </font>
    </dxf>
    <dxf>
      <font>
        <b/>
        <i val="0"/>
        <color rgb="FF0000FF"/>
      </font>
    </dxf>
    <dxf>
      <font>
        <b/>
        <i val="0"/>
        <color rgb="FF660033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gradientFill degree="90">
          <stop position="0">
            <color theme="3" tint="-0.49803155613879818"/>
          </stop>
          <stop position="1">
            <color theme="3" tint="-0.49803155613879818"/>
          </stop>
        </gradient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990033"/>
      <color rgb="FF0000FF"/>
      <color rgb="FFCC0099"/>
      <color rgb="FF00FFFF"/>
      <color rgb="FFCC00FF"/>
      <color rgb="FF660033"/>
      <color rgb="FFFFFF99"/>
      <color rgb="FF33CC33"/>
      <color rgb="FF99FFCC"/>
      <color rgb="FF400E3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5.jpeg"/><Relationship Id="rId6" Type="http://schemas.openxmlformats.org/officeDocument/2006/relationships/hyperlink" Target="#'GA55 Check &amp; Edit'!A1"/><Relationship Id="rId5" Type="http://schemas.openxmlformats.org/officeDocument/2006/relationships/hyperlink" Target="#Instructions!A1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Extra Ded.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HRA Calculatio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GA55 Only Prin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1</xdr:col>
      <xdr:colOff>9524</xdr:colOff>
      <xdr:row>10</xdr:row>
      <xdr:rowOff>9525</xdr:rowOff>
    </xdr:from>
    <xdr:to>
      <xdr:col>2</xdr:col>
      <xdr:colOff>9524</xdr:colOff>
      <xdr:row>10</xdr:row>
      <xdr:rowOff>390525</xdr:rowOff>
    </xdr:to>
    <xdr:sp macro="" textlink="">
      <xdr:nvSpPr>
        <xdr:cNvPr id="3" name="Frame 2"/>
        <xdr:cNvSpPr/>
      </xdr:nvSpPr>
      <xdr:spPr>
        <a:xfrm>
          <a:off x="9524" y="4219575"/>
          <a:ext cx="1762125" cy="381000"/>
        </a:xfrm>
        <a:prstGeom prst="frame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266700</xdr:colOff>
      <xdr:row>10</xdr:row>
      <xdr:rowOff>57147</xdr:rowOff>
    </xdr:from>
    <xdr:to>
      <xdr:col>2</xdr:col>
      <xdr:colOff>809625</xdr:colOff>
      <xdr:row>10</xdr:row>
      <xdr:rowOff>322704</xdr:rowOff>
    </xdr:to>
    <xdr:sp macro="" textlink="">
      <xdr:nvSpPr>
        <xdr:cNvPr id="4" name="Notched Right Arrow 3"/>
        <xdr:cNvSpPr/>
      </xdr:nvSpPr>
      <xdr:spPr>
        <a:xfrm rot="10800000">
          <a:off x="2867025" y="4552947"/>
          <a:ext cx="542925" cy="265557"/>
        </a:xfrm>
        <a:prstGeom prst="notchedRigh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7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85724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816975</xdr:colOff>
      <xdr:row>1</xdr:row>
      <xdr:rowOff>9525</xdr:rowOff>
    </xdr:from>
    <xdr:to>
      <xdr:col>14</xdr:col>
      <xdr:colOff>28575</xdr:colOff>
      <xdr:row>18</xdr:row>
      <xdr:rowOff>85725</xdr:rowOff>
    </xdr:to>
    <xdr:grpSp>
      <xdr:nvGrpSpPr>
        <xdr:cNvPr id="16" name="Group 15"/>
        <xdr:cNvGrpSpPr/>
      </xdr:nvGrpSpPr>
      <xdr:grpSpPr>
        <a:xfrm>
          <a:off x="10846800" y="180975"/>
          <a:ext cx="4688475" cy="3476625"/>
          <a:chOff x="10846800" y="180975"/>
          <a:chExt cx="4688475" cy="3476625"/>
        </a:xfrm>
      </xdr:grpSpPr>
      <xdr:sp macro="" textlink="">
        <xdr:nvSpPr>
          <xdr:cNvPr id="9" name="Frame 8"/>
          <xdr:cNvSpPr/>
        </xdr:nvSpPr>
        <xdr:spPr>
          <a:xfrm>
            <a:off x="10846800" y="3209925"/>
            <a:ext cx="4688475" cy="44767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81687" y="180975"/>
            <a:ext cx="2370284" cy="2967252"/>
          </a:xfrm>
          <a:prstGeom prst="rect">
            <a:avLst/>
          </a:prstGeom>
          <a:ln w="38100" cap="sq">
            <a:solidFill>
              <a:srgbClr val="FFC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2096750" y="114966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11</xdr:col>
      <xdr:colOff>495300</xdr:colOff>
      <xdr:row>37</xdr:row>
      <xdr:rowOff>66675</xdr:rowOff>
    </xdr:from>
    <xdr:to>
      <xdr:col>11</xdr:col>
      <xdr:colOff>638175</xdr:colOff>
      <xdr:row>38</xdr:row>
      <xdr:rowOff>66675</xdr:rowOff>
    </xdr:to>
    <xdr:sp macro="" textlink="">
      <xdr:nvSpPr>
        <xdr:cNvPr id="18" name="Down Arrow 17"/>
        <xdr:cNvSpPr/>
      </xdr:nvSpPr>
      <xdr:spPr>
        <a:xfrm>
          <a:off x="12592050" y="7486650"/>
          <a:ext cx="142875" cy="2667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28575</xdr:colOff>
      <xdr:row>41</xdr:row>
      <xdr:rowOff>171450</xdr:rowOff>
    </xdr:from>
    <xdr:to>
      <xdr:col>5</xdr:col>
      <xdr:colOff>257175</xdr:colOff>
      <xdr:row>41</xdr:row>
      <xdr:rowOff>342900</xdr:rowOff>
    </xdr:to>
    <xdr:sp macro="" textlink="">
      <xdr:nvSpPr>
        <xdr:cNvPr id="20" name="Left Arrow 19"/>
        <xdr:cNvSpPr/>
      </xdr:nvSpPr>
      <xdr:spPr>
        <a:xfrm>
          <a:off x="4781550" y="8610600"/>
          <a:ext cx="228600" cy="1714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1133475</xdr:colOff>
      <xdr:row>42</xdr:row>
      <xdr:rowOff>57150</xdr:rowOff>
    </xdr:from>
    <xdr:to>
      <xdr:col>5</xdr:col>
      <xdr:colOff>1400175</xdr:colOff>
      <xdr:row>42</xdr:row>
      <xdr:rowOff>247650</xdr:rowOff>
    </xdr:to>
    <xdr:sp macro="" textlink="">
      <xdr:nvSpPr>
        <xdr:cNvPr id="21" name="Right Arrow 20"/>
        <xdr:cNvSpPr/>
      </xdr:nvSpPr>
      <xdr:spPr>
        <a:xfrm>
          <a:off x="5886450" y="8982075"/>
          <a:ext cx="266700" cy="190500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457200</xdr:colOff>
      <xdr:row>19</xdr:row>
      <xdr:rowOff>123825</xdr:rowOff>
    </xdr:from>
    <xdr:to>
      <xdr:col>12</xdr:col>
      <xdr:colOff>895350</xdr:colOff>
      <xdr:row>21</xdr:row>
      <xdr:rowOff>95250</xdr:rowOff>
    </xdr:to>
    <xdr:sp macro="" textlink="">
      <xdr:nvSpPr>
        <xdr:cNvPr id="17" name="Rounded Rectangle 16"/>
        <xdr:cNvSpPr/>
      </xdr:nvSpPr>
      <xdr:spPr>
        <a:xfrm>
          <a:off x="12553950" y="3819525"/>
          <a:ext cx="1590675" cy="409575"/>
        </a:xfrm>
        <a:prstGeom prst="roundRect">
          <a:avLst/>
        </a:prstGeom>
        <a:ln>
          <a:solidFill>
            <a:srgbClr val="990033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>
              <a:ln>
                <a:solidFill>
                  <a:srgbClr val="660033"/>
                </a:solidFill>
              </a:ln>
              <a:solidFill>
                <a:schemeClr val="tx1"/>
              </a:solidFill>
            </a:rPr>
            <a:t>BASIC   PAY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73706" y="76200"/>
          <a:ext cx="2298052" cy="72720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1485900</xdr:colOff>
      <xdr:row>0</xdr:row>
      <xdr:rowOff>1</xdr:rowOff>
    </xdr:from>
    <xdr:to>
      <xdr:col>9</xdr:col>
      <xdr:colOff>114300</xdr:colOff>
      <xdr:row>0</xdr:row>
      <xdr:rowOff>628651</xdr:rowOff>
    </xdr:to>
    <xdr:grpSp>
      <xdr:nvGrpSpPr>
        <xdr:cNvPr id="2" name="Group 1"/>
        <xdr:cNvGrpSpPr/>
      </xdr:nvGrpSpPr>
      <xdr:grpSpPr>
        <a:xfrm>
          <a:off x="7439025" y="1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238124</xdr:colOff>
      <xdr:row>58</xdr:row>
      <xdr:rowOff>28574</xdr:rowOff>
    </xdr:from>
    <xdr:to>
      <xdr:col>18</xdr:col>
      <xdr:colOff>514349</xdr:colOff>
      <xdr:row>61</xdr:row>
      <xdr:rowOff>66674</xdr:rowOff>
    </xdr:to>
    <xdr:sp macro="" textlink="">
      <xdr:nvSpPr>
        <xdr:cNvPr id="8" name="Left-Right Arrow 7"/>
        <xdr:cNvSpPr/>
      </xdr:nvSpPr>
      <xdr:spPr>
        <a:xfrm rot="16200000">
          <a:off x="11315699" y="12287249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330791</xdr:colOff>
      <xdr:row>6</xdr:row>
      <xdr:rowOff>80061</xdr:rowOff>
    </xdr:from>
    <xdr:to>
      <xdr:col>33</xdr:col>
      <xdr:colOff>95937</xdr:colOff>
      <xdr:row>9</xdr:row>
      <xdr:rowOff>212224</xdr:rowOff>
    </xdr:to>
    <xdr:sp macro="" textlink="">
      <xdr:nvSpPr>
        <xdr:cNvPr id="10" name="Curved Left Arrow 9"/>
        <xdr:cNvSpPr/>
      </xdr:nvSpPr>
      <xdr:spPr>
        <a:xfrm rot="1798694">
          <a:off x="13837241" y="1461186"/>
          <a:ext cx="327121" cy="875113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664154</xdr:colOff>
      <xdr:row>30</xdr:row>
      <xdr:rowOff>27712</xdr:rowOff>
    </xdr:from>
    <xdr:to>
      <xdr:col>18</xdr:col>
      <xdr:colOff>63212</xdr:colOff>
      <xdr:row>31</xdr:row>
      <xdr:rowOff>96983</xdr:rowOff>
    </xdr:to>
    <xdr:cxnSp macro="">
      <xdr:nvCxnSpPr>
        <xdr:cNvPr id="4" name="Elbow Connector 3"/>
        <xdr:cNvCxnSpPr/>
      </xdr:nvCxnSpPr>
      <xdr:spPr>
        <a:xfrm rot="5400000">
          <a:off x="11087535" y="6615981"/>
          <a:ext cx="269296" cy="199158"/>
        </a:xfrm>
        <a:prstGeom prst="bentConnector3">
          <a:avLst>
            <a:gd name="adj1" fmla="val 2038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1010900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17</xdr:col>
      <xdr:colOff>247651</xdr:colOff>
      <xdr:row>60</xdr:row>
      <xdr:rowOff>9525</xdr:rowOff>
    </xdr:from>
    <xdr:to>
      <xdr:col>20</xdr:col>
      <xdr:colOff>609600</xdr:colOff>
      <xdr:row>62</xdr:row>
      <xdr:rowOff>180975</xdr:rowOff>
    </xdr:to>
    <xdr:sp macro="" textlink="">
      <xdr:nvSpPr>
        <xdr:cNvPr id="7" name="Rounded Rectangle 6"/>
        <xdr:cNvSpPr/>
      </xdr:nvSpPr>
      <xdr:spPr>
        <a:xfrm>
          <a:off x="10868026" y="12487275"/>
          <a:ext cx="1971674" cy="571500"/>
        </a:xfrm>
        <a:prstGeom prst="round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>
          <a:sp3d extrusionH="57150">
            <a:bevelT w="38100" h="38100" prst="relaxedInset"/>
          </a:sp3d>
        </a:bodyPr>
        <a:lstStyle/>
        <a:p>
          <a:pPr algn="ctr"/>
          <a:r>
            <a:rPr lang="en-US" sz="1400" b="1">
              <a:solidFill>
                <a:srgbClr val="CC00FF"/>
              </a:solidFill>
              <a:latin typeface="+mj-lt"/>
            </a:rPr>
            <a:t>Please Put here your Curser to know 87A</a:t>
          </a:r>
        </a:p>
      </xdr:txBody>
    </xdr:sp>
    <xdr:clientData/>
  </xdr:twoCellAnchor>
  <xdr:twoCellAnchor>
    <xdr:from>
      <xdr:col>15</xdr:col>
      <xdr:colOff>428625</xdr:colOff>
      <xdr:row>40</xdr:row>
      <xdr:rowOff>142875</xdr:rowOff>
    </xdr:from>
    <xdr:to>
      <xdr:col>16</xdr:col>
      <xdr:colOff>371475</xdr:colOff>
      <xdr:row>43</xdr:row>
      <xdr:rowOff>9525</xdr:rowOff>
    </xdr:to>
    <xdr:sp macro="" textlink="">
      <xdr:nvSpPr>
        <xdr:cNvPr id="16" name="Left-Right Arrow 15"/>
        <xdr:cNvSpPr/>
      </xdr:nvSpPr>
      <xdr:spPr>
        <a:xfrm rot="10800000">
          <a:off x="9801225" y="8734425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283154</xdr:colOff>
      <xdr:row>15</xdr:row>
      <xdr:rowOff>199162</xdr:rowOff>
    </xdr:from>
    <xdr:to>
      <xdr:col>17</xdr:col>
      <xdr:colOff>482312</xdr:colOff>
      <xdr:row>17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361950</xdr:colOff>
      <xdr:row>14</xdr:row>
      <xdr:rowOff>142875</xdr:rowOff>
    </xdr:from>
    <xdr:to>
      <xdr:col>18</xdr:col>
      <xdr:colOff>571500</xdr:colOff>
      <xdr:row>17</xdr:row>
      <xdr:rowOff>57150</xdr:rowOff>
    </xdr:to>
    <xdr:sp macro="" textlink="">
      <xdr:nvSpPr>
        <xdr:cNvPr id="13" name="Line Callout 2 12"/>
        <xdr:cNvSpPr/>
      </xdr:nvSpPr>
      <xdr:spPr>
        <a:xfrm>
          <a:off x="11372850" y="3324225"/>
          <a:ext cx="1009650" cy="552450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219074</xdr:colOff>
      <xdr:row>37</xdr:row>
      <xdr:rowOff>9538</xdr:rowOff>
    </xdr:from>
    <xdr:to>
      <xdr:col>18</xdr:col>
      <xdr:colOff>72881</xdr:colOff>
      <xdr:row>37</xdr:row>
      <xdr:rowOff>209557</xdr:rowOff>
    </xdr:to>
    <xdr:sp macro="" textlink="">
      <xdr:nvSpPr>
        <xdr:cNvPr id="7" name="Down Arrow 6"/>
        <xdr:cNvSpPr/>
      </xdr:nvSpPr>
      <xdr:spPr>
        <a:xfrm rot="5400000">
          <a:off x="11337855" y="7474032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95249</xdr:colOff>
      <xdr:row>25</xdr:row>
      <xdr:rowOff>104775</xdr:rowOff>
    </xdr:from>
    <xdr:to>
      <xdr:col>24</xdr:col>
      <xdr:colOff>600074</xdr:colOff>
      <xdr:row>37</xdr:row>
      <xdr:rowOff>238125</xdr:rowOff>
    </xdr:to>
    <xdr:sp macro="" textlink="">
      <xdr:nvSpPr>
        <xdr:cNvPr id="2" name="Flowchart: Multidocument 1"/>
        <xdr:cNvSpPr/>
      </xdr:nvSpPr>
      <xdr:spPr>
        <a:xfrm>
          <a:off x="11725274" y="6305550"/>
          <a:ext cx="4562475" cy="1562100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bl</a:t>
          </a:r>
          <a:r>
            <a:rPr lang="en-US" sz="1600" b="1" baseline="0">
              <a:latin typeface="Kruti Dev 010" pitchFamily="2" charset="0"/>
            </a:rPr>
            <a:t> o"kZ </a:t>
          </a:r>
          <a:r>
            <a:rPr lang="en-US" sz="1600" b="1" baseline="0">
              <a:latin typeface="+mn-lt"/>
            </a:rPr>
            <a:t>2022-23</a:t>
          </a:r>
          <a:r>
            <a:rPr lang="en-US" sz="1600" b="1" baseline="0">
              <a:latin typeface="Kruti Dev 010" pitchFamily="2" charset="0"/>
            </a:rPr>
            <a:t> dh usV VsDlscy bUde ,fj;j lfgr jkf'k nl ds xq.kkad esa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17</xdr:col>
      <xdr:colOff>142874</xdr:colOff>
      <xdr:row>4</xdr:row>
      <xdr:rowOff>228600</xdr:rowOff>
    </xdr:from>
    <xdr:to>
      <xdr:col>25</xdr:col>
      <xdr:colOff>28575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10966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l= ds nkSjku </a:t>
          </a:r>
          <a:r>
            <a:rPr lang="en-US" sz="1600" b="1" baseline="0">
              <a:latin typeface="Kruti Dev 010" pitchFamily="2" charset="0"/>
            </a:rPr>
            <a:t>usV VsDlscy jkf'k nl ds xq.kkad esa fy[kuh gSaA blds vUrxZr lHkh rjg dh dVkSfr;kW o NwV dks ?kVk dj ;gkW fy[kuk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342900</xdr:colOff>
      <xdr:row>11</xdr:row>
      <xdr:rowOff>0</xdr:rowOff>
    </xdr:from>
    <xdr:to>
      <xdr:col>25</xdr:col>
      <xdr:colOff>57150</xdr:colOff>
      <xdr:row>14</xdr:row>
      <xdr:rowOff>38100</xdr:rowOff>
    </xdr:to>
    <xdr:sp macro="" textlink="">
      <xdr:nvSpPr>
        <xdr:cNvPr id="4" name="Oval Callout 3"/>
        <xdr:cNvSpPr/>
      </xdr:nvSpPr>
      <xdr:spPr>
        <a:xfrm>
          <a:off x="11972925" y="2828925"/>
          <a:ext cx="4448175" cy="752475"/>
        </a:xfrm>
        <a:prstGeom prst="wedgeEllipseCallout">
          <a:avLst>
            <a:gd name="adj1" fmla="val -72157"/>
            <a:gd name="adj2" fmla="val 46231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;gkW ,fj;j jkf'k</a:t>
          </a:r>
          <a:r>
            <a:rPr lang="en-US" sz="1600" b="1" baseline="0">
              <a:latin typeface="Kruti Dev 010" pitchFamily="2" charset="0"/>
            </a:rPr>
            <a:t> </a:t>
          </a:r>
          <a:r>
            <a:rPr lang="en-US" sz="1600" b="1">
              <a:latin typeface="Kruti Dev 010" pitchFamily="2" charset="0"/>
            </a:rPr>
            <a:t>tks</a:t>
          </a:r>
          <a:r>
            <a:rPr lang="en-US" sz="1600" b="1" baseline="0">
              <a:latin typeface="Kruti Dev 010" pitchFamily="2" charset="0"/>
            </a:rPr>
            <a:t> mu l= ds nkSjku feyuh Fkh ] dks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133349</xdr:colOff>
      <xdr:row>19</xdr:row>
      <xdr:rowOff>19059</xdr:rowOff>
    </xdr:from>
    <xdr:to>
      <xdr:col>18</xdr:col>
      <xdr:colOff>663431</xdr:colOff>
      <xdr:row>19</xdr:row>
      <xdr:rowOff>219078</xdr:rowOff>
    </xdr:to>
    <xdr:sp macro="" textlink="">
      <xdr:nvSpPr>
        <xdr:cNvPr id="5" name="Down Arrow 4"/>
        <xdr:cNvSpPr/>
      </xdr:nvSpPr>
      <xdr:spPr>
        <a:xfrm rot="5400000">
          <a:off x="11928405" y="459747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400" b="1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;g jkf'k 89 ¼1½ ds rgr NqV feyus okyh gSaA</a:t>
          </a:r>
          <a:r>
            <a:rPr lang="en-US" sz="1400" b="1" baseline="0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 </a:t>
          </a:r>
          <a:endParaRPr lang="en-US" sz="1400" b="1">
            <a:solidFill>
              <a:schemeClr val="lt1"/>
            </a:solidFill>
            <a:latin typeface="Kruti Dev 01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youtube.com/playlist?list=PLmNJTudmvkgL-ZI7qFKfQ6oz6WTNnW31z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youtube.com/c/Heeralaljat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youtu.be/4qmZxfwDsg0" TargetMode="External"/><Relationship Id="rId4" Type="http://schemas.openxmlformats.org/officeDocument/2006/relationships/hyperlink" Target="https://youtu.be/4qmZxfwDsg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4qmZxfwDsg0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D26" sqref="D26"/>
    </sheetView>
  </sheetViews>
  <sheetFormatPr defaultColWidth="0" defaultRowHeight="15" zeroHeight="1"/>
  <cols>
    <col min="1" max="1" width="10.375" style="32" customWidth="1"/>
    <col min="2" max="2" width="23.75" style="32" customWidth="1"/>
    <col min="3" max="3" width="111" style="32" customWidth="1"/>
    <col min="4" max="4" width="33.875" style="32" customWidth="1"/>
    <col min="5" max="16384" width="9" style="32" hidden="1"/>
  </cols>
  <sheetData>
    <row r="1" spans="2:4" ht="22.5">
      <c r="C1" s="254" t="s">
        <v>336</v>
      </c>
    </row>
    <row r="2" spans="2:4" ht="15.75" thickBot="1"/>
    <row r="3" spans="2:4" ht="57" customHeight="1" thickTop="1" thickBot="1">
      <c r="B3" s="444" t="s">
        <v>325</v>
      </c>
      <c r="C3" s="444"/>
    </row>
    <row r="4" spans="2:4" ht="24.95" customHeight="1" thickTop="1" thickBot="1">
      <c r="B4" s="445"/>
      <c r="C4" s="255" t="s">
        <v>323</v>
      </c>
    </row>
    <row r="5" spans="2:4" ht="24.95" customHeight="1" thickTop="1" thickBot="1">
      <c r="B5" s="445"/>
      <c r="C5" s="256" t="s">
        <v>324</v>
      </c>
    </row>
    <row r="6" spans="2:4" ht="79.5" customHeight="1" thickTop="1" thickBot="1">
      <c r="B6" s="446"/>
      <c r="C6" s="257" t="s">
        <v>547</v>
      </c>
      <c r="D6" s="291"/>
    </row>
    <row r="7" spans="2:4" ht="39" customHeight="1" thickTop="1" thickBot="1">
      <c r="B7" s="258" t="s">
        <v>322</v>
      </c>
      <c r="C7" s="259" t="s">
        <v>510</v>
      </c>
    </row>
    <row r="8" spans="2:4" ht="24.95" customHeight="1" thickTop="1" thickBot="1">
      <c r="B8" s="449" t="s">
        <v>326</v>
      </c>
      <c r="C8" s="450"/>
      <c r="D8" s="292" t="s">
        <v>472</v>
      </c>
    </row>
    <row r="9" spans="2:4" ht="41.25" customHeight="1" thickTop="1" thickBot="1">
      <c r="B9" s="447" t="s">
        <v>327</v>
      </c>
      <c r="C9" s="448"/>
      <c r="D9" s="292"/>
    </row>
    <row r="10" spans="2:4" ht="24.95" customHeight="1" thickTop="1">
      <c r="B10" s="451"/>
      <c r="C10" s="451"/>
    </row>
    <row r="11" spans="2:4" ht="31.5" customHeight="1">
      <c r="B11" s="260" t="s">
        <v>328</v>
      </c>
      <c r="C11" s="301" t="s">
        <v>478</v>
      </c>
      <c r="D11" s="333" t="s">
        <v>548</v>
      </c>
    </row>
    <row r="12" spans="2:4" ht="23.25" customHeight="1" thickBot="1">
      <c r="B12" s="436"/>
      <c r="C12" s="436"/>
      <c r="D12" s="307"/>
    </row>
    <row r="13" spans="2:4" ht="39.75" customHeight="1" thickTop="1" thickBot="1">
      <c r="B13" s="437" t="s">
        <v>330</v>
      </c>
      <c r="C13" s="437"/>
      <c r="D13" s="345" t="s">
        <v>627</v>
      </c>
    </row>
    <row r="14" spans="2:4" ht="16.5" thickTop="1" thickBot="1"/>
    <row r="15" spans="2:4" ht="30" customHeight="1">
      <c r="B15" s="438" t="s">
        <v>331</v>
      </c>
      <c r="C15" s="439"/>
    </row>
    <row r="16" spans="2:4" ht="30" customHeight="1">
      <c r="B16" s="440" t="s">
        <v>332</v>
      </c>
      <c r="C16" s="441"/>
    </row>
    <row r="17" spans="2:4" ht="30" customHeight="1">
      <c r="B17" s="442" t="s">
        <v>335</v>
      </c>
      <c r="C17" s="443"/>
    </row>
    <row r="18" spans="2:4" ht="30" customHeight="1">
      <c r="B18" s="432" t="s">
        <v>333</v>
      </c>
      <c r="C18" s="433"/>
    </row>
    <row r="19" spans="2:4" ht="30" customHeight="1" thickBot="1">
      <c r="B19" s="434" t="s">
        <v>334</v>
      </c>
      <c r="C19" s="435"/>
    </row>
    <row r="20" spans="2:4" ht="40.5" customHeight="1">
      <c r="D20" s="346" t="s">
        <v>518</v>
      </c>
    </row>
    <row r="21" spans="2:4" ht="26.25" customHeight="1">
      <c r="C21" s="431" t="s">
        <v>473</v>
      </c>
      <c r="D21" s="430" t="s">
        <v>627</v>
      </c>
    </row>
    <row r="22" spans="2:4">
      <c r="C22" s="431"/>
    </row>
    <row r="23" spans="2:4"/>
    <row r="24" spans="2:4" ht="24" customHeight="1">
      <c r="C24" s="298" t="s">
        <v>477</v>
      </c>
    </row>
    <row r="25" spans="2:4"/>
    <row r="26" spans="2:4" ht="33" customHeight="1">
      <c r="C26" s="297" t="s">
        <v>474</v>
      </c>
    </row>
    <row r="27" spans="2:4"/>
    <row r="28" spans="2:4" ht="22.5" customHeight="1">
      <c r="C28" s="328" t="s">
        <v>511</v>
      </c>
    </row>
    <row r="29" spans="2:4" s="39" customFormat="1" ht="15" customHeight="1">
      <c r="C29" s="293"/>
    </row>
  </sheetData>
  <sheetProtection password="C1FB" sheet="1" objects="1" scenarios="1" selectLockedCells="1"/>
  <mergeCells count="13">
    <mergeCell ref="B3:C3"/>
    <mergeCell ref="B4:B6"/>
    <mergeCell ref="B9:C9"/>
    <mergeCell ref="B8:C8"/>
    <mergeCell ref="B10:C10"/>
    <mergeCell ref="C21:C22"/>
    <mergeCell ref="B18:C18"/>
    <mergeCell ref="B19:C19"/>
    <mergeCell ref="B12:C12"/>
    <mergeCell ref="B13:C13"/>
    <mergeCell ref="B15:C15"/>
    <mergeCell ref="B16:C16"/>
    <mergeCell ref="B17:C17"/>
  </mergeCells>
  <hyperlinks>
    <hyperlink ref="B18" r:id="rId1"/>
    <hyperlink ref="C28" r:id="rId2"/>
    <hyperlink ref="C24" r:id="rId3"/>
    <hyperlink ref="D13" r:id="rId4"/>
    <hyperlink ref="D21" r:id="rId5"/>
  </hyperlinks>
  <pageMargins left="0.7" right="0.7" top="0.75" bottom="0.75" header="0.3" footer="0.3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1:M143"/>
  <sheetViews>
    <sheetView showGridLines="0" showRowColHeaders="0" view="pageBreakPreview" topLeftCell="A7" zoomScale="120" zoomScaleSheetLayoutView="120" workbookViewId="0">
      <selection activeCell="O28" sqref="O28"/>
    </sheetView>
  </sheetViews>
  <sheetFormatPr defaultRowHeight="15"/>
  <cols>
    <col min="1" max="1" width="9" style="32"/>
    <col min="2" max="2" width="8.5" style="32" customWidth="1"/>
    <col min="3" max="3" width="8" style="32" customWidth="1"/>
    <col min="4" max="4" width="5.5" style="32" customWidth="1"/>
    <col min="5" max="5" width="11.5" style="32" customWidth="1"/>
    <col min="6" max="6" width="17.375" style="32" customWidth="1"/>
    <col min="7" max="7" width="7" style="32" customWidth="1"/>
    <col min="8" max="8" width="6.625" style="32" customWidth="1"/>
    <col min="9" max="9" width="7.875" style="32" customWidth="1"/>
    <col min="10" max="10" width="6.625" style="32" customWidth="1"/>
    <col min="11" max="11" width="8.375" style="32" customWidth="1"/>
    <col min="12" max="12" width="6.75" style="32" customWidth="1"/>
    <col min="13" max="16384" width="9" style="32"/>
  </cols>
  <sheetData>
    <row r="1" spans="2:12" ht="13.5" customHeight="1">
      <c r="B1" s="990" t="s">
        <v>337</v>
      </c>
      <c r="C1" s="990"/>
      <c r="D1" s="990"/>
      <c r="E1" s="990"/>
      <c r="F1" s="990"/>
      <c r="G1" s="990"/>
      <c r="H1" s="990"/>
      <c r="I1" s="990"/>
      <c r="J1" s="990"/>
      <c r="K1" s="990"/>
      <c r="L1" s="990"/>
    </row>
    <row r="2" spans="2:12" ht="11.25" customHeight="1">
      <c r="B2" s="991" t="s">
        <v>338</v>
      </c>
      <c r="C2" s="991"/>
      <c r="D2" s="991"/>
      <c r="E2" s="991"/>
      <c r="F2" s="991"/>
      <c r="G2" s="991"/>
      <c r="H2" s="991"/>
      <c r="I2" s="991"/>
      <c r="J2" s="991"/>
      <c r="K2" s="991"/>
      <c r="L2" s="991"/>
    </row>
    <row r="3" spans="2:12" ht="11.25" customHeight="1">
      <c r="B3" s="992" t="s">
        <v>339</v>
      </c>
      <c r="C3" s="992"/>
      <c r="D3" s="992"/>
      <c r="E3" s="992"/>
      <c r="F3" s="992"/>
      <c r="G3" s="992"/>
      <c r="H3" s="992"/>
      <c r="I3" s="992"/>
      <c r="J3" s="992"/>
      <c r="K3" s="992"/>
      <c r="L3" s="992"/>
    </row>
    <row r="4" spans="2:12" ht="18" customHeight="1" thickBot="1">
      <c r="B4" s="992" t="s">
        <v>340</v>
      </c>
      <c r="C4" s="992"/>
      <c r="D4" s="992"/>
      <c r="E4" s="992"/>
      <c r="F4" s="992"/>
      <c r="G4" s="992"/>
      <c r="H4" s="992"/>
      <c r="I4" s="992"/>
      <c r="J4" s="992"/>
      <c r="K4" s="992"/>
      <c r="L4" s="992"/>
    </row>
    <row r="5" spans="2:12" ht="16.5" thickTop="1" thickBot="1">
      <c r="B5" s="993" t="s">
        <v>341</v>
      </c>
      <c r="C5" s="993"/>
      <c r="D5" s="993"/>
      <c r="E5" s="993"/>
      <c r="F5" s="993"/>
      <c r="G5" s="993" t="s">
        <v>342</v>
      </c>
      <c r="H5" s="993"/>
      <c r="I5" s="993"/>
      <c r="J5" s="993"/>
      <c r="K5" s="993"/>
      <c r="L5" s="993"/>
    </row>
    <row r="6" spans="2:12" ht="14.25" customHeight="1" thickTop="1" thickBot="1">
      <c r="B6" s="1007" t="str">
        <f>IF('Master Data'!H8="","",UPPER('Master Data'!H8))</f>
        <v>USHA PALIYA</v>
      </c>
      <c r="C6" s="1008"/>
      <c r="D6" s="1008"/>
      <c r="E6" s="1008"/>
      <c r="F6" s="1009"/>
      <c r="G6" s="1010" t="str">
        <f>IF('Master Data'!D6="","",UPPER('Master Data'!D6))</f>
        <v>HEERALAL JAT</v>
      </c>
      <c r="H6" s="1010"/>
      <c r="I6" s="1010"/>
      <c r="J6" s="1010"/>
      <c r="K6" s="1010"/>
      <c r="L6" s="1010"/>
    </row>
    <row r="7" spans="2:12" ht="14.25" customHeight="1" thickTop="1" thickBot="1">
      <c r="B7" s="1011"/>
      <c r="C7" s="1012"/>
      <c r="D7" s="1012"/>
      <c r="E7" s="1012"/>
      <c r="F7" s="1013"/>
      <c r="G7" s="1010" t="str">
        <f>IF('Master Data'!D8="","",UPPER('Master Data'!D8))</f>
        <v>M.G.G.S. BAR</v>
      </c>
      <c r="H7" s="1010"/>
      <c r="I7" s="1010"/>
      <c r="J7" s="1010"/>
      <c r="K7" s="1010"/>
      <c r="L7" s="1010"/>
    </row>
    <row r="8" spans="2:12" ht="14.25" customHeight="1" thickTop="1" thickBot="1">
      <c r="B8" s="986" t="s">
        <v>343</v>
      </c>
      <c r="C8" s="986"/>
      <c r="D8" s="986"/>
      <c r="E8" s="986" t="s">
        <v>344</v>
      </c>
      <c r="F8" s="986"/>
      <c r="G8" s="986" t="s">
        <v>345</v>
      </c>
      <c r="H8" s="986"/>
      <c r="I8" s="986"/>
      <c r="J8" s="986" t="s">
        <v>346</v>
      </c>
      <c r="K8" s="986"/>
      <c r="L8" s="986"/>
    </row>
    <row r="9" spans="2:12" ht="13.5" customHeight="1" thickTop="1" thickBot="1">
      <c r="B9" s="1003"/>
      <c r="C9" s="1004"/>
      <c r="D9" s="1004"/>
      <c r="E9" s="983">
        <f>'Master Data'!H12</f>
        <v>0</v>
      </c>
      <c r="F9" s="983"/>
      <c r="G9" s="1005" t="str">
        <f>UPPER('Master Data'!D12)</f>
        <v>ABCDE1234H</v>
      </c>
      <c r="H9" s="1005"/>
      <c r="I9" s="1005"/>
      <c r="J9" s="1005" t="str">
        <f>UPPER('Master Data'!D10)</f>
        <v>RJPAXXXXXXXX4272</v>
      </c>
      <c r="K9" s="1005"/>
      <c r="L9" s="1005"/>
    </row>
    <row r="10" spans="2:12" ht="13.5" customHeight="1" thickTop="1" thickBot="1">
      <c r="B10" s="1006" t="s">
        <v>347</v>
      </c>
      <c r="C10" s="1006"/>
      <c r="D10" s="1006"/>
      <c r="E10" s="1006"/>
      <c r="F10" s="1006"/>
      <c r="G10" s="983" t="s">
        <v>348</v>
      </c>
      <c r="H10" s="983"/>
      <c r="I10" s="983" t="s">
        <v>349</v>
      </c>
      <c r="J10" s="983"/>
      <c r="K10" s="983"/>
      <c r="L10" s="983"/>
    </row>
    <row r="11" spans="2:12" ht="14.25" customHeight="1" thickTop="1" thickBot="1">
      <c r="B11" s="265" t="s">
        <v>350</v>
      </c>
      <c r="C11" s="987" t="s">
        <v>455</v>
      </c>
      <c r="D11" s="987"/>
      <c r="E11" s="987"/>
      <c r="F11" s="987"/>
      <c r="G11" s="988" t="s">
        <v>600</v>
      </c>
      <c r="H11" s="988"/>
      <c r="I11" s="863" t="s">
        <v>351</v>
      </c>
      <c r="J11" s="863"/>
      <c r="K11" s="983" t="s">
        <v>352</v>
      </c>
      <c r="L11" s="983"/>
    </row>
    <row r="12" spans="2:12" ht="14.25" customHeight="1" thickTop="1" thickBot="1">
      <c r="B12" s="265" t="s">
        <v>353</v>
      </c>
      <c r="C12" s="987" t="s">
        <v>456</v>
      </c>
      <c r="D12" s="987"/>
      <c r="E12" s="265" t="s">
        <v>354</v>
      </c>
      <c r="F12" s="262">
        <v>306401</v>
      </c>
      <c r="G12" s="988"/>
      <c r="H12" s="988"/>
      <c r="I12" s="989" t="s">
        <v>598</v>
      </c>
      <c r="J12" s="989"/>
      <c r="K12" s="989" t="s">
        <v>599</v>
      </c>
      <c r="L12" s="989"/>
    </row>
    <row r="13" spans="2:12" ht="17.25" customHeight="1" thickTop="1" thickBot="1">
      <c r="B13" s="983" t="s">
        <v>355</v>
      </c>
      <c r="C13" s="983"/>
      <c r="D13" s="983"/>
      <c r="E13" s="983"/>
      <c r="F13" s="983"/>
      <c r="G13" s="983"/>
      <c r="H13" s="983"/>
      <c r="I13" s="983"/>
      <c r="J13" s="983"/>
      <c r="K13" s="983"/>
      <c r="L13" s="983"/>
    </row>
    <row r="14" spans="2:12" ht="25.5" customHeight="1" thickTop="1" thickBot="1">
      <c r="B14" s="266" t="s">
        <v>356</v>
      </c>
      <c r="C14" s="985" t="s">
        <v>357</v>
      </c>
      <c r="D14" s="985"/>
      <c r="E14" s="985"/>
      <c r="F14" s="266" t="s">
        <v>358</v>
      </c>
      <c r="G14" s="863" t="s">
        <v>359</v>
      </c>
      <c r="H14" s="863"/>
      <c r="I14" s="863"/>
      <c r="J14" s="986" t="s">
        <v>360</v>
      </c>
      <c r="K14" s="986"/>
      <c r="L14" s="986"/>
    </row>
    <row r="15" spans="2:12" ht="16.5" customHeight="1" thickTop="1" thickBot="1">
      <c r="B15" s="267" t="s">
        <v>458</v>
      </c>
      <c r="C15" s="980"/>
      <c r="D15" s="980"/>
      <c r="E15" s="980"/>
      <c r="F15" s="264"/>
      <c r="G15" s="981">
        <f>SUM('GA55 Check &amp; Edit'!BX12:BX14)</f>
        <v>6000</v>
      </c>
      <c r="H15" s="981"/>
      <c r="I15" s="981"/>
      <c r="J15" s="982">
        <f>G15</f>
        <v>6000</v>
      </c>
      <c r="K15" s="982"/>
      <c r="L15" s="982"/>
    </row>
    <row r="16" spans="2:12" ht="20.25" customHeight="1" thickTop="1" thickBot="1">
      <c r="B16" s="267" t="s">
        <v>457</v>
      </c>
      <c r="C16" s="980"/>
      <c r="D16" s="980"/>
      <c r="E16" s="980"/>
      <c r="F16" s="264"/>
      <c r="G16" s="981">
        <f>SUM('GA55 Check &amp; Edit'!BX15:BX17)</f>
        <v>9000</v>
      </c>
      <c r="H16" s="981"/>
      <c r="I16" s="981"/>
      <c r="J16" s="982">
        <f>G16</f>
        <v>9000</v>
      </c>
      <c r="K16" s="982"/>
      <c r="L16" s="982"/>
    </row>
    <row r="17" spans="2:12" ht="15.75" customHeight="1" thickTop="1" thickBot="1">
      <c r="B17" s="268" t="s">
        <v>459</v>
      </c>
      <c r="C17" s="980"/>
      <c r="D17" s="980"/>
      <c r="E17" s="980"/>
      <c r="F17" s="264"/>
      <c r="G17" s="981">
        <f>SUM('GA55 Check &amp; Edit'!BX18:BX20)</f>
        <v>15000</v>
      </c>
      <c r="H17" s="981"/>
      <c r="I17" s="981"/>
      <c r="J17" s="982">
        <f>G17</f>
        <v>15000</v>
      </c>
      <c r="K17" s="982"/>
      <c r="L17" s="982"/>
    </row>
    <row r="18" spans="2:12" ht="15" customHeight="1" thickTop="1" thickBot="1">
      <c r="B18" s="268" t="s">
        <v>460</v>
      </c>
      <c r="C18" s="980"/>
      <c r="D18" s="980"/>
      <c r="E18" s="980"/>
      <c r="F18" s="264"/>
      <c r="G18" s="981">
        <f>SUM('GA55 Check &amp; Edit'!BX21:BX23)+SUM('GA55 Only Print'!X18:'GA55 Only Print'!X26)</f>
        <v>15000</v>
      </c>
      <c r="H18" s="981"/>
      <c r="I18" s="981"/>
      <c r="J18" s="982">
        <f>G18</f>
        <v>15000</v>
      </c>
      <c r="K18" s="982"/>
      <c r="L18" s="982"/>
    </row>
    <row r="19" spans="2:12" ht="16.5" thickTop="1" thickBot="1">
      <c r="B19" s="983" t="s">
        <v>361</v>
      </c>
      <c r="C19" s="983"/>
      <c r="D19" s="983"/>
      <c r="E19" s="983"/>
      <c r="F19" s="269">
        <f>SUM(F15:F18)</f>
        <v>0</v>
      </c>
      <c r="G19" s="984">
        <f>SUM(G15:G18)</f>
        <v>45000</v>
      </c>
      <c r="H19" s="984"/>
      <c r="I19" s="984"/>
      <c r="J19" s="984">
        <f>SUM(J15:J18)</f>
        <v>45000</v>
      </c>
      <c r="K19" s="984"/>
      <c r="L19" s="984"/>
    </row>
    <row r="20" spans="2:12" ht="15.75" thickTop="1">
      <c r="B20" s="972" t="s">
        <v>362</v>
      </c>
      <c r="C20" s="973"/>
      <c r="D20" s="973"/>
      <c r="E20" s="973"/>
      <c r="F20" s="973"/>
      <c r="G20" s="973"/>
      <c r="H20" s="973"/>
      <c r="I20" s="973"/>
      <c r="J20" s="973"/>
      <c r="K20" s="973"/>
      <c r="L20" s="974"/>
    </row>
    <row r="21" spans="2:12" ht="15.75" thickBot="1">
      <c r="B21" s="975" t="s">
        <v>363</v>
      </c>
      <c r="C21" s="976"/>
      <c r="D21" s="976"/>
      <c r="E21" s="976"/>
      <c r="F21" s="976"/>
      <c r="G21" s="976"/>
      <c r="H21" s="976"/>
      <c r="I21" s="976"/>
      <c r="J21" s="976"/>
      <c r="K21" s="976"/>
      <c r="L21" s="977"/>
    </row>
    <row r="22" spans="2:12" ht="16.5" thickTop="1" thickBot="1">
      <c r="B22" s="978" t="s">
        <v>62</v>
      </c>
      <c r="C22" s="979" t="s">
        <v>364</v>
      </c>
      <c r="D22" s="979"/>
      <c r="E22" s="979" t="s">
        <v>365</v>
      </c>
      <c r="F22" s="979"/>
      <c r="G22" s="979"/>
      <c r="H22" s="979"/>
      <c r="I22" s="979"/>
      <c r="J22" s="979"/>
      <c r="K22" s="979"/>
      <c r="L22" s="979"/>
    </row>
    <row r="23" spans="2:12" ht="38.25" customHeight="1" thickTop="1" thickBot="1">
      <c r="B23" s="978"/>
      <c r="C23" s="979"/>
      <c r="D23" s="979"/>
      <c r="E23" s="270" t="s">
        <v>366</v>
      </c>
      <c r="F23" s="270" t="s">
        <v>367</v>
      </c>
      <c r="G23" s="979" t="s">
        <v>368</v>
      </c>
      <c r="H23" s="979"/>
      <c r="I23" s="979"/>
      <c r="J23" s="979" t="s">
        <v>369</v>
      </c>
      <c r="K23" s="979"/>
      <c r="L23" s="979"/>
    </row>
    <row r="24" spans="2:12" ht="13.5" customHeight="1" thickTop="1" thickBot="1">
      <c r="B24" s="271">
        <v>1</v>
      </c>
      <c r="C24" s="968">
        <f>'GA55 Only Print'!X6</f>
        <v>2000</v>
      </c>
      <c r="D24" s="968"/>
      <c r="E24" s="263"/>
      <c r="F24" s="263"/>
      <c r="G24" s="969"/>
      <c r="H24" s="969"/>
      <c r="I24" s="969"/>
      <c r="J24" s="970" t="str">
        <f>IF(E24&gt;"0","Yes","-")</f>
        <v>-</v>
      </c>
      <c r="K24" s="970"/>
      <c r="L24" s="970"/>
    </row>
    <row r="25" spans="2:12" ht="13.5" customHeight="1" thickTop="1" thickBot="1">
      <c r="B25" s="271">
        <v>2</v>
      </c>
      <c r="C25" s="968">
        <f>'GA55 Only Print'!X7</f>
        <v>2000</v>
      </c>
      <c r="D25" s="968"/>
      <c r="E25" s="263"/>
      <c r="F25" s="263"/>
      <c r="G25" s="969"/>
      <c r="H25" s="969"/>
      <c r="I25" s="969"/>
      <c r="J25" s="970" t="str">
        <f t="shared" ref="J25:J37" si="0">IF(E25&gt;"0","Yes","-")</f>
        <v>-</v>
      </c>
      <c r="K25" s="970"/>
      <c r="L25" s="970"/>
    </row>
    <row r="26" spans="2:12" ht="13.5" customHeight="1" thickTop="1" thickBot="1">
      <c r="B26" s="271">
        <v>3</v>
      </c>
      <c r="C26" s="968">
        <f>'GA55 Only Print'!X8</f>
        <v>2000</v>
      </c>
      <c r="D26" s="968"/>
      <c r="E26" s="263"/>
      <c r="F26" s="263"/>
      <c r="G26" s="969"/>
      <c r="H26" s="969"/>
      <c r="I26" s="969"/>
      <c r="J26" s="970" t="str">
        <f t="shared" si="0"/>
        <v>-</v>
      </c>
      <c r="K26" s="970"/>
      <c r="L26" s="970"/>
    </row>
    <row r="27" spans="2:12" ht="13.5" customHeight="1" thickTop="1" thickBot="1">
      <c r="B27" s="271">
        <v>4</v>
      </c>
      <c r="C27" s="968">
        <f>'GA55 Only Print'!X9</f>
        <v>2000</v>
      </c>
      <c r="D27" s="968"/>
      <c r="E27" s="263"/>
      <c r="F27" s="263"/>
      <c r="G27" s="969"/>
      <c r="H27" s="969"/>
      <c r="I27" s="969"/>
      <c r="J27" s="970" t="str">
        <f t="shared" si="0"/>
        <v>-</v>
      </c>
      <c r="K27" s="970"/>
      <c r="L27" s="970"/>
    </row>
    <row r="28" spans="2:12" ht="13.5" customHeight="1" thickTop="1" thickBot="1">
      <c r="B28" s="271">
        <v>5</v>
      </c>
      <c r="C28" s="968">
        <f>'GA55 Only Print'!X10</f>
        <v>2000</v>
      </c>
      <c r="D28" s="968"/>
      <c r="E28" s="263"/>
      <c r="F28" s="263"/>
      <c r="G28" s="969"/>
      <c r="H28" s="969"/>
      <c r="I28" s="969"/>
      <c r="J28" s="970" t="str">
        <f t="shared" si="0"/>
        <v>-</v>
      </c>
      <c r="K28" s="970"/>
      <c r="L28" s="970"/>
    </row>
    <row r="29" spans="2:12" ht="13.5" customHeight="1" thickTop="1" thickBot="1">
      <c r="B29" s="271">
        <v>6</v>
      </c>
      <c r="C29" s="968">
        <f>'GA55 Only Print'!X11</f>
        <v>5000</v>
      </c>
      <c r="D29" s="968"/>
      <c r="E29" s="263"/>
      <c r="F29" s="263"/>
      <c r="G29" s="969"/>
      <c r="H29" s="969"/>
      <c r="I29" s="969"/>
      <c r="J29" s="970" t="str">
        <f t="shared" si="0"/>
        <v>-</v>
      </c>
      <c r="K29" s="970"/>
      <c r="L29" s="970"/>
    </row>
    <row r="30" spans="2:12" ht="13.5" customHeight="1" thickTop="1" thickBot="1">
      <c r="B30" s="271">
        <v>7</v>
      </c>
      <c r="C30" s="968">
        <f>'GA55 Only Print'!X12</f>
        <v>5000</v>
      </c>
      <c r="D30" s="968"/>
      <c r="E30" s="263"/>
      <c r="F30" s="263"/>
      <c r="G30" s="969"/>
      <c r="H30" s="969"/>
      <c r="I30" s="969"/>
      <c r="J30" s="970" t="str">
        <f t="shared" si="0"/>
        <v>-</v>
      </c>
      <c r="K30" s="970"/>
      <c r="L30" s="970"/>
    </row>
    <row r="31" spans="2:12" ht="13.5" customHeight="1" thickTop="1" thickBot="1">
      <c r="B31" s="271">
        <v>8</v>
      </c>
      <c r="C31" s="968">
        <f>'GA55 Only Print'!X13</f>
        <v>5000</v>
      </c>
      <c r="D31" s="968"/>
      <c r="E31" s="263"/>
      <c r="F31" s="263"/>
      <c r="G31" s="969"/>
      <c r="H31" s="969"/>
      <c r="I31" s="969"/>
      <c r="J31" s="970" t="str">
        <f t="shared" si="0"/>
        <v>-</v>
      </c>
      <c r="K31" s="970"/>
      <c r="L31" s="970"/>
    </row>
    <row r="32" spans="2:12" ht="13.5" customHeight="1" thickTop="1" thickBot="1">
      <c r="B32" s="271">
        <v>9</v>
      </c>
      <c r="C32" s="968">
        <f>'GA55 Only Print'!X14</f>
        <v>5000</v>
      </c>
      <c r="D32" s="968"/>
      <c r="E32" s="263"/>
      <c r="F32" s="263"/>
      <c r="G32" s="969"/>
      <c r="H32" s="969"/>
      <c r="I32" s="969"/>
      <c r="J32" s="970" t="str">
        <f t="shared" si="0"/>
        <v>-</v>
      </c>
      <c r="K32" s="970"/>
      <c r="L32" s="970"/>
    </row>
    <row r="33" spans="2:12" ht="13.5" customHeight="1" thickTop="1" thickBot="1">
      <c r="B33" s="271">
        <v>10</v>
      </c>
      <c r="C33" s="968">
        <f>'GA55 Only Print'!X15</f>
        <v>5000</v>
      </c>
      <c r="D33" s="968"/>
      <c r="E33" s="263"/>
      <c r="F33" s="263"/>
      <c r="G33" s="969"/>
      <c r="H33" s="969"/>
      <c r="I33" s="969"/>
      <c r="J33" s="970" t="str">
        <f t="shared" si="0"/>
        <v>-</v>
      </c>
      <c r="K33" s="970"/>
      <c r="L33" s="970"/>
    </row>
    <row r="34" spans="2:12" ht="13.5" customHeight="1" thickTop="1" thickBot="1">
      <c r="B34" s="271">
        <v>11</v>
      </c>
      <c r="C34" s="968">
        <f>'GA55 Only Print'!X16</f>
        <v>5000</v>
      </c>
      <c r="D34" s="968"/>
      <c r="E34" s="263"/>
      <c r="F34" s="263"/>
      <c r="G34" s="969"/>
      <c r="H34" s="969"/>
      <c r="I34" s="969"/>
      <c r="J34" s="970" t="str">
        <f t="shared" si="0"/>
        <v>-</v>
      </c>
      <c r="K34" s="970"/>
      <c r="L34" s="970"/>
    </row>
    <row r="35" spans="2:12" ht="13.5" customHeight="1" thickTop="1" thickBot="1">
      <c r="B35" s="271">
        <v>12</v>
      </c>
      <c r="C35" s="968">
        <f>'GA55 Only Print'!X17</f>
        <v>5000</v>
      </c>
      <c r="D35" s="968"/>
      <c r="E35" s="263"/>
      <c r="F35" s="263"/>
      <c r="G35" s="969"/>
      <c r="H35" s="969"/>
      <c r="I35" s="969"/>
      <c r="J35" s="970" t="str">
        <f t="shared" si="0"/>
        <v>-</v>
      </c>
      <c r="K35" s="970"/>
      <c r="L35" s="970"/>
    </row>
    <row r="36" spans="2:12" ht="13.5" customHeight="1" thickTop="1" thickBot="1">
      <c r="B36" s="271">
        <v>13</v>
      </c>
      <c r="C36" s="968">
        <f>'GA55 Only Print'!X27-SUM(C24:D35)</f>
        <v>0</v>
      </c>
      <c r="D36" s="968"/>
      <c r="E36" s="263"/>
      <c r="F36" s="263"/>
      <c r="G36" s="969"/>
      <c r="H36" s="969"/>
      <c r="I36" s="969"/>
      <c r="J36" s="970" t="str">
        <f t="shared" si="0"/>
        <v>-</v>
      </c>
      <c r="K36" s="970"/>
      <c r="L36" s="970"/>
    </row>
    <row r="37" spans="2:12" ht="13.5" hidden="1" customHeight="1">
      <c r="B37" s="271">
        <v>14</v>
      </c>
      <c r="C37" s="968">
        <f>'[3]G.A. 55'!T24+'[3]G.A. 55'!T26</f>
        <v>0</v>
      </c>
      <c r="D37" s="968"/>
      <c r="E37" s="272"/>
      <c r="F37" s="272"/>
      <c r="G37" s="971"/>
      <c r="H37" s="971"/>
      <c r="I37" s="971"/>
      <c r="J37" s="970" t="str">
        <f t="shared" si="0"/>
        <v>-</v>
      </c>
      <c r="K37" s="970"/>
      <c r="L37" s="970"/>
    </row>
    <row r="38" spans="2:12" ht="14.25" customHeight="1" thickTop="1" thickBot="1">
      <c r="B38" s="273" t="s">
        <v>370</v>
      </c>
      <c r="C38" s="963">
        <f>SUM(C24:D37)</f>
        <v>45000</v>
      </c>
      <c r="D38" s="963"/>
      <c r="E38" s="964"/>
      <c r="F38" s="964"/>
      <c r="G38" s="964"/>
      <c r="H38" s="964"/>
      <c r="I38" s="964"/>
      <c r="J38" s="964"/>
      <c r="K38" s="964"/>
      <c r="L38" s="964"/>
    </row>
    <row r="39" spans="2:12" ht="12.75" customHeight="1" thickTop="1" thickBot="1">
      <c r="B39" s="965" t="s">
        <v>371</v>
      </c>
      <c r="C39" s="965"/>
      <c r="D39" s="965"/>
      <c r="E39" s="965"/>
      <c r="F39" s="965"/>
      <c r="G39" s="965"/>
      <c r="H39" s="965"/>
      <c r="I39" s="965"/>
      <c r="J39" s="965"/>
      <c r="K39" s="965"/>
      <c r="L39" s="965"/>
    </row>
    <row r="40" spans="2:12" ht="12.75" customHeight="1" thickTop="1" thickBot="1">
      <c r="B40" s="966" t="s">
        <v>372</v>
      </c>
      <c r="C40" s="966"/>
      <c r="D40" s="966"/>
      <c r="E40" s="966"/>
      <c r="F40" s="966"/>
      <c r="G40" s="966"/>
      <c r="H40" s="966"/>
      <c r="I40" s="966"/>
      <c r="J40" s="966"/>
      <c r="K40" s="966"/>
      <c r="L40" s="966"/>
    </row>
    <row r="41" spans="2:12" ht="12.75" customHeight="1" thickTop="1" thickBot="1">
      <c r="B41" s="962" t="s">
        <v>62</v>
      </c>
      <c r="C41" s="967" t="s">
        <v>373</v>
      </c>
      <c r="D41" s="967"/>
      <c r="E41" s="962" t="s">
        <v>374</v>
      </c>
      <c r="F41" s="962"/>
      <c r="G41" s="962"/>
      <c r="H41" s="962"/>
      <c r="I41" s="962"/>
      <c r="J41" s="962"/>
      <c r="K41" s="962"/>
      <c r="L41" s="962"/>
    </row>
    <row r="42" spans="2:12" ht="35.450000000000003" customHeight="1" thickTop="1" thickBot="1">
      <c r="B42" s="962"/>
      <c r="C42" s="967"/>
      <c r="D42" s="967"/>
      <c r="E42" s="962" t="s">
        <v>375</v>
      </c>
      <c r="F42" s="962"/>
      <c r="G42" s="962" t="s">
        <v>376</v>
      </c>
      <c r="H42" s="962"/>
      <c r="I42" s="962" t="s">
        <v>377</v>
      </c>
      <c r="J42" s="962"/>
      <c r="K42" s="962" t="s">
        <v>378</v>
      </c>
      <c r="L42" s="962"/>
    </row>
    <row r="43" spans="2:12" ht="13.5" customHeight="1" thickTop="1" thickBot="1">
      <c r="B43" s="274">
        <v>1</v>
      </c>
      <c r="C43" s="958"/>
      <c r="D43" s="958"/>
      <c r="E43" s="959"/>
      <c r="F43" s="959"/>
      <c r="G43" s="960"/>
      <c r="H43" s="960"/>
      <c r="I43" s="961"/>
      <c r="J43" s="961"/>
      <c r="K43" s="955" t="str">
        <f>IF(C43&gt;"0","Yes","-")</f>
        <v>-</v>
      </c>
      <c r="L43" s="955"/>
    </row>
    <row r="44" spans="2:12" ht="13.5" customHeight="1" thickTop="1" thickBot="1">
      <c r="B44" s="274">
        <v>2</v>
      </c>
      <c r="C44" s="958"/>
      <c r="D44" s="958"/>
      <c r="E44" s="959"/>
      <c r="F44" s="959"/>
      <c r="G44" s="960"/>
      <c r="H44" s="960"/>
      <c r="I44" s="961"/>
      <c r="J44" s="961"/>
      <c r="K44" s="955" t="str">
        <f t="shared" ref="K44:K54" si="1">IF(C44&gt;"0","Yes","-")</f>
        <v>-</v>
      </c>
      <c r="L44" s="955"/>
    </row>
    <row r="45" spans="2:12" ht="13.5" customHeight="1" thickTop="1" thickBot="1">
      <c r="B45" s="274">
        <v>3</v>
      </c>
      <c r="C45" s="958"/>
      <c r="D45" s="958"/>
      <c r="E45" s="959"/>
      <c r="F45" s="959"/>
      <c r="G45" s="960"/>
      <c r="H45" s="960"/>
      <c r="I45" s="961"/>
      <c r="J45" s="961"/>
      <c r="K45" s="955" t="str">
        <f t="shared" si="1"/>
        <v>-</v>
      </c>
      <c r="L45" s="955"/>
    </row>
    <row r="46" spans="2:12" ht="13.5" customHeight="1" thickTop="1" thickBot="1">
      <c r="B46" s="274">
        <v>4</v>
      </c>
      <c r="C46" s="958"/>
      <c r="D46" s="958"/>
      <c r="E46" s="959"/>
      <c r="F46" s="959"/>
      <c r="G46" s="960"/>
      <c r="H46" s="960"/>
      <c r="I46" s="961"/>
      <c r="J46" s="961"/>
      <c r="K46" s="955" t="str">
        <f t="shared" si="1"/>
        <v>-</v>
      </c>
      <c r="L46" s="955"/>
    </row>
    <row r="47" spans="2:12" ht="13.5" customHeight="1" thickTop="1" thickBot="1">
      <c r="B47" s="274">
        <v>5</v>
      </c>
      <c r="C47" s="958"/>
      <c r="D47" s="958"/>
      <c r="E47" s="959"/>
      <c r="F47" s="959"/>
      <c r="G47" s="960"/>
      <c r="H47" s="960"/>
      <c r="I47" s="961"/>
      <c r="J47" s="961"/>
      <c r="K47" s="955" t="str">
        <f t="shared" si="1"/>
        <v>-</v>
      </c>
      <c r="L47" s="955"/>
    </row>
    <row r="48" spans="2:12" ht="13.5" customHeight="1" thickTop="1" thickBot="1">
      <c r="B48" s="274">
        <v>6</v>
      </c>
      <c r="C48" s="958"/>
      <c r="D48" s="958"/>
      <c r="E48" s="959"/>
      <c r="F48" s="959"/>
      <c r="G48" s="960"/>
      <c r="H48" s="960"/>
      <c r="I48" s="961"/>
      <c r="J48" s="961"/>
      <c r="K48" s="955" t="str">
        <f t="shared" si="1"/>
        <v>-</v>
      </c>
      <c r="L48" s="955"/>
    </row>
    <row r="49" spans="2:12" ht="13.5" customHeight="1" thickTop="1" thickBot="1">
      <c r="B49" s="274">
        <v>7</v>
      </c>
      <c r="C49" s="958"/>
      <c r="D49" s="958"/>
      <c r="E49" s="959"/>
      <c r="F49" s="959"/>
      <c r="G49" s="960"/>
      <c r="H49" s="960"/>
      <c r="I49" s="961"/>
      <c r="J49" s="961"/>
      <c r="K49" s="955" t="str">
        <f t="shared" si="1"/>
        <v>-</v>
      </c>
      <c r="L49" s="955"/>
    </row>
    <row r="50" spans="2:12" ht="13.5" customHeight="1" thickTop="1" thickBot="1">
      <c r="B50" s="274">
        <v>8</v>
      </c>
      <c r="C50" s="958"/>
      <c r="D50" s="958"/>
      <c r="E50" s="959"/>
      <c r="F50" s="959"/>
      <c r="G50" s="960"/>
      <c r="H50" s="960"/>
      <c r="I50" s="961"/>
      <c r="J50" s="961"/>
      <c r="K50" s="955" t="str">
        <f t="shared" si="1"/>
        <v>-</v>
      </c>
      <c r="L50" s="955"/>
    </row>
    <row r="51" spans="2:12" ht="13.5" customHeight="1" thickTop="1" thickBot="1">
      <c r="B51" s="274">
        <v>9</v>
      </c>
      <c r="C51" s="958"/>
      <c r="D51" s="958"/>
      <c r="E51" s="959"/>
      <c r="F51" s="959"/>
      <c r="G51" s="960"/>
      <c r="H51" s="960"/>
      <c r="I51" s="961"/>
      <c r="J51" s="961"/>
      <c r="K51" s="955" t="str">
        <f t="shared" si="1"/>
        <v>-</v>
      </c>
      <c r="L51" s="955"/>
    </row>
    <row r="52" spans="2:12" ht="13.5" customHeight="1" thickTop="1" thickBot="1">
      <c r="B52" s="274">
        <v>10</v>
      </c>
      <c r="C52" s="958"/>
      <c r="D52" s="958"/>
      <c r="E52" s="959"/>
      <c r="F52" s="959"/>
      <c r="G52" s="960"/>
      <c r="H52" s="960"/>
      <c r="I52" s="961"/>
      <c r="J52" s="961"/>
      <c r="K52" s="955" t="str">
        <f t="shared" si="1"/>
        <v>-</v>
      </c>
      <c r="L52" s="955"/>
    </row>
    <row r="53" spans="2:12" ht="13.5" customHeight="1" thickTop="1" thickBot="1">
      <c r="B53" s="274">
        <v>11</v>
      </c>
      <c r="C53" s="958"/>
      <c r="D53" s="958"/>
      <c r="E53" s="959"/>
      <c r="F53" s="959"/>
      <c r="G53" s="960"/>
      <c r="H53" s="960"/>
      <c r="I53" s="961"/>
      <c r="J53" s="961"/>
      <c r="K53" s="955" t="str">
        <f t="shared" si="1"/>
        <v>-</v>
      </c>
      <c r="L53" s="955"/>
    </row>
    <row r="54" spans="2:12" ht="13.5" customHeight="1" thickTop="1" thickBot="1">
      <c r="B54" s="274">
        <v>12</v>
      </c>
      <c r="C54" s="958"/>
      <c r="D54" s="958"/>
      <c r="E54" s="959"/>
      <c r="F54" s="959"/>
      <c r="G54" s="960"/>
      <c r="H54" s="960"/>
      <c r="I54" s="961"/>
      <c r="J54" s="961"/>
      <c r="K54" s="955" t="str">
        <f t="shared" si="1"/>
        <v>-</v>
      </c>
      <c r="L54" s="955"/>
    </row>
    <row r="55" spans="2:12" ht="13.5" hidden="1" customHeight="1">
      <c r="B55" s="274">
        <v>13</v>
      </c>
      <c r="C55" s="953"/>
      <c r="D55" s="953"/>
      <c r="E55" s="954"/>
      <c r="F55" s="954"/>
      <c r="G55" s="955"/>
      <c r="H55" s="955"/>
      <c r="I55" s="956"/>
      <c r="J55" s="956"/>
      <c r="K55" s="955"/>
      <c r="L55" s="955"/>
    </row>
    <row r="56" spans="2:12" ht="13.5" hidden="1" customHeight="1">
      <c r="B56" s="274">
        <v>14</v>
      </c>
      <c r="C56" s="953"/>
      <c r="D56" s="953"/>
      <c r="E56" s="954"/>
      <c r="F56" s="954"/>
      <c r="G56" s="955"/>
      <c r="H56" s="955"/>
      <c r="I56" s="956"/>
      <c r="J56" s="956"/>
      <c r="K56" s="955"/>
      <c r="L56" s="955"/>
    </row>
    <row r="57" spans="2:12" ht="15.6" customHeight="1" thickTop="1" thickBot="1">
      <c r="B57" s="275" t="s">
        <v>370</v>
      </c>
      <c r="C57" s="957">
        <f>SUM(C43:C56)</f>
        <v>0</v>
      </c>
      <c r="D57" s="957"/>
      <c r="E57" s="957"/>
      <c r="F57" s="957"/>
      <c r="G57" s="957"/>
      <c r="H57" s="957"/>
      <c r="I57" s="957"/>
      <c r="J57" s="957"/>
      <c r="K57" s="957"/>
      <c r="L57" s="957"/>
    </row>
    <row r="58" spans="2:12" ht="12.75" customHeight="1" thickTop="1">
      <c r="B58" s="826" t="s">
        <v>379</v>
      </c>
      <c r="C58" s="826"/>
      <c r="D58" s="826"/>
      <c r="E58" s="826"/>
      <c r="F58" s="826"/>
      <c r="G58" s="826"/>
      <c r="H58" s="826"/>
      <c r="I58" s="826"/>
      <c r="J58" s="826"/>
      <c r="K58" s="826"/>
      <c r="L58" s="826"/>
    </row>
    <row r="59" spans="2:12" ht="18.75" customHeight="1">
      <c r="B59" s="948" t="s">
        <v>380</v>
      </c>
      <c r="C59" s="948"/>
      <c r="D59" s="948"/>
      <c r="E59" s="948"/>
      <c r="F59" s="948"/>
      <c r="G59" s="948"/>
      <c r="H59" s="948"/>
      <c r="I59" s="948"/>
      <c r="J59" s="948"/>
      <c r="K59" s="948"/>
      <c r="L59" s="948"/>
    </row>
    <row r="60" spans="2:12" ht="15" customHeight="1">
      <c r="B60" s="276" t="s">
        <v>381</v>
      </c>
      <c r="C60" s="828" t="str">
        <f>B6&amp;","</f>
        <v>USHA PALIYA,</v>
      </c>
      <c r="D60" s="828"/>
      <c r="E60" s="828"/>
      <c r="F60" s="277" t="s">
        <v>382</v>
      </c>
      <c r="G60" s="949"/>
      <c r="H60" s="949"/>
      <c r="I60" s="949"/>
      <c r="J60" s="949"/>
      <c r="K60" s="950" t="s">
        <v>383</v>
      </c>
      <c r="L60" s="950"/>
    </row>
    <row r="61" spans="2:12">
      <c r="B61" s="951" t="s">
        <v>384</v>
      </c>
      <c r="C61" s="951"/>
      <c r="D61" s="949" t="s">
        <v>461</v>
      </c>
      <c r="E61" s="949"/>
      <c r="F61" s="949"/>
      <c r="G61" s="952" t="s">
        <v>385</v>
      </c>
      <c r="H61" s="952"/>
      <c r="I61" s="952"/>
      <c r="J61" s="952"/>
      <c r="K61" s="952"/>
      <c r="L61" s="952"/>
    </row>
    <row r="62" spans="2:12">
      <c r="B62" s="278" t="s">
        <v>386</v>
      </c>
      <c r="C62" s="279">
        <f>J19</f>
        <v>45000</v>
      </c>
      <c r="D62" s="945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Forty-Five Thousand  Rupees</v>
      </c>
      <c r="E62" s="945"/>
      <c r="F62" s="945"/>
      <c r="G62" s="945"/>
      <c r="H62" s="945"/>
      <c r="I62" s="946" t="s">
        <v>387</v>
      </c>
      <c r="J62" s="946"/>
      <c r="K62" s="946"/>
      <c r="L62" s="946"/>
    </row>
    <row r="63" spans="2:12">
      <c r="B63" s="835" t="s">
        <v>463</v>
      </c>
      <c r="C63" s="835"/>
      <c r="D63" s="835"/>
      <c r="E63" s="835"/>
      <c r="F63" s="835"/>
      <c r="G63" s="835"/>
      <c r="H63" s="835"/>
      <c r="I63" s="835"/>
      <c r="J63" s="835"/>
      <c r="K63" s="835"/>
      <c r="L63" s="835"/>
    </row>
    <row r="64" spans="2:12">
      <c r="B64" s="835" t="s">
        <v>462</v>
      </c>
      <c r="C64" s="835"/>
      <c r="D64" s="835"/>
      <c r="E64" s="835"/>
      <c r="F64" s="835"/>
      <c r="G64" s="835"/>
      <c r="H64" s="835"/>
      <c r="I64" s="835"/>
      <c r="J64" s="835"/>
      <c r="K64" s="835"/>
      <c r="L64" s="835"/>
    </row>
    <row r="65" spans="2:13" ht="17.25" customHeight="1">
      <c r="B65" s="941" t="s">
        <v>388</v>
      </c>
      <c r="C65" s="941"/>
      <c r="D65" s="947" t="str">
        <f>G7</f>
        <v>M.G.G.S. BAR</v>
      </c>
      <c r="E65" s="947"/>
      <c r="F65" s="828"/>
      <c r="G65" s="828"/>
      <c r="H65" s="828"/>
      <c r="I65" s="828"/>
      <c r="J65" s="828"/>
      <c r="K65" s="828"/>
      <c r="L65" s="828"/>
    </row>
    <row r="66" spans="2:13" ht="15.75">
      <c r="B66" s="941" t="s">
        <v>389</v>
      </c>
      <c r="C66" s="941"/>
      <c r="D66" s="830">
        <f ca="1">TODAY()</f>
        <v>44907</v>
      </c>
      <c r="E66" s="830"/>
      <c r="F66" s="942" t="s">
        <v>390</v>
      </c>
      <c r="G66" s="942"/>
      <c r="H66" s="942"/>
      <c r="I66" s="942"/>
      <c r="J66" s="942"/>
      <c r="K66" s="942"/>
      <c r="L66" s="942"/>
    </row>
    <row r="67" spans="2:13" ht="15" customHeight="1">
      <c r="B67" s="941" t="s">
        <v>391</v>
      </c>
      <c r="C67" s="941"/>
      <c r="D67" s="943" t="str">
        <f>D61</f>
        <v>PRINCIPAL</v>
      </c>
      <c r="E67" s="943"/>
      <c r="F67" s="280" t="s">
        <v>464</v>
      </c>
      <c r="G67" s="944" t="str">
        <f>B6</f>
        <v>USHA PALIYA</v>
      </c>
      <c r="H67" s="944"/>
      <c r="I67" s="944"/>
      <c r="J67" s="944"/>
      <c r="K67" s="944"/>
      <c r="L67" s="944"/>
    </row>
    <row r="68" spans="2:13" ht="15.75" thickBot="1">
      <c r="B68" s="932" t="s">
        <v>392</v>
      </c>
      <c r="C68" s="932"/>
      <c r="D68" s="932"/>
      <c r="E68" s="932"/>
      <c r="F68" s="932"/>
      <c r="G68" s="932"/>
      <c r="H68" s="932"/>
      <c r="I68" s="932"/>
      <c r="J68" s="932"/>
      <c r="K68" s="932"/>
      <c r="L68" s="932"/>
      <c r="M68" s="43"/>
    </row>
    <row r="69" spans="2:13" ht="16.5" thickTop="1" thickBot="1">
      <c r="B69" s="927" t="s">
        <v>393</v>
      </c>
      <c r="C69" s="927"/>
      <c r="D69" s="927"/>
      <c r="E69" s="927"/>
      <c r="F69" s="927"/>
      <c r="G69" s="927"/>
      <c r="H69" s="927"/>
      <c r="I69" s="927"/>
      <c r="J69" s="927"/>
      <c r="K69" s="927"/>
      <c r="L69" s="927"/>
      <c r="M69" s="43"/>
    </row>
    <row r="70" spans="2:13" ht="16.5" thickTop="1" thickBot="1">
      <c r="B70" s="928" t="s">
        <v>394</v>
      </c>
      <c r="C70" s="928"/>
      <c r="D70" s="928"/>
      <c r="E70" s="928"/>
      <c r="F70" s="928"/>
      <c r="G70" s="933"/>
      <c r="H70" s="933"/>
      <c r="I70" s="914"/>
      <c r="J70" s="914"/>
      <c r="K70" s="934"/>
      <c r="L70" s="934"/>
    </row>
    <row r="71" spans="2:13" ht="16.5" thickTop="1" thickBot="1">
      <c r="B71" s="875" t="s">
        <v>395</v>
      </c>
      <c r="C71" s="875"/>
      <c r="D71" s="875"/>
      <c r="E71" s="875"/>
      <c r="F71" s="875"/>
      <c r="G71" s="908">
        <f>COMPUTATION!O4</f>
        <v>942932</v>
      </c>
      <c r="H71" s="908"/>
      <c r="I71" s="914"/>
      <c r="J71" s="914"/>
      <c r="K71" s="934"/>
      <c r="L71" s="934"/>
    </row>
    <row r="72" spans="2:13" ht="15.75" customHeight="1" thickTop="1" thickBot="1">
      <c r="B72" s="935" t="s">
        <v>396</v>
      </c>
      <c r="C72" s="935"/>
      <c r="D72" s="935"/>
      <c r="E72" s="935"/>
      <c r="F72" s="935"/>
      <c r="G72" s="936"/>
      <c r="H72" s="936"/>
      <c r="I72" s="914"/>
      <c r="J72" s="914"/>
      <c r="K72" s="934"/>
      <c r="L72" s="934"/>
    </row>
    <row r="73" spans="2:13" ht="18" customHeight="1" thickTop="1" thickBot="1">
      <c r="B73" s="875" t="s">
        <v>397</v>
      </c>
      <c r="C73" s="875"/>
      <c r="D73" s="875"/>
      <c r="E73" s="875"/>
      <c r="F73" s="875"/>
      <c r="G73" s="937">
        <v>0</v>
      </c>
      <c r="H73" s="937"/>
      <c r="I73" s="914"/>
      <c r="J73" s="914"/>
      <c r="K73" s="934"/>
      <c r="L73" s="934"/>
    </row>
    <row r="74" spans="2:13" ht="17.45" customHeight="1" thickTop="1" thickBot="1">
      <c r="B74" s="938" t="s">
        <v>398</v>
      </c>
      <c r="C74" s="938"/>
      <c r="D74" s="938"/>
      <c r="E74" s="938"/>
      <c r="F74" s="938"/>
      <c r="G74" s="939"/>
      <c r="H74" s="939"/>
      <c r="I74" s="872">
        <f>G71+G72+G73</f>
        <v>942932</v>
      </c>
      <c r="J74" s="872"/>
      <c r="K74" s="934"/>
      <c r="L74" s="934"/>
    </row>
    <row r="75" spans="2:13" ht="17.45" customHeight="1" thickTop="1" thickBot="1">
      <c r="B75" s="875" t="s">
        <v>399</v>
      </c>
      <c r="C75" s="875"/>
      <c r="D75" s="875"/>
      <c r="E75" s="875"/>
      <c r="F75" s="875"/>
      <c r="G75" s="939"/>
      <c r="H75" s="939"/>
      <c r="I75" s="929"/>
      <c r="J75" s="929"/>
      <c r="K75" s="934"/>
      <c r="L75" s="934"/>
    </row>
    <row r="76" spans="2:13" ht="16.5" thickTop="1" thickBot="1">
      <c r="B76" s="1000" t="s">
        <v>400</v>
      </c>
      <c r="C76" s="1001"/>
      <c r="D76" s="1001"/>
      <c r="E76" s="1001"/>
      <c r="F76" s="1002"/>
      <c r="G76" s="939"/>
      <c r="H76" s="939"/>
      <c r="I76" s="929"/>
      <c r="J76" s="929"/>
      <c r="K76" s="934"/>
      <c r="L76" s="934"/>
    </row>
    <row r="77" spans="2:13" ht="16.5" thickTop="1" thickBot="1">
      <c r="B77" s="940" t="s">
        <v>401</v>
      </c>
      <c r="C77" s="940"/>
      <c r="D77" s="940"/>
      <c r="E77" s="281">
        <f>COMPUTATION!O5</f>
        <v>32148</v>
      </c>
      <c r="F77" s="281">
        <f>E77</f>
        <v>32148</v>
      </c>
      <c r="G77" s="939"/>
      <c r="H77" s="939"/>
      <c r="I77" s="929"/>
      <c r="J77" s="929"/>
      <c r="K77" s="934"/>
      <c r="L77" s="934"/>
    </row>
    <row r="78" spans="2:13" ht="16.5" thickTop="1" thickBot="1">
      <c r="B78" s="927" t="s">
        <v>402</v>
      </c>
      <c r="C78" s="927"/>
      <c r="D78" s="927"/>
      <c r="E78" s="282"/>
      <c r="F78" s="289">
        <v>0</v>
      </c>
      <c r="G78" s="908">
        <f>F77+F78</f>
        <v>32148</v>
      </c>
      <c r="H78" s="908"/>
      <c r="I78" s="929"/>
      <c r="J78" s="929"/>
      <c r="K78" s="934"/>
      <c r="L78" s="934"/>
    </row>
    <row r="79" spans="2:13" ht="16.5" thickTop="1" thickBot="1">
      <c r="B79" s="928" t="s">
        <v>403</v>
      </c>
      <c r="C79" s="928"/>
      <c r="D79" s="928"/>
      <c r="E79" s="928"/>
      <c r="F79" s="928"/>
      <c r="G79" s="929"/>
      <c r="H79" s="929"/>
      <c r="I79" s="872">
        <f>I74-G78</f>
        <v>910784</v>
      </c>
      <c r="J79" s="872"/>
      <c r="K79" s="934"/>
      <c r="L79" s="934"/>
    </row>
    <row r="80" spans="2:13" ht="13.5" customHeight="1" thickTop="1" thickBot="1">
      <c r="B80" s="905" t="s">
        <v>404</v>
      </c>
      <c r="C80" s="905"/>
      <c r="D80" s="905"/>
      <c r="E80" s="905"/>
      <c r="F80" s="905"/>
      <c r="G80" s="929"/>
      <c r="H80" s="929"/>
      <c r="I80" s="994"/>
      <c r="J80" s="995"/>
      <c r="K80" s="934"/>
      <c r="L80" s="934"/>
    </row>
    <row r="81" spans="2:12" ht="13.5" customHeight="1" thickTop="1" thickBot="1">
      <c r="B81" s="930" t="s">
        <v>405</v>
      </c>
      <c r="C81" s="930"/>
      <c r="D81" s="875" t="s">
        <v>406</v>
      </c>
      <c r="E81" s="875"/>
      <c r="F81" s="875"/>
      <c r="G81" s="900">
        <f>COMPUTATION!K9</f>
        <v>50000</v>
      </c>
      <c r="H81" s="900"/>
      <c r="I81" s="996"/>
      <c r="J81" s="997"/>
      <c r="K81" s="934"/>
      <c r="L81" s="934"/>
    </row>
    <row r="82" spans="2:12" ht="13.5" customHeight="1" thickTop="1" thickBot="1">
      <c r="B82" s="930" t="s">
        <v>407</v>
      </c>
      <c r="C82" s="930"/>
      <c r="D82" s="875" t="s">
        <v>408</v>
      </c>
      <c r="E82" s="875"/>
      <c r="F82" s="875"/>
      <c r="G82" s="900">
        <f>COMPUTATION!K7</f>
        <v>0</v>
      </c>
      <c r="H82" s="900"/>
      <c r="I82" s="996"/>
      <c r="J82" s="997"/>
      <c r="K82" s="934"/>
      <c r="L82" s="934"/>
    </row>
    <row r="83" spans="2:12" ht="13.5" customHeight="1" thickTop="1" thickBot="1">
      <c r="B83" s="930" t="s">
        <v>409</v>
      </c>
      <c r="C83" s="930"/>
      <c r="D83" s="875" t="s">
        <v>410</v>
      </c>
      <c r="E83" s="875"/>
      <c r="F83" s="875"/>
      <c r="G83" s="931">
        <f>COMPUTATION!K8</f>
        <v>0</v>
      </c>
      <c r="H83" s="931"/>
      <c r="I83" s="998"/>
      <c r="J83" s="999"/>
      <c r="K83" s="934"/>
      <c r="L83" s="934"/>
    </row>
    <row r="84" spans="2:12" ht="13.5" customHeight="1" thickTop="1" thickBot="1">
      <c r="B84" s="905" t="s">
        <v>411</v>
      </c>
      <c r="C84" s="905"/>
      <c r="D84" s="905"/>
      <c r="E84" s="905"/>
      <c r="F84" s="905"/>
      <c r="G84" s="314"/>
      <c r="H84" s="315"/>
      <c r="I84" s="908">
        <f>G82+G83+G81</f>
        <v>50000</v>
      </c>
      <c r="J84" s="908"/>
      <c r="K84" s="934"/>
      <c r="L84" s="934"/>
    </row>
    <row r="85" spans="2:12" ht="13.5" customHeight="1" thickTop="1" thickBot="1">
      <c r="B85" s="911" t="s">
        <v>505</v>
      </c>
      <c r="C85" s="912"/>
      <c r="D85" s="912"/>
      <c r="E85" s="912"/>
      <c r="F85" s="913"/>
      <c r="G85" s="316"/>
      <c r="H85" s="317"/>
      <c r="I85" s="914"/>
      <c r="J85" s="914"/>
      <c r="K85" s="904">
        <f>I79-I84</f>
        <v>860784</v>
      </c>
      <c r="L85" s="904"/>
    </row>
    <row r="86" spans="2:12" ht="13.5" customHeight="1" thickTop="1" thickBot="1">
      <c r="B86" s="905" t="s">
        <v>506</v>
      </c>
      <c r="C86" s="905"/>
      <c r="D86" s="905"/>
      <c r="E86" s="905"/>
      <c r="F86" s="905"/>
      <c r="G86" s="316"/>
      <c r="H86" s="317"/>
      <c r="I86" s="914"/>
      <c r="J86" s="914"/>
      <c r="K86" s="915"/>
      <c r="L86" s="916"/>
    </row>
    <row r="87" spans="2:12" ht="13.5" customHeight="1" thickTop="1" thickBot="1">
      <c r="B87" s="909" t="s">
        <v>502</v>
      </c>
      <c r="C87" s="910"/>
      <c r="D87" s="909" t="s">
        <v>503</v>
      </c>
      <c r="E87" s="910"/>
      <c r="F87" s="326" t="s">
        <v>504</v>
      </c>
      <c r="G87" s="316"/>
      <c r="H87" s="317"/>
      <c r="I87" s="914"/>
      <c r="J87" s="914"/>
      <c r="K87" s="917"/>
      <c r="L87" s="918"/>
    </row>
    <row r="88" spans="2:12" ht="13.5" customHeight="1" thickTop="1" thickBot="1">
      <c r="B88" s="908">
        <f>COMPUTATION!D13</f>
        <v>0</v>
      </c>
      <c r="C88" s="908"/>
      <c r="D88" s="908">
        <f>COMPUTATION!F13</f>
        <v>0</v>
      </c>
      <c r="E88" s="908"/>
      <c r="F88" s="289">
        <f>COMPUTATION!I13</f>
        <v>0</v>
      </c>
      <c r="G88" s="900">
        <f>SUM(B88+D88+F88)</f>
        <v>0</v>
      </c>
      <c r="H88" s="900"/>
      <c r="I88" s="914"/>
      <c r="J88" s="914"/>
      <c r="K88" s="919"/>
      <c r="L88" s="920"/>
    </row>
    <row r="89" spans="2:12" ht="13.5" customHeight="1" thickTop="1" thickBot="1">
      <c r="B89" s="909" t="s">
        <v>507</v>
      </c>
      <c r="C89" s="910"/>
      <c r="D89" s="908">
        <f>COMPUTATION!K11</f>
        <v>0</v>
      </c>
      <c r="E89" s="908"/>
      <c r="F89" s="321" t="s">
        <v>508</v>
      </c>
      <c r="G89" s="900">
        <f>SUM(D89-G88)</f>
        <v>0</v>
      </c>
      <c r="H89" s="900"/>
      <c r="I89" s="914"/>
      <c r="J89" s="914"/>
      <c r="K89" s="904">
        <f>K85+G89</f>
        <v>860784</v>
      </c>
      <c r="L89" s="904"/>
    </row>
    <row r="90" spans="2:12" ht="13.5" customHeight="1" thickTop="1" thickBot="1">
      <c r="B90" s="905" t="s">
        <v>412</v>
      </c>
      <c r="C90" s="905"/>
      <c r="D90" s="905"/>
      <c r="E90" s="905"/>
      <c r="F90" s="905"/>
      <c r="G90" s="921"/>
      <c r="H90" s="922"/>
      <c r="I90" s="914"/>
      <c r="J90" s="914"/>
      <c r="K90" s="322"/>
      <c r="L90" s="323"/>
    </row>
    <row r="91" spans="2:12" ht="13.5" customHeight="1" thickTop="1" thickBot="1">
      <c r="B91" s="906" t="s">
        <v>509</v>
      </c>
      <c r="C91" s="906"/>
      <c r="D91" s="906"/>
      <c r="E91" s="906"/>
      <c r="F91" s="283">
        <f>COMPUTATION!E16+COMPUTATION!I16</f>
        <v>0</v>
      </c>
      <c r="G91" s="923"/>
      <c r="H91" s="924"/>
      <c r="I91" s="914"/>
      <c r="J91" s="914"/>
      <c r="K91" s="322"/>
      <c r="L91" s="323"/>
    </row>
    <row r="92" spans="2:12" ht="13.5" customHeight="1" thickTop="1" thickBot="1">
      <c r="B92" s="906" t="s">
        <v>490</v>
      </c>
      <c r="C92" s="906"/>
      <c r="D92" s="906"/>
      <c r="E92" s="906"/>
      <c r="F92" s="390">
        <f>COMPUTATION!I15</f>
        <v>0</v>
      </c>
      <c r="G92" s="925"/>
      <c r="H92" s="926"/>
      <c r="I92" s="914"/>
      <c r="J92" s="914"/>
      <c r="K92" s="322"/>
      <c r="L92" s="323"/>
    </row>
    <row r="93" spans="2:12" ht="13.5" customHeight="1" thickTop="1" thickBot="1">
      <c r="B93" s="907" t="s">
        <v>413</v>
      </c>
      <c r="C93" s="907"/>
      <c r="D93" s="907"/>
      <c r="E93" s="907"/>
      <c r="F93" s="390">
        <f>COMPUTATION!E15</f>
        <v>1500</v>
      </c>
      <c r="G93" s="900">
        <f>F93</f>
        <v>1500</v>
      </c>
      <c r="H93" s="900"/>
      <c r="I93" s="908">
        <f>F91+F92+F93</f>
        <v>1500</v>
      </c>
      <c r="J93" s="908"/>
      <c r="K93" s="324"/>
      <c r="L93" s="325"/>
    </row>
    <row r="94" spans="2:12" ht="14.25" customHeight="1" thickTop="1" thickBot="1">
      <c r="B94" s="894" t="s">
        <v>414</v>
      </c>
      <c r="C94" s="895"/>
      <c r="D94" s="895"/>
      <c r="E94" s="895"/>
      <c r="F94" s="895"/>
      <c r="G94" s="895"/>
      <c r="H94" s="895"/>
      <c r="I94" s="895"/>
      <c r="J94" s="896"/>
      <c r="K94" s="904">
        <f>K89+I93</f>
        <v>862284</v>
      </c>
      <c r="L94" s="904"/>
    </row>
    <row r="95" spans="2:12" ht="15" customHeight="1" thickTop="1" thickBot="1">
      <c r="B95" s="894" t="s">
        <v>415</v>
      </c>
      <c r="C95" s="895"/>
      <c r="D95" s="895"/>
      <c r="E95" s="895"/>
      <c r="F95" s="895"/>
      <c r="G95" s="895"/>
      <c r="H95" s="895"/>
      <c r="I95" s="895"/>
      <c r="J95" s="895"/>
      <c r="K95" s="895"/>
      <c r="L95" s="896"/>
    </row>
    <row r="96" spans="2:12" ht="15" customHeight="1" thickTop="1" thickBot="1">
      <c r="B96" s="897" t="s">
        <v>416</v>
      </c>
      <c r="C96" s="898"/>
      <c r="D96" s="898"/>
      <c r="E96" s="898"/>
      <c r="F96" s="898"/>
      <c r="G96" s="898"/>
      <c r="H96" s="898"/>
      <c r="I96" s="898"/>
      <c r="J96" s="898"/>
      <c r="K96" s="898"/>
      <c r="L96" s="899"/>
    </row>
    <row r="97" spans="2:12" ht="16.5" customHeight="1" thickTop="1" thickBot="1">
      <c r="B97" s="901" t="s">
        <v>417</v>
      </c>
      <c r="C97" s="901"/>
      <c r="D97" s="901"/>
      <c r="E97" s="901"/>
      <c r="F97" s="901"/>
      <c r="G97" s="902"/>
      <c r="H97" s="902"/>
      <c r="I97" s="903" t="s">
        <v>418</v>
      </c>
      <c r="J97" s="903"/>
      <c r="K97" s="903" t="s">
        <v>419</v>
      </c>
      <c r="L97" s="903"/>
    </row>
    <row r="98" spans="2:12" ht="12.75" customHeight="1" thickTop="1" thickBot="1">
      <c r="B98" s="890" t="s">
        <v>420</v>
      </c>
      <c r="C98" s="284">
        <v>1</v>
      </c>
      <c r="D98" s="891" t="s">
        <v>421</v>
      </c>
      <c r="E98" s="873" t="str">
        <f>IF('Master Data'!I30='GA55 Check &amp; Edit'!AN5,'GA55 Check &amp; Edit'!AN5,'GA55 Check &amp; Edit'!AN6)</f>
        <v>GPF-2004</v>
      </c>
      <c r="F98" s="873"/>
      <c r="G98" s="874">
        <f>IF('Master Data'!I30='GA55 Check &amp; Edit'!AN5,COMPUTATION!G25,COMPUTATION!G30)</f>
        <v>52194</v>
      </c>
      <c r="H98" s="874"/>
      <c r="I98" s="878"/>
      <c r="J98" s="879"/>
      <c r="K98" s="884"/>
      <c r="L98" s="885"/>
    </row>
    <row r="99" spans="2:12" ht="12.75" customHeight="1" thickTop="1" thickBot="1">
      <c r="B99" s="890"/>
      <c r="C99" s="284">
        <v>2</v>
      </c>
      <c r="D99" s="891"/>
      <c r="E99" s="873" t="s">
        <v>422</v>
      </c>
      <c r="F99" s="873"/>
      <c r="G99" s="874">
        <f>COMPUTATION!G20</f>
        <v>84000</v>
      </c>
      <c r="H99" s="874"/>
      <c r="I99" s="880"/>
      <c r="J99" s="881"/>
      <c r="K99" s="886"/>
      <c r="L99" s="887"/>
    </row>
    <row r="100" spans="2:12" ht="12.75" customHeight="1" thickTop="1" thickBot="1">
      <c r="B100" s="890"/>
      <c r="C100" s="284">
        <v>3</v>
      </c>
      <c r="D100" s="891"/>
      <c r="E100" s="873" t="s">
        <v>423</v>
      </c>
      <c r="F100" s="873"/>
      <c r="G100" s="874">
        <f>COMPUTATION!G26</f>
        <v>220</v>
      </c>
      <c r="H100" s="874"/>
      <c r="I100" s="880"/>
      <c r="J100" s="881"/>
      <c r="K100" s="886"/>
      <c r="L100" s="887"/>
    </row>
    <row r="101" spans="2:12" ht="12.75" customHeight="1" thickTop="1" thickBot="1">
      <c r="B101" s="890"/>
      <c r="C101" s="284">
        <v>4</v>
      </c>
      <c r="D101" s="891"/>
      <c r="E101" s="873" t="s">
        <v>424</v>
      </c>
      <c r="F101" s="873"/>
      <c r="G101" s="874">
        <f>COMPUTATION!G21+COMPUTATION!G29+COMPUTATION!M26+COMPUTATION!G27</f>
        <v>22560</v>
      </c>
      <c r="H101" s="874"/>
      <c r="I101" s="880"/>
      <c r="J101" s="881"/>
      <c r="K101" s="886"/>
      <c r="L101" s="887"/>
    </row>
    <row r="102" spans="2:12" ht="12.75" customHeight="1" thickTop="1" thickBot="1">
      <c r="B102" s="890"/>
      <c r="C102" s="284">
        <v>5</v>
      </c>
      <c r="D102" s="891"/>
      <c r="E102" s="873" t="s">
        <v>425</v>
      </c>
      <c r="F102" s="873"/>
      <c r="G102" s="874">
        <f>COMPUTATION!G23</f>
        <v>0</v>
      </c>
      <c r="H102" s="874"/>
      <c r="I102" s="880"/>
      <c r="J102" s="881"/>
      <c r="K102" s="886"/>
      <c r="L102" s="887"/>
    </row>
    <row r="103" spans="2:12" ht="14.25" customHeight="1" thickTop="1" thickBot="1">
      <c r="B103" s="890"/>
      <c r="C103" s="284">
        <v>6</v>
      </c>
      <c r="D103" s="891"/>
      <c r="E103" s="873" t="s">
        <v>426</v>
      </c>
      <c r="F103" s="873"/>
      <c r="G103" s="874">
        <f>COMPUTATION!G28</f>
        <v>0</v>
      </c>
      <c r="H103" s="874"/>
      <c r="I103" s="880"/>
      <c r="J103" s="881"/>
      <c r="K103" s="886"/>
      <c r="L103" s="887"/>
    </row>
    <row r="104" spans="2:12" ht="14.25" customHeight="1" thickTop="1" thickBot="1">
      <c r="B104" s="890"/>
      <c r="C104" s="284">
        <v>7</v>
      </c>
      <c r="D104" s="891"/>
      <c r="E104" s="875" t="s">
        <v>621</v>
      </c>
      <c r="F104" s="875"/>
      <c r="G104" s="874">
        <f>COMPUTATION!M24+COMPUTATION!M25</f>
        <v>0</v>
      </c>
      <c r="H104" s="874"/>
      <c r="I104" s="880"/>
      <c r="J104" s="881"/>
      <c r="K104" s="886"/>
      <c r="L104" s="887"/>
    </row>
    <row r="105" spans="2:12" ht="14.25" customHeight="1" thickTop="1" thickBot="1">
      <c r="B105" s="890"/>
      <c r="C105" s="284">
        <v>8</v>
      </c>
      <c r="D105" s="891"/>
      <c r="E105" s="892" t="s">
        <v>519</v>
      </c>
      <c r="F105" s="892"/>
      <c r="G105" s="874">
        <f>COMPUTATION!M20+COMPUTATION!M21</f>
        <v>0</v>
      </c>
      <c r="H105" s="874"/>
      <c r="I105" s="880"/>
      <c r="J105" s="881"/>
      <c r="K105" s="886"/>
      <c r="L105" s="887"/>
    </row>
    <row r="106" spans="2:12" ht="14.25" customHeight="1" thickTop="1" thickBot="1">
      <c r="B106" s="890"/>
      <c r="C106" s="284">
        <v>9</v>
      </c>
      <c r="D106" s="891"/>
      <c r="E106" s="873" t="s">
        <v>427</v>
      </c>
      <c r="F106" s="873"/>
      <c r="G106" s="874">
        <f>COMPUTATION!M23</f>
        <v>0</v>
      </c>
      <c r="H106" s="874"/>
      <c r="I106" s="880"/>
      <c r="J106" s="881"/>
      <c r="K106" s="886"/>
      <c r="L106" s="887"/>
    </row>
    <row r="107" spans="2:12" ht="14.25" customHeight="1" thickTop="1" thickBot="1">
      <c r="B107" s="890"/>
      <c r="C107" s="284">
        <v>10</v>
      </c>
      <c r="D107" s="891"/>
      <c r="E107" s="873" t="s">
        <v>428</v>
      </c>
      <c r="F107" s="873"/>
      <c r="G107" s="874">
        <f>COMPUTATION!G24+COMPUTATION!M22</f>
        <v>0</v>
      </c>
      <c r="H107" s="874"/>
      <c r="I107" s="880"/>
      <c r="J107" s="881"/>
      <c r="K107" s="886"/>
      <c r="L107" s="887"/>
    </row>
    <row r="108" spans="2:12" ht="18.75" customHeight="1" thickTop="1" thickBot="1">
      <c r="B108" s="890"/>
      <c r="C108" s="284">
        <v>11</v>
      </c>
      <c r="D108" s="891"/>
      <c r="E108" s="875" t="s">
        <v>429</v>
      </c>
      <c r="F108" s="875"/>
      <c r="G108" s="874">
        <f>COMPUTATION!M28</f>
        <v>0</v>
      </c>
      <c r="H108" s="874"/>
      <c r="I108" s="880"/>
      <c r="J108" s="881"/>
      <c r="K108" s="886"/>
      <c r="L108" s="887"/>
    </row>
    <row r="109" spans="2:12" ht="18.75" customHeight="1" thickTop="1" thickBot="1">
      <c r="B109" s="890"/>
      <c r="C109" s="284">
        <v>12</v>
      </c>
      <c r="D109" s="891"/>
      <c r="E109" s="873" t="s">
        <v>430</v>
      </c>
      <c r="F109" s="873"/>
      <c r="G109" s="874">
        <f>COMPUTATION!M29</f>
        <v>0</v>
      </c>
      <c r="H109" s="874"/>
      <c r="I109" s="882"/>
      <c r="J109" s="883"/>
      <c r="K109" s="888"/>
      <c r="L109" s="889"/>
    </row>
    <row r="110" spans="2:12" ht="18.75" customHeight="1" thickTop="1" thickBot="1">
      <c r="B110" s="890"/>
      <c r="C110" s="284">
        <v>13</v>
      </c>
      <c r="D110" s="891"/>
      <c r="E110" s="875" t="s">
        <v>431</v>
      </c>
      <c r="F110" s="875"/>
      <c r="G110" s="874">
        <f>COMPUTATION!M27</f>
        <v>0</v>
      </c>
      <c r="H110" s="874"/>
      <c r="I110" s="876">
        <f>SUM(G98:H110)</f>
        <v>158974</v>
      </c>
      <c r="J110" s="876"/>
      <c r="K110" s="877">
        <f>IF(I110&lt;=150000, I110, 150000)</f>
        <v>150000</v>
      </c>
      <c r="L110" s="877"/>
    </row>
    <row r="111" spans="2:12" ht="17.100000000000001" customHeight="1" thickTop="1" thickBot="1">
      <c r="B111" s="890"/>
      <c r="C111" s="893" t="s">
        <v>432</v>
      </c>
      <c r="D111" s="893"/>
      <c r="E111" s="893"/>
      <c r="F111" s="893"/>
      <c r="G111" s="874">
        <f>COMPUTATION!O33</f>
        <v>0</v>
      </c>
      <c r="H111" s="874"/>
      <c r="I111" s="872" t="s">
        <v>622</v>
      </c>
      <c r="J111" s="872"/>
      <c r="K111" s="872">
        <f>SUM(K110+G111)</f>
        <v>150000</v>
      </c>
      <c r="L111" s="872"/>
    </row>
    <row r="112" spans="2:12" ht="15" customHeight="1" thickTop="1">
      <c r="B112" s="285"/>
      <c r="C112" s="285"/>
      <c r="D112" s="285"/>
      <c r="E112" s="285"/>
      <c r="F112" s="285"/>
      <c r="G112" s="285"/>
      <c r="H112" s="285"/>
      <c r="I112" s="563" t="s">
        <v>433</v>
      </c>
      <c r="J112" s="563"/>
      <c r="K112" s="563"/>
      <c r="L112" s="285"/>
    </row>
    <row r="113" spans="2:12" ht="18.600000000000001" customHeight="1" thickBot="1">
      <c r="B113" s="563" t="s">
        <v>434</v>
      </c>
      <c r="C113" s="563"/>
      <c r="D113" s="563"/>
      <c r="E113" s="563"/>
      <c r="F113" s="563"/>
      <c r="G113" s="563"/>
      <c r="H113" s="563"/>
      <c r="I113" s="563"/>
      <c r="J113" s="563"/>
      <c r="K113" s="563"/>
      <c r="L113" s="563"/>
    </row>
    <row r="114" spans="2:12" ht="21" customHeight="1" thickTop="1" thickBot="1">
      <c r="B114" s="870" t="s">
        <v>465</v>
      </c>
      <c r="C114" s="870"/>
      <c r="D114" s="870"/>
      <c r="E114" s="870"/>
      <c r="F114" s="870"/>
      <c r="G114" s="871" t="s">
        <v>418</v>
      </c>
      <c r="H114" s="871"/>
      <c r="I114" s="871" t="s">
        <v>435</v>
      </c>
      <c r="J114" s="871"/>
      <c r="K114" s="871" t="s">
        <v>419</v>
      </c>
      <c r="L114" s="871"/>
    </row>
    <row r="115" spans="2:12" ht="15" customHeight="1" thickTop="1" thickBot="1">
      <c r="B115" s="286">
        <v>1</v>
      </c>
      <c r="C115" s="864" t="s">
        <v>436</v>
      </c>
      <c r="D115" s="864"/>
      <c r="E115" s="864"/>
      <c r="F115" s="864"/>
      <c r="G115" s="869">
        <f>COMPUTATION!O36</f>
        <v>0</v>
      </c>
      <c r="H115" s="869"/>
      <c r="I115" s="837">
        <f t="shared" ref="I115:I122" si="2">G115</f>
        <v>0</v>
      </c>
      <c r="J115" s="837"/>
      <c r="K115" s="868"/>
      <c r="L115" s="868"/>
    </row>
    <row r="116" spans="2:12" ht="15" customHeight="1" thickTop="1" thickBot="1">
      <c r="B116" s="286">
        <v>2</v>
      </c>
      <c r="C116" s="864" t="s">
        <v>437</v>
      </c>
      <c r="D116" s="864"/>
      <c r="E116" s="864"/>
      <c r="F116" s="864"/>
      <c r="G116" s="869">
        <f>COMPUTATION!O37</f>
        <v>0</v>
      </c>
      <c r="H116" s="869"/>
      <c r="I116" s="837">
        <f t="shared" si="2"/>
        <v>0</v>
      </c>
      <c r="J116" s="837"/>
      <c r="K116" s="868"/>
      <c r="L116" s="868"/>
    </row>
    <row r="117" spans="2:12" ht="15" customHeight="1" thickTop="1" thickBot="1">
      <c r="B117" s="286">
        <v>3</v>
      </c>
      <c r="C117" s="864" t="s">
        <v>438</v>
      </c>
      <c r="D117" s="864"/>
      <c r="E117" s="864"/>
      <c r="F117" s="864"/>
      <c r="G117" s="869">
        <f>COMPUTATION!O38</f>
        <v>0</v>
      </c>
      <c r="H117" s="869"/>
      <c r="I117" s="837">
        <f t="shared" si="2"/>
        <v>0</v>
      </c>
      <c r="J117" s="837"/>
      <c r="K117" s="868"/>
      <c r="L117" s="868"/>
    </row>
    <row r="118" spans="2:12" ht="15" customHeight="1" thickTop="1" thickBot="1">
      <c r="B118" s="286">
        <v>4</v>
      </c>
      <c r="C118" s="864" t="s">
        <v>439</v>
      </c>
      <c r="D118" s="864"/>
      <c r="E118" s="864"/>
      <c r="F118" s="864"/>
      <c r="G118" s="869">
        <f>COMPUTATION!O39</f>
        <v>0</v>
      </c>
      <c r="H118" s="869"/>
      <c r="I118" s="837">
        <f t="shared" si="2"/>
        <v>0</v>
      </c>
      <c r="J118" s="837"/>
      <c r="K118" s="868"/>
      <c r="L118" s="868"/>
    </row>
    <row r="119" spans="2:12" ht="14.25" customHeight="1" thickTop="1" thickBot="1">
      <c r="B119" s="286">
        <v>5</v>
      </c>
      <c r="C119" s="864" t="s">
        <v>440</v>
      </c>
      <c r="D119" s="864"/>
      <c r="E119" s="864"/>
      <c r="F119" s="864"/>
      <c r="G119" s="865">
        <f>COMPUTATION!O40</f>
        <v>0</v>
      </c>
      <c r="H119" s="866"/>
      <c r="I119" s="837">
        <f t="shared" si="2"/>
        <v>0</v>
      </c>
      <c r="J119" s="837"/>
      <c r="K119" s="868"/>
      <c r="L119" s="868"/>
    </row>
    <row r="120" spans="2:12" ht="15" customHeight="1" thickTop="1" thickBot="1">
      <c r="B120" s="286">
        <v>6</v>
      </c>
      <c r="C120" s="864" t="s">
        <v>441</v>
      </c>
      <c r="D120" s="864"/>
      <c r="E120" s="864"/>
      <c r="F120" s="864"/>
      <c r="G120" s="865">
        <f>COMPUTATION!O43</f>
        <v>0</v>
      </c>
      <c r="H120" s="866"/>
      <c r="I120" s="837">
        <f t="shared" si="2"/>
        <v>0</v>
      </c>
      <c r="J120" s="837"/>
      <c r="K120" s="868"/>
      <c r="L120" s="868"/>
    </row>
    <row r="121" spans="2:12" ht="15" customHeight="1" thickTop="1" thickBot="1">
      <c r="B121" s="286">
        <v>7</v>
      </c>
      <c r="C121" s="864" t="s">
        <v>442</v>
      </c>
      <c r="D121" s="864"/>
      <c r="E121" s="864"/>
      <c r="F121" s="864"/>
      <c r="G121" s="867">
        <f>COMPUTATION!O44</f>
        <v>0</v>
      </c>
      <c r="H121" s="867"/>
      <c r="I121" s="837">
        <f t="shared" si="2"/>
        <v>0</v>
      </c>
      <c r="J121" s="837"/>
      <c r="K121" s="868"/>
      <c r="L121" s="868"/>
    </row>
    <row r="122" spans="2:12" ht="15" customHeight="1" thickTop="1" thickBot="1">
      <c r="B122" s="286">
        <v>8</v>
      </c>
      <c r="C122" s="864" t="s">
        <v>443</v>
      </c>
      <c r="D122" s="864"/>
      <c r="E122" s="864"/>
      <c r="F122" s="864"/>
      <c r="G122" s="869">
        <f>COMPUTATION!O41</f>
        <v>0</v>
      </c>
      <c r="H122" s="869"/>
      <c r="I122" s="837">
        <f t="shared" si="2"/>
        <v>0</v>
      </c>
      <c r="J122" s="837"/>
      <c r="K122" s="868"/>
      <c r="L122" s="868"/>
    </row>
    <row r="123" spans="2:12" ht="16.5" customHeight="1" thickTop="1" thickBot="1">
      <c r="B123" s="267">
        <v>9</v>
      </c>
      <c r="C123" s="863" t="s">
        <v>471</v>
      </c>
      <c r="D123" s="863"/>
      <c r="E123" s="863"/>
      <c r="F123" s="863"/>
      <c r="G123" s="837">
        <f>COMPUTATION!O42</f>
        <v>1500</v>
      </c>
      <c r="H123" s="837"/>
      <c r="I123" s="837">
        <f t="shared" ref="I123" si="3">G123</f>
        <v>1500</v>
      </c>
      <c r="J123" s="837"/>
      <c r="K123" s="851">
        <f>ROUND(SUM(I115:J123),0)</f>
        <v>1500</v>
      </c>
      <c r="L123" s="851"/>
    </row>
    <row r="124" spans="2:12" ht="14.25" customHeight="1" thickTop="1" thickBot="1">
      <c r="B124" s="853" t="s">
        <v>444</v>
      </c>
      <c r="C124" s="854"/>
      <c r="D124" s="854"/>
      <c r="E124" s="854"/>
      <c r="F124" s="854"/>
      <c r="G124" s="854"/>
      <c r="H124" s="854"/>
      <c r="I124" s="854"/>
      <c r="J124" s="855"/>
      <c r="K124" s="837">
        <f>ROUND((K111+K123),0)</f>
        <v>151500</v>
      </c>
      <c r="L124" s="837"/>
    </row>
    <row r="125" spans="2:12" ht="15" customHeight="1" thickTop="1" thickBot="1">
      <c r="B125" s="850" t="s">
        <v>445</v>
      </c>
      <c r="C125" s="852"/>
      <c r="D125" s="852"/>
      <c r="E125" s="856" t="s">
        <v>446</v>
      </c>
      <c r="F125" s="856"/>
      <c r="G125" s="856"/>
      <c r="H125" s="856"/>
      <c r="I125" s="856"/>
      <c r="J125" s="857"/>
      <c r="K125" s="837">
        <f>ROUND((K94-K124),-1)</f>
        <v>710780</v>
      </c>
      <c r="L125" s="837"/>
    </row>
    <row r="126" spans="2:12" ht="15" customHeight="1" thickTop="1" thickBot="1">
      <c r="B126" s="845" t="s">
        <v>447</v>
      </c>
      <c r="C126" s="846"/>
      <c r="D126" s="846"/>
      <c r="E126" s="846"/>
      <c r="F126" s="846"/>
      <c r="G126" s="847"/>
      <c r="H126" s="847"/>
      <c r="I126" s="848"/>
      <c r="J126" s="849"/>
      <c r="K126" s="837">
        <f>ROUND(IF(K125&lt;=250000,0,IF(K125&lt;=500000,(K125-250000)*0.05,IF(K125&lt;=1000000,12500+(K125-500000)*0.2,IF(K125&gt;1000000,112500+(K125-1000000)*0.3,"0")))),0)</f>
        <v>54656</v>
      </c>
      <c r="L126" s="837"/>
    </row>
    <row r="127" spans="2:12" ht="15" customHeight="1" thickTop="1" thickBot="1">
      <c r="B127" s="860" t="s">
        <v>448</v>
      </c>
      <c r="C127" s="861"/>
      <c r="D127" s="861"/>
      <c r="E127" s="861"/>
      <c r="F127" s="861"/>
      <c r="G127" s="861"/>
      <c r="H127" s="861"/>
      <c r="I127" s="861"/>
      <c r="J127" s="862"/>
      <c r="K127" s="858">
        <f>COMPUTATION!O59</f>
        <v>0</v>
      </c>
      <c r="L127" s="859"/>
    </row>
    <row r="128" spans="2:12" ht="15" customHeight="1" thickTop="1" thickBot="1">
      <c r="B128" s="850" t="s">
        <v>449</v>
      </c>
      <c r="C128" s="848"/>
      <c r="D128" s="848"/>
      <c r="E128" s="848"/>
      <c r="F128" s="848"/>
      <c r="G128" s="848"/>
      <c r="H128" s="848"/>
      <c r="I128" s="848"/>
      <c r="J128" s="849"/>
      <c r="K128" s="837">
        <f>K126-K127</f>
        <v>54656</v>
      </c>
      <c r="L128" s="837"/>
    </row>
    <row r="129" spans="2:12" ht="15" customHeight="1" thickTop="1" thickBot="1">
      <c r="B129" s="850" t="s">
        <v>450</v>
      </c>
      <c r="C129" s="848"/>
      <c r="D129" s="848"/>
      <c r="E129" s="848"/>
      <c r="F129" s="848"/>
      <c r="G129" s="848"/>
      <c r="H129" s="848"/>
      <c r="I129" s="848"/>
      <c r="J129" s="849"/>
      <c r="K129" s="837">
        <f>ROUND((K128*0.04),0)</f>
        <v>2186</v>
      </c>
      <c r="L129" s="837"/>
    </row>
    <row r="130" spans="2:12" ht="16.5" customHeight="1" thickTop="1" thickBot="1">
      <c r="B130" s="850" t="s">
        <v>451</v>
      </c>
      <c r="C130" s="848"/>
      <c r="D130" s="848"/>
      <c r="E130" s="848"/>
      <c r="F130" s="848"/>
      <c r="G130" s="848"/>
      <c r="H130" s="848"/>
      <c r="I130" s="848"/>
      <c r="J130" s="849"/>
      <c r="K130" s="837">
        <f>K128+K129</f>
        <v>56842</v>
      </c>
      <c r="L130" s="837"/>
    </row>
    <row r="131" spans="2:12" ht="15" customHeight="1" thickTop="1" thickBot="1">
      <c r="B131" s="850" t="s">
        <v>452</v>
      </c>
      <c r="C131" s="848"/>
      <c r="D131" s="848"/>
      <c r="E131" s="848"/>
      <c r="F131" s="848"/>
      <c r="G131" s="848"/>
      <c r="H131" s="848"/>
      <c r="I131" s="848"/>
      <c r="J131" s="849"/>
      <c r="K131" s="837">
        <f>COMPUTATION!O63</f>
        <v>0</v>
      </c>
      <c r="L131" s="837"/>
    </row>
    <row r="132" spans="2:12" ht="15" customHeight="1" thickTop="1" thickBot="1">
      <c r="B132" s="850" t="s">
        <v>453</v>
      </c>
      <c r="C132" s="848"/>
      <c r="D132" s="848"/>
      <c r="E132" s="848"/>
      <c r="F132" s="848"/>
      <c r="G132" s="848"/>
      <c r="H132" s="848"/>
      <c r="I132" s="848"/>
      <c r="J132" s="849"/>
      <c r="K132" s="837">
        <f>K130-K131</f>
        <v>56842</v>
      </c>
      <c r="L132" s="837"/>
    </row>
    <row r="133" spans="2:12" ht="15" customHeight="1" thickTop="1" thickBot="1">
      <c r="B133" s="836" t="s">
        <v>454</v>
      </c>
      <c r="C133" s="836"/>
      <c r="D133" s="836"/>
      <c r="E133" s="836"/>
      <c r="F133" s="836"/>
      <c r="G133" s="836"/>
      <c r="H133" s="836"/>
      <c r="I133" s="836"/>
      <c r="J133" s="836"/>
      <c r="K133" s="837">
        <f>COMPUTATION!O66</f>
        <v>45000</v>
      </c>
      <c r="L133" s="838"/>
    </row>
    <row r="134" spans="2:12" ht="15" customHeight="1" thickTop="1" thickBot="1">
      <c r="B134" s="842" t="str">
        <f>IF(K132&gt;K133,"Income Tax Payable",IF(K132&lt;K133,"Income Tax Refundable","Income Tax Payble/Refundable"))</f>
        <v>Income Tax Payable</v>
      </c>
      <c r="C134" s="843"/>
      <c r="D134" s="843"/>
      <c r="E134" s="843"/>
      <c r="F134" s="843"/>
      <c r="G134" s="843"/>
      <c r="H134" s="843"/>
      <c r="I134" s="843"/>
      <c r="J134" s="844"/>
      <c r="K134" s="837">
        <f>IF(K132&gt;K133,K132-K133,K133-K132)</f>
        <v>11842</v>
      </c>
      <c r="L134" s="837"/>
    </row>
    <row r="135" spans="2:12" ht="26.25" customHeight="1" thickTop="1">
      <c r="B135" s="839" t="s">
        <v>380</v>
      </c>
      <c r="C135" s="839"/>
      <c r="D135" s="839"/>
      <c r="E135" s="839"/>
      <c r="F135" s="839"/>
      <c r="G135" s="839"/>
      <c r="H135" s="839"/>
      <c r="I135" s="839"/>
      <c r="J135" s="839"/>
      <c r="K135" s="839"/>
      <c r="L135" s="839"/>
    </row>
    <row r="136" spans="2:12" ht="15.95" customHeight="1">
      <c r="B136" s="261" t="s">
        <v>381</v>
      </c>
      <c r="C136" s="833" t="str">
        <f>B6&amp;","</f>
        <v>USHA PALIYA,</v>
      </c>
      <c r="D136" s="833"/>
      <c r="E136" s="833"/>
      <c r="F136" s="287" t="s">
        <v>382</v>
      </c>
      <c r="G136" s="840" t="str">
        <f>IF(G60="","",G60)</f>
        <v/>
      </c>
      <c r="H136" s="840"/>
      <c r="I136" s="840"/>
      <c r="J136" s="840"/>
      <c r="K136" s="841" t="s">
        <v>383</v>
      </c>
      <c r="L136" s="841"/>
    </row>
    <row r="137" spans="2:12" ht="15.95" customHeight="1">
      <c r="B137" s="832" t="s">
        <v>384</v>
      </c>
      <c r="C137" s="832"/>
      <c r="D137" s="833" t="str">
        <f>D61</f>
        <v>PRINCIPAL</v>
      </c>
      <c r="E137" s="833"/>
      <c r="F137" s="833"/>
      <c r="G137" s="834" t="s">
        <v>385</v>
      </c>
      <c r="H137" s="834"/>
      <c r="I137" s="834"/>
      <c r="J137" s="834"/>
      <c r="K137" s="834"/>
      <c r="L137" s="834"/>
    </row>
    <row r="138" spans="2:12" ht="15.95" customHeight="1">
      <c r="B138" s="261" t="s">
        <v>386</v>
      </c>
      <c r="C138" s="288">
        <f>K133</f>
        <v>45000</v>
      </c>
      <c r="D138" s="825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Forty-Five Thousand  Rupees</v>
      </c>
      <c r="E138" s="825"/>
      <c r="F138" s="825"/>
      <c r="G138" s="825"/>
      <c r="H138" s="825"/>
      <c r="I138" s="834" t="s">
        <v>466</v>
      </c>
      <c r="J138" s="834"/>
      <c r="K138" s="834"/>
      <c r="L138" s="834"/>
    </row>
    <row r="139" spans="2:12" ht="32.1" customHeight="1">
      <c r="B139" s="835" t="s">
        <v>467</v>
      </c>
      <c r="C139" s="835"/>
      <c r="D139" s="835"/>
      <c r="E139" s="835"/>
      <c r="F139" s="835"/>
      <c r="G139" s="835"/>
      <c r="H139" s="835"/>
      <c r="I139" s="835"/>
      <c r="J139" s="835"/>
      <c r="K139" s="835"/>
      <c r="L139" s="835"/>
    </row>
    <row r="140" spans="2:12" ht="24.75" customHeight="1">
      <c r="B140" s="828" t="s">
        <v>388</v>
      </c>
      <c r="C140" s="828"/>
      <c r="D140" s="829" t="str">
        <f>D65</f>
        <v>M.G.G.S. BAR</v>
      </c>
      <c r="E140" s="829"/>
      <c r="F140" s="828"/>
      <c r="G140" s="828"/>
      <c r="H140" s="828"/>
      <c r="I140" s="828"/>
      <c r="J140" s="828"/>
      <c r="K140" s="828"/>
      <c r="L140" s="828"/>
    </row>
    <row r="141" spans="2:12" ht="17.25" customHeight="1">
      <c r="B141" s="825" t="s">
        <v>389</v>
      </c>
      <c r="C141" s="825"/>
      <c r="D141" s="830">
        <f ca="1">TODAY()</f>
        <v>44907</v>
      </c>
      <c r="E141" s="830"/>
      <c r="F141" s="831" t="s">
        <v>390</v>
      </c>
      <c r="G141" s="831"/>
      <c r="H141" s="831"/>
      <c r="I141" s="831"/>
      <c r="J141" s="831"/>
      <c r="K141" s="831"/>
      <c r="L141" s="831"/>
    </row>
    <row r="142" spans="2:12" ht="18.75" customHeight="1">
      <c r="B142" s="825" t="s">
        <v>391</v>
      </c>
      <c r="C142" s="825"/>
      <c r="D142" s="826" t="str">
        <f>D137</f>
        <v>PRINCIPAL</v>
      </c>
      <c r="E142" s="826"/>
      <c r="F142" s="280" t="s">
        <v>464</v>
      </c>
      <c r="G142" s="827" t="str">
        <f>B6</f>
        <v>USHA PALIYA</v>
      </c>
      <c r="H142" s="827"/>
      <c r="I142" s="827"/>
      <c r="J142" s="827"/>
      <c r="K142" s="827"/>
      <c r="L142" s="827"/>
    </row>
    <row r="143" spans="2:12"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</row>
  </sheetData>
  <sheetProtection password="C1FB" sheet="1" objects="1" scenarios="1" formatColumns="0" formatRows="0"/>
  <mergeCells count="379"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68:L68"/>
    <mergeCell ref="B69:L69"/>
    <mergeCell ref="B70:F70"/>
    <mergeCell ref="G70:H70"/>
    <mergeCell ref="I70:J73"/>
    <mergeCell ref="K70:L84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84:F84"/>
    <mergeCell ref="I84:J84"/>
    <mergeCell ref="B85:F85"/>
    <mergeCell ref="I85:J92"/>
    <mergeCell ref="K94:L94"/>
    <mergeCell ref="D89:E89"/>
    <mergeCell ref="K89:L89"/>
    <mergeCell ref="K86:L88"/>
    <mergeCell ref="B86:F86"/>
    <mergeCell ref="G90:H92"/>
    <mergeCell ref="B94:J94"/>
    <mergeCell ref="B95:L95"/>
    <mergeCell ref="B96:L96"/>
    <mergeCell ref="G88:H88"/>
    <mergeCell ref="B97:F97"/>
    <mergeCell ref="G97:H97"/>
    <mergeCell ref="I97:J97"/>
    <mergeCell ref="K97:L97"/>
    <mergeCell ref="K85:L85"/>
    <mergeCell ref="B90:F90"/>
    <mergeCell ref="B91:E91"/>
    <mergeCell ref="B92:E92"/>
    <mergeCell ref="B93:E93"/>
    <mergeCell ref="I93:J93"/>
    <mergeCell ref="G93:H93"/>
    <mergeCell ref="B87:C87"/>
    <mergeCell ref="D87:E87"/>
    <mergeCell ref="B88:C88"/>
    <mergeCell ref="D88:E88"/>
    <mergeCell ref="G89:H89"/>
    <mergeCell ref="B89:C89"/>
    <mergeCell ref="B98:B111"/>
    <mergeCell ref="D98:D110"/>
    <mergeCell ref="E98:F98"/>
    <mergeCell ref="G98:H98"/>
    <mergeCell ref="E99:F99"/>
    <mergeCell ref="G99:H99"/>
    <mergeCell ref="E100:F100"/>
    <mergeCell ref="G100:H100"/>
    <mergeCell ref="E106:F106"/>
    <mergeCell ref="G106:H106"/>
    <mergeCell ref="E107:F107"/>
    <mergeCell ref="G107:H107"/>
    <mergeCell ref="E108:F108"/>
    <mergeCell ref="G108:H108"/>
    <mergeCell ref="E104:F104"/>
    <mergeCell ref="G104:H104"/>
    <mergeCell ref="E105:F105"/>
    <mergeCell ref="G105:H105"/>
    <mergeCell ref="C111:F111"/>
    <mergeCell ref="G111:H111"/>
    <mergeCell ref="I111:J111"/>
    <mergeCell ref="K111:L111"/>
    <mergeCell ref="E109:F109"/>
    <mergeCell ref="G109:H109"/>
    <mergeCell ref="E110:F110"/>
    <mergeCell ref="G110:H110"/>
    <mergeCell ref="I110:J110"/>
    <mergeCell ref="K110:L110"/>
    <mergeCell ref="I98:J109"/>
    <mergeCell ref="K98:L109"/>
    <mergeCell ref="E101:F101"/>
    <mergeCell ref="G101:H101"/>
    <mergeCell ref="E102:F102"/>
    <mergeCell ref="G102:H102"/>
    <mergeCell ref="E103:F103"/>
    <mergeCell ref="G103:H103"/>
    <mergeCell ref="K115:L122"/>
    <mergeCell ref="C116:F116"/>
    <mergeCell ref="G116:H116"/>
    <mergeCell ref="I116:J116"/>
    <mergeCell ref="C117:F117"/>
    <mergeCell ref="G117:H117"/>
    <mergeCell ref="I117:J117"/>
    <mergeCell ref="I112:K112"/>
    <mergeCell ref="B113:L113"/>
    <mergeCell ref="B114:F114"/>
    <mergeCell ref="G114:H114"/>
    <mergeCell ref="I114:J114"/>
    <mergeCell ref="K114:L114"/>
    <mergeCell ref="C118:F118"/>
    <mergeCell ref="G118:H118"/>
    <mergeCell ref="I118:J118"/>
    <mergeCell ref="C119:F119"/>
    <mergeCell ref="G119:H119"/>
    <mergeCell ref="I119:J119"/>
    <mergeCell ref="C115:F115"/>
    <mergeCell ref="G115:H115"/>
    <mergeCell ref="I115:J115"/>
    <mergeCell ref="C122:F122"/>
    <mergeCell ref="G122:H122"/>
    <mergeCell ref="I122:J122"/>
    <mergeCell ref="C123:F123"/>
    <mergeCell ref="G123:H123"/>
    <mergeCell ref="I123:J123"/>
    <mergeCell ref="C120:F120"/>
    <mergeCell ref="G120:H120"/>
    <mergeCell ref="I120:J120"/>
    <mergeCell ref="C121:F121"/>
    <mergeCell ref="G121:H121"/>
    <mergeCell ref="I121:J121"/>
    <mergeCell ref="K123:L123"/>
    <mergeCell ref="K124:L124"/>
    <mergeCell ref="B125:D125"/>
    <mergeCell ref="K125:L125"/>
    <mergeCell ref="B124:J124"/>
    <mergeCell ref="E125:J125"/>
    <mergeCell ref="K126:L126"/>
    <mergeCell ref="K127:L127"/>
    <mergeCell ref="B127:J127"/>
    <mergeCell ref="K128:L128"/>
    <mergeCell ref="B126:J126"/>
    <mergeCell ref="B128:J128"/>
    <mergeCell ref="K131:L131"/>
    <mergeCell ref="K132:L132"/>
    <mergeCell ref="K129:L129"/>
    <mergeCell ref="K130:L130"/>
    <mergeCell ref="B129:J129"/>
    <mergeCell ref="B130:J130"/>
    <mergeCell ref="B131:J131"/>
    <mergeCell ref="B132:J132"/>
    <mergeCell ref="B137:C137"/>
    <mergeCell ref="D137:F137"/>
    <mergeCell ref="G137:L137"/>
    <mergeCell ref="B139:L139"/>
    <mergeCell ref="B133:J133"/>
    <mergeCell ref="K133:L133"/>
    <mergeCell ref="K134:L134"/>
    <mergeCell ref="B135:L135"/>
    <mergeCell ref="C136:E136"/>
    <mergeCell ref="G136:J136"/>
    <mergeCell ref="K136:L136"/>
    <mergeCell ref="B134:J134"/>
    <mergeCell ref="I138:L138"/>
    <mergeCell ref="D138:H138"/>
    <mergeCell ref="B142:C142"/>
    <mergeCell ref="D142:E142"/>
    <mergeCell ref="G142:L142"/>
    <mergeCell ref="B140:C140"/>
    <mergeCell ref="D140:E140"/>
    <mergeCell ref="F140:L140"/>
    <mergeCell ref="B141:C141"/>
    <mergeCell ref="D141:E141"/>
    <mergeCell ref="F141:L141"/>
  </mergeCells>
  <conditionalFormatting sqref="E98:E99">
    <cfRule type="containsBlanks" dxfId="2" priority="3">
      <formula>LEN(TRIM(E98))=0</formula>
    </cfRule>
  </conditionalFormatting>
  <conditionalFormatting sqref="B134:L134">
    <cfRule type="expression" dxfId="1" priority="2">
      <formula>$B134="Income Tax Payable"</formula>
    </cfRule>
    <cfRule type="expression" dxfId="0" priority="1">
      <formula>$B134="Income Tax Refundable"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workbookViewId="0">
      <selection activeCell="N34" sqref="N34"/>
    </sheetView>
  </sheetViews>
  <sheetFormatPr defaultColWidth="0" defaultRowHeight="0" customHeight="1" zeroHeight="1"/>
  <cols>
    <col min="1" max="1" width="4.125" style="32" customWidth="1"/>
    <col min="2" max="2" width="17" style="32" customWidth="1"/>
    <col min="3" max="3" width="14.25" style="32" customWidth="1"/>
    <col min="4" max="4" width="15" style="32" customWidth="1"/>
    <col min="5" max="5" width="12" style="32" customWidth="1"/>
    <col min="6" max="6" width="19.75" style="32" customWidth="1"/>
    <col min="7" max="7" width="18" style="32" customWidth="1"/>
    <col min="8" max="8" width="17.125" style="32" customWidth="1"/>
    <col min="9" max="9" width="14.375" style="32" customWidth="1"/>
    <col min="10" max="10" width="11.375" style="32" customWidth="1"/>
    <col min="11" max="11" width="15.75" style="32" customWidth="1"/>
    <col min="12" max="12" width="15.125" style="32" customWidth="1"/>
    <col min="13" max="13" width="14.125" style="32" customWidth="1"/>
    <col min="14" max="14" width="15.5" style="32" customWidth="1"/>
    <col min="15" max="15" width="13.125" style="32" customWidth="1"/>
    <col min="16" max="16" width="9.375" style="32" customWidth="1"/>
    <col min="17" max="16384" width="9.125" style="32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42">
        <v>1</v>
      </c>
      <c r="AD1" s="174">
        <v>44621</v>
      </c>
    </row>
    <row r="2" spans="1:30" ht="24" thickBot="1">
      <c r="A2" s="1"/>
      <c r="B2" s="3"/>
      <c r="C2" s="3"/>
      <c r="D2" s="21"/>
      <c r="E2" s="499" t="s">
        <v>0</v>
      </c>
      <c r="F2" s="500"/>
      <c r="G2" s="501"/>
      <c r="H2" s="21"/>
      <c r="I2" s="21"/>
      <c r="J2" s="173"/>
      <c r="K2" s="173"/>
      <c r="L2" s="173"/>
      <c r="M2" s="1"/>
      <c r="N2" s="1"/>
      <c r="O2" s="1"/>
      <c r="T2" s="32" t="s">
        <v>3</v>
      </c>
      <c r="U2" s="32">
        <v>20</v>
      </c>
      <c r="AA2" s="174"/>
      <c r="AC2" s="242">
        <v>2</v>
      </c>
      <c r="AD2" s="174">
        <v>44652</v>
      </c>
    </row>
    <row r="3" spans="1:30" ht="14.25" customHeight="1" thickBot="1">
      <c r="A3" s="1"/>
      <c r="B3" s="3"/>
      <c r="C3" s="3"/>
      <c r="D3" s="21"/>
      <c r="E3" s="21"/>
      <c r="F3" s="44"/>
      <c r="G3" s="44"/>
      <c r="H3" s="44"/>
      <c r="I3" s="21"/>
      <c r="J3" s="173"/>
      <c r="K3" s="173"/>
      <c r="L3" s="173"/>
      <c r="M3" s="1"/>
      <c r="N3" s="1"/>
      <c r="O3" s="1"/>
      <c r="T3" s="32" t="s">
        <v>78</v>
      </c>
      <c r="AA3" s="174"/>
      <c r="AC3" s="242">
        <v>3</v>
      </c>
      <c r="AD3" s="174">
        <v>44682</v>
      </c>
    </row>
    <row r="4" spans="1:30" ht="22.5" thickTop="1" thickBot="1">
      <c r="A4" s="1"/>
      <c r="B4" s="452" t="s">
        <v>56</v>
      </c>
      <c r="C4" s="452"/>
      <c r="D4" s="453" t="s">
        <v>114</v>
      </c>
      <c r="E4" s="453"/>
      <c r="F4" s="453"/>
      <c r="G4" s="453"/>
      <c r="H4" s="453"/>
      <c r="I4" s="453"/>
      <c r="J4" s="2"/>
      <c r="K4" s="517"/>
      <c r="L4" s="517"/>
      <c r="M4" s="517"/>
      <c r="N4" s="517"/>
      <c r="O4" s="1"/>
      <c r="T4" s="32" t="s">
        <v>12</v>
      </c>
      <c r="X4" s="32">
        <v>1000</v>
      </c>
      <c r="AA4" s="174"/>
      <c r="AC4" s="242">
        <v>4</v>
      </c>
      <c r="AD4" s="174">
        <v>44713</v>
      </c>
    </row>
    <row r="5" spans="1:30" ht="8.1" customHeight="1" thickTop="1" thickBot="1">
      <c r="A5" s="175"/>
      <c r="B5" s="176"/>
      <c r="C5" s="176"/>
      <c r="D5" s="177"/>
      <c r="E5" s="177"/>
      <c r="F5" s="177"/>
      <c r="G5" s="177"/>
      <c r="H5" s="177"/>
      <c r="I5" s="177"/>
      <c r="J5" s="6"/>
      <c r="K5" s="169"/>
      <c r="L5" s="169"/>
      <c r="M5" s="169"/>
      <c r="N5" s="169"/>
      <c r="O5" s="1"/>
      <c r="T5" s="32" t="s">
        <v>14</v>
      </c>
      <c r="AA5" s="174"/>
      <c r="AC5" s="242">
        <v>5</v>
      </c>
      <c r="AD5" s="174">
        <v>44743</v>
      </c>
    </row>
    <row r="6" spans="1:30" ht="22.5" thickTop="1" thickBot="1">
      <c r="A6" s="1"/>
      <c r="B6" s="452" t="s">
        <v>57</v>
      </c>
      <c r="C6" s="452"/>
      <c r="D6" s="457" t="s">
        <v>21</v>
      </c>
      <c r="E6" s="457"/>
      <c r="F6" s="455" t="s">
        <v>22</v>
      </c>
      <c r="G6" s="455"/>
      <c r="H6" s="458" t="s">
        <v>23</v>
      </c>
      <c r="I6" s="458"/>
      <c r="J6" s="2"/>
      <c r="K6" s="1"/>
      <c r="L6" s="1"/>
      <c r="M6" s="1"/>
      <c r="N6" s="1"/>
      <c r="O6" s="1"/>
      <c r="T6" s="32" t="s">
        <v>16</v>
      </c>
      <c r="X6" s="32">
        <v>620</v>
      </c>
      <c r="AA6" s="174"/>
      <c r="AC6" s="242">
        <v>6</v>
      </c>
      <c r="AD6" s="174">
        <v>44774</v>
      </c>
    </row>
    <row r="7" spans="1:30" ht="8.1" customHeight="1" thickTop="1" thickBot="1">
      <c r="A7" s="175"/>
      <c r="B7" s="176"/>
      <c r="C7" s="176"/>
      <c r="D7" s="178"/>
      <c r="E7" s="178"/>
      <c r="F7" s="176"/>
      <c r="G7" s="176"/>
      <c r="H7" s="178"/>
      <c r="I7" s="178"/>
      <c r="J7" s="6"/>
      <c r="K7" s="1"/>
      <c r="L7" s="1"/>
      <c r="M7" s="1"/>
      <c r="N7" s="1"/>
      <c r="O7" s="1"/>
      <c r="T7" s="32" t="s">
        <v>18</v>
      </c>
      <c r="AA7" s="174"/>
      <c r="AC7" s="242">
        <v>7</v>
      </c>
      <c r="AD7" s="174">
        <v>44805</v>
      </c>
    </row>
    <row r="8" spans="1:30" ht="20.25" thickTop="1" thickBot="1">
      <c r="A8" s="1"/>
      <c r="B8" s="452" t="s">
        <v>60</v>
      </c>
      <c r="C8" s="452" t="s">
        <v>25</v>
      </c>
      <c r="D8" s="458" t="s">
        <v>115</v>
      </c>
      <c r="E8" s="458"/>
      <c r="F8" s="455" t="s">
        <v>26</v>
      </c>
      <c r="G8" s="455"/>
      <c r="H8" s="458" t="s">
        <v>113</v>
      </c>
      <c r="I8" s="458"/>
      <c r="J8" s="2"/>
      <c r="K8" s="1"/>
      <c r="L8" s="1"/>
      <c r="M8" s="1"/>
      <c r="N8" s="1"/>
      <c r="O8" s="1"/>
      <c r="T8" s="32" t="s">
        <v>20</v>
      </c>
      <c r="AA8" s="174"/>
      <c r="AC8" s="242">
        <v>8</v>
      </c>
      <c r="AD8" s="174">
        <v>44835</v>
      </c>
    </row>
    <row r="9" spans="1:30" ht="8.1" customHeight="1" thickTop="1" thickBot="1">
      <c r="A9" s="175"/>
      <c r="B9" s="176"/>
      <c r="C9" s="176"/>
      <c r="D9" s="178"/>
      <c r="E9" s="178"/>
      <c r="F9" s="176"/>
      <c r="G9" s="176"/>
      <c r="H9" s="178"/>
      <c r="I9" s="178"/>
      <c r="J9" s="6"/>
      <c r="K9" s="1"/>
      <c r="L9" s="1"/>
      <c r="M9" s="1"/>
      <c r="N9" s="1"/>
      <c r="O9" s="1"/>
      <c r="T9" s="32" t="s">
        <v>24</v>
      </c>
      <c r="AA9" s="174"/>
      <c r="AC9" s="242">
        <v>9</v>
      </c>
      <c r="AD9" s="174">
        <v>44866</v>
      </c>
    </row>
    <row r="10" spans="1:30" ht="22.5" thickTop="1" thickBot="1">
      <c r="A10" s="1"/>
      <c r="B10" s="452" t="s">
        <v>58</v>
      </c>
      <c r="C10" s="452"/>
      <c r="D10" s="454" t="s">
        <v>319</v>
      </c>
      <c r="E10" s="454"/>
      <c r="F10" s="455" t="s">
        <v>28</v>
      </c>
      <c r="G10" s="455"/>
      <c r="H10" s="456">
        <v>123465471475</v>
      </c>
      <c r="I10" s="456"/>
      <c r="J10" s="2"/>
      <c r="K10" s="17"/>
      <c r="L10" s="17"/>
      <c r="M10" s="17"/>
      <c r="N10" s="1"/>
      <c r="O10" s="1"/>
      <c r="T10" s="32" t="s">
        <v>27</v>
      </c>
      <c r="AA10" s="174"/>
      <c r="AC10" s="242">
        <v>10</v>
      </c>
      <c r="AD10" s="174">
        <v>44896</v>
      </c>
    </row>
    <row r="11" spans="1:30" ht="8.1" customHeight="1" thickTop="1" thickBot="1">
      <c r="A11" s="175"/>
      <c r="B11" s="176"/>
      <c r="C11" s="176"/>
      <c r="D11" s="178"/>
      <c r="E11" s="178"/>
      <c r="F11" s="176"/>
      <c r="G11" s="176"/>
      <c r="H11" s="179"/>
      <c r="I11" s="179"/>
      <c r="J11" s="6"/>
      <c r="K11" s="17"/>
      <c r="L11" s="17"/>
      <c r="M11" s="17"/>
      <c r="N11" s="1"/>
      <c r="O11" s="1"/>
      <c r="T11" s="32" t="s">
        <v>2</v>
      </c>
      <c r="AA11" s="174"/>
      <c r="AC11" s="242">
        <v>11</v>
      </c>
      <c r="AD11" s="174">
        <v>44927</v>
      </c>
    </row>
    <row r="12" spans="1:30" ht="22.5" thickTop="1" thickBot="1">
      <c r="A12" s="1"/>
      <c r="B12" s="452" t="s">
        <v>59</v>
      </c>
      <c r="C12" s="452"/>
      <c r="D12" s="516" t="s">
        <v>318</v>
      </c>
      <c r="E12" s="516"/>
      <c r="F12" s="455" t="s">
        <v>29</v>
      </c>
      <c r="G12" s="455"/>
      <c r="H12" s="458"/>
      <c r="I12" s="458"/>
      <c r="J12" s="2"/>
      <c r="K12" s="502"/>
      <c r="L12" s="502"/>
      <c r="M12" s="502"/>
      <c r="N12" s="502"/>
      <c r="O12" s="1"/>
      <c r="T12" s="32" t="s">
        <v>30</v>
      </c>
      <c r="AA12" s="174"/>
      <c r="AC12" s="242">
        <v>12</v>
      </c>
      <c r="AD12" s="174">
        <v>44958</v>
      </c>
    </row>
    <row r="13" spans="1:30" ht="8.1" customHeight="1" thickTop="1" thickBot="1">
      <c r="A13" s="175"/>
      <c r="B13" s="176"/>
      <c r="C13" s="176"/>
      <c r="D13" s="180"/>
      <c r="E13" s="180"/>
      <c r="F13" s="176"/>
      <c r="G13" s="176"/>
      <c r="H13" s="178"/>
      <c r="I13" s="178"/>
      <c r="J13" s="6"/>
      <c r="K13" s="168"/>
      <c r="L13" s="168"/>
      <c r="M13" s="168"/>
      <c r="N13" s="168"/>
      <c r="O13" s="1"/>
      <c r="T13" s="32" t="s">
        <v>33</v>
      </c>
      <c r="AA13" s="174"/>
      <c r="AC13" s="242"/>
    </row>
    <row r="14" spans="1:30" ht="22.5" thickTop="1" thickBot="1">
      <c r="A14" s="1"/>
      <c r="B14" s="452" t="s">
        <v>31</v>
      </c>
      <c r="C14" s="452"/>
      <c r="D14" s="458">
        <v>11</v>
      </c>
      <c r="E14" s="458"/>
      <c r="F14" s="455" t="s">
        <v>32</v>
      </c>
      <c r="G14" s="455"/>
      <c r="H14" s="458">
        <v>123456</v>
      </c>
      <c r="I14" s="458"/>
      <c r="J14" s="2"/>
      <c r="K14" s="17"/>
      <c r="L14" s="17"/>
      <c r="M14" s="17"/>
      <c r="N14" s="1"/>
      <c r="O14" s="1"/>
      <c r="T14" s="32" t="s">
        <v>3</v>
      </c>
      <c r="AA14" s="174"/>
    </row>
    <row r="15" spans="1:30" ht="8.1" customHeight="1" thickTop="1" thickBot="1">
      <c r="A15" s="175"/>
      <c r="B15" s="176"/>
      <c r="C15" s="176"/>
      <c r="D15" s="178"/>
      <c r="E15" s="178"/>
      <c r="F15" s="176"/>
      <c r="G15" s="176"/>
      <c r="H15" s="178"/>
      <c r="I15" s="178"/>
      <c r="J15" s="6"/>
      <c r="K15" s="17"/>
      <c r="L15" s="17"/>
      <c r="M15" s="17"/>
      <c r="N15" s="1"/>
      <c r="O15" s="1"/>
      <c r="T15" s="32" t="s">
        <v>78</v>
      </c>
      <c r="AA15" s="174"/>
    </row>
    <row r="16" spans="1:30" ht="22.5" thickTop="1" thickBot="1">
      <c r="A16" s="1"/>
      <c r="B16" s="452" t="s">
        <v>541</v>
      </c>
      <c r="C16" s="452"/>
      <c r="D16" s="460">
        <v>12134545454541</v>
      </c>
      <c r="E16" s="460"/>
      <c r="F16" s="455" t="s">
        <v>35</v>
      </c>
      <c r="G16" s="455"/>
      <c r="H16" s="460">
        <v>121212121212121</v>
      </c>
      <c r="I16" s="460"/>
      <c r="J16" s="18"/>
      <c r="K16" s="18"/>
      <c r="L16" s="18"/>
      <c r="M16" s="18"/>
      <c r="N16" s="18"/>
      <c r="O16" s="1"/>
      <c r="T16" s="32" t="s">
        <v>12</v>
      </c>
    </row>
    <row r="17" spans="1:29" ht="8.1" customHeight="1" thickTop="1" thickBot="1">
      <c r="A17" s="175"/>
      <c r="B17" s="176"/>
      <c r="C17" s="176"/>
      <c r="D17" s="178"/>
      <c r="E17" s="178"/>
      <c r="F17" s="176"/>
      <c r="G17" s="176"/>
      <c r="H17" s="177"/>
      <c r="I17" s="177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452" t="s">
        <v>513</v>
      </c>
      <c r="C18" s="452"/>
      <c r="D18" s="458" t="s">
        <v>555</v>
      </c>
      <c r="E18" s="458"/>
      <c r="F18" s="472" t="s">
        <v>544</v>
      </c>
      <c r="G18" s="472"/>
      <c r="H18" s="458" t="s">
        <v>543</v>
      </c>
      <c r="I18" s="458"/>
      <c r="J18" s="2"/>
      <c r="K18" s="503" t="s">
        <v>19</v>
      </c>
      <c r="L18" s="503"/>
      <c r="M18" s="503"/>
      <c r="N18" s="503"/>
      <c r="O18" s="1"/>
    </row>
    <row r="19" spans="1:29" ht="9.75" customHeight="1" thickTop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75"/>
      <c r="N19" s="175"/>
      <c r="O19" s="175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ht="26.25" customHeight="1" thickBot="1">
      <c r="A20" s="1"/>
      <c r="B20" s="1"/>
      <c r="C20" s="1"/>
      <c r="D20" s="1"/>
      <c r="E20" s="474" t="s">
        <v>320</v>
      </c>
      <c r="F20" s="475"/>
      <c r="G20" s="476"/>
      <c r="H20" s="362"/>
      <c r="I20" s="362"/>
      <c r="J20" s="361"/>
      <c r="K20" s="1"/>
      <c r="L20" s="1"/>
      <c r="M20" s="175"/>
      <c r="N20" s="175"/>
      <c r="O20" s="175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75"/>
      <c r="N21" s="175"/>
      <c r="O21" s="175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ht="22.5" thickTop="1" thickBot="1">
      <c r="A22" s="1"/>
      <c r="B22" s="470" t="s">
        <v>523</v>
      </c>
      <c r="C22" s="470"/>
      <c r="D22" s="471"/>
      <c r="E22" s="329" t="s">
        <v>75</v>
      </c>
      <c r="F22" s="466" t="s">
        <v>524</v>
      </c>
      <c r="G22" s="462"/>
      <c r="H22" s="463"/>
      <c r="I22" s="329" t="s">
        <v>2</v>
      </c>
      <c r="J22" s="2"/>
      <c r="K22" s="347"/>
      <c r="L22" s="347"/>
      <c r="M22" s="347"/>
      <c r="N22" s="347"/>
      <c r="O22" s="1"/>
      <c r="S22" s="32" t="s">
        <v>1</v>
      </c>
      <c r="T22" s="32" t="s">
        <v>3</v>
      </c>
      <c r="U22" s="32">
        <v>8</v>
      </c>
      <c r="V22" s="32" t="s">
        <v>4</v>
      </c>
      <c r="W22" s="32" t="s">
        <v>5</v>
      </c>
      <c r="Y22" s="32" t="s">
        <v>6</v>
      </c>
      <c r="AA22" s="174">
        <v>44621</v>
      </c>
    </row>
    <row r="23" spans="1:29" ht="8.1" customHeight="1" thickTop="1" thickBot="1">
      <c r="A23" s="175"/>
      <c r="B23" s="181"/>
      <c r="C23" s="181"/>
      <c r="D23" s="181"/>
      <c r="E23" s="182"/>
      <c r="F23" s="183"/>
      <c r="G23" s="183"/>
      <c r="H23" s="183"/>
      <c r="I23" s="182"/>
      <c r="J23" s="6"/>
      <c r="K23" s="497" t="s">
        <v>628</v>
      </c>
      <c r="L23" s="497"/>
      <c r="M23" s="497"/>
      <c r="N23" s="347"/>
      <c r="O23" s="1"/>
      <c r="AA23" s="174"/>
    </row>
    <row r="24" spans="1:29" ht="24.75" thickTop="1" thickBot="1">
      <c r="A24" s="1"/>
      <c r="B24" s="470" t="s">
        <v>525</v>
      </c>
      <c r="C24" s="470"/>
      <c r="D24" s="471"/>
      <c r="E24" s="332" t="s">
        <v>7</v>
      </c>
      <c r="F24" s="466" t="s">
        <v>526</v>
      </c>
      <c r="G24" s="462"/>
      <c r="H24" s="463"/>
      <c r="I24" s="329" t="s">
        <v>76</v>
      </c>
      <c r="J24" s="184"/>
      <c r="K24" s="497"/>
      <c r="L24" s="497"/>
      <c r="M24" s="497"/>
      <c r="N24" s="369">
        <v>52300</v>
      </c>
      <c r="O24" s="1"/>
      <c r="S24" s="32" t="s">
        <v>8</v>
      </c>
      <c r="U24" s="32">
        <v>9</v>
      </c>
      <c r="V24" s="32" t="s">
        <v>520</v>
      </c>
      <c r="W24" s="32" t="s">
        <v>9</v>
      </c>
      <c r="Y24" s="32" t="s">
        <v>10</v>
      </c>
      <c r="AA24" s="174">
        <v>44652</v>
      </c>
    </row>
    <row r="25" spans="1:29" ht="8.1" customHeight="1" thickTop="1" thickBot="1">
      <c r="A25" s="175"/>
      <c r="B25" s="181"/>
      <c r="C25" s="181"/>
      <c r="D25" s="181"/>
      <c r="E25" s="185"/>
      <c r="F25" s="183"/>
      <c r="G25" s="183"/>
      <c r="H25" s="183"/>
      <c r="I25" s="182"/>
      <c r="J25" s="184"/>
      <c r="K25" s="347"/>
      <c r="L25" s="347"/>
      <c r="M25" s="347"/>
      <c r="N25" s="347"/>
      <c r="O25" s="1"/>
      <c r="AA25" s="174">
        <v>44682</v>
      </c>
    </row>
    <row r="26" spans="1:29" ht="23.25" customHeight="1" thickTop="1" thickBot="1">
      <c r="A26" s="175"/>
      <c r="B26" s="181"/>
      <c r="C26" s="487" t="s">
        <v>527</v>
      </c>
      <c r="D26" s="487"/>
      <c r="E26" s="487"/>
      <c r="F26" s="487"/>
      <c r="G26" s="487"/>
      <c r="H26" s="487"/>
      <c r="I26" s="330">
        <v>12</v>
      </c>
      <c r="J26" s="184"/>
      <c r="K26" s="504" t="s">
        <v>536</v>
      </c>
      <c r="L26" s="505"/>
      <c r="M26" s="506"/>
      <c r="N26" s="513"/>
      <c r="O26" s="1"/>
      <c r="AA26" s="174"/>
    </row>
    <row r="27" spans="1:29" ht="8.1" customHeight="1" thickTop="1" thickBot="1">
      <c r="A27" s="175"/>
      <c r="B27" s="181"/>
      <c r="C27" s="181"/>
      <c r="D27" s="181"/>
      <c r="E27" s="185"/>
      <c r="F27" s="183"/>
      <c r="G27" s="183"/>
      <c r="H27" s="183"/>
      <c r="I27" s="182"/>
      <c r="J27" s="184"/>
      <c r="K27" s="507"/>
      <c r="L27" s="508"/>
      <c r="M27" s="509"/>
      <c r="N27" s="514"/>
      <c r="O27" s="1"/>
      <c r="AA27" s="174">
        <v>44713</v>
      </c>
    </row>
    <row r="28" spans="1:29" ht="22.5" thickTop="1" thickBot="1">
      <c r="A28" s="1"/>
      <c r="B28" s="470" t="s">
        <v>528</v>
      </c>
      <c r="C28" s="470" t="s">
        <v>11</v>
      </c>
      <c r="D28" s="471"/>
      <c r="E28" s="19" t="s">
        <v>75</v>
      </c>
      <c r="F28" s="466" t="s">
        <v>531</v>
      </c>
      <c r="G28" s="462"/>
      <c r="H28" s="463"/>
      <c r="I28" s="331" t="s">
        <v>6</v>
      </c>
      <c r="J28" s="186"/>
      <c r="K28" s="510"/>
      <c r="L28" s="511"/>
      <c r="M28" s="512"/>
      <c r="N28" s="515"/>
      <c r="O28" s="1"/>
      <c r="T28" s="32" t="s">
        <v>12</v>
      </c>
      <c r="U28" s="32">
        <v>10</v>
      </c>
      <c r="W28" s="32" t="s">
        <v>13</v>
      </c>
      <c r="AA28" s="174">
        <v>44743</v>
      </c>
    </row>
    <row r="29" spans="1:29" ht="8.1" customHeight="1" thickTop="1" thickBot="1">
      <c r="A29" s="175"/>
      <c r="B29" s="183"/>
      <c r="C29" s="183"/>
      <c r="D29" s="183"/>
      <c r="E29" s="182"/>
      <c r="F29" s="183"/>
      <c r="G29" s="183"/>
      <c r="H29" s="183"/>
      <c r="I29" s="187"/>
      <c r="J29" s="6"/>
      <c r="K29" s="347"/>
      <c r="L29" s="347"/>
      <c r="M29" s="347"/>
      <c r="N29" s="347"/>
      <c r="O29" s="1"/>
      <c r="AA29" s="174"/>
    </row>
    <row r="30" spans="1:29" ht="22.5" customHeight="1" thickTop="1" thickBot="1">
      <c r="A30" s="1"/>
      <c r="B30" s="470" t="s">
        <v>537</v>
      </c>
      <c r="C30" s="470"/>
      <c r="D30" s="471"/>
      <c r="E30" s="357">
        <v>620</v>
      </c>
      <c r="F30" s="461" t="s">
        <v>542</v>
      </c>
      <c r="G30" s="462"/>
      <c r="H30" s="463"/>
      <c r="I30" s="331" t="s">
        <v>520</v>
      </c>
      <c r="J30" s="2"/>
      <c r="K30" s="488" t="s">
        <v>535</v>
      </c>
      <c r="L30" s="489"/>
      <c r="M30" s="490"/>
      <c r="N30" s="477"/>
      <c r="O30" s="1"/>
      <c r="Q30" s="348"/>
      <c r="T30" s="32" t="s">
        <v>14</v>
      </c>
      <c r="U30" s="32">
        <v>12</v>
      </c>
      <c r="W30" s="32" t="s">
        <v>15</v>
      </c>
      <c r="AA30" s="174">
        <v>44774</v>
      </c>
    </row>
    <row r="31" spans="1:29" ht="8.1" customHeight="1" thickTop="1" thickBot="1">
      <c r="A31" s="175"/>
      <c r="B31" s="183"/>
      <c r="C31" s="183"/>
      <c r="D31" s="183"/>
      <c r="E31" s="189"/>
      <c r="F31" s="190"/>
      <c r="G31" s="183"/>
      <c r="H31" s="183"/>
      <c r="I31" s="187"/>
      <c r="J31" s="6"/>
      <c r="K31" s="491"/>
      <c r="L31" s="492"/>
      <c r="M31" s="493"/>
      <c r="N31" s="478"/>
      <c r="O31" s="1"/>
      <c r="AA31" s="174">
        <v>44805</v>
      </c>
    </row>
    <row r="32" spans="1:29" ht="22.5" thickTop="1" thickBot="1">
      <c r="A32" s="1"/>
      <c r="B32" s="464" t="s">
        <v>530</v>
      </c>
      <c r="C32" s="464"/>
      <c r="D32" s="465"/>
      <c r="E32" s="329" t="s">
        <v>75</v>
      </c>
      <c r="F32" s="466" t="s">
        <v>532</v>
      </c>
      <c r="G32" s="462"/>
      <c r="H32" s="463"/>
      <c r="I32" s="20" t="s">
        <v>15</v>
      </c>
      <c r="J32" s="2"/>
      <c r="K32" s="494"/>
      <c r="L32" s="495"/>
      <c r="M32" s="496"/>
      <c r="N32" s="479"/>
      <c r="O32" s="1"/>
      <c r="T32" s="32" t="s">
        <v>16</v>
      </c>
      <c r="U32" s="32">
        <v>16</v>
      </c>
      <c r="W32" s="32" t="s">
        <v>17</v>
      </c>
      <c r="AA32" s="174"/>
    </row>
    <row r="33" spans="1:29" ht="8.1" customHeight="1" thickTop="1" thickBot="1">
      <c r="A33" s="175"/>
      <c r="B33" s="183"/>
      <c r="C33" s="183"/>
      <c r="D33" s="183"/>
      <c r="E33" s="182"/>
      <c r="F33" s="183"/>
      <c r="G33" s="183"/>
      <c r="H33" s="183"/>
      <c r="I33" s="187"/>
      <c r="J33" s="6"/>
      <c r="K33" s="347"/>
      <c r="L33" s="347"/>
      <c r="M33" s="347"/>
      <c r="N33" s="347"/>
      <c r="O33" s="1"/>
      <c r="AA33" s="174">
        <v>44835</v>
      </c>
    </row>
    <row r="34" spans="1:29" ht="30" customHeight="1" thickTop="1" thickBot="1">
      <c r="A34" s="1"/>
      <c r="B34" s="470" t="s">
        <v>529</v>
      </c>
      <c r="C34" s="470"/>
      <c r="D34" s="471"/>
      <c r="E34" s="19">
        <v>9</v>
      </c>
      <c r="F34" s="466" t="s">
        <v>533</v>
      </c>
      <c r="G34" s="462"/>
      <c r="H34" s="463"/>
      <c r="I34" s="42">
        <v>11</v>
      </c>
      <c r="J34" s="188"/>
      <c r="K34" s="481" t="s">
        <v>517</v>
      </c>
      <c r="L34" s="482"/>
      <c r="M34" s="483"/>
      <c r="N34" s="355">
        <v>220</v>
      </c>
      <c r="O34" s="1"/>
      <c r="AA34" s="174">
        <v>44866</v>
      </c>
    </row>
    <row r="35" spans="1:29" ht="13.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75"/>
      <c r="N35" s="175"/>
      <c r="O35" s="175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174"/>
      <c r="AB35" s="40"/>
      <c r="AC35" s="40"/>
    </row>
    <row r="36" spans="1:29" ht="24.75" customHeight="1">
      <c r="A36" s="22"/>
      <c r="B36" s="306"/>
      <c r="C36" s="306"/>
      <c r="D36" s="306"/>
      <c r="E36" s="306"/>
      <c r="F36" s="306"/>
      <c r="G36" s="306"/>
      <c r="H36" s="306"/>
      <c r="I36" s="306"/>
      <c r="J36" s="191"/>
      <c r="K36" s="480" t="s">
        <v>512</v>
      </c>
      <c r="L36" s="480"/>
      <c r="M36" s="480"/>
      <c r="N36" s="6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74">
        <v>44896</v>
      </c>
      <c r="AB36" s="7"/>
      <c r="AC36" s="40"/>
    </row>
    <row r="37" spans="1:29" ht="7.5" customHeight="1">
      <c r="A37" s="22"/>
      <c r="B37" s="306"/>
      <c r="C37" s="306"/>
      <c r="D37" s="473" t="s">
        <v>534</v>
      </c>
      <c r="E37" s="473"/>
      <c r="F37" s="473"/>
      <c r="G37" s="473"/>
      <c r="H37" s="306"/>
      <c r="I37" s="306"/>
      <c r="J37" s="2"/>
      <c r="K37" s="2"/>
      <c r="L37" s="2"/>
      <c r="M37" s="2"/>
      <c r="N37" s="2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74">
        <v>44927</v>
      </c>
      <c r="AB37" s="7"/>
      <c r="AC37" s="40"/>
    </row>
    <row r="38" spans="1:29" ht="21" customHeight="1">
      <c r="A38" s="22"/>
      <c r="B38" s="306"/>
      <c r="C38" s="306"/>
      <c r="D38" s="473"/>
      <c r="E38" s="473"/>
      <c r="F38" s="473"/>
      <c r="G38" s="473"/>
      <c r="H38" s="306"/>
      <c r="I38" s="306"/>
      <c r="J38" s="2"/>
      <c r="K38" s="2"/>
      <c r="L38" s="2"/>
      <c r="M38" s="2"/>
      <c r="N38" s="2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74"/>
      <c r="AB38" s="7"/>
      <c r="AC38" s="40"/>
    </row>
    <row r="39" spans="1:29" ht="9.75" customHeight="1" thickBot="1">
      <c r="A39" s="22"/>
      <c r="B39" s="26"/>
      <c r="C39" s="27"/>
      <c r="D39" s="192"/>
      <c r="E39" s="192"/>
      <c r="F39" s="4"/>
      <c r="G39" s="5"/>
      <c r="H39" s="306"/>
      <c r="I39" s="306"/>
      <c r="J39" s="2"/>
      <c r="K39" s="2"/>
      <c r="L39" s="2"/>
      <c r="M39" s="2"/>
      <c r="N39" s="2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74">
        <v>44958</v>
      </c>
      <c r="AB39" s="7"/>
      <c r="AC39" s="40"/>
    </row>
    <row r="40" spans="1:29" ht="36.75" customHeight="1" thickTop="1" thickBot="1">
      <c r="A40" s="23"/>
      <c r="B40" s="25"/>
      <c r="C40" s="467" t="s">
        <v>624</v>
      </c>
      <c r="D40" s="468"/>
      <c r="E40" s="469"/>
      <c r="F40" s="299">
        <v>44621</v>
      </c>
      <c r="G40" s="398" t="s">
        <v>625</v>
      </c>
      <c r="H40" s="300">
        <v>44958</v>
      </c>
      <c r="I40" s="8"/>
      <c r="J40" s="2"/>
      <c r="K40" s="498" t="s">
        <v>627</v>
      </c>
      <c r="L40" s="498"/>
      <c r="M40" s="498"/>
      <c r="N40" s="2"/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0"/>
    </row>
    <row r="41" spans="1:29" ht="14.25" customHeight="1" thickTop="1" thickBot="1">
      <c r="A41" s="2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9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0"/>
    </row>
    <row r="42" spans="1:29" ht="39" customHeight="1" thickTop="1" thickBot="1">
      <c r="A42" s="459"/>
      <c r="B42" s="193" t="s">
        <v>36</v>
      </c>
      <c r="C42" s="193" t="s">
        <v>538</v>
      </c>
      <c r="D42" s="296" t="s">
        <v>54</v>
      </c>
      <c r="E42" s="296" t="s">
        <v>55</v>
      </c>
      <c r="F42" s="359" t="s">
        <v>539</v>
      </c>
      <c r="G42" s="194" t="s">
        <v>39</v>
      </c>
      <c r="H42" s="194" t="s">
        <v>601</v>
      </c>
      <c r="I42" s="194" t="s">
        <v>40</v>
      </c>
      <c r="J42" s="194" t="s">
        <v>521</v>
      </c>
      <c r="K42" s="389" t="s">
        <v>103</v>
      </c>
      <c r="L42" s="389" t="s">
        <v>102</v>
      </c>
      <c r="M42" s="389" t="s">
        <v>493</v>
      </c>
      <c r="N42" s="194" t="s">
        <v>522</v>
      </c>
      <c r="O42" s="9"/>
      <c r="P42" s="14"/>
      <c r="Q42" s="15"/>
      <c r="R42" s="195"/>
      <c r="S42" s="195"/>
      <c r="T42" s="195"/>
      <c r="U42" s="15"/>
      <c r="V42" s="14"/>
      <c r="W42" s="195"/>
      <c r="X42" s="14"/>
      <c r="Y42" s="14"/>
      <c r="Z42" s="13"/>
      <c r="AA42" s="13"/>
      <c r="AB42" s="13"/>
      <c r="AC42" s="40"/>
    </row>
    <row r="43" spans="1:29" ht="25.5" customHeight="1" thickTop="1" thickBot="1">
      <c r="A43" s="459"/>
      <c r="B43" s="16"/>
      <c r="C43" s="16"/>
      <c r="D43" s="16"/>
      <c r="E43" s="16"/>
      <c r="F43" s="358" t="s">
        <v>540</v>
      </c>
      <c r="G43" s="16">
        <v>7000</v>
      </c>
      <c r="H43" s="16">
        <v>3575</v>
      </c>
      <c r="I43" s="16">
        <v>1880</v>
      </c>
      <c r="J43" s="16"/>
      <c r="K43" s="16"/>
      <c r="L43" s="16"/>
      <c r="M43" s="16"/>
      <c r="N43" s="16"/>
      <c r="O43" s="9"/>
      <c r="P43" s="14"/>
      <c r="Q43" s="196"/>
      <c r="R43" s="196"/>
      <c r="S43" s="196"/>
      <c r="T43" s="196"/>
      <c r="U43" s="197"/>
      <c r="V43" s="198"/>
      <c r="W43" s="196"/>
      <c r="X43" s="14"/>
      <c r="Y43" s="14"/>
      <c r="Z43" s="13"/>
      <c r="AA43" s="13"/>
      <c r="AB43" s="13"/>
      <c r="AC43" s="40"/>
    </row>
    <row r="44" spans="1:29" ht="15.75" customHeight="1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43"/>
      <c r="M44" s="343"/>
      <c r="N44" s="343"/>
      <c r="O44" s="9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ht="26.25" customHeight="1" thickBot="1">
      <c r="A45" s="1"/>
      <c r="B45" s="1"/>
      <c r="C45" s="1"/>
      <c r="D45" s="1"/>
      <c r="E45" s="486" t="s">
        <v>41</v>
      </c>
      <c r="F45" s="486"/>
      <c r="G45" s="486"/>
      <c r="H45" s="486"/>
      <c r="I45" s="486"/>
      <c r="J45" s="1"/>
      <c r="K45" s="1"/>
      <c r="L45" s="344"/>
      <c r="M45" s="344"/>
      <c r="N45" s="344"/>
      <c r="O45" s="344"/>
    </row>
    <row r="46" spans="1:29" ht="28.5" customHeight="1" thickTop="1" thickBot="1">
      <c r="A46" s="1"/>
      <c r="B46" s="360" t="s">
        <v>42</v>
      </c>
      <c r="C46" s="360" t="s">
        <v>43</v>
      </c>
      <c r="D46" s="360" t="s">
        <v>44</v>
      </c>
      <c r="E46" s="360" t="s">
        <v>45</v>
      </c>
      <c r="F46" s="360" t="s">
        <v>46</v>
      </c>
      <c r="G46" s="360" t="s">
        <v>47</v>
      </c>
      <c r="H46" s="360" t="s">
        <v>48</v>
      </c>
      <c r="I46" s="360" t="s">
        <v>49</v>
      </c>
      <c r="J46" s="360" t="s">
        <v>50</v>
      </c>
      <c r="K46" s="360" t="s">
        <v>51</v>
      </c>
      <c r="L46" s="360" t="s">
        <v>52</v>
      </c>
      <c r="M46" s="360" t="s">
        <v>53</v>
      </c>
      <c r="N46" s="350"/>
      <c r="O46" s="351"/>
    </row>
    <row r="47" spans="1:29" ht="27.75" customHeight="1" thickTop="1" thickBot="1">
      <c r="A47" s="1"/>
      <c r="B47" s="356">
        <v>2000</v>
      </c>
      <c r="C47" s="356">
        <v>2000</v>
      </c>
      <c r="D47" s="356">
        <v>2000</v>
      </c>
      <c r="E47" s="356">
        <v>2000</v>
      </c>
      <c r="F47" s="356">
        <v>2000</v>
      </c>
      <c r="G47" s="356">
        <v>5000</v>
      </c>
      <c r="H47" s="356">
        <v>5000</v>
      </c>
      <c r="I47" s="356">
        <v>5000</v>
      </c>
      <c r="J47" s="356">
        <v>5000</v>
      </c>
      <c r="K47" s="356">
        <v>5000</v>
      </c>
      <c r="L47" s="356">
        <v>5000</v>
      </c>
      <c r="M47" s="356">
        <v>5000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52"/>
      <c r="N48" s="349"/>
      <c r="O48" s="349"/>
    </row>
    <row r="49" spans="1:15" ht="30" customHeight="1">
      <c r="A49" s="1"/>
      <c r="B49" s="1"/>
      <c r="C49" s="485" t="s">
        <v>61</v>
      </c>
      <c r="D49" s="485"/>
      <c r="E49" s="485"/>
      <c r="F49" s="485"/>
      <c r="G49" s="485"/>
      <c r="H49" s="485"/>
      <c r="I49" s="485"/>
      <c r="J49" s="485"/>
      <c r="K49" s="485"/>
      <c r="L49" s="1"/>
      <c r="M49" s="353"/>
      <c r="N49" s="354"/>
      <c r="O49" s="354"/>
    </row>
    <row r="50" spans="1:15" ht="25.5" customHeight="1">
      <c r="A50" s="1"/>
      <c r="B50" s="1"/>
      <c r="C50" s="1"/>
      <c r="D50" s="1"/>
      <c r="E50" s="1"/>
      <c r="F50" s="484" t="s">
        <v>104</v>
      </c>
      <c r="G50" s="484"/>
      <c r="H50" s="484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B43:D43" name="Range2_1"/>
    <protectedRange sqref="E43 G43:N43" name="Range2_1_3"/>
  </protectedRanges>
  <mergeCells count="62">
    <mergeCell ref="E2:G2"/>
    <mergeCell ref="K12:N12"/>
    <mergeCell ref="K18:N18"/>
    <mergeCell ref="K26:M28"/>
    <mergeCell ref="N26:N28"/>
    <mergeCell ref="D12:E12"/>
    <mergeCell ref="K4:N4"/>
    <mergeCell ref="F50:H50"/>
    <mergeCell ref="F12:G12"/>
    <mergeCell ref="H14:I14"/>
    <mergeCell ref="H18:I18"/>
    <mergeCell ref="C49:K49"/>
    <mergeCell ref="E45:I45"/>
    <mergeCell ref="C26:H26"/>
    <mergeCell ref="K30:M32"/>
    <mergeCell ref="F34:H34"/>
    <mergeCell ref="H12:I12"/>
    <mergeCell ref="K23:M24"/>
    <mergeCell ref="K40:M40"/>
    <mergeCell ref="N30:N32"/>
    <mergeCell ref="K36:M36"/>
    <mergeCell ref="B12:C12"/>
    <mergeCell ref="D8:E8"/>
    <mergeCell ref="F8:G8"/>
    <mergeCell ref="H8:I8"/>
    <mergeCell ref="K34:M34"/>
    <mergeCell ref="B22:D22"/>
    <mergeCell ref="F22:H22"/>
    <mergeCell ref="B24:D24"/>
    <mergeCell ref="F24:H24"/>
    <mergeCell ref="B14:C14"/>
    <mergeCell ref="D14:E14"/>
    <mergeCell ref="F14:G14"/>
    <mergeCell ref="B34:D34"/>
    <mergeCell ref="B28:D28"/>
    <mergeCell ref="A42:A43"/>
    <mergeCell ref="F16:G16"/>
    <mergeCell ref="H16:I16"/>
    <mergeCell ref="F30:H30"/>
    <mergeCell ref="B32:D32"/>
    <mergeCell ref="F32:H32"/>
    <mergeCell ref="C40:E40"/>
    <mergeCell ref="F28:H28"/>
    <mergeCell ref="B30:D30"/>
    <mergeCell ref="B16:C16"/>
    <mergeCell ref="D16:E16"/>
    <mergeCell ref="B18:C18"/>
    <mergeCell ref="D18:E18"/>
    <mergeCell ref="F18:G18"/>
    <mergeCell ref="D37:G38"/>
    <mergeCell ref="E20:G20"/>
    <mergeCell ref="B4:C4"/>
    <mergeCell ref="D4:I4"/>
    <mergeCell ref="B10:C10"/>
    <mergeCell ref="D10:E10"/>
    <mergeCell ref="F10:G10"/>
    <mergeCell ref="H10:I10"/>
    <mergeCell ref="B8:C8"/>
    <mergeCell ref="B6:C6"/>
    <mergeCell ref="D6:E6"/>
    <mergeCell ref="F6:G6"/>
    <mergeCell ref="H6:I6"/>
  </mergeCells>
  <conditionalFormatting sqref="I22">
    <cfRule type="expression" dxfId="15" priority="3" stopIfTrue="1">
      <formula>$E22="No"</formula>
    </cfRule>
  </conditionalFormatting>
  <conditionalFormatting sqref="I26">
    <cfRule type="expression" dxfId="14" priority="2" stopIfTrue="1">
      <formula>$I24="No"</formula>
    </cfRule>
  </conditionalFormatting>
  <conditionalFormatting sqref="I32">
    <cfRule type="expression" dxfId="13" priority="1">
      <formula>$E32="No"</formula>
    </cfRule>
  </conditionalFormatting>
  <dataValidations count="35">
    <dataValidation type="custom" allowBlank="1" showInputMessage="1" showErrorMessage="1" sqref="D5:I5">
      <formula1>ISTEXT(D5:I5)=TRUE</formula1>
    </dataValidation>
    <dataValidation type="custom" allowBlank="1" showInputMessage="1" showErrorMessage="1" sqref="E30">
      <formula1>IF(E28="YES",TRUE,"")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Gazetted / Non-gazetted" error="राजपत्रित अधिकारी होने पर Gazetted और अराजपत्रित होने पर Non-Gazetted सलेक्ट करें।" sqref="D18:E18">
      <formula1>"Gazetted, Non-Gazetted"</formula1>
    </dataValidation>
    <dataValidation type="list" allowBlank="1" showInputMessage="1" showErrorMessage="1" error="केवल हाँ अथवा ना सलेक्ट करें।" sqref="E32:E33 I27 E28 E22:E23 I24:I25">
      <formula1>ye</formula1>
    </dataValidation>
    <dataValidation type="custom" allowBlank="1" showInputMessage="1" showErrorMessage="1" sqref="E29 N30:N32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N24">
      <formula1>ISNUMBER(N24)=TRUE</formula1>
    </dataValidation>
    <dataValidation type="custom" allowBlank="1" showInputMessage="1" showErrorMessage="1" errorTitle="Write in Digit" error="अंको में  लिखों सा। " sqref="B47:M47 G43:N43 B43:E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"Pay Manager, Pre-Pay Manager"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N26:N28">
      <formula1>$AD$1:$AD$13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sqref="E34">
      <formula1>"9,18,20,22,25,30"</formula1>
    </dataValidation>
  </dataValidations>
  <hyperlinks>
    <hyperlink ref="K40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Y35"/>
  <sheetViews>
    <sheetView showGridLines="0" topLeftCell="M1" zoomScale="98" zoomScaleNormal="98" workbookViewId="0">
      <selection activeCell="AF15" sqref="AF15"/>
    </sheetView>
  </sheetViews>
  <sheetFormatPr defaultColWidth="0" defaultRowHeight="21" zeroHeight="1"/>
  <cols>
    <col min="1" max="1" width="6.875" style="34" hidden="1" customWidth="1"/>
    <col min="2" max="2" width="8.125" style="34" hidden="1" customWidth="1"/>
    <col min="3" max="3" width="5.75" style="34" bestFit="1" customWidth="1"/>
    <col min="4" max="4" width="20.25" style="34" customWidth="1"/>
    <col min="5" max="5" width="14.5" style="34" customWidth="1"/>
    <col min="6" max="6" width="11" style="34" customWidth="1"/>
    <col min="7" max="7" width="11.25" style="34" customWidth="1"/>
    <col min="8" max="13" width="10.75" style="34" customWidth="1"/>
    <col min="14" max="14" width="9.125" style="34" customWidth="1"/>
    <col min="15" max="15" width="13" style="34" customWidth="1"/>
    <col min="16" max="24" width="8.75" style="34" customWidth="1"/>
    <col min="25" max="25" width="10.375" style="34" customWidth="1"/>
    <col min="26" max="27" width="8.75" style="34" customWidth="1"/>
    <col min="28" max="28" width="9.875" style="34" customWidth="1"/>
    <col min="29" max="29" width="10.125" style="34" customWidth="1"/>
    <col min="30" max="30" width="10.75" style="34" customWidth="1"/>
    <col min="31" max="31" width="12.125" style="34" customWidth="1"/>
    <col min="32" max="32" width="11.375" style="35" customWidth="1"/>
    <col min="33" max="33" width="9.125" style="335" hidden="1" customWidth="1"/>
    <col min="34" max="38" width="9.125" style="363" hidden="1" customWidth="1"/>
    <col min="39" max="41" width="9.125" style="399" hidden="1" customWidth="1"/>
    <col min="42" max="42" width="12.75" style="399" hidden="1" customWidth="1"/>
    <col min="43" max="43" width="10.25" style="399" hidden="1" customWidth="1"/>
    <col min="44" max="44" width="9.875" style="399" hidden="1" customWidth="1"/>
    <col min="45" max="47" width="9.125" style="399" hidden="1" customWidth="1"/>
    <col min="48" max="48" width="10.125" style="399" hidden="1" customWidth="1"/>
    <col min="49" max="49" width="5.625" style="400" hidden="1" customWidth="1"/>
    <col min="50" max="50" width="8.75" style="400" hidden="1" customWidth="1"/>
    <col min="51" max="51" width="7.25" style="400" hidden="1" customWidth="1"/>
    <col min="52" max="52" width="9" style="400" hidden="1" customWidth="1"/>
    <col min="53" max="53" width="6.25" style="400" hidden="1" customWidth="1"/>
    <col min="54" max="54" width="5.625" style="400" hidden="1" customWidth="1"/>
    <col min="55" max="55" width="6.5" style="400" hidden="1" customWidth="1"/>
    <col min="56" max="56" width="6.375" style="400" hidden="1" customWidth="1"/>
    <col min="57" max="57" width="7.625" style="400" hidden="1" customWidth="1"/>
    <col min="58" max="62" width="5.625" style="400" hidden="1" customWidth="1"/>
    <col min="63" max="64" width="9.375" style="399" hidden="1" customWidth="1"/>
    <col min="65" max="86" width="9.125" style="399" hidden="1" customWidth="1"/>
    <col min="87" max="90" width="9.125" style="363" hidden="1" customWidth="1"/>
    <col min="91" max="103" width="9.125" style="335" hidden="1" customWidth="1"/>
    <col min="104" max="16384" width="9.125" style="336" hidden="1"/>
  </cols>
  <sheetData>
    <row r="1" spans="1:103" ht="26.25" customHeight="1"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518" t="s">
        <v>481</v>
      </c>
      <c r="U1" s="518"/>
      <c r="V1" s="518"/>
      <c r="W1" s="518"/>
      <c r="X1" s="518"/>
      <c r="Y1" s="518"/>
      <c r="Z1" s="252"/>
      <c r="AA1" s="252"/>
      <c r="AB1" s="252"/>
      <c r="AC1" s="252"/>
      <c r="AD1" s="252"/>
      <c r="AE1" s="252"/>
      <c r="AW1" s="400" t="s">
        <v>516</v>
      </c>
      <c r="AZ1" s="400">
        <f>IF('Master Data'!I34&gt;9,ROUND(AZ3/31*15,0),IF('Master Data'!D18='GA55 Check &amp; Edit'!AW1,ROUND(AZ3/31*15,0),IF('Master Data'!I34&gt;=5,ROUND(AZ3/31*22,0),AZ3)))</f>
        <v>24581</v>
      </c>
    </row>
    <row r="2" spans="1:103" ht="24.75" customHeight="1"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518"/>
      <c r="U2" s="518"/>
      <c r="V2" s="518"/>
      <c r="W2" s="518"/>
      <c r="X2" s="518"/>
      <c r="Y2" s="518"/>
      <c r="Z2" s="302"/>
      <c r="AA2" s="302"/>
      <c r="AB2" s="302"/>
      <c r="AC2" s="252"/>
      <c r="AD2" s="252"/>
      <c r="AE2" s="252"/>
    </row>
    <row r="3" spans="1:103" s="338" customFormat="1" ht="27.75" customHeight="1">
      <c r="A3" s="28"/>
      <c r="B3" s="28"/>
      <c r="C3" s="36"/>
      <c r="D3" s="525" t="s">
        <v>101</v>
      </c>
      <c r="E3" s="526"/>
      <c r="F3" s="527" t="str">
        <f>IF('Master Data'!D6="","",CONCATENATE('Master Data'!D6," ,  ",'Master Data'!H6))</f>
        <v>Heeralal jat ,  Sr Teacher</v>
      </c>
      <c r="G3" s="527"/>
      <c r="H3" s="527"/>
      <c r="I3" s="528"/>
      <c r="J3" s="36"/>
      <c r="K3" s="36"/>
      <c r="L3" s="36"/>
      <c r="M3" s="36"/>
      <c r="N3" s="36"/>
      <c r="O3" s="36"/>
      <c r="P3" s="36"/>
      <c r="Q3" s="36"/>
      <c r="R3" s="36"/>
      <c r="S3" s="535" t="s">
        <v>480</v>
      </c>
      <c r="T3" s="536"/>
      <c r="U3" s="536"/>
      <c r="V3" s="536"/>
      <c r="W3" s="536"/>
      <c r="X3" s="536"/>
      <c r="Y3" s="536"/>
      <c r="Z3" s="536"/>
      <c r="AA3" s="36"/>
      <c r="AB3" s="36"/>
      <c r="AC3" s="36"/>
      <c r="AD3" s="36"/>
      <c r="AE3" s="36"/>
      <c r="AF3" s="29"/>
      <c r="AG3" s="337"/>
      <c r="AH3" s="364"/>
      <c r="AI3" s="364"/>
      <c r="AJ3" s="364"/>
      <c r="AK3" s="364"/>
      <c r="AL3" s="364"/>
      <c r="AM3" s="401"/>
      <c r="AN3" s="401"/>
      <c r="AO3" s="401"/>
      <c r="AP3" s="401"/>
      <c r="AQ3" s="401"/>
      <c r="AR3" s="401"/>
      <c r="AS3" s="401"/>
      <c r="AT3" s="401"/>
      <c r="AU3" s="401"/>
      <c r="AV3" s="401"/>
      <c r="AW3" s="400"/>
      <c r="AX3" s="400"/>
      <c r="AY3" s="400"/>
      <c r="AZ3" s="400">
        <f>AZ15-ROUNDUP(ROUND((AZ15*3%)-(AZ15*3%)*2.9%,-2),0)</f>
        <v>50800</v>
      </c>
      <c r="BA3" s="400"/>
      <c r="BB3" s="400"/>
      <c r="BC3" s="400"/>
      <c r="BD3" s="400"/>
      <c r="BE3" s="400"/>
      <c r="BF3" s="400"/>
      <c r="BG3" s="400"/>
      <c r="BH3" s="400"/>
      <c r="BI3" s="400"/>
      <c r="BJ3" s="400"/>
      <c r="BK3" s="401"/>
      <c r="BL3" s="401"/>
      <c r="BM3" s="401"/>
      <c r="BN3" s="401"/>
      <c r="BO3" s="401"/>
      <c r="BP3" s="401"/>
      <c r="BQ3" s="401"/>
      <c r="BR3" s="401"/>
      <c r="BS3" s="401"/>
      <c r="BT3" s="401"/>
      <c r="BU3" s="401"/>
      <c r="BV3" s="401"/>
      <c r="BW3" s="401"/>
      <c r="BX3" s="401"/>
      <c r="BY3" s="401"/>
      <c r="BZ3" s="401"/>
      <c r="CA3" s="401"/>
      <c r="CB3" s="401"/>
      <c r="CC3" s="401"/>
      <c r="CD3" s="401"/>
      <c r="CE3" s="401"/>
      <c r="CF3" s="401"/>
      <c r="CG3" s="401"/>
      <c r="CH3" s="401"/>
      <c r="CI3" s="364"/>
      <c r="CJ3" s="364"/>
      <c r="CK3" s="364"/>
      <c r="CL3" s="364"/>
      <c r="CM3" s="337"/>
      <c r="CN3" s="337"/>
      <c r="CO3" s="337"/>
      <c r="CP3" s="337"/>
      <c r="CQ3" s="337"/>
      <c r="CR3" s="337"/>
      <c r="CS3" s="337"/>
      <c r="CT3" s="337"/>
      <c r="CU3" s="337"/>
      <c r="CV3" s="337"/>
      <c r="CW3" s="337"/>
      <c r="CX3" s="337"/>
      <c r="CY3" s="337"/>
    </row>
    <row r="4" spans="1:103" s="338" customFormat="1" thickBot="1">
      <c r="A4" s="28"/>
      <c r="B4" s="28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29"/>
      <c r="AG4" s="337"/>
      <c r="AH4" s="364"/>
      <c r="AI4" s="364"/>
      <c r="AJ4" s="364"/>
      <c r="AK4" s="364"/>
      <c r="AL4" s="364"/>
      <c r="AM4" s="401"/>
      <c r="AN4" s="401"/>
      <c r="AO4" s="401"/>
      <c r="AP4" s="401"/>
      <c r="AQ4" s="401"/>
      <c r="AR4" s="401"/>
      <c r="AS4" s="401"/>
      <c r="AT4" s="401"/>
      <c r="AU4" s="401"/>
      <c r="AV4" s="401"/>
      <c r="AW4" s="400"/>
      <c r="AX4" s="400"/>
      <c r="AY4" s="400"/>
      <c r="AZ4" s="400"/>
      <c r="BA4" s="400"/>
      <c r="BB4" s="400"/>
      <c r="BC4" s="400"/>
      <c r="BD4" s="400"/>
      <c r="BE4" s="400"/>
      <c r="BF4" s="400"/>
      <c r="BG4" s="400"/>
      <c r="BH4" s="400"/>
      <c r="BI4" s="400"/>
      <c r="BJ4" s="400"/>
      <c r="BK4" s="401"/>
      <c r="BL4" s="401"/>
      <c r="BM4" s="401"/>
      <c r="BN4" s="401"/>
      <c r="BO4" s="401"/>
      <c r="BP4" s="401"/>
      <c r="BQ4" s="401"/>
      <c r="BR4" s="401"/>
      <c r="BS4" s="401"/>
      <c r="BT4" s="401"/>
      <c r="BU4" s="401"/>
      <c r="BV4" s="401"/>
      <c r="BW4" s="401"/>
      <c r="BX4" s="401"/>
      <c r="BY4" s="401"/>
      <c r="BZ4" s="401"/>
      <c r="CA4" s="401"/>
      <c r="CB4" s="401"/>
      <c r="CC4" s="401"/>
      <c r="CD4" s="401"/>
      <c r="CE4" s="401"/>
      <c r="CF4" s="401"/>
      <c r="CG4" s="401"/>
      <c r="CH4" s="401"/>
      <c r="CI4" s="364"/>
      <c r="CJ4" s="364"/>
      <c r="CK4" s="364"/>
      <c r="CL4" s="364"/>
      <c r="CM4" s="337"/>
      <c r="CN4" s="337"/>
      <c r="CO4" s="337"/>
      <c r="CP4" s="337"/>
      <c r="CQ4" s="337"/>
      <c r="CR4" s="337"/>
      <c r="CS4" s="337"/>
      <c r="CT4" s="337"/>
      <c r="CU4" s="337"/>
      <c r="CV4" s="337"/>
      <c r="CW4" s="337"/>
      <c r="CX4" s="337"/>
      <c r="CY4" s="337"/>
    </row>
    <row r="5" spans="1:103" s="338" customFormat="1" ht="18" hidden="1" customHeight="1" thickBot="1">
      <c r="A5" s="28"/>
      <c r="B5" s="28"/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  <c r="M5" s="46">
        <v>11</v>
      </c>
      <c r="N5" s="46">
        <v>12</v>
      </c>
      <c r="O5" s="46">
        <v>13</v>
      </c>
      <c r="P5" s="46">
        <v>14</v>
      </c>
      <c r="Q5" s="46">
        <v>15</v>
      </c>
      <c r="R5" s="46">
        <v>16</v>
      </c>
      <c r="S5" s="46">
        <v>17</v>
      </c>
      <c r="T5" s="46">
        <v>18</v>
      </c>
      <c r="U5" s="46">
        <v>19</v>
      </c>
      <c r="V5" s="46">
        <v>20</v>
      </c>
      <c r="W5" s="46">
        <v>21</v>
      </c>
      <c r="X5" s="46">
        <v>22</v>
      </c>
      <c r="Y5" s="46">
        <v>23</v>
      </c>
      <c r="Z5" s="46">
        <v>24</v>
      </c>
      <c r="AA5" s="46">
        <v>25</v>
      </c>
      <c r="AB5" s="46">
        <v>26</v>
      </c>
      <c r="AC5" s="46">
        <v>27</v>
      </c>
      <c r="AD5" s="46">
        <v>28</v>
      </c>
      <c r="AE5" s="46">
        <v>29</v>
      </c>
      <c r="AF5" s="29"/>
      <c r="AG5" s="337"/>
      <c r="AH5" s="364"/>
      <c r="AI5" s="364"/>
      <c r="AJ5" s="364"/>
      <c r="AK5" s="364"/>
      <c r="AL5" s="364"/>
      <c r="AM5" s="401">
        <f>'Master Data'!N26</f>
        <v>0</v>
      </c>
      <c r="AN5" s="402" t="s">
        <v>4</v>
      </c>
      <c r="AO5" s="402" t="s">
        <v>76</v>
      </c>
      <c r="AP5" s="403" t="s">
        <v>6</v>
      </c>
      <c r="AQ5" s="401" t="s">
        <v>7</v>
      </c>
      <c r="AR5" s="401"/>
      <c r="AS5" s="401">
        <v>1000</v>
      </c>
      <c r="AT5" s="401"/>
      <c r="AU5" s="401"/>
      <c r="AV5" s="401"/>
      <c r="AW5" s="404"/>
      <c r="AX5" s="404"/>
      <c r="AY5" s="404"/>
      <c r="AZ5" s="404"/>
      <c r="BA5" s="404"/>
      <c r="BB5" s="404"/>
      <c r="BC5" s="404"/>
      <c r="BD5" s="404"/>
      <c r="BE5" s="404"/>
      <c r="BF5" s="404"/>
      <c r="BG5" s="404"/>
      <c r="BH5" s="404"/>
      <c r="BI5" s="404"/>
      <c r="BJ5" s="404"/>
      <c r="BK5" s="401"/>
      <c r="BL5" s="401"/>
      <c r="BM5" s="401"/>
      <c r="BN5" s="401"/>
      <c r="BO5" s="401"/>
      <c r="BP5" s="401"/>
      <c r="BQ5" s="401"/>
      <c r="BR5" s="401"/>
      <c r="BS5" s="401"/>
      <c r="BT5" s="401"/>
      <c r="BU5" s="401"/>
      <c r="BV5" s="401"/>
      <c r="BW5" s="401"/>
      <c r="BX5" s="401"/>
      <c r="BY5" s="401"/>
      <c r="BZ5" s="401"/>
      <c r="CA5" s="401"/>
      <c r="CB5" s="401"/>
      <c r="CC5" s="401"/>
      <c r="CD5" s="401"/>
      <c r="CE5" s="401"/>
      <c r="CF5" s="401"/>
      <c r="CG5" s="401"/>
      <c r="CH5" s="401"/>
      <c r="CI5" s="364"/>
      <c r="CJ5" s="364"/>
      <c r="CK5" s="364"/>
      <c r="CL5" s="364"/>
      <c r="CM5" s="337"/>
      <c r="CN5" s="337"/>
      <c r="CO5" s="337"/>
      <c r="CP5" s="337"/>
      <c r="CQ5" s="337"/>
      <c r="CR5" s="337"/>
      <c r="CS5" s="337"/>
      <c r="CT5" s="337"/>
      <c r="CU5" s="337"/>
      <c r="CV5" s="337"/>
      <c r="CW5" s="337"/>
      <c r="CX5" s="337"/>
      <c r="CY5" s="337"/>
    </row>
    <row r="6" spans="1:103" s="340" customFormat="1" ht="36.75" customHeight="1" thickTop="1">
      <c r="A6" s="30"/>
      <c r="B6" s="30"/>
      <c r="C6" s="519" t="s">
        <v>62</v>
      </c>
      <c r="D6" s="521" t="s">
        <v>63</v>
      </c>
      <c r="E6" s="523" t="s">
        <v>64</v>
      </c>
      <c r="F6" s="521" t="s">
        <v>65</v>
      </c>
      <c r="G6" s="521" t="s">
        <v>66</v>
      </c>
      <c r="H6" s="521" t="str">
        <f>IF('Master Data'!B42="","",'Master Data'!B42)</f>
        <v>Wash All.</v>
      </c>
      <c r="I6" s="521" t="s">
        <v>37</v>
      </c>
      <c r="J6" s="521" t="s">
        <v>38</v>
      </c>
      <c r="K6" s="521" t="str">
        <f>IF('Master Data'!C42="","",'Master Data'!C42)</f>
        <v>ROP</v>
      </c>
      <c r="L6" s="521" t="str">
        <f>IF('Master Data'!D42="","",'Master Data'!D42)</f>
        <v>other-1</v>
      </c>
      <c r="M6" s="521" t="str">
        <f>IF('Master Data'!E42="","",'Master Data'!E42)</f>
        <v>other-2</v>
      </c>
      <c r="N6" s="521" t="s">
        <v>67</v>
      </c>
      <c r="O6" s="521" t="s">
        <v>68</v>
      </c>
      <c r="P6" s="521" t="str">
        <f>IF('Master Data'!G42="","",'Master Data'!G42)</f>
        <v>SI</v>
      </c>
      <c r="Q6" s="521" t="str">
        <f>IF('Master Data'!I30='GA55 Check &amp; Edit'!AN5,'GA55 Check &amp; Edit'!AN5,'GA55 Check &amp; Edit'!AN6)</f>
        <v>GPF-2004</v>
      </c>
      <c r="R6" s="521" t="str">
        <f>IF('Master Data'!I42="","",'Master Data'!I42)</f>
        <v>L.I.C.</v>
      </c>
      <c r="S6" s="521" t="str">
        <f>IF('Master Data'!J42="","",'Master Data'!J42)</f>
        <v xml:space="preserve"> RGHS</v>
      </c>
      <c r="T6" s="521" t="str">
        <f>IF('Master Data'!K42="","",'Master Data'!K42)</f>
        <v>SI Loan</v>
      </c>
      <c r="U6" s="521" t="str">
        <f>IF('Master Data'!L42="","",'Master Data'!L42)</f>
        <v>GPF Loan</v>
      </c>
      <c r="V6" s="521" t="str">
        <f>IF('Master Data'!M42="","",'Master Data'!M42)</f>
        <v>SI Int.</v>
      </c>
      <c r="W6" s="521" t="str">
        <f>IF('Master Data'!N42="","",'Master Data'!N42)</f>
        <v>Other</v>
      </c>
      <c r="X6" s="533" t="s">
        <v>514</v>
      </c>
      <c r="Y6" s="387" t="s">
        <v>515</v>
      </c>
      <c r="Z6" s="531" t="s">
        <v>69</v>
      </c>
      <c r="AA6" s="523" t="s">
        <v>70</v>
      </c>
      <c r="AB6" s="521" t="s">
        <v>71</v>
      </c>
      <c r="AC6" s="521" t="s">
        <v>72</v>
      </c>
      <c r="AD6" s="521" t="s">
        <v>73</v>
      </c>
      <c r="AE6" s="529" t="s">
        <v>74</v>
      </c>
      <c r="AF6" s="31"/>
      <c r="AG6" s="339"/>
      <c r="AH6" s="365"/>
      <c r="AI6" s="365"/>
      <c r="AJ6" s="365"/>
      <c r="AK6" s="365"/>
      <c r="AL6" s="365"/>
      <c r="AM6" s="402"/>
      <c r="AN6" s="402" t="s">
        <v>520</v>
      </c>
      <c r="AO6" s="402" t="s">
        <v>75</v>
      </c>
      <c r="AP6" s="402" t="s">
        <v>10</v>
      </c>
      <c r="AQ6" s="402" t="s">
        <v>77</v>
      </c>
      <c r="AR6" s="402"/>
      <c r="AS6" s="402">
        <v>620</v>
      </c>
      <c r="AT6" s="405"/>
      <c r="AU6" s="402"/>
      <c r="AV6" s="402"/>
      <c r="AW6" s="400"/>
      <c r="AX6" s="400"/>
      <c r="AY6" s="400"/>
      <c r="AZ6" s="400"/>
      <c r="BA6" s="400"/>
      <c r="BB6" s="400"/>
      <c r="BC6" s="400"/>
      <c r="BD6" s="400"/>
      <c r="BE6" s="400"/>
      <c r="BF6" s="400"/>
      <c r="BG6" s="400"/>
      <c r="BH6" s="400"/>
      <c r="BI6" s="400"/>
      <c r="BJ6" s="400">
        <f>IFERROR(IF(AND('Master Data'!$I$30='GA55 Check &amp; Edit'!$AN$6),ROUND((E8)*0.1,0),IF(AND('Master Data'!$I$28='GA55 Check &amp; Edit'!$AP$6),ROUND((E8+F8)*0.1,0),'Master Data'!$H$43)),"")</f>
        <v>5230</v>
      </c>
      <c r="BK6" s="402"/>
      <c r="BL6" s="402"/>
      <c r="BM6" s="402"/>
      <c r="BN6" s="402"/>
      <c r="BO6" s="402"/>
      <c r="BP6" s="402"/>
      <c r="BQ6" s="402"/>
      <c r="BR6" s="402"/>
      <c r="BS6" s="402"/>
      <c r="BT6" s="402"/>
      <c r="BU6" s="402"/>
      <c r="BV6" s="402"/>
      <c r="BW6" s="402"/>
      <c r="BX6" s="402"/>
      <c r="BY6" s="402"/>
      <c r="BZ6" s="402"/>
      <c r="CA6" s="402"/>
      <c r="CB6" s="402"/>
      <c r="CC6" s="402"/>
      <c r="CD6" s="402"/>
      <c r="CE6" s="402"/>
      <c r="CF6" s="402"/>
      <c r="CG6" s="402"/>
      <c r="CH6" s="402"/>
      <c r="CI6" s="365"/>
      <c r="CJ6" s="365"/>
      <c r="CK6" s="365"/>
      <c r="CL6" s="365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</row>
    <row r="7" spans="1:103" s="340" customFormat="1" ht="30" customHeight="1" thickBot="1">
      <c r="A7" s="30"/>
      <c r="B7" s="30"/>
      <c r="C7" s="520"/>
      <c r="D7" s="522"/>
      <c r="E7" s="524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34"/>
      <c r="Y7" s="388"/>
      <c r="Z7" s="532"/>
      <c r="AA7" s="524"/>
      <c r="AB7" s="522"/>
      <c r="AC7" s="522"/>
      <c r="AD7" s="522"/>
      <c r="AE7" s="530"/>
      <c r="AF7" s="31"/>
      <c r="AG7" s="339"/>
      <c r="AH7" s="365"/>
      <c r="AI7" s="365"/>
      <c r="AJ7" s="365"/>
      <c r="AK7" s="365"/>
      <c r="AL7" s="365"/>
      <c r="AM7" s="402"/>
      <c r="AN7" s="402"/>
      <c r="AO7" s="402"/>
      <c r="AP7" s="402"/>
      <c r="AQ7" s="402" t="s">
        <v>329</v>
      </c>
      <c r="AR7" s="402"/>
      <c r="AS7" s="402"/>
      <c r="AT7" s="405"/>
      <c r="AU7" s="402"/>
      <c r="AV7" s="402"/>
      <c r="AW7" s="400"/>
      <c r="AX7" s="400"/>
      <c r="AY7" s="400"/>
      <c r="AZ7" s="400"/>
      <c r="BA7" s="400"/>
      <c r="BB7" s="400"/>
      <c r="BC7" s="400"/>
      <c r="BD7" s="400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400"/>
      <c r="BF7" s="400"/>
      <c r="BG7" s="400"/>
      <c r="BH7" s="400"/>
      <c r="BI7" s="400">
        <f>IF(OR('Master Data'!$I$28='GA55 Check &amp; Edit'!$AP$6),"",IF('Master Data'!$I$30="GPF-2004",IF(D10&lt;23101,1450,IF(D10&lt;28501,1625,IF(D10&lt;38501,2100,IF(D10&lt;51501,2850,IF(D10&lt;62001,3575,IF(D10&lt;72001,4200,IF(D10&lt;80001,4800,IF(D10&lt;116001,6150,IF(D10&lt;167001,8900,10500)))))))))*2,'Master Data'!$H$43))</f>
        <v>5700</v>
      </c>
      <c r="BJ7" s="400"/>
      <c r="BK7" s="402"/>
      <c r="BL7" s="402"/>
      <c r="BM7" s="402"/>
      <c r="BN7" s="402"/>
      <c r="BO7" s="402"/>
      <c r="BP7" s="402"/>
      <c r="BQ7" s="402"/>
      <c r="BR7" s="402"/>
      <c r="BS7" s="402"/>
      <c r="BT7" s="402"/>
      <c r="BU7" s="402"/>
      <c r="BV7" s="402"/>
      <c r="BW7" s="402"/>
      <c r="BX7" s="402"/>
      <c r="BY7" s="402"/>
      <c r="BZ7" s="402"/>
      <c r="CA7" s="402"/>
      <c r="CB7" s="402"/>
      <c r="CC7" s="402"/>
      <c r="CD7" s="402"/>
      <c r="CE7" s="402"/>
      <c r="CF7" s="402"/>
      <c r="CG7" s="402"/>
      <c r="CH7" s="402"/>
      <c r="CI7" s="365"/>
      <c r="CJ7" s="365"/>
      <c r="CK7" s="365"/>
      <c r="CL7" s="365"/>
      <c r="CM7" s="339"/>
      <c r="CN7" s="339"/>
      <c r="CO7" s="339"/>
      <c r="CP7" s="339"/>
      <c r="CQ7" s="339"/>
      <c r="CR7" s="339"/>
      <c r="CS7" s="339"/>
      <c r="CT7" s="339"/>
      <c r="CU7" s="339"/>
      <c r="CV7" s="339"/>
      <c r="CW7" s="339"/>
      <c r="CX7" s="339"/>
      <c r="CY7" s="339"/>
    </row>
    <row r="8" spans="1:103" s="341" customFormat="1" ht="21" customHeight="1" thickTop="1" thickBot="1">
      <c r="A8" s="32">
        <f>MOD(B8,2)</f>
        <v>1</v>
      </c>
      <c r="B8" s="47">
        <f>IF(LEN(D8)&gt;=3,1,0)</f>
        <v>1</v>
      </c>
      <c r="C8" s="379">
        <f>IF(B8=0,"",B8)</f>
        <v>1</v>
      </c>
      <c r="D8" s="380">
        <f>IFERROR(IF(BO12="","",BO12),"")</f>
        <v>44621</v>
      </c>
      <c r="E8" s="381">
        <f>IFERROR(IF(D8="","",IF(AND(BQ12=""),"",IF(AND('Master Data'!$I$28='GA55 Check &amp; Edit'!$AP$6),VLOOKUP(D8,ram,13,0),VLOOKUP(D8,ram,4,0)))),"")</f>
        <v>52300</v>
      </c>
      <c r="F8" s="382">
        <f>IFERROR(IF(D8="","",IF(D8=$AX$24,"",IF(AND(D8=$AX$28),"",IF(AND('Master Data'!$I$28='GA55 Check &amp; Edit'!$AP$5),VLOOKUP(D8,ram,7,0),"")))),"")</f>
        <v>16213</v>
      </c>
      <c r="G8" s="382">
        <f>IFERROR(IF(D8="","",IF(D8=$AX$24,"",IF(AND(D8=$AX$25),"",IF(AND(D8=$AX$26),"",IF(AND(D8=$AX$27),"",IF(AND(D8=$AX$28),"",IF(AND(D8=$AX$29),"",IF(AND('Master Data'!$I$28='GA55 Check &amp; Edit'!$AP$6),"",VLOOKUP(D8,ram,8,0))))))))),"")</f>
        <v>4707</v>
      </c>
      <c r="H8" s="382">
        <f>IFERROR(IF(D8="","",IF(AND(E8=""),"",IF(OR(D8=$AX$24,D8=$AX$25,D8=$AX$26,D8=$AX$27,D8=$AX$28,D8=$AX$29),"",IF(AND('Master Data'!$I$28='GA55 Check &amp; Edit'!$AP$5),'Master Data'!$B$43,"")))),"")</f>
        <v>0</v>
      </c>
      <c r="I8" s="382" t="str">
        <f>IFERROR(IF(D8="","",IF(AND(E8=""),"",IF(OR(D8=$AX$24,D8=$AX$25,D8=$AX$26,D8=$AX$27,D8=$AX$28,D8=$AX$29),"",IF(AND('Master Data'!$I$28='GA55 Check &amp; Edit'!$AP$5,'Master Data'!$E$28='GA55 Check &amp; Edit'!$AO$5),'Master Data'!$E$30,"0")))),"")</f>
        <v>0</v>
      </c>
      <c r="J8" s="382" t="str">
        <f>IFERROR(IF(OR('Master Data'!$E$32=$AO$6,'Master Data'!$E$32=""),"",IF(D8="","",IF(AND(E8=""),"",IF(OR(D8=$AX$24,D8=$AX$25,D8=$AX$26,D8=$AX$27,D8=$AX$28,D8=$AX$29),"",IF(AND('Master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382">
        <f>IFERROR(IF(D8="","",IF(AND(E8=""),"",IF(OR(D8=$AX$24,D8=$AX$25,D8=$AX$26,D8=$AX$27,D8=$AX$28,D8=$AX$29),"",IF(AND('Master Data'!$I$28='GA55 Check &amp; Edit'!$AP$5),'Master Data'!$C$43,"")))),"")</f>
        <v>0</v>
      </c>
      <c r="L8" s="382">
        <f>IFERROR(IF(D8="","",IF(AND(E8=""),"",IF(OR(D8=$AX$24,D8=$AX$25,D8=$AX$26,D8=$AX$27,D8=$AX$28,D8=$AX$29),"",IF(AND('Master Data'!$I$28='GA55 Check &amp; Edit'!$AP$6),"",'Master Data'!$D$43)))),"")</f>
        <v>0</v>
      </c>
      <c r="M8" s="382">
        <f>IFERROR(IF(D8="","",IF(AND(E8=""),"",IF(OR(D8=$AX$24,D8=$AX$25,D8=$AX$26,D8=$AX$27,D8=$AX$28,D8=$AX$29),"",IF(AND('Master Data'!$I$28='GA55 Check &amp; Edit'!$AP$6),"",'Master Data'!$E$43)))),"")</f>
        <v>0</v>
      </c>
      <c r="N8" s="382" t="str">
        <f>IFERROR(IF(D8="","",IF(AND('Master Data'!$I$28='GA55 Check &amp; Edit'!$AP$6),"",IF(AND('Master Data'!$I$24='GA55 Check &amp; Edit'!$AO$6),"0",IF(AND(D8="Bonus"),VLOOKUP(D8,ram,4,0),"")))),"")</f>
        <v/>
      </c>
      <c r="O8" s="383">
        <f>IF(D8="","",IF('Master Data'!$N$24="","",SUM(E8:N8)))</f>
        <v>73220</v>
      </c>
      <c r="P8" s="384">
        <f>IFERROR(IF(OR('Master Data'!$I$28='GA55 Check &amp; Edit'!$AP$6,D8=""),"",IF(AND(D8=$AX$24),"",IF(AND(D8=$AX$25),"",IF(AND(D8=$AX$26),"",IF(AND(D8=$AX$27),"",IF(AND(D8=$AX$28),"",IF(AND(D8=$AX$29),"",IF(AND(E8=""),"",VLOOKUP(D8,ram,11,0))))))))),"")</f>
        <v>7000</v>
      </c>
      <c r="Q8" s="384" t="str">
        <f>IFERROR(IF(AND('Master Data'!$I$28='GA55 Check &amp; Edit'!$AP$6),"",IF(AND(D8=$AX$25),"",IF(AND(D8=$AX$28),"",IF(AND(D8=$AX$29),"",IF(AND(D8=""),"",VLOOKUP(D8,ram,12,0)))))),"")</f>
        <v/>
      </c>
      <c r="R8" s="384">
        <f>IFERROR(IF(OR('Master Data'!$I$28='GA55 Check &amp; Edit'!$AP$6,D8=""),"",IF(AND(D8=$AX$24),"",IF(AND(D8=$AX$25),"",IF(AND(D8=$AX$26),"",IF(AND(D8=$AX$27),"",IF(AND(D8=$AX$28),"",IF(AND(D8=$AX$29),"",IF(AND(E8=""),"",'Master Data'!$I$43)))))))),"")</f>
        <v>1880</v>
      </c>
      <c r="S8" s="384">
        <f>IFERROR(IF(OR('Master Data'!$I$28='GA55 Check &amp; Edit'!$AP$6),"",IF(D8="","",IF(E8="","",IF(AND(D8=$AX$24),"",IF(AND(D8=$AX$25),"",IF(AND(D8=$AX$26),"",IF(AND(D8=$AX$27),"",IF(AND(D8=$AX$28),"",IF(AND(D8=$AX$29),"",VLOOKUP(D8,ram,10,0)))))))))),"")</f>
        <v>330</v>
      </c>
      <c r="T8" s="384">
        <f>IFERROR(IF(OR('Master Data'!$I$28='GA55 Check &amp; Edit'!$AP$6,D8=""),"",IF(AND(D8=$AX$24),"",IF(AND(D8=$AX$25),"",IF(AND(D8=$AX$26),"",IF(AND(D8=$AX$27),"",IF(AND(D8=$AX$28),"",IF(AND(D8=$AX$29),"",IF(AND(E8=""),"",'Master Data'!$K$43)))))))),"")</f>
        <v>0</v>
      </c>
      <c r="U8" s="384">
        <f>IFERROR(IF(OR('Master Data'!$I$28='GA55 Check &amp; Edit'!$AP$6,D8=""),"",IF(AND(D8=$AX$24),"",IF(AND(D8=$AX$25),"",IF(AND(D8=$AX$26),"",IF(AND(D8=$AX$27),"",IF(AND(D8=$AX$28),"",IF(AND(D8=$AX$29),"",IF(AND(E8=""),"",'Master Data'!$L$43)))))))),"")</f>
        <v>0</v>
      </c>
      <c r="V8" s="384">
        <f>IFERROR(IF(OR('Master Data'!$I$28='GA55 Check &amp; Edit'!$AP$6,D8=""),"",IF(AND(D8=$AX$24),"",IF(AND(D8=$AX$25),"",IF(AND(D8=$AX$26),"",IF(AND(D8=$AX$27),"",IF(AND(D8=$AX$28),"",IF(AND(D8=$AX$29),"",IF(AND(E8=""),"",'Master Data'!$M$43)))))))),"")</f>
        <v>0</v>
      </c>
      <c r="W8" s="384">
        <f>IFERROR(IF(OR('Master Data'!$I$28='GA55 Check &amp; Edit'!$AP$6,D8=""),"",IF(AND(D8=$AX$24),"",IF(AND(D8=$AX$25),"",IF(AND(D8=$AX$26),"",IF(AND(D8=$AX$27),"",IF(AND(D8=$AX$28),"",IF(AND(D8=$AX$29),"",IF(AND(E8=""),"",'Master Data'!$N$43)))))))),"")</f>
        <v>0</v>
      </c>
      <c r="X8" s="384" t="str">
        <f>IFERROR(IF(OR('Master Data'!$I$28='GA55 Check &amp; Edit'!$AP$6,D8=""),"",IF(AND(E8=""),"",IF(AND('GA55 Check &amp; Edit'!D8='GA55 Check &amp; Edit'!$AT$17,'Master Data'!$D$18="Gazetted"),500,IF(AND('GA55 Check &amp; Edit'!D8='GA55 Check &amp; Edit'!$AT$17,'Master Data'!$D$18="Non-Gazetted"),250,"")))),"")</f>
        <v/>
      </c>
      <c r="Y8" s="384">
        <f>IFERROR(IF(D8="","",IF(AND(E8=""),"",IF(AND(D8=$AX$24),"",IF(AND(D8=$AX$25),"",IF(AND(D8=$AX$26),"",IF(AND(D8=$AX$27),"",IF(AND(D8=$AX$28),"",IF(AND(D8=$AX$29),"",IF(OR('Master Data'!$I$28='GA55 Check &amp; Edit'!$AP$6,D8=""),"",$Y$7))))))))),"")</f>
        <v>0</v>
      </c>
      <c r="Z8" s="384">
        <f>IFERROR(IF(OR('Master Data'!$I$28='GA55 Check &amp; Edit'!$AP$6),"",IF(D8="","",IF(E8="","",VLOOKUP(D8,ram,9,0)))),"")</f>
        <v>2000</v>
      </c>
      <c r="AA8" s="384" t="str">
        <f>IFERROR(IF(OR('Master Data'!$I$28='GA55 Check &amp; Edit'!$AP$6,D8="",'Master Data'!$N$34=""),"",IF(AND(E8=""),"",IF('GA55 Check &amp; Edit'!D8='GA55 Check &amp; Edit'!$AT$9,'Master Data'!$N$34,""))),"")</f>
        <v/>
      </c>
      <c r="AB8" s="385">
        <f>IFERROR(IF(D8="","",IF(AND(O8=""),"",SUM(P8:AA8))),"0")</f>
        <v>11210</v>
      </c>
      <c r="AC8" s="386">
        <f>IFERROR(IF(AND(E8="",O8="",AB8=""),"",SUM(O8-AB8)),"")</f>
        <v>62010</v>
      </c>
      <c r="AD8" s="1019"/>
      <c r="AE8" s="1015"/>
      <c r="AF8" s="37"/>
      <c r="AH8" s="366"/>
      <c r="AI8" s="366"/>
      <c r="AJ8" s="366"/>
      <c r="AK8" s="366"/>
      <c r="AL8" s="366"/>
      <c r="AM8" s="400"/>
      <c r="AN8" s="400"/>
      <c r="AO8" s="400"/>
      <c r="AP8" s="400"/>
      <c r="AQ8" s="400"/>
      <c r="AR8" s="400" t="s">
        <v>5</v>
      </c>
      <c r="AS8" s="400" t="s">
        <v>3</v>
      </c>
      <c r="AT8" s="405">
        <v>44621</v>
      </c>
      <c r="AU8" s="400" t="s">
        <v>79</v>
      </c>
      <c r="AV8" s="400"/>
      <c r="AW8" s="400"/>
      <c r="AX8" s="406">
        <v>43891</v>
      </c>
      <c r="AY8" s="400"/>
      <c r="AZ8" s="400"/>
      <c r="BA8" s="400"/>
      <c r="BB8" s="400"/>
      <c r="BC8" s="400"/>
      <c r="BD8" s="400"/>
      <c r="BE8" s="400"/>
      <c r="BF8" s="400"/>
      <c r="BG8" s="400"/>
      <c r="BH8" s="400"/>
      <c r="BI8" s="400"/>
      <c r="BJ8" s="400"/>
      <c r="BK8" s="400"/>
      <c r="BL8" s="400"/>
      <c r="BM8" s="400"/>
      <c r="BN8" s="400"/>
      <c r="BO8" s="400"/>
      <c r="BP8" s="400"/>
      <c r="BQ8" s="400"/>
      <c r="BR8" s="400"/>
      <c r="BS8" s="400"/>
      <c r="BT8" s="400"/>
      <c r="BU8" s="400"/>
      <c r="BV8" s="400"/>
      <c r="BW8" s="400"/>
      <c r="BX8" s="400"/>
      <c r="BY8" s="400"/>
      <c r="BZ8" s="400"/>
      <c r="CA8" s="400"/>
      <c r="CB8" s="400"/>
      <c r="CC8" s="400"/>
      <c r="CD8" s="400"/>
      <c r="CE8" s="400"/>
      <c r="CF8" s="400"/>
      <c r="CG8" s="400"/>
      <c r="CH8" s="400"/>
      <c r="CI8" s="366"/>
      <c r="CJ8" s="366"/>
      <c r="CK8" s="366"/>
      <c r="CL8" s="366"/>
    </row>
    <row r="9" spans="1:103" s="341" customFormat="1" ht="21" customHeight="1">
      <c r="A9" s="32">
        <f t="shared" ref="A9:A28" si="0">MOD(B9,2)</f>
        <v>0</v>
      </c>
      <c r="B9" s="47">
        <f>IF(LEN(D9)&gt;=3,B8+1,0)</f>
        <v>2</v>
      </c>
      <c r="C9" s="48">
        <f t="shared" ref="C9:C10" si="1">IF(B9=0,"",B9)</f>
        <v>2</v>
      </c>
      <c r="D9" s="318">
        <f t="shared" ref="D9:D27" si="2">IFERROR(IF(BO13="","",BO13),"")</f>
        <v>44652</v>
      </c>
      <c r="E9" s="250">
        <f>IFERROR(IF(D9="","",IF(AND(BQ13=""),"",IF(AND('Master Data'!$I$28='GA55 Check &amp; Edit'!$AP$6),VLOOKUP(D9,ram,13,0),VLOOKUP(D9,ram,4,0)))),"")</f>
        <v>52300</v>
      </c>
      <c r="F9" s="251">
        <f>IFERROR(IF(D9="","",IF(D9=$AX$24,"",IF(AND(D9=$AX$28),"",IF(AND('Master Data'!$I$28='GA55 Check &amp; Edit'!$AP$5),VLOOKUP(D9,ram,7,0),"")))),"")</f>
        <v>17782</v>
      </c>
      <c r="G9" s="251">
        <f>IFERROR(IF(D9="","",IF(D9=$AX$24,"",IF(AND(D9=$AX$25),"",IF(AND(D9=$AX$26),"",IF(AND(D9=$AX$27),"",IF(AND(D9=$AX$28),"",IF(AND(D9=$AX$29),"",IF(AND('Master Data'!$I$28='GA55 Check &amp; Edit'!$AP$6),"",VLOOKUP(D9,ram,8,0))))))))),"")</f>
        <v>4707</v>
      </c>
      <c r="H9" s="251">
        <f>IFERROR(IF(D9="","",IF(AND(E9=""),"",IF(OR(D9=$AX$24,D9=$AX$25,D9=$AX$26,D9=$AX$27,D9=$AX$28,D9=$AX$29),"",IF(AND('Master Data'!$I$28='GA55 Check &amp; Edit'!$AP$5),'Master Data'!$B$43,"")))),"")</f>
        <v>0</v>
      </c>
      <c r="I9" s="251" t="str">
        <f>IFERROR(IF(D9="","",IF(AND(E9=""),"",IF(OR(D9=$AX$24,D9=$AX$25,D9=$AX$26,D9=$AX$27,D9=$AX$28,D9=$AX$29),"",IF(AND('Master Data'!$I$28='GA55 Check &amp; Edit'!$AP$5,'Master Data'!$E$28='GA55 Check &amp; Edit'!$AO$5),'Master Data'!$E$30,"0")))),"")</f>
        <v>0</v>
      </c>
      <c r="J9" s="251" t="str">
        <f>IFERROR(IF(OR('Master Data'!$E$32=$AO$6,'Master Data'!$E$32=""),"",IF(D9="","",IF(AND(E9=""),"",IF(OR(D9=$AX$24,D9=$AX$25,D9=$AX$26,D9=$AX$27,D9=$AX$28,D9=$AX$29),"",IF(AND('Master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251">
        <f>IFERROR(IF(D9="","",IF(AND(E9=""),"",IF(OR(D9=$AX$24,D9=$AX$25,D9=$AX$26,D9=$AX$27,D9=$AX$28,D9=$AX$29),"",IF(AND('Master Data'!$I$28='GA55 Check &amp; Edit'!$AP$5),'Master Data'!$C$43,"")))),"")</f>
        <v>0</v>
      </c>
      <c r="L9" s="251">
        <f>IFERROR(IF(D9="","",IF(AND(E9=""),"",IF(OR(D9=$AX$24,D9=$AX$25,D9=$AX$26,D9=$AX$27,D9=$AX$28,D9=$AX$29),"",IF(AND('Master Data'!$I$28='GA55 Check &amp; Edit'!$AP$6),"",'Master Data'!$D$43)))),"")</f>
        <v>0</v>
      </c>
      <c r="M9" s="251">
        <f>IFERROR(IF(D9="","",IF(AND(E9=""),"",IF(OR(D9=$AX$24,D9=$AX$25,D9=$AX$26,D9=$AX$27,D9=$AX$28,D9=$AX$29),"",IF(AND('Master Data'!$I$28='GA55 Check &amp; Edit'!$AP$6),"",'Master Data'!$E$43)))),"")</f>
        <v>0</v>
      </c>
      <c r="N9" s="251" t="str">
        <f>IFERROR(IF(D9="","",IF(AND('Master Data'!$I$28='GA55 Check &amp; Edit'!$AP$6),"",IF(AND('Master Data'!$I$24='GA55 Check &amp; Edit'!$AO$6),"0",IF(AND(D9="Bonus"),VLOOKUP(D9,ram,4,0),"")))),"")</f>
        <v/>
      </c>
      <c r="O9" s="41">
        <f>IF(D9="","",IF('Master Data'!$N$24="","",SUM(E9:N9)))</f>
        <v>74789</v>
      </c>
      <c r="P9" s="319">
        <f>IFERROR(IF(OR('Master Data'!$I$28='GA55 Check &amp; Edit'!$AP$6,D9=""),"",IF(AND(D9=$AX$24),"",IF(AND(D9=$AX$25),"",IF(AND(D9=$AX$26),"",IF(AND(D9=$AX$27),"",IF(AND(D9=$AX$28),"",IF(AND(D9=$AX$29),"",IF(AND(E9=""),"",VLOOKUP(D9,ram,11,0))))))))),"")</f>
        <v>7000</v>
      </c>
      <c r="Q9" s="384" t="str">
        <f>IFERROR(IF(AND('Master Data'!$I$28='GA55 Check &amp; Edit'!$AP$6),"",IF(AND(D9=$AX$25),"",IF(AND(D9=$AX$28),"",IF(AND(D9=$AX$29),"",IF(AND(D9=""),"",VLOOKUP(D9,ram,12,0)))))),"")</f>
        <v/>
      </c>
      <c r="R9" s="319">
        <f>IFERROR(IF(OR('Master Data'!$I$28='GA55 Check &amp; Edit'!$AP$6,D9=""),"",IF(AND(D9=$AX$24),"",IF(AND(D9=$AX$25),"",IF(AND(D9=$AX$26),"",IF(AND(D9=$AX$27),"",IF(AND(D9=$AX$28),"",IF(AND(D9=$AX$29),"",IF(AND(E9=""),"",'Master Data'!$I$43)))))))),"")</f>
        <v>1880</v>
      </c>
      <c r="S9" s="319">
        <f>IFERROR(IF(OR('Master Data'!$I$28='GA55 Check &amp; Edit'!$AP$6),"",IF(D9="","",IF(E9="","",IF(AND(D9=$AX$24),"",IF(AND(D9=$AX$25),"",IF(AND(D9=$AX$26),"",IF(AND(D9=$AX$27),"",IF(AND(D9=$AX$28),"",IF(AND(D9=$AX$29),"",VLOOKUP(D9,ram,10,0)))))))))),"")</f>
        <v>658</v>
      </c>
      <c r="T9" s="319">
        <f>IFERROR(IF(OR('Master Data'!$I$28='GA55 Check &amp; Edit'!$AP$6,D9=""),"",IF(AND(D9=$AX$24),"",IF(AND(D9=$AX$25),"",IF(AND(D9=$AX$26),"",IF(AND(D9=$AX$27),"",IF(AND(D9=$AX$28),"",IF(AND(D9=$AX$29),"",IF(AND(E9=""),"",'Master Data'!$K$43)))))))),"")</f>
        <v>0</v>
      </c>
      <c r="U9" s="319">
        <f>IFERROR(IF(OR('Master Data'!$I$28='GA55 Check &amp; Edit'!$AP$6,D9=""),"",IF(AND(D9=$AX$24),"",IF(AND(D9=$AX$25),"",IF(AND(D9=$AX$26),"",IF(AND(D9=$AX$27),"",IF(AND(D9=$AX$28),"",IF(AND(D9=$AX$29),"",IF(AND(E9=""),"",'Master Data'!$L$43)))))))),"")</f>
        <v>0</v>
      </c>
      <c r="V9" s="319">
        <f>IFERROR(IF(OR('Master Data'!$I$28='GA55 Check &amp; Edit'!$AP$6,D9=""),"",IF(AND(D9=$AX$24),"",IF(AND(D9=$AX$25),"",IF(AND(D9=$AX$26),"",IF(AND(D9=$AX$27),"",IF(AND(D9=$AX$28),"",IF(AND(D9=$AX$29),"",IF(AND(E9=""),"",'Master Data'!$M$43)))))))),"")</f>
        <v>0</v>
      </c>
      <c r="W9" s="319">
        <f>IFERROR(IF(OR('Master Data'!$I$28='GA55 Check &amp; Edit'!$AP$6,D9=""),"",IF(AND(D9=$AX$24),"",IF(AND(D9=$AX$25),"",IF(AND(D9=$AX$26),"",IF(AND(D9=$AX$27),"",IF(AND(D9=$AX$28),"",IF(AND(D9=$AX$29),"",IF(AND(E9=""),"",'Master Data'!$N$43)))))))),"")</f>
        <v>0</v>
      </c>
      <c r="X9" s="319" t="str">
        <f>IFERROR(IF(OR('Master Data'!$I$28='GA55 Check &amp; Edit'!$AP$6,D9=""),"",IF(AND(E9=""),"",IF(AND('GA55 Check &amp; Edit'!D9='GA55 Check &amp; Edit'!$AT$17,'Master Data'!$D$18="Gazetted"),500,IF(AND('GA55 Check &amp; Edit'!D9='GA55 Check &amp; Edit'!$AT$17,'Master Data'!$D$18="Non-Gazetted"),250,"")))),"")</f>
        <v/>
      </c>
      <c r="Y9" s="319">
        <f>IFERROR(IF(D9="","",IF(AND(E9=""),"",IF(AND(D9=$AX$24),"",IF(AND(D9=$AX$25),"",IF(AND(D9=$AX$26),"",IF(AND(D9=$AX$27),"",IF(AND(D9=$AX$28),"",IF(AND(D9=$AX$29),"",IF(OR('Master Data'!$I$28='GA55 Check &amp; Edit'!$AP$6,D9=""),"",$Y$7))))))))),"")</f>
        <v>0</v>
      </c>
      <c r="Z9" s="319">
        <f>IFERROR(IF(OR('Master Data'!$I$28='GA55 Check &amp; Edit'!$AP$6),"",IF(D9="","",IF(E9="","",VLOOKUP(D9,ram,9,0)))),"")</f>
        <v>2000</v>
      </c>
      <c r="AA9" s="319">
        <f>IFERROR(IF(OR('Master Data'!$I$28='GA55 Check &amp; Edit'!$AP$6,D9="",'Master Data'!$N$34=""),"",IF(AND(E9=""),"",IF('GA55 Check &amp; Edit'!D9='GA55 Check &amp; Edit'!$AT$9,'Master Data'!$N$34,""))),"")</f>
        <v>220</v>
      </c>
      <c r="AB9" s="320">
        <f t="shared" ref="AB9:AB28" si="3">IFERROR(IF(D9="","",IF(AND(O9=""),"",SUM(P9:AA9))),"0")</f>
        <v>11758</v>
      </c>
      <c r="AC9" s="33">
        <f t="shared" ref="AC9:AC28" si="4">IFERROR(IF(AND(E9="",O9="",AB9=""),"",SUM(O9-AB9)),"")</f>
        <v>63031</v>
      </c>
      <c r="AD9" s="1020"/>
      <c r="AE9" s="1016"/>
      <c r="AF9" s="37"/>
      <c r="AH9" s="366"/>
      <c r="AI9" s="366"/>
      <c r="AJ9" s="366"/>
      <c r="AK9" s="366"/>
      <c r="AL9" s="366"/>
      <c r="AM9" s="400"/>
      <c r="AN9" s="400"/>
      <c r="AO9" s="400"/>
      <c r="AP9" s="400"/>
      <c r="AQ9" s="400"/>
      <c r="AR9" s="400" t="s">
        <v>9</v>
      </c>
      <c r="AS9" s="400" t="s">
        <v>78</v>
      </c>
      <c r="AT9" s="405">
        <v>44652</v>
      </c>
      <c r="AU9" s="400" t="s">
        <v>80</v>
      </c>
      <c r="AV9" s="400"/>
      <c r="AW9" s="407"/>
      <c r="AX9" s="408"/>
      <c r="AY9" s="408"/>
      <c r="AZ9" s="409">
        <v>44985</v>
      </c>
      <c r="BA9" s="408"/>
      <c r="BB9" s="408"/>
      <c r="BC9" s="408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0</v>
      </c>
      <c r="BD9" s="408"/>
      <c r="BE9" s="408"/>
      <c r="BF9" s="408"/>
      <c r="BG9" s="408"/>
      <c r="BH9" s="408"/>
      <c r="BI9" s="410"/>
      <c r="BJ9" s="411"/>
      <c r="BK9" s="400"/>
      <c r="BL9" s="400"/>
      <c r="BM9" s="400"/>
      <c r="BN9" s="400"/>
      <c r="BO9" s="400"/>
      <c r="BP9" s="400"/>
      <c r="BQ9" s="400"/>
      <c r="BR9" s="400"/>
      <c r="BS9" s="400"/>
      <c r="BT9" s="400"/>
      <c r="BU9" s="400"/>
      <c r="BV9" s="400"/>
      <c r="BW9" s="400"/>
      <c r="BX9" s="400"/>
      <c r="BY9" s="400"/>
      <c r="BZ9" s="400"/>
      <c r="CA9" s="400"/>
      <c r="CB9" s="400"/>
      <c r="CC9" s="400"/>
      <c r="CD9" s="400"/>
      <c r="CE9" s="400"/>
      <c r="CF9" s="400"/>
      <c r="CG9" s="400"/>
      <c r="CH9" s="400"/>
      <c r="CI9" s="366"/>
      <c r="CJ9" s="366"/>
      <c r="CK9" s="366"/>
      <c r="CL9" s="366"/>
    </row>
    <row r="10" spans="1:103" s="341" customFormat="1" ht="21" customHeight="1">
      <c r="A10" s="32">
        <f t="shared" si="0"/>
        <v>1</v>
      </c>
      <c r="B10" s="47">
        <f t="shared" ref="B10:B28" si="5">IF(LEN(D10)&gt;=3,B9+1,0)</f>
        <v>3</v>
      </c>
      <c r="C10" s="48">
        <f t="shared" si="1"/>
        <v>3</v>
      </c>
      <c r="D10" s="318">
        <f t="shared" si="2"/>
        <v>44682</v>
      </c>
      <c r="E10" s="250">
        <f>IFERROR(IF(D10="","",IF(AND(BQ14=""),"",IF(AND('Master Data'!$I$28='GA55 Check &amp; Edit'!$AP$6),VLOOKUP(D10,ram,13,0),VLOOKUP(D10,ram,4,0)))),"")</f>
        <v>52300</v>
      </c>
      <c r="F10" s="251">
        <f>IFERROR(IF(D10="","",IF(D10=$AX$24,"",IF(AND(D10=$AX$28),"",IF(AND('Master Data'!$I$28='GA55 Check &amp; Edit'!$AP$5),VLOOKUP(D10,ram,7,0),"")))),"")</f>
        <v>17782</v>
      </c>
      <c r="G10" s="251">
        <f>IFERROR(IF(D10="","",IF(D10=$AX$24,"",IF(AND(D10=$AX$25),"",IF(AND(D10=$AX$26),"",IF(AND(D10=$AX$27),"",IF(AND(D10=$AX$28),"",IF(AND(D10=$AX$29),"",IF(AND('Master Data'!$I$28='GA55 Check &amp; Edit'!$AP$6),"",VLOOKUP(D10,ram,8,0))))))))),"")</f>
        <v>4707</v>
      </c>
      <c r="H10" s="251">
        <f>IFERROR(IF(D10="","",IF(AND(E10=""),"",IF(OR(D10=$AX$24,D10=$AX$25,D10=$AX$26,D10=$AX$27,D10=$AX$28,D10=$AX$29),"",IF(AND('Master Data'!$I$28='GA55 Check &amp; Edit'!$AP$5),'Master Data'!$B$43,"")))),"")</f>
        <v>0</v>
      </c>
      <c r="I10" s="251" t="str">
        <f>IFERROR(IF(D10="","",IF(AND(E10=""),"",IF(OR(D10=$AX$24,D10=$AX$25,D10=$AX$26,D10=$AX$27,D10=$AX$28,D10=$AX$29),"",IF(AND('Master Data'!$I$28='GA55 Check &amp; Edit'!$AP$5,'Master Data'!$E$28='GA55 Check &amp; Edit'!$AO$5),'Master Data'!$E$30,"0")))),"")</f>
        <v>0</v>
      </c>
      <c r="J10" s="251" t="str">
        <f>IFERROR(IF(OR('Master Data'!$E$32=$AO$6,'Master Data'!$E$32=""),"",IF(D10="","",IF(AND(E10=""),"",IF(OR(D10=$AX$24,D10=$AX$25,D10=$AX$26,D10=$AX$27,D10=$AX$28,D10=$AX$29),"",IF(AND('Master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251">
        <f>IFERROR(IF(D10="","",IF(AND(E10=""),"",IF(OR(D10=$AX$24,D10=$AX$25,D10=$AX$26,D10=$AX$27,D10=$AX$28,D10=$AX$29),"",IF(AND('Master Data'!$I$28='GA55 Check &amp; Edit'!$AP$5),'Master Data'!$C$43,"")))),"")</f>
        <v>0</v>
      </c>
      <c r="L10" s="251">
        <f>IFERROR(IF(D10="","",IF(AND(E10=""),"",IF(OR(D10=$AX$24,D10=$AX$25,D10=$AX$26,D10=$AX$27,D10=$AX$28,D10=$AX$29),"",IF(AND('Master Data'!$I$28='GA55 Check &amp; Edit'!$AP$6),"",'Master Data'!$D$43)))),"")</f>
        <v>0</v>
      </c>
      <c r="M10" s="251">
        <f>IFERROR(IF(D10="","",IF(AND(E10=""),"",IF(OR(D10=$AX$24,D10=$AX$25,D10=$AX$26,D10=$AX$27,D10=$AX$28,D10=$AX$29),"",IF(AND('Master Data'!$I$28='GA55 Check &amp; Edit'!$AP$6),"",'Master Data'!$E$43)))),"")</f>
        <v>0</v>
      </c>
      <c r="N10" s="251" t="str">
        <f>IFERROR(IF(D10="","",IF(AND('Master Data'!$I$28='GA55 Check &amp; Edit'!$AP$6),"",IF(AND('Master Data'!$I$24='GA55 Check &amp; Edit'!$AO$6),"0",IF(AND(D10="Bonus"),VLOOKUP(D10,ram,4,0),"")))),"")</f>
        <v/>
      </c>
      <c r="O10" s="41">
        <f>IF(D10="","",IF('Master Data'!$N$24="","",SUM(E10:N10)))</f>
        <v>74789</v>
      </c>
      <c r="P10" s="319">
        <f>IFERROR(IF(OR('Master Data'!$I$28='GA55 Check &amp; Edit'!$AP$6,D10=""),"",IF(AND(D10=$AX$24),"",IF(AND(D10=$AX$25),"",IF(AND(D10=$AX$26),"",IF(AND(D10=$AX$27),"",IF(AND(D10=$AX$28),"",IF(AND(D10=$AX$29),"",IF(AND(E10=""),"",VLOOKUP(D10,ram,11,0))))))))),"")</f>
        <v>7000</v>
      </c>
      <c r="Q10" s="384">
        <f>IFERROR(IF(AND('Master Data'!$I$28='GA55 Check &amp; Edit'!$AP$6),"",IF(AND(D10=$AX$25),"",IF(AND(D10=$AX$28),"",IF(AND(D10=$AX$29),"",IF(AND(D10=""),"",VLOOKUP(D10,ram,12,0)))))),"")</f>
        <v>7150</v>
      </c>
      <c r="R10" s="319">
        <f>IFERROR(IF(OR('Master Data'!$I$28='GA55 Check &amp; Edit'!$AP$6,D10=""),"",IF(AND(D10=$AX$24),"",IF(AND(D10=$AX$25),"",IF(AND(D10=$AX$26),"",IF(AND(D10=$AX$27),"",IF(AND(D10=$AX$28),"",IF(AND(D10=$AX$29),"",IF(AND(E10=""),"",'Master Data'!$I$43)))))))),"")</f>
        <v>1880</v>
      </c>
      <c r="S10" s="319">
        <f>IFERROR(IF(OR('Master Data'!$I$28='GA55 Check &amp; Edit'!$AP$6),"",IF(D10="","",IF(E10="","",IF(AND(D10=$AX$24),"",IF(AND(D10=$AX$25),"",IF(AND(D10=$AX$26),"",IF(AND(D10=$AX$27),"",IF(AND(D10=$AX$28),"",IF(AND(D10=$AX$29),"",VLOOKUP(D10,ram,10,0)))))))))),"")</f>
        <v>658</v>
      </c>
      <c r="T10" s="319">
        <f>IFERROR(IF(OR('Master Data'!$I$28='GA55 Check &amp; Edit'!$AP$6,D10=""),"",IF(AND(D10=$AX$24),"",IF(AND(D10=$AX$25),"",IF(AND(D10=$AX$26),"",IF(AND(D10=$AX$27),"",IF(AND(D10=$AX$28),"",IF(AND(D10=$AX$29),"",IF(AND(E10=""),"",'Master Data'!$K$43)))))))),"")</f>
        <v>0</v>
      </c>
      <c r="U10" s="319">
        <f>IFERROR(IF(OR('Master Data'!$I$28='GA55 Check &amp; Edit'!$AP$6,D10=""),"",IF(AND(D10=$AX$24),"",IF(AND(D10=$AX$25),"",IF(AND(D10=$AX$26),"",IF(AND(D10=$AX$27),"",IF(AND(D10=$AX$28),"",IF(AND(D10=$AX$29),"",IF(AND(E10=""),"",'Master Data'!$L$43)))))))),"")</f>
        <v>0</v>
      </c>
      <c r="V10" s="319">
        <f>IFERROR(IF(OR('Master Data'!$I$28='GA55 Check &amp; Edit'!$AP$6,D10=""),"",IF(AND(D10=$AX$24),"",IF(AND(D10=$AX$25),"",IF(AND(D10=$AX$26),"",IF(AND(D10=$AX$27),"",IF(AND(D10=$AX$28),"",IF(AND(D10=$AX$29),"",IF(AND(E10=""),"",'Master Data'!$M$43)))))))),"")</f>
        <v>0</v>
      </c>
      <c r="W10" s="319">
        <f>IFERROR(IF(OR('Master Data'!$I$28='GA55 Check &amp; Edit'!$AP$6,D10=""),"",IF(AND(D10=$AX$24),"",IF(AND(D10=$AX$25),"",IF(AND(D10=$AX$26),"",IF(AND(D10=$AX$27),"",IF(AND(D10=$AX$28),"",IF(AND(D10=$AX$29),"",IF(AND(E10=""),"",'Master Data'!$N$43)))))))),"")</f>
        <v>0</v>
      </c>
      <c r="X10" s="319" t="str">
        <f>IFERROR(IF(OR('Master Data'!$I$28='GA55 Check &amp; Edit'!$AP$6,D10=""),"",IF(AND(E10=""),"",IF(AND('GA55 Check &amp; Edit'!D10='GA55 Check &amp; Edit'!$AT$17,'Master Data'!$D$18="Gazetted"),500,IF(AND('GA55 Check &amp; Edit'!D10='GA55 Check &amp; Edit'!$AT$17,'Master Data'!$D$18="Non-Gazetted"),250,"")))),"")</f>
        <v/>
      </c>
      <c r="Y10" s="319">
        <f>IFERROR(IF(D10="","",IF(AND(E10=""),"",IF(AND(D10=$AX$24),"",IF(AND(D10=$AX$25),"",IF(AND(D10=$AX$26),"",IF(AND(D10=$AX$27),"",IF(AND(D10=$AX$28),"",IF(AND(D10=$AX$29),"",IF(OR('Master Data'!$I$28='GA55 Check &amp; Edit'!$AP$6,D10=""),"",$Y$7))))))))),"")</f>
        <v>0</v>
      </c>
      <c r="Z10" s="319">
        <f>IFERROR(IF(OR('Master Data'!$I$28='GA55 Check &amp; Edit'!$AP$6),"",IF(D10="","",IF(E10="","",VLOOKUP(D10,ram,9,0)))),"")</f>
        <v>2000</v>
      </c>
      <c r="AA10" s="319" t="str">
        <f>IFERROR(IF(OR('Master Data'!$I$28='GA55 Check &amp; Edit'!$AP$6,D10="",'Master Data'!$N$34=""),"",IF(AND(E10=""),"",IF('GA55 Check &amp; Edit'!D10='GA55 Check &amp; Edit'!$AT$9,'Master Data'!$N$34,""))),"")</f>
        <v/>
      </c>
      <c r="AB10" s="320">
        <f t="shared" si="3"/>
        <v>18688</v>
      </c>
      <c r="AC10" s="33">
        <f t="shared" si="4"/>
        <v>56101</v>
      </c>
      <c r="AD10" s="1020"/>
      <c r="AE10" s="1016"/>
      <c r="AF10" s="37"/>
      <c r="AH10" s="366"/>
      <c r="AI10" s="366"/>
      <c r="AJ10" s="366"/>
      <c r="AK10" s="366"/>
      <c r="AL10" s="366"/>
      <c r="AM10" s="400"/>
      <c r="AN10" s="400"/>
      <c r="AO10" s="400"/>
      <c r="AP10" s="400"/>
      <c r="AQ10" s="400"/>
      <c r="AR10" s="400" t="s">
        <v>13</v>
      </c>
      <c r="AS10" s="400" t="s">
        <v>12</v>
      </c>
      <c r="AT10" s="405">
        <v>44682</v>
      </c>
      <c r="AU10" s="400" t="s">
        <v>81</v>
      </c>
      <c r="AV10" s="400"/>
      <c r="AW10" s="412" t="s">
        <v>3</v>
      </c>
      <c r="AX10" s="406">
        <v>44562</v>
      </c>
      <c r="AY10" s="411"/>
      <c r="AZ10" s="411"/>
      <c r="BA10" s="411">
        <f>IF(AND('Master Data'!$N$24=""),"",'Master Data'!$N$24)</f>
        <v>52300</v>
      </c>
      <c r="BB10" s="411" t="str">
        <f>IF(AND(AX10&lt;$AZ$16),"",IF(AND(AX10&gt;$AZ$17),"",BA10))</f>
        <v/>
      </c>
      <c r="BC10" s="411">
        <f>IF(AND('Master Data'!$N$24=""),"",ROUND(31%*BA10,0))</f>
        <v>16213</v>
      </c>
      <c r="BD10" s="411" t="str">
        <f>IF(BB10="","",BC10)</f>
        <v/>
      </c>
      <c r="BE10" s="413" t="str">
        <f>IFERROR(IF(AND('Master Data'!$N$24=""),"",ROUND('Master Data'!$E$34%*BB10,0)),"")</f>
        <v/>
      </c>
      <c r="BF10" s="411"/>
      <c r="BG10" s="414">
        <f>IFERROR(IF(OR('Master Data'!$I$28='GA55 Check &amp; Edit'!$AP$6),"",'Master Data'!$J$43),"")</f>
        <v>0</v>
      </c>
      <c r="BH10" s="411">
        <f>IFERROR(IF(OR('Master Data'!$I$28='GA55 Check &amp; Edit'!$AP$6),"",'Master Data'!$G$43),"")</f>
        <v>7000</v>
      </c>
      <c r="BI10" s="415">
        <f>IFERROR(IF(OR('Master Data'!$I$28='GA55 Check &amp; Edit'!$AP$6),"",'Master Data'!$H$43),"")</f>
        <v>3575</v>
      </c>
      <c r="BJ10" s="411">
        <f>BA10</f>
        <v>52300</v>
      </c>
      <c r="BK10" s="400"/>
      <c r="BL10" s="400">
        <f>MONTH(AZ17)</f>
        <v>2</v>
      </c>
      <c r="BM10" s="400"/>
      <c r="BN10" s="400"/>
      <c r="BO10" s="400"/>
      <c r="BP10" s="400"/>
      <c r="BQ10" s="400"/>
      <c r="BR10" s="400"/>
      <c r="BS10" s="416">
        <f>D8</f>
        <v>44621</v>
      </c>
      <c r="BT10" s="400"/>
      <c r="BU10" s="400"/>
      <c r="BV10" s="400"/>
      <c r="BW10" s="400"/>
      <c r="BX10" s="400"/>
      <c r="BY10" s="400"/>
      <c r="BZ10" s="400"/>
      <c r="CA10" s="400"/>
      <c r="CB10" s="400"/>
      <c r="CC10" s="400"/>
      <c r="CD10" s="400"/>
      <c r="CE10" s="400"/>
      <c r="CF10" s="400"/>
      <c r="CG10" s="400"/>
      <c r="CH10" s="400"/>
      <c r="CI10" s="366"/>
      <c r="CJ10" s="366"/>
      <c r="CK10" s="366"/>
      <c r="CL10" s="366"/>
    </row>
    <row r="11" spans="1:103" s="341" customFormat="1" ht="21" customHeight="1">
      <c r="A11" s="32">
        <f t="shared" si="0"/>
        <v>0</v>
      </c>
      <c r="B11" s="47">
        <f t="shared" si="5"/>
        <v>4</v>
      </c>
      <c r="C11" s="48">
        <f t="shared" ref="C11" si="6">IF(B11=0,"",B11)</f>
        <v>4</v>
      </c>
      <c r="D11" s="318">
        <f t="shared" si="2"/>
        <v>44713</v>
      </c>
      <c r="E11" s="250">
        <f>IFERROR(IF(D11="","",IF(AND(BQ15=""),"",IF(AND('Master Data'!$I$28='GA55 Check &amp; Edit'!$AP$6),VLOOKUP(D11,ram,13,0),VLOOKUP(D11,ram,4,0)))),"")</f>
        <v>52300</v>
      </c>
      <c r="F11" s="251">
        <f>IFERROR(IF(D11="","",IF(D11=$AX$24,"",IF(AND(D11=$AX$28),"",IF(AND('Master Data'!$I$28='GA55 Check &amp; Edit'!$AP$5),VLOOKUP(D11,ram,7,0),"")))),"")</f>
        <v>17782</v>
      </c>
      <c r="G11" s="251">
        <f>IFERROR(IF(D11="","",IF(D11=$AX$24,"",IF(AND(D11=$AX$25),"",IF(AND(D11=$AX$26),"",IF(AND(D11=$AX$27),"",IF(AND(D11=$AX$28),"",IF(AND(D11=$AX$29),"",IF(AND('Master Data'!$I$28='GA55 Check &amp; Edit'!$AP$6),"",VLOOKUP(D11,ram,8,0))))))))),"")</f>
        <v>4707</v>
      </c>
      <c r="H11" s="251">
        <f>IFERROR(IF(D11="","",IF(AND(E11=""),"",IF(OR(D11=$AX$24,D11=$AX$25,D11=$AX$26,D11=$AX$27,D11=$AX$28,D11=$AX$29),"",IF(AND('Master Data'!$I$28='GA55 Check &amp; Edit'!$AP$5),'Master Data'!$B$43,"")))),"")</f>
        <v>0</v>
      </c>
      <c r="I11" s="251" t="str">
        <f>IFERROR(IF(D11="","",IF(AND(E11=""),"",IF(OR(D11=$AX$24,D11=$AX$25,D11=$AX$26,D11=$AX$27,D11=$AX$28,D11=$AX$29),"",IF(AND('Master Data'!$I$28='GA55 Check &amp; Edit'!$AP$5,'Master Data'!$E$28='GA55 Check &amp; Edit'!$AO$5),'Master Data'!$E$30,"0")))),"")</f>
        <v>0</v>
      </c>
      <c r="J11" s="251" t="str">
        <f>IFERROR(IF(OR('Master Data'!$E$32=$AO$6,'Master Data'!$E$32=""),"",IF(D11="","",IF(AND(E11=""),"",IF(OR(D11=$AX$24,D11=$AX$25,D11=$AX$26,D11=$AX$27,D11=$AX$28,D11=$AX$29),"",IF(AND('Master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251">
        <f>IFERROR(IF(D11="","",IF(AND(E11=""),"",IF(OR(D11=$AX$24,D11=$AX$25,D11=$AX$26,D11=$AX$27,D11=$AX$28,D11=$AX$29),"",IF(AND('Master Data'!$I$28='GA55 Check &amp; Edit'!$AP$5),'Master Data'!$C$43,"")))),"")</f>
        <v>0</v>
      </c>
      <c r="L11" s="251">
        <f>IFERROR(IF(D11="","",IF(AND(E11=""),"",IF(OR(D11=$AX$24,D11=$AX$25,D11=$AX$26,D11=$AX$27,D11=$AX$28,D11=$AX$29),"",IF(AND('Master Data'!$I$28='GA55 Check &amp; Edit'!$AP$6),"",'Master Data'!$D$43)))),"")</f>
        <v>0</v>
      </c>
      <c r="M11" s="251">
        <f>IFERROR(IF(D11="","",IF(AND(E11=""),"",IF(OR(D11=$AX$24,D11=$AX$25,D11=$AX$26,D11=$AX$27,D11=$AX$28,D11=$AX$29),"",IF(AND('Master Data'!$I$28='GA55 Check &amp; Edit'!$AP$6),"",'Master Data'!$E$43)))),"")</f>
        <v>0</v>
      </c>
      <c r="N11" s="251" t="str">
        <f>IFERROR(IF(D11="","",IF(AND('Master Data'!$I$28='GA55 Check &amp; Edit'!$AP$6),"",IF(AND('Master Data'!$I$24='GA55 Check &amp; Edit'!$AO$6),"0",IF(AND(D11="Bonus"),VLOOKUP(D11,ram,4,0),"")))),"")</f>
        <v/>
      </c>
      <c r="O11" s="41">
        <f>IF(D11="","",IF('Master Data'!$N$24="","",SUM(E11:N11)))</f>
        <v>74789</v>
      </c>
      <c r="P11" s="319">
        <f>IFERROR(IF(OR('Master Data'!$I$28='GA55 Check &amp; Edit'!$AP$6,D11=""),"",IF(AND(D11=$AX$24),"",IF(AND(D11=$AX$25),"",IF(AND(D11=$AX$26),"",IF(AND(D11=$AX$27),"",IF(AND(D11=$AX$28),"",IF(AND(D11=$AX$29),"",IF(AND(E11=""),"",VLOOKUP(D11,ram,11,0))))))))),"")</f>
        <v>7000</v>
      </c>
      <c r="Q11" s="384">
        <f>IFERROR(IF(AND('Master Data'!$I$28='GA55 Check &amp; Edit'!$AP$6),"",IF(AND(D11=$AX$25),"",IF(AND(D11=$AX$28),"",IF(AND(D11=$AX$29),"",IF(AND(D11=""),"",VLOOKUP(D11,ram,12,0)))))),"")</f>
        <v>3575</v>
      </c>
      <c r="R11" s="319">
        <f>IFERROR(IF(OR('Master Data'!$I$28='GA55 Check &amp; Edit'!$AP$6,D11=""),"",IF(AND(D11=$AX$24),"",IF(AND(D11=$AX$25),"",IF(AND(D11=$AX$26),"",IF(AND(D11=$AX$27),"",IF(AND(D11=$AX$28),"",IF(AND(D11=$AX$29),"",IF(AND(E11=""),"",'Master Data'!$I$43)))))))),"")</f>
        <v>1880</v>
      </c>
      <c r="S11" s="319">
        <f>IFERROR(IF(OR('Master Data'!$I$28='GA55 Check &amp; Edit'!$AP$6),"",IF(D11="","",IF(E11="","",IF(AND(D11=$AX$24),"",IF(AND(D11=$AX$25),"",IF(AND(D11=$AX$26),"",IF(AND(D11=$AX$27),"",IF(AND(D11=$AX$28),"",IF(AND(D11=$AX$29),"",VLOOKUP(D11,ram,10,0)))))))))),"")</f>
        <v>658</v>
      </c>
      <c r="T11" s="319">
        <f>IFERROR(IF(OR('Master Data'!$I$28='GA55 Check &amp; Edit'!$AP$6,D11=""),"",IF(AND(D11=$AX$24),"",IF(AND(D11=$AX$25),"",IF(AND(D11=$AX$26),"",IF(AND(D11=$AX$27),"",IF(AND(D11=$AX$28),"",IF(AND(D11=$AX$29),"",IF(AND(E11=""),"",'Master Data'!$K$43)))))))),"")</f>
        <v>0</v>
      </c>
      <c r="U11" s="319">
        <f>IFERROR(IF(OR('Master Data'!$I$28='GA55 Check &amp; Edit'!$AP$6,D11=""),"",IF(AND(D11=$AX$24),"",IF(AND(D11=$AX$25),"",IF(AND(D11=$AX$26),"",IF(AND(D11=$AX$27),"",IF(AND(D11=$AX$28),"",IF(AND(D11=$AX$29),"",IF(AND(E11=""),"",'Master Data'!$L$43)))))))),"")</f>
        <v>0</v>
      </c>
      <c r="V11" s="319">
        <f>IFERROR(IF(OR('Master Data'!$I$28='GA55 Check &amp; Edit'!$AP$6,D11=""),"",IF(AND(D11=$AX$24),"",IF(AND(D11=$AX$25),"",IF(AND(D11=$AX$26),"",IF(AND(D11=$AX$27),"",IF(AND(D11=$AX$28),"",IF(AND(D11=$AX$29),"",IF(AND(E11=""),"",'Master Data'!$M$43)))))))),"")</f>
        <v>0</v>
      </c>
      <c r="W11" s="319">
        <f>IFERROR(IF(OR('Master Data'!$I$28='GA55 Check &amp; Edit'!$AP$6,D11=""),"",IF(AND(D11=$AX$24),"",IF(AND(D11=$AX$25),"",IF(AND(D11=$AX$26),"",IF(AND(D11=$AX$27),"",IF(AND(D11=$AX$28),"",IF(AND(D11=$AX$29),"",IF(AND(E11=""),"",'Master Data'!$N$43)))))))),"")</f>
        <v>0</v>
      </c>
      <c r="X11" s="319" t="str">
        <f>IFERROR(IF(OR('Master Data'!$I$28='GA55 Check &amp; Edit'!$AP$6,D11=""),"",IF(AND(E11=""),"",IF(AND('GA55 Check &amp; Edit'!D11='GA55 Check &amp; Edit'!$AT$17,'Master Data'!$D$18="Gazetted"),500,IF(AND('GA55 Check &amp; Edit'!D11='GA55 Check &amp; Edit'!$AT$17,'Master Data'!$D$18="Non-Gazetted"),250,"")))),"")</f>
        <v/>
      </c>
      <c r="Y11" s="319">
        <f>IFERROR(IF(D11="","",IF(AND(E11=""),"",IF(AND(D11=$AX$24),"",IF(AND(D11=$AX$25),"",IF(AND(D11=$AX$26),"",IF(AND(D11=$AX$27),"",IF(AND(D11=$AX$28),"",IF(AND(D11=$AX$29),"",IF(OR('Master Data'!$I$28='GA55 Check &amp; Edit'!$AP$6,D11=""),"",$Y$7))))))))),"")</f>
        <v>0</v>
      </c>
      <c r="Z11" s="319">
        <f>IFERROR(IF(OR('Master Data'!$I$28='GA55 Check &amp; Edit'!$AP$6),"",IF(D11="","",IF(E11="","",VLOOKUP(D11,ram,9,0)))),"")</f>
        <v>2000</v>
      </c>
      <c r="AA11" s="319" t="str">
        <f>IFERROR(IF(OR('Master Data'!$I$28='GA55 Check &amp; Edit'!$AP$6,D11="",'Master Data'!$N$34=""),"",IF(AND(E11=""),"",IF('GA55 Check &amp; Edit'!D11='GA55 Check &amp; Edit'!$AT$9,'Master Data'!$N$34,""))),"")</f>
        <v/>
      </c>
      <c r="AB11" s="320">
        <f t="shared" si="3"/>
        <v>15113</v>
      </c>
      <c r="AC11" s="33">
        <f t="shared" si="4"/>
        <v>59676</v>
      </c>
      <c r="AD11" s="1020"/>
      <c r="AE11" s="1016"/>
      <c r="AF11" s="37"/>
      <c r="AH11" s="366"/>
      <c r="AI11" s="366"/>
      <c r="AJ11" s="366"/>
      <c r="AK11" s="366"/>
      <c r="AL11" s="366"/>
      <c r="AM11" s="400"/>
      <c r="AN11" s="400"/>
      <c r="AO11" s="400"/>
      <c r="AP11" s="400"/>
      <c r="AQ11" s="400"/>
      <c r="AR11" s="400" t="s">
        <v>15</v>
      </c>
      <c r="AS11" s="400" t="s">
        <v>14</v>
      </c>
      <c r="AT11" s="405">
        <v>44713</v>
      </c>
      <c r="AU11" s="400" t="s">
        <v>82</v>
      </c>
      <c r="AV11" s="400"/>
      <c r="AW11" s="412" t="s">
        <v>78</v>
      </c>
      <c r="AX11" s="406">
        <v>44593</v>
      </c>
      <c r="AY11" s="411"/>
      <c r="AZ11" s="417"/>
      <c r="BA11" s="411">
        <f>IF(AND('Master Data'!$N$24=""),"",'Master Data'!$N$24)</f>
        <v>52300</v>
      </c>
      <c r="BB11" s="411" t="str">
        <f>IF(AND(AX11&lt;$AZ$16),"",IF(AND(AX11&gt;$AZ$17),"",BA11))</f>
        <v/>
      </c>
      <c r="BC11" s="411">
        <f>IF(AND('Master Data'!$N$24=""),"",ROUND(31%*BA11,0))</f>
        <v>16213</v>
      </c>
      <c r="BD11" s="411" t="str">
        <f>IF(BB11="","",BC11)</f>
        <v/>
      </c>
      <c r="BE11" s="413" t="str">
        <f>IFERROR(IF(AND('Master Data'!$N$24=""),"",ROUND('Master Data'!$E$34%*BB11,0)),"")</f>
        <v/>
      </c>
      <c r="BF11" s="411"/>
      <c r="BG11" s="414">
        <f>IFERROR(IF(OR('Master Data'!$I$28='GA55 Check &amp; Edit'!$AP$6),"",'Master Data'!$J$43),"")</f>
        <v>0</v>
      </c>
      <c r="BH11" s="411">
        <f>IFERROR(IF(OR('Master Data'!$I$28='GA55 Check &amp; Edit'!$AP$6),"",'Master Data'!$G$43),"")</f>
        <v>7000</v>
      </c>
      <c r="BI11" s="415">
        <f>IFERROR(IF(OR('Master Data'!$I$28='GA55 Check &amp; Edit'!$AP$6),"",'Master Data'!$H$43),"")</f>
        <v>3575</v>
      </c>
      <c r="BJ11" s="411">
        <f>BA11</f>
        <v>52300</v>
      </c>
      <c r="BK11" s="400"/>
      <c r="BL11" s="400"/>
      <c r="BM11" s="400"/>
      <c r="BN11" s="400"/>
      <c r="BO11" s="400"/>
      <c r="BP11" s="400"/>
      <c r="BQ11" s="400"/>
      <c r="BR11" s="400"/>
      <c r="BS11" s="400"/>
      <c r="BT11" s="400"/>
      <c r="BU11" s="400"/>
      <c r="BV11" s="400"/>
      <c r="BW11" s="400"/>
      <c r="BX11" s="400"/>
      <c r="BY11" s="400"/>
      <c r="BZ11" s="400"/>
      <c r="CA11" s="400"/>
      <c r="CB11" s="400"/>
      <c r="CC11" s="400"/>
      <c r="CD11" s="400"/>
      <c r="CE11" s="400"/>
      <c r="CF11" s="400"/>
      <c r="CG11" s="400"/>
      <c r="CH11" s="400"/>
      <c r="CI11" s="366"/>
      <c r="CJ11" s="366"/>
      <c r="CK11" s="366"/>
      <c r="CL11" s="366"/>
    </row>
    <row r="12" spans="1:103" s="341" customFormat="1" ht="21" customHeight="1">
      <c r="A12" s="32">
        <f t="shared" si="0"/>
        <v>1</v>
      </c>
      <c r="B12" s="47">
        <f>IF(LEN(D12)&gt;=3,B11+1,0)</f>
        <v>5</v>
      </c>
      <c r="C12" s="48">
        <f>IF(B12=0,"",B12)</f>
        <v>5</v>
      </c>
      <c r="D12" s="318">
        <f t="shared" si="2"/>
        <v>44743</v>
      </c>
      <c r="E12" s="250">
        <f>IFERROR(IF(D12="","",IF(AND(BQ16=""),"",IF(AND('Master Data'!$I$28='GA55 Check &amp; Edit'!$AP$6),VLOOKUP(D12,ram,13,0),VLOOKUP(D12,ram,4,0)))),"")</f>
        <v>53900</v>
      </c>
      <c r="F12" s="251">
        <f>IFERROR(IF(D12="","",IF(D12=$AX$24,"",IF(AND(D12=$AX$28),"",IF(AND('Master Data'!$I$28='GA55 Check &amp; Edit'!$AP$5),VLOOKUP(D12,ram,7,0),"")))),"")</f>
        <v>18326</v>
      </c>
      <c r="G12" s="251">
        <f>IFERROR(IF(D12="","",IF(D12=$AX$24,"",IF(AND(D12=$AX$25),"",IF(AND(D12=$AX$26),"",IF(AND(D12=$AX$27),"",IF(AND(D12=$AX$28),"",IF(AND(D12=$AX$29),"",IF(AND('Master Data'!$I$28='GA55 Check &amp; Edit'!$AP$6),"",VLOOKUP(D12,ram,8,0))))))))),"")</f>
        <v>4851</v>
      </c>
      <c r="H12" s="251">
        <f>IFERROR(IF(D12="","",IF(AND(E12=""),"",IF(OR(D12=$AX$24,D12=$AX$25,D12=$AX$26,D12=$AX$27,D12=$AX$28,D12=$AX$29),"",IF(AND('Master Data'!$I$28='GA55 Check &amp; Edit'!$AP$5),'Master Data'!$B$43,"")))),"")</f>
        <v>0</v>
      </c>
      <c r="I12" s="251" t="str">
        <f>IFERROR(IF(D12="","",IF(AND(E12=""),"",IF(OR(D12=$AX$24,D12=$AX$25,D12=$AX$26,D12=$AX$27,D12=$AX$28,D12=$AX$29),"",IF(AND('Master Data'!$I$28='GA55 Check &amp; Edit'!$AP$5,'Master Data'!$E$28='GA55 Check &amp; Edit'!$AO$5),'Master Data'!$E$30,"0")))),"")</f>
        <v>0</v>
      </c>
      <c r="J12" s="251" t="str">
        <f>IFERROR(IF(OR('Master Data'!$E$32=$AO$6,'Master Data'!$E$32=""),"",IF(D12="","",IF(AND(E12=""),"",IF(OR(D12=$AX$24,D12=$AX$25,D12=$AX$26,D12=$AX$27,D12=$AX$28,D12=$AX$29),"",IF(AND('Master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251">
        <f>IFERROR(IF(D12="","",IF(AND(E12=""),"",IF(OR(D12=$AX$24,D12=$AX$25,D12=$AX$26,D12=$AX$27,D12=$AX$28,D12=$AX$29),"",IF(AND('Master Data'!$I$28='GA55 Check &amp; Edit'!$AP$5),'Master Data'!$C$43,"")))),"")</f>
        <v>0</v>
      </c>
      <c r="L12" s="251">
        <f>IFERROR(IF(D12="","",IF(AND(E12=""),"",IF(OR(D12=$AX$24,D12=$AX$25,D12=$AX$26,D12=$AX$27,D12=$AX$28,D12=$AX$29),"",IF(AND('Master Data'!$I$28='GA55 Check &amp; Edit'!$AP$6),"",'Master Data'!$D$43)))),"")</f>
        <v>0</v>
      </c>
      <c r="M12" s="251">
        <f>IFERROR(IF(D12="","",IF(AND(E12=""),"",IF(OR(D12=$AX$24,D12=$AX$25,D12=$AX$26,D12=$AX$27,D12=$AX$28,D12=$AX$29),"",IF(AND('Master Data'!$I$28='GA55 Check &amp; Edit'!$AP$6),"",'Master Data'!$E$43)))),"")</f>
        <v>0</v>
      </c>
      <c r="N12" s="251" t="str">
        <f>IFERROR(IF(D12="","",IF(AND('Master Data'!$I$28='GA55 Check &amp; Edit'!$AP$6),"",IF(AND('Master Data'!$I$24='GA55 Check &amp; Edit'!$AO$6),"0",IF(AND(D12="Bonus"),VLOOKUP(D12,ram,4,0),"")))),"")</f>
        <v/>
      </c>
      <c r="O12" s="41">
        <f>IF(D12="","",IF('Master Data'!$N$24="","",SUM(E12:N12)))</f>
        <v>77077</v>
      </c>
      <c r="P12" s="319">
        <f>IFERROR(IF(OR('Master Data'!$I$28='GA55 Check &amp; Edit'!$AP$6,D12=""),"",IF(AND(D12=$AX$24),"",IF(AND(D12=$AX$25),"",IF(AND(D12=$AX$26),"",IF(AND(D12=$AX$27),"",IF(AND(D12=$AX$28),"",IF(AND(D12=$AX$29),"",IF(AND(E12=""),"",VLOOKUP(D12,ram,11,0))))))))),"")</f>
        <v>7000</v>
      </c>
      <c r="Q12" s="384">
        <f>IFERROR(IF(AND('Master Data'!$I$28='GA55 Check &amp; Edit'!$AP$6),"",IF(AND(D12=$AX$25),"",IF(AND(D12=$AX$28),"",IF(AND(D12=$AX$29),"",IF(AND(D12=""),"",VLOOKUP(D12,ram,12,0)))))),"")</f>
        <v>3575</v>
      </c>
      <c r="R12" s="319">
        <f>IFERROR(IF(OR('Master Data'!$I$28='GA55 Check &amp; Edit'!$AP$6,D12=""),"",IF(AND(D12=$AX$24),"",IF(AND(D12=$AX$25),"",IF(AND(D12=$AX$26),"",IF(AND(D12=$AX$27),"",IF(AND(D12=$AX$28),"",IF(AND(D12=$AX$29),"",IF(AND(E12=""),"",'Master Data'!$I$43)))))))),"")</f>
        <v>1880</v>
      </c>
      <c r="S12" s="319">
        <f>IFERROR(IF(OR('Master Data'!$I$28='GA55 Check &amp; Edit'!$AP$6),"",IF(D12="","",IF(E12="","",IF(AND(D12=$AX$24),"",IF(AND(D12=$AX$25),"",IF(AND(D12=$AX$26),"",IF(AND(D12=$AX$27),"",IF(AND(D12=$AX$28),"",IF(AND(D12=$AX$29),"",VLOOKUP(D12,ram,10,0)))))))))),"")</f>
        <v>658</v>
      </c>
      <c r="T12" s="319">
        <f>IFERROR(IF(OR('Master Data'!$I$28='GA55 Check &amp; Edit'!$AP$6,D12=""),"",IF(AND(D12=$AX$24),"",IF(AND(D12=$AX$25),"",IF(AND(D12=$AX$26),"",IF(AND(D12=$AX$27),"",IF(AND(D12=$AX$28),"",IF(AND(D12=$AX$29),"",IF(AND(E12=""),"",'Master Data'!$K$43)))))))),"")</f>
        <v>0</v>
      </c>
      <c r="U12" s="319">
        <f>IFERROR(IF(OR('Master Data'!$I$28='GA55 Check &amp; Edit'!$AP$6,D12=""),"",IF(AND(D12=$AX$24),"",IF(AND(D12=$AX$25),"",IF(AND(D12=$AX$26),"",IF(AND(D12=$AX$27),"",IF(AND(D12=$AX$28),"",IF(AND(D12=$AX$29),"",IF(AND(E12=""),"",'Master Data'!$L$43)))))))),"")</f>
        <v>0</v>
      </c>
      <c r="V12" s="319">
        <f>IFERROR(IF(OR('Master Data'!$I$28='GA55 Check &amp; Edit'!$AP$6,D12=""),"",IF(AND(D12=$AX$24),"",IF(AND(D12=$AX$25),"",IF(AND(D12=$AX$26),"",IF(AND(D12=$AX$27),"",IF(AND(D12=$AX$28),"",IF(AND(D12=$AX$29),"",IF(AND(E12=""),"",'Master Data'!$M$43)))))))),"")</f>
        <v>0</v>
      </c>
      <c r="W12" s="319">
        <f>IFERROR(IF(OR('Master Data'!$I$28='GA55 Check &amp; Edit'!$AP$6,D12=""),"",IF(AND(D12=$AX$24),"",IF(AND(D12=$AX$25),"",IF(AND(D12=$AX$26),"",IF(AND(D12=$AX$27),"",IF(AND(D12=$AX$28),"",IF(AND(D12=$AX$29),"",IF(AND(E12=""),"",'Master Data'!$N$43)))))))),"")</f>
        <v>0</v>
      </c>
      <c r="X12" s="319" t="str">
        <f>IFERROR(IF(OR('Master Data'!$I$28='GA55 Check &amp; Edit'!$AP$6,D12=""),"",IF(AND(E12=""),"",IF(AND('GA55 Check &amp; Edit'!D12='GA55 Check &amp; Edit'!$AT$17,'Master Data'!$D$18="Gazetted"),500,IF(AND('GA55 Check &amp; Edit'!D12='GA55 Check &amp; Edit'!$AT$17,'Master Data'!$D$18="Non-Gazetted"),250,"")))),"")</f>
        <v/>
      </c>
      <c r="Y12" s="319">
        <f>IFERROR(IF(D12="","",IF(AND(E12=""),"",IF(AND(D12=$AX$24),"",IF(AND(D12=$AX$25),"",IF(AND(D12=$AX$26),"",IF(AND(D12=$AX$27),"",IF(AND(D12=$AX$28),"",IF(AND(D12=$AX$29),"",IF(OR('Master Data'!$I$28='GA55 Check &amp; Edit'!$AP$6,D12=""),"",$Y$7))))))))),"")</f>
        <v>0</v>
      </c>
      <c r="Z12" s="319">
        <f>IFERROR(IF(OR('Master Data'!$I$28='GA55 Check &amp; Edit'!$AP$6),"",IF(D12="","",IF(E12="","",VLOOKUP(D12,ram,9,0)))),"")</f>
        <v>2000</v>
      </c>
      <c r="AA12" s="319" t="str">
        <f>IFERROR(IF(OR('Master Data'!$I$28='GA55 Check &amp; Edit'!$AP$6,D12="",'Master Data'!$N$34=""),"",IF(AND(E12=""),"",IF('GA55 Check &amp; Edit'!D12='GA55 Check &amp; Edit'!$AT$9,'Master Data'!$N$34,""))),"")</f>
        <v/>
      </c>
      <c r="AB12" s="320">
        <f t="shared" si="3"/>
        <v>15113</v>
      </c>
      <c r="AC12" s="33">
        <f t="shared" si="4"/>
        <v>61964</v>
      </c>
      <c r="AD12" s="1020"/>
      <c r="AE12" s="1016"/>
      <c r="AF12" s="37"/>
      <c r="AH12" s="366"/>
      <c r="AI12" s="366"/>
      <c r="AJ12" s="366"/>
      <c r="AK12" s="366"/>
      <c r="AL12" s="366"/>
      <c r="AM12" s="400"/>
      <c r="AN12" s="400"/>
      <c r="AO12" s="400"/>
      <c r="AP12" s="400"/>
      <c r="AQ12" s="400"/>
      <c r="AR12" s="400" t="s">
        <v>17</v>
      </c>
      <c r="AS12" s="400" t="s">
        <v>16</v>
      </c>
      <c r="AT12" s="405">
        <v>44743</v>
      </c>
      <c r="AU12" s="400" t="s">
        <v>83</v>
      </c>
      <c r="AV12" s="400"/>
      <c r="AW12" s="412" t="s">
        <v>12</v>
      </c>
      <c r="AX12" s="406">
        <v>44621</v>
      </c>
      <c r="AY12" s="411">
        <v>3</v>
      </c>
      <c r="AZ12" s="411"/>
      <c r="BA12" s="414">
        <f>IF(AND('Master Data'!$N$24=""),"",IF(AND('Master Data'!$N$26='GA55 Check &amp; Edit'!$AP$6),'GA55 Check &amp; Edit'!$AZ$15,BU12))</f>
        <v>52300</v>
      </c>
      <c r="BB12" s="411">
        <f>IF(AND(AX12&lt;$AZ$16),"",IF(AND(AX12&gt;$AZ$17),"",BA12))</f>
        <v>52300</v>
      </c>
      <c r="BC12" s="411">
        <f>IF(AND('Master Data'!$N$24=""),"",ROUND(31%*BA12,0))</f>
        <v>16213</v>
      </c>
      <c r="BD12" s="411">
        <f>IF(BB12="","",BC12)</f>
        <v>16213</v>
      </c>
      <c r="BE12" s="413">
        <f>IFERROR(IF(AND('Master Data'!$N$24=""),"",ROUND('Master Data'!$E$34%*BB12,0)),"")</f>
        <v>4707</v>
      </c>
      <c r="BF12" s="414">
        <f>'Master Data'!B47</f>
        <v>2000</v>
      </c>
      <c r="BG12" s="414">
        <f>IFERROR(IF(OR('Master Data'!$I$28='GA55 Check &amp; Edit'!$AP$6),"",IF('Master Data'!$I$30="GPF-2004",IF(BB12&lt;18001,135,IF(BB12&lt;33501,220,IF(BB12&lt;54001,330,440))),IF(AND('Master Data'!$I$30="GPF",'Master Data'!$J$43=""),IF(BB12&lt;18001,265,IF(BB12&lt;33501,440,IF(BB12&lt;54001,658,875))),'Master Data'!$J$43))),"")</f>
        <v>330</v>
      </c>
      <c r="BH12" s="411">
        <f>IFERROR(IF(OR('Master Data'!$I$28='GA55 Check &amp; Edit'!$AP$6),"",'Master Data'!$G$43),"")</f>
        <v>7000</v>
      </c>
      <c r="BI12" s="415" t="str">
        <f>IFERROR(IF('Master Data'!$I$30="GPF-2004","",IF(OR('Master Data'!$I$28='GA55 Check &amp; Edit'!$AP$6),"",'Master Data'!$H$43)),"")</f>
        <v/>
      </c>
      <c r="BJ12" s="414">
        <f>BA12</f>
        <v>52300</v>
      </c>
      <c r="BK12" s="418">
        <v>44621</v>
      </c>
      <c r="BL12" s="418">
        <f>IFERROR(IF('Master Data'!$N$24="","",IF('Master Data'!$F$40="","",IF(AND($AZ$17&gt;$AZ$9),"",DATE(YEAR(AZ16),MONTH(AZ16),DAY(AZ16))))),"")</f>
        <v>44621</v>
      </c>
      <c r="BM12" s="419">
        <f>IFERROR(IF('Master Data'!$N$24="","",IF('Master Data'!$F$40="","",IF(AND($AZ$17&gt;$AZ$9),"",DATE(YEAR(AZ16),MONTH(AZ16),DAY(AZ16))))),"")</f>
        <v>44621</v>
      </c>
      <c r="BN12" s="419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44621</v>
      </c>
      <c r="BO12" s="419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44621</v>
      </c>
      <c r="BP12" s="419"/>
      <c r="BQ12" s="419">
        <f>IFERROR(IF(BM12="","",IF(D8=$AX$25,$AX$25,IF(D8=$AX$30,$AX$30,IF(D8=$AX$31,$AX$31,IF(D8=$AX$32,$AX$32,IF(BM12&gt;$AZ$17,"",BM12)))))),"")</f>
        <v>44621</v>
      </c>
      <c r="BR12" s="419"/>
      <c r="BS12" s="420">
        <f ca="1">OFFSET(D6,MATCH(BO12,$D$8:$D$27,0)+1,MATCH(BO12,D8:N8,0))</f>
        <v>52300</v>
      </c>
      <c r="BT12" s="420"/>
      <c r="BU12" s="420">
        <f>IF(AND('Master Data'!$N$24=""),"",IF(AND('Master Data'!$N$26='GA55 Check &amp; Edit'!AX12),'Master Data'!$N$30,'Master Data'!$N$24))</f>
        <v>52300</v>
      </c>
      <c r="BV12" s="419"/>
      <c r="BW12" s="400"/>
      <c r="BX12" s="420">
        <f>IF(BB12="",0,BF12)</f>
        <v>2000</v>
      </c>
      <c r="BY12" s="400"/>
      <c r="BZ12" s="400"/>
      <c r="CA12" s="400"/>
      <c r="CB12" s="400"/>
      <c r="CC12" s="400"/>
      <c r="CD12" s="400"/>
      <c r="CE12" s="400"/>
      <c r="CF12" s="400"/>
      <c r="CG12" s="400"/>
      <c r="CH12" s="400"/>
      <c r="CI12" s="366"/>
      <c r="CJ12" s="366"/>
      <c r="CK12" s="366"/>
      <c r="CL12" s="366"/>
    </row>
    <row r="13" spans="1:103" s="341" customFormat="1" ht="21" customHeight="1">
      <c r="A13" s="32">
        <f t="shared" si="0"/>
        <v>0</v>
      </c>
      <c r="B13" s="47">
        <f>IF(LEN(D13)&gt;=3,B12+1,0)</f>
        <v>6</v>
      </c>
      <c r="C13" s="48">
        <f t="shared" ref="C13:C28" si="7">IF(B13=0,"",B13)</f>
        <v>6</v>
      </c>
      <c r="D13" s="318">
        <f t="shared" si="2"/>
        <v>44774</v>
      </c>
      <c r="E13" s="250">
        <f>IFERROR(IF(D13="","",IF(AND(BQ17=""),"",IF(AND('Master Data'!$I$28='GA55 Check &amp; Edit'!$AP$6),VLOOKUP(D13,ram,13,0),VLOOKUP(D13,ram,4,0)))),"")</f>
        <v>53900</v>
      </c>
      <c r="F13" s="251">
        <f>IFERROR(IF(D13="","",IF(D13=$AX$24,"",IF(AND(D13=$AX$28),"",IF(AND('Master Data'!$I$28='GA55 Check &amp; Edit'!$AP$5),VLOOKUP(D13,ram,7,0),"")))),"")</f>
        <v>18326</v>
      </c>
      <c r="G13" s="251">
        <f>IFERROR(IF(D13="","",IF(D13=$AX$24,"",IF(AND(D13=$AX$25),"",IF(AND(D13=$AX$26),"",IF(AND(D13=$AX$27),"",IF(AND(D13=$AX$28),"",IF(AND(D13=$AX$29),"",IF(AND('Master Data'!$I$28='GA55 Check &amp; Edit'!$AP$6),"",VLOOKUP(D13,ram,8,0))))))))),"")</f>
        <v>4851</v>
      </c>
      <c r="H13" s="251">
        <f>IFERROR(IF(D13="","",IF(AND(E13=""),"",IF(OR(D13=$AX$24,D13=$AX$25,D13=$AX$26,D13=$AX$27,D13=$AX$28,D13=$AX$29),"",IF(AND('Master Data'!$I$28='GA55 Check &amp; Edit'!$AP$5),'Master Data'!$B$43,"")))),"")</f>
        <v>0</v>
      </c>
      <c r="I13" s="251" t="str">
        <f>IFERROR(IF(D13="","",IF(AND(E13=""),"",IF(OR(D13=$AX$24,D13=$AX$25,D13=$AX$26,D13=$AX$27,D13=$AX$28,D13=$AX$29),"",IF(AND('Master Data'!$I$28='GA55 Check &amp; Edit'!$AP$5,'Master Data'!$E$28='GA55 Check &amp; Edit'!$AO$5),'Master Data'!$E$30,"0")))),"")</f>
        <v>0</v>
      </c>
      <c r="J13" s="251" t="str">
        <f>IFERROR(IF(OR('Master Data'!$E$32=$AO$6,'Master Data'!$E$32=""),"",IF(D13="","",IF(AND(E13=""),"",IF(OR(D13=$AX$24,D13=$AX$25,D13=$AX$26,D13=$AX$27,D13=$AX$28,D13=$AX$29),"",IF(AND('Master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251">
        <f>IFERROR(IF(D13="","",IF(AND(E13=""),"",IF(OR(D13=$AX$24,D13=$AX$25,D13=$AX$26,D13=$AX$27,D13=$AX$28,D13=$AX$29),"",IF(AND('Master Data'!$I$28='GA55 Check &amp; Edit'!$AP$5),'Master Data'!$C$43,"")))),"")</f>
        <v>0</v>
      </c>
      <c r="L13" s="251">
        <f>IFERROR(IF(D13="","",IF(AND(E13=""),"",IF(OR(D13=$AX$24,D13=$AX$25,D13=$AX$26,D13=$AX$27,D13=$AX$28,D13=$AX$29),"",IF(AND('Master Data'!$I$28='GA55 Check &amp; Edit'!$AP$6),"",'Master Data'!$D$43)))),"")</f>
        <v>0</v>
      </c>
      <c r="M13" s="251">
        <f>IFERROR(IF(D13="","",IF(AND(E13=""),"",IF(OR(D13=$AX$24,D13=$AX$25,D13=$AX$26,D13=$AX$27,D13=$AX$28,D13=$AX$29),"",IF(AND('Master Data'!$I$28='GA55 Check &amp; Edit'!$AP$6),"",'Master Data'!$E$43)))),"")</f>
        <v>0</v>
      </c>
      <c r="N13" s="251" t="str">
        <f>IFERROR(IF(D13="","",IF(AND('Master Data'!$I$28='GA55 Check &amp; Edit'!$AP$6),"",IF(AND('Master Data'!$I$24='GA55 Check &amp; Edit'!$AO$6),"0",IF(AND(D13="Bonus"),VLOOKUP(D13,ram,4,0),"")))),"")</f>
        <v/>
      </c>
      <c r="O13" s="41">
        <f>IF(D13="","",IF('Master Data'!$N$24="","",SUM(E13:N13)))</f>
        <v>77077</v>
      </c>
      <c r="P13" s="319">
        <f>IFERROR(IF(OR('Master Data'!$I$28='GA55 Check &amp; Edit'!$AP$6,D13=""),"",IF(AND(D13=$AX$24),"",IF(AND(D13=$AX$25),"",IF(AND(D13=$AX$26),"",IF(AND(D13=$AX$27),"",IF(AND(D13=$AX$28),"",IF(AND(D13=$AX$29),"",IF(AND(E13=""),"",VLOOKUP(D13,ram,11,0))))))))),"")</f>
        <v>7000</v>
      </c>
      <c r="Q13" s="384">
        <f>IFERROR(IF(AND('Master Data'!$I$28='GA55 Check &amp; Edit'!$AP$6),"",IF(AND(D13=$AX$25),"",IF(AND(D13=$AX$28),"",IF(AND(D13=$AX$29),"",IF(AND(D13=""),"",VLOOKUP(D13,ram,12,0)))))),"")</f>
        <v>3575</v>
      </c>
      <c r="R13" s="319">
        <f>IFERROR(IF(OR('Master Data'!$I$28='GA55 Check &amp; Edit'!$AP$6,D13=""),"",IF(AND(D13=$AX$24),"",IF(AND(D13=$AX$25),"",IF(AND(D13=$AX$26),"",IF(AND(D13=$AX$27),"",IF(AND(D13=$AX$28),"",IF(AND(D13=$AX$29),"",IF(AND(E13=""),"",'Master Data'!$I$43)))))))),"")</f>
        <v>1880</v>
      </c>
      <c r="S13" s="319">
        <f>IFERROR(IF(OR('Master Data'!$I$28='GA55 Check &amp; Edit'!$AP$6),"",IF(D13="","",IF(E13="","",IF(AND(D13=$AX$24),"",IF(AND(D13=$AX$25),"",IF(AND(D13=$AX$26),"",IF(AND(D13=$AX$27),"",IF(AND(D13=$AX$28),"",IF(AND(D13=$AX$29),"",VLOOKUP(D13,ram,10,0)))))))))),"")</f>
        <v>658</v>
      </c>
      <c r="T13" s="319">
        <f>IFERROR(IF(OR('Master Data'!$I$28='GA55 Check &amp; Edit'!$AP$6,D13=""),"",IF(AND(D13=$AX$24),"",IF(AND(D13=$AX$25),"",IF(AND(D13=$AX$26),"",IF(AND(D13=$AX$27),"",IF(AND(D13=$AX$28),"",IF(AND(D13=$AX$29),"",IF(AND(E13=""),"",'Master Data'!$K$43)))))))),"")</f>
        <v>0</v>
      </c>
      <c r="U13" s="319">
        <f>IFERROR(IF(OR('Master Data'!$I$28='GA55 Check &amp; Edit'!$AP$6,D13=""),"",IF(AND(D13=$AX$24),"",IF(AND(D13=$AX$25),"",IF(AND(D13=$AX$26),"",IF(AND(D13=$AX$27),"",IF(AND(D13=$AX$28),"",IF(AND(D13=$AX$29),"",IF(AND(E13=""),"",'Master Data'!$L$43)))))))),"")</f>
        <v>0</v>
      </c>
      <c r="V13" s="319">
        <f>IFERROR(IF(OR('Master Data'!$I$28='GA55 Check &amp; Edit'!$AP$6,D13=""),"",IF(AND(D13=$AX$24),"",IF(AND(D13=$AX$25),"",IF(AND(D13=$AX$26),"",IF(AND(D13=$AX$27),"",IF(AND(D13=$AX$28),"",IF(AND(D13=$AX$29),"",IF(AND(E13=""),"",'Master Data'!$M$43)))))))),"")</f>
        <v>0</v>
      </c>
      <c r="W13" s="319">
        <f>IFERROR(IF(OR('Master Data'!$I$28='GA55 Check &amp; Edit'!$AP$6,D13=""),"",IF(AND(D13=$AX$24),"",IF(AND(D13=$AX$25),"",IF(AND(D13=$AX$26),"",IF(AND(D13=$AX$27),"",IF(AND(D13=$AX$28),"",IF(AND(D13=$AX$29),"",IF(AND(E13=""),"",'Master Data'!$N$43)))))))),"")</f>
        <v>0</v>
      </c>
      <c r="X13" s="319" t="str">
        <f>IFERROR(IF(OR('Master Data'!$I$28='GA55 Check &amp; Edit'!$AP$6,D13=""),"",IF(AND(E13=""),"",IF(AND('GA55 Check &amp; Edit'!D13='GA55 Check &amp; Edit'!$AT$17,'Master Data'!$D$18="Gazetted"),500,IF(AND('GA55 Check &amp; Edit'!D13='GA55 Check &amp; Edit'!$AT$17,'Master Data'!$D$18="Non-Gazetted"),250,"")))),"")</f>
        <v/>
      </c>
      <c r="Y13" s="319">
        <f>IFERROR(IF(D13="","",IF(AND(E13=""),"",IF(AND(D13=$AX$24),"",IF(AND(D13=$AX$25),"",IF(AND(D13=$AX$26),"",IF(AND(D13=$AX$27),"",IF(AND(D13=$AX$28),"",IF(AND(D13=$AX$29),"",IF(OR('Master Data'!$I$28='GA55 Check &amp; Edit'!$AP$6,D13=""),"",$Y$7))))))))),"")</f>
        <v>0</v>
      </c>
      <c r="Z13" s="319">
        <f>IFERROR(IF(OR('Master Data'!$I$28='GA55 Check &amp; Edit'!$AP$6),"",IF(D13="","",IF(E13="","",VLOOKUP(D13,ram,9,0)))),"")</f>
        <v>5000</v>
      </c>
      <c r="AA13" s="319" t="str">
        <f>IFERROR(IF(OR('Master Data'!$I$28='GA55 Check &amp; Edit'!$AP$6,D13="",'Master Data'!$N$34=""),"",IF(AND(E13=""),"",IF('GA55 Check &amp; Edit'!D13='GA55 Check &amp; Edit'!$AT$9,'Master Data'!$N$34,""))),"")</f>
        <v/>
      </c>
      <c r="AB13" s="320">
        <f t="shared" si="3"/>
        <v>18113</v>
      </c>
      <c r="AC13" s="33">
        <f t="shared" si="4"/>
        <v>58964</v>
      </c>
      <c r="AD13" s="1020"/>
      <c r="AE13" s="1016"/>
      <c r="AF13" s="37"/>
      <c r="AH13" s="366"/>
      <c r="AI13" s="366"/>
      <c r="AJ13" s="366"/>
      <c r="AK13" s="366"/>
      <c r="AL13" s="366"/>
      <c r="AM13" s="400"/>
      <c r="AN13" s="400"/>
      <c r="AO13" s="400"/>
      <c r="AP13" s="400"/>
      <c r="AQ13" s="400"/>
      <c r="AR13" s="400"/>
      <c r="AS13" s="400" t="s">
        <v>18</v>
      </c>
      <c r="AT13" s="405">
        <v>44774</v>
      </c>
      <c r="AU13" s="400" t="s">
        <v>84</v>
      </c>
      <c r="AV13" s="420"/>
      <c r="AW13" s="412" t="s">
        <v>14</v>
      </c>
      <c r="AX13" s="406">
        <v>44652</v>
      </c>
      <c r="AY13" s="411">
        <v>4</v>
      </c>
      <c r="AZ13" s="411"/>
      <c r="BA13" s="414">
        <f>IF(AND('Master Data'!$N$24=""),"",IF(AND('Master Data'!$N$28='GA55 Check &amp; Edit'!$AP$6),'GA55 Check &amp; Edit'!$AZ$15,BU13))</f>
        <v>52300</v>
      </c>
      <c r="BB13" s="411">
        <f>IF(AND(AX13&lt;$AZ$16),"",IF(AND(AX13&gt;$AZ$17),"",BA13))</f>
        <v>52300</v>
      </c>
      <c r="BC13" s="411">
        <f>IF(AND('Master Data'!$N$24=""),"",ROUND(34%*BA13,0))</f>
        <v>17782</v>
      </c>
      <c r="BD13" s="411">
        <f>IF(BB13="","",BC13)</f>
        <v>17782</v>
      </c>
      <c r="BE13" s="413">
        <f>IFERROR(IF(AND('Master Data'!$N$24=""),"",ROUND('Master Data'!$E$34%*BB13,0)),"")</f>
        <v>4707</v>
      </c>
      <c r="BF13" s="414">
        <f>'Master Data'!C47</f>
        <v>2000</v>
      </c>
      <c r="BG13" s="414">
        <f>IFERROR(IF(OR('Master Data'!$I$28='GA55 Check &amp; Edit'!$AP$6),"",IF('Master Data'!$I$30="GPF-2004",IF(BB13&lt;18001,265,IF(BB13&lt;33501,440,IF(BB13&lt;54001,658,875))),IF(AND('Master Data'!$I$30="GPF",'Master Data'!$J$43=""),IF(BB13&lt;18001,265,IF(BB13&lt;33501,440,IF(BB13&lt;54001,658,875))),'Master Data'!$J$43))),"")</f>
        <v>658</v>
      </c>
      <c r="BH13" s="411">
        <f>IFERROR(IF(OR('Master Data'!$I$28='GA55 Check &amp; Edit'!$AP$6),"",'Master Data'!$G$43),"")</f>
        <v>7000</v>
      </c>
      <c r="BI13" s="415" t="str">
        <f>IFERROR(IF('Master Data'!$I$30="GPF-2004","",IF(OR('Master Data'!$I$28='GA55 Check &amp; Edit'!$AP$6),"",'Master Data'!$H$43)),"")</f>
        <v/>
      </c>
      <c r="BJ13" s="414">
        <f>BA13</f>
        <v>52300</v>
      </c>
      <c r="BK13" s="418">
        <v>44652</v>
      </c>
      <c r="BL13" s="418">
        <f>IFERROR(IF('Master Data'!$N$24="","",IF('Master Data'!$F$40="","",IF(AND($AZ$17&gt;$AZ$9),"",DATE(YEAR(BL12),MONTH(BL12)+1,DAY(BL12))))),"")</f>
        <v>44652</v>
      </c>
      <c r="BM13" s="419">
        <f>IFERROR(IF('Master Data'!$N$24="","",IF('Master Data'!$F$40="","",IF(AND($AZ$17&gt;$AZ$9),"",DATE(YEAR(BM12),MONTH(BM12)+1,DAY(BM12))))),"")</f>
        <v>44652</v>
      </c>
      <c r="BN13" s="419">
        <f t="shared" ref="BN13:BN32" si="8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44652</v>
      </c>
      <c r="BO13" s="419">
        <f t="shared" ref="BO13:BO33" si="9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44652</v>
      </c>
      <c r="BP13" s="419"/>
      <c r="BQ13" s="419">
        <f t="shared" ref="BQ13:BQ32" si="10">IFERROR(IF(BM13="","",IF(D9=$AX$25,$AX$25,IF(D9=$AX$30,$AX$30,IF(D9=$AX$31,$AX$31,IF(D9=$AX$32,$AX$32,IF(BM13&gt;$AZ$17,"",BM13)))))),"")</f>
        <v>44652</v>
      </c>
      <c r="BR13" s="419"/>
      <c r="BS13" s="420">
        <f t="shared" ref="BS13:BS20" ca="1" si="11">OFFSET(D7,MATCH(BO13,$D$8:$D$27,0)+1,MATCH(BO13,D9:N9,0))</f>
        <v>52300</v>
      </c>
      <c r="BT13" s="420"/>
      <c r="BU13" s="420">
        <f>IF(AND('Master Data'!$N$24=""),"",IF(AND('Master Data'!$N$26='GA55 Check &amp; Edit'!AX13),'Master Data'!$N$30,BU12))</f>
        <v>52300</v>
      </c>
      <c r="BV13" s="400"/>
      <c r="BW13" s="400"/>
      <c r="BX13" s="420">
        <f t="shared" ref="BX13:BX22" si="12">IF(BB13="",0,BF13)</f>
        <v>2000</v>
      </c>
      <c r="BY13" s="400"/>
      <c r="BZ13" s="400"/>
      <c r="CA13" s="400"/>
      <c r="CB13" s="400"/>
      <c r="CC13" s="400"/>
      <c r="CD13" s="400"/>
      <c r="CE13" s="400"/>
      <c r="CF13" s="400"/>
      <c r="CG13" s="400"/>
      <c r="CH13" s="400"/>
      <c r="CI13" s="366"/>
      <c r="CJ13" s="366"/>
      <c r="CK13" s="366"/>
      <c r="CL13" s="366"/>
    </row>
    <row r="14" spans="1:103" s="341" customFormat="1" ht="21" customHeight="1">
      <c r="A14" s="32">
        <f t="shared" si="0"/>
        <v>1</v>
      </c>
      <c r="B14" s="47">
        <f t="shared" si="5"/>
        <v>7</v>
      </c>
      <c r="C14" s="48">
        <f t="shared" si="7"/>
        <v>7</v>
      </c>
      <c r="D14" s="318">
        <f>IFERROR(IF(BO18="","",BO18),"")</f>
        <v>44805</v>
      </c>
      <c r="E14" s="250">
        <f>IFERROR(IF(D14="","",IF(AND(BQ18=""),"",IF(AND('Master Data'!$I$28='GA55 Check &amp; Edit'!$AP$6),VLOOKUP(D14,ram,13,0),VLOOKUP(D14,ram,4,0)))),"")</f>
        <v>53900</v>
      </c>
      <c r="F14" s="251">
        <f>IFERROR(IF(D14="","",IF(D14=$AX$24,"",IF(AND(D14=$AX$28),"",IF(AND('Master Data'!$I$28='GA55 Check &amp; Edit'!$AP$5),VLOOKUP(D14,ram,7,0),"")))),"")</f>
        <v>18326</v>
      </c>
      <c r="G14" s="251">
        <f>IFERROR(IF(D14="","",IF(D14=$AX$24,"",IF(AND(D14=$AX$25),"",IF(AND(D14=$AX$26),"",IF(AND(D14=$AX$27),"",IF(AND(D14=$AX$28),"",IF(AND(D14=$AX$29),"",IF(AND('Master Data'!$I$28='GA55 Check &amp; Edit'!$AP$6),"",VLOOKUP(D14,ram,8,0))))))))),"")</f>
        <v>4851</v>
      </c>
      <c r="H14" s="251">
        <f>IFERROR(IF(D14="","",IF(AND(E14=""),"",IF(OR(D14=$AX$24,D14=$AX$25,D14=$AX$26,D14=$AX$27,D14=$AX$28,D14=$AX$29),"",IF(AND('Master Data'!$I$28='GA55 Check &amp; Edit'!$AP$5),'Master Data'!$B$43,"")))),"")</f>
        <v>0</v>
      </c>
      <c r="I14" s="251" t="str">
        <f>IFERROR(IF(D14="","",IF(AND(E14=""),"",IF(OR(D14=$AX$24,D14=$AX$25,D14=$AX$26,D14=$AX$27,D14=$AX$28,D14=$AX$29),"",IF(AND('Master Data'!$I$28='GA55 Check &amp; Edit'!$AP$5,'Master Data'!$E$28='GA55 Check &amp; Edit'!$AO$5),'Master Data'!$E$30,"0")))),"")</f>
        <v>0</v>
      </c>
      <c r="J14" s="251" t="str">
        <f>IFERROR(IF(OR('Master Data'!$E$32=$AO$6,'Master Data'!$E$32=""),"",IF(D14="","",IF(AND(E14=""),"",IF(OR(D14=$AX$24,D14=$AX$25,D14=$AX$26,D14=$AX$27,D14=$AX$28,D14=$AX$29),"",IF(AND('Master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251">
        <f>IFERROR(IF(D14="","",IF(AND(E14=""),"",IF(OR(D14=$AX$24,D14=$AX$25,D14=$AX$26,D14=$AX$27,D14=$AX$28,D14=$AX$29),"",IF(AND('Master Data'!$I$28='GA55 Check &amp; Edit'!$AP$5),'Master Data'!$C$43,"")))),"")</f>
        <v>0</v>
      </c>
      <c r="L14" s="251">
        <f>IFERROR(IF(D14="","",IF(AND(E14=""),"",IF(OR(D14=$AX$24,D14=$AX$25,D14=$AX$26,D14=$AX$27,D14=$AX$28,D14=$AX$29),"",IF(AND('Master Data'!$I$28='GA55 Check &amp; Edit'!$AP$6),"",'Master Data'!$D$43)))),"")</f>
        <v>0</v>
      </c>
      <c r="M14" s="251">
        <f>IFERROR(IF(D14="","",IF(AND(E14=""),"",IF(OR(D14=$AX$24,D14=$AX$25,D14=$AX$26,D14=$AX$27,D14=$AX$28,D14=$AX$29),"",IF(AND('Master Data'!$I$28='GA55 Check &amp; Edit'!$AP$6),"",'Master Data'!$E$43)))),"")</f>
        <v>0</v>
      </c>
      <c r="N14" s="251" t="str">
        <f>IFERROR(IF(D14="","",IF(AND('Master Data'!$I$28='GA55 Check &amp; Edit'!$AP$6),"",IF(AND('Master Data'!$I$24='GA55 Check &amp; Edit'!$AO$6),"0",IF(AND(D14="Bonus"),VLOOKUP(D14,ram,4,0),"")))),"")</f>
        <v/>
      </c>
      <c r="O14" s="41">
        <f>IF(D14="","",IF('Master Data'!$N$24="","",SUM(E14:N14)))</f>
        <v>77077</v>
      </c>
      <c r="P14" s="319">
        <f>IFERROR(IF(OR('Master Data'!$I$28='GA55 Check &amp; Edit'!$AP$6,D14=""),"",IF(AND(D14=$AX$24),"",IF(AND(D14=$AX$25),"",IF(AND(D14=$AX$26),"",IF(AND(D14=$AX$27),"",IF(AND(D14=$AX$28),"",IF(AND(D14=$AX$29),"",IF(AND(E14=""),"",VLOOKUP(D14,ram,11,0))))))))),"")</f>
        <v>7000</v>
      </c>
      <c r="Q14" s="384">
        <f>IFERROR(IF(AND('Master Data'!$I$28='GA55 Check &amp; Edit'!$AP$6),"",IF(AND(D14=$AX$25),"",IF(AND(D14=$AX$28),"",IF(AND(D14=$AX$29),"",IF(AND(D14=""),"",VLOOKUP(D14,ram,12,0)))))),"")</f>
        <v>3575</v>
      </c>
      <c r="R14" s="319">
        <f>IFERROR(IF(OR('Master Data'!$I$28='GA55 Check &amp; Edit'!$AP$6,D14=""),"",IF(AND(D14=$AX$24),"",IF(AND(D14=$AX$25),"",IF(AND(D14=$AX$26),"",IF(AND(D14=$AX$27),"",IF(AND(D14=$AX$28),"",IF(AND(D14=$AX$29),"",IF(AND(E14=""),"",'Master Data'!$I$43)))))))),"")</f>
        <v>1880</v>
      </c>
      <c r="S14" s="319">
        <f>IFERROR(IF(OR('Master Data'!$I$28='GA55 Check &amp; Edit'!$AP$6),"",IF(D14="","",IF(E14="","",IF(AND(D14=$AX$24),"",IF(AND(D14=$AX$25),"",IF(AND(D14=$AX$26),"",IF(AND(D14=$AX$27),"",IF(AND(D14=$AX$28),"",IF(AND(D14=$AX$29),"",VLOOKUP(D14,ram,10,0)))))))))),"")</f>
        <v>658</v>
      </c>
      <c r="T14" s="319">
        <f>IFERROR(IF(OR('Master Data'!$I$28='GA55 Check &amp; Edit'!$AP$6,D14=""),"",IF(AND(D14=$AX$24),"",IF(AND(D14=$AX$25),"",IF(AND(D14=$AX$26),"",IF(AND(D14=$AX$27),"",IF(AND(D14=$AX$28),"",IF(AND(D14=$AX$29),"",IF(AND(E14=""),"",'Master Data'!$K$43)))))))),"")</f>
        <v>0</v>
      </c>
      <c r="U14" s="319">
        <f>IFERROR(IF(OR('Master Data'!$I$28='GA55 Check &amp; Edit'!$AP$6,D14=""),"",IF(AND(D14=$AX$24),"",IF(AND(D14=$AX$25),"",IF(AND(D14=$AX$26),"",IF(AND(D14=$AX$27),"",IF(AND(D14=$AX$28),"",IF(AND(D14=$AX$29),"",IF(AND(E14=""),"",'Master Data'!$L$43)))))))),"")</f>
        <v>0</v>
      </c>
      <c r="V14" s="319">
        <f>IFERROR(IF(OR('Master Data'!$I$28='GA55 Check &amp; Edit'!$AP$6,D14=""),"",IF(AND(D14=$AX$24),"",IF(AND(D14=$AX$25),"",IF(AND(D14=$AX$26),"",IF(AND(D14=$AX$27),"",IF(AND(D14=$AX$28),"",IF(AND(D14=$AX$29),"",IF(AND(E14=""),"",'Master Data'!$M$43)))))))),"")</f>
        <v>0</v>
      </c>
      <c r="W14" s="319">
        <f>IFERROR(IF(OR('Master Data'!$I$28='GA55 Check &amp; Edit'!$AP$6,D14=""),"",IF(AND(D14=$AX$24),"",IF(AND(D14=$AX$25),"",IF(AND(D14=$AX$26),"",IF(AND(D14=$AX$27),"",IF(AND(D14=$AX$28),"",IF(AND(D14=$AX$29),"",IF(AND(E14=""),"",'Master Data'!$N$43)))))))),"")</f>
        <v>0</v>
      </c>
      <c r="X14" s="319" t="str">
        <f>IFERROR(IF(OR('Master Data'!$I$28='GA55 Check &amp; Edit'!$AP$6,D14=""),"",IF(AND(E14=""),"",IF(AND('GA55 Check &amp; Edit'!D14='GA55 Check &amp; Edit'!$AT$17,'Master Data'!$D$18="Gazetted"),500,IF(AND('GA55 Check &amp; Edit'!D14='GA55 Check &amp; Edit'!$AT$17,'Master Data'!$D$18="Non-Gazetted"),250,"")))),"")</f>
        <v/>
      </c>
      <c r="Y14" s="319">
        <f>IFERROR(IF(D14="","",IF(AND(E14=""),"",IF(AND(D14=$AX$24),"",IF(AND(D14=$AX$25),"",IF(AND(D14=$AX$26),"",IF(AND(D14=$AX$27),"",IF(AND(D14=$AX$28),"",IF(AND(D14=$AX$29),"",IF(OR('Master Data'!$I$28='GA55 Check &amp; Edit'!$AP$6,D14=""),"",$Y$7))))))))),"")</f>
        <v>0</v>
      </c>
      <c r="Z14" s="319">
        <f>IFERROR(IF(OR('Master Data'!$I$28='GA55 Check &amp; Edit'!$AP$6),"",IF(D14="","",IF(E14="","",VLOOKUP(D14,ram,9,0)))),"")</f>
        <v>5000</v>
      </c>
      <c r="AA14" s="319" t="str">
        <f>IFERROR(IF(OR('Master Data'!$I$28='GA55 Check &amp; Edit'!$AP$6,D14="",'Master Data'!$N$34=""),"",IF(AND(E14=""),"",IF('GA55 Check &amp; Edit'!D14='GA55 Check &amp; Edit'!$AT$9,'Master Data'!$N$34,""))),"")</f>
        <v/>
      </c>
      <c r="AB14" s="320">
        <f t="shared" si="3"/>
        <v>18113</v>
      </c>
      <c r="AC14" s="33">
        <f t="shared" si="4"/>
        <v>58964</v>
      </c>
      <c r="AD14" s="1020"/>
      <c r="AE14" s="1016"/>
      <c r="AF14" s="37"/>
      <c r="AH14" s="366"/>
      <c r="AI14" s="366"/>
      <c r="AJ14" s="366"/>
      <c r="AK14" s="366"/>
      <c r="AL14" s="366"/>
      <c r="AM14" s="400"/>
      <c r="AN14" s="400"/>
      <c r="AO14" s="400"/>
      <c r="AP14" s="400"/>
      <c r="AQ14" s="400"/>
      <c r="AR14" s="400"/>
      <c r="AS14" s="400" t="s">
        <v>20</v>
      </c>
      <c r="AT14" s="405">
        <v>44805</v>
      </c>
      <c r="AU14" s="400" t="s">
        <v>85</v>
      </c>
      <c r="AV14" s="400"/>
      <c r="AW14" s="412" t="s">
        <v>16</v>
      </c>
      <c r="AX14" s="406">
        <v>44682</v>
      </c>
      <c r="AY14" s="411">
        <v>5</v>
      </c>
      <c r="AZ14" s="411"/>
      <c r="BA14" s="414">
        <f>IF(AND('Master Data'!$N$24=""),"",IF(AND('Master Data'!$N$26='GA55 Check &amp; Edit'!$AP$6),'GA55 Check &amp; Edit'!$AZ$15,BU14))</f>
        <v>52300</v>
      </c>
      <c r="BB14" s="411">
        <f t="shared" ref="BB14:BB23" si="13">IF(AND(AX14&lt;$AZ$16),"",IF(AND(AX14&gt;$AZ$17),"",BA14))</f>
        <v>52300</v>
      </c>
      <c r="BC14" s="411">
        <f>IF(AND('Master Data'!$N$24=""),"",ROUND(34%*BA14,0))</f>
        <v>17782</v>
      </c>
      <c r="BD14" s="411">
        <f>IF(BB14="","",BC14)</f>
        <v>17782</v>
      </c>
      <c r="BE14" s="413">
        <f>IFERROR(IF(AND('Master Data'!$N$24=""),"",ROUND('Master Data'!$E$34%*BB14,0)),"")</f>
        <v>4707</v>
      </c>
      <c r="BF14" s="414">
        <f>'Master Data'!D47</f>
        <v>2000</v>
      </c>
      <c r="BG14" s="414">
        <f>IFERROR(IF(OR('Master Data'!$I$28='GA55 Check &amp; Edit'!$AP$6),"",IF('Master Data'!$I$30="GPF-2004",IF(BB14&lt;18001,265,IF(BB14&lt;33501,440,IF(BB14&lt;54001,658,875))),IF(AND('Master Data'!$I$30="GPF",'Master Data'!$J$43=""),IF(BB14&lt;18001,265,IF(BB14&lt;33501,440,IF(BB14&lt;54001,658,875))),'Master Data'!$J$43))),"")</f>
        <v>658</v>
      </c>
      <c r="BH14" s="411">
        <f>IFERROR(IF(OR('Master Data'!$I$28='GA55 Check &amp; Edit'!$AP$6),"",'Master Data'!$G$43),"")</f>
        <v>7000</v>
      </c>
      <c r="BI14" s="415">
        <f>IFERROR(IF(OR('Master Data'!$I$28='GA55 Check &amp; Edit'!$AP$6),"",IF('Master Data'!$I$30="GPF-2004",IF(BB14&lt;23101,1450,IF(BB14&lt;28501,1625,IF(BB14&lt;38501,2100,IF(BB14&lt;51501,2850,IF(BB14&lt;62001,3575,IF(BB14&lt;72001,4200,IF(BB14&lt;80001,4800,IF(BB14&lt;116001,6150,IF(BB14&lt;167001,8900,10500)))))))))*2,'Master Data'!$H$43)),"")</f>
        <v>7150</v>
      </c>
      <c r="BJ14" s="414">
        <f t="shared" ref="BJ14:BJ15" si="14">BA14</f>
        <v>52300</v>
      </c>
      <c r="BK14" s="418">
        <v>44682</v>
      </c>
      <c r="BL14" s="418">
        <f>IFERROR(IF('Master Data'!$N$24="","",IF('Master Data'!$F$40="","",IF(AND($AZ$17&gt;$AZ$9),"",DATE(YEAR(BL13),MONTH(BL13)+1,DAY(BL13))))),"")</f>
        <v>44682</v>
      </c>
      <c r="BM14" s="419">
        <f>IFERROR(IF('Master Data'!$N$24="","",IF('Master Data'!$F$40="","",IF(AND($AZ$17&gt;$AZ$9),"",DATE(YEAR(BM13),MONTH(BM13)+1,DAY(BM13))))),"")</f>
        <v>44682</v>
      </c>
      <c r="BN14" s="419">
        <f t="shared" si="8"/>
        <v>44682</v>
      </c>
      <c r="BO14" s="419">
        <f t="shared" si="9"/>
        <v>44682</v>
      </c>
      <c r="BP14" s="419"/>
      <c r="BQ14" s="419">
        <f t="shared" si="10"/>
        <v>44682</v>
      </c>
      <c r="BR14" s="419"/>
      <c r="BS14" s="420">
        <f t="shared" ca="1" si="11"/>
        <v>53900</v>
      </c>
      <c r="BT14" s="420"/>
      <c r="BU14" s="420">
        <f>IF(AND('Master Data'!$N$24=""),"",IF(AND('Master Data'!$N$26='GA55 Check &amp; Edit'!AX14),'Master Data'!$N$30,BU13))</f>
        <v>52300</v>
      </c>
      <c r="BV14" s="400"/>
      <c r="BW14" s="400"/>
      <c r="BX14" s="420">
        <f t="shared" si="12"/>
        <v>2000</v>
      </c>
      <c r="BY14" s="400"/>
      <c r="BZ14" s="400"/>
      <c r="CA14" s="400"/>
      <c r="CB14" s="400"/>
      <c r="CC14" s="400"/>
      <c r="CD14" s="400"/>
      <c r="CE14" s="400"/>
      <c r="CF14" s="400"/>
      <c r="CG14" s="400"/>
      <c r="CH14" s="400"/>
      <c r="CI14" s="366"/>
      <c r="CJ14" s="366"/>
      <c r="CK14" s="366"/>
      <c r="CL14" s="366"/>
    </row>
    <row r="15" spans="1:103" s="341" customFormat="1" ht="21" customHeight="1">
      <c r="A15" s="32">
        <f t="shared" si="0"/>
        <v>0</v>
      </c>
      <c r="B15" s="47">
        <f t="shared" si="5"/>
        <v>8</v>
      </c>
      <c r="C15" s="48">
        <f t="shared" si="7"/>
        <v>8</v>
      </c>
      <c r="D15" s="318">
        <f t="shared" si="2"/>
        <v>44835</v>
      </c>
      <c r="E15" s="250">
        <f>IFERROR(IF(D15="","",IF(AND(BQ19=""),"",IF(AND('Master Data'!$I$28='GA55 Check &amp; Edit'!$AP$6),VLOOKUP(D15,ram,13,0),VLOOKUP(D15,ram,4,0)))),"")</f>
        <v>53900</v>
      </c>
      <c r="F15" s="251">
        <f>IFERROR(IF(D15="","",IF(D15=$AX$24,"",IF(AND(D15=$AX$28),"",IF(AND('Master Data'!$I$28='GA55 Check &amp; Edit'!$AP$5),VLOOKUP(D15,ram,7,0),"")))),"")</f>
        <v>20482</v>
      </c>
      <c r="G15" s="251">
        <f>IFERROR(IF(D15="","",IF(D15=$AX$24,"",IF(AND(D15=$AX$25),"",IF(AND(D15=$AX$26),"",IF(AND(D15=$AX$27),"",IF(AND(D15=$AX$28),"",IF(AND(D15=$AX$29),"",IF(AND('Master Data'!$I$28='GA55 Check &amp; Edit'!$AP$6),"",VLOOKUP(D15,ram,8,0))))))))),"")</f>
        <v>4851</v>
      </c>
      <c r="H15" s="251">
        <f>IFERROR(IF(D15="","",IF(AND(E15=""),"",IF(OR(D15=$AX$24,D15=$AX$25,D15=$AX$26,D15=$AX$27,D15=$AX$28,D15=$AX$29),"",IF(AND('Master Data'!$I$28='GA55 Check &amp; Edit'!$AP$5),'Master Data'!$B$43,"")))),"")</f>
        <v>0</v>
      </c>
      <c r="I15" s="251" t="str">
        <f>IFERROR(IF(D15="","",IF(AND(E15=""),"",IF(OR(D15=$AX$24,D15=$AX$25,D15=$AX$26,D15=$AX$27,D15=$AX$28,D15=$AX$29),"",IF(AND('Master Data'!$I$28='GA55 Check &amp; Edit'!$AP$5,'Master Data'!$E$28='GA55 Check &amp; Edit'!$AO$5),'Master Data'!$E$30,"0")))),"")</f>
        <v>0</v>
      </c>
      <c r="J15" s="251" t="str">
        <f>IFERROR(IF(OR('Master Data'!$E$32=$AO$6,'Master Data'!$E$32=""),"",IF(D15="","",IF(AND(E15=""),"",IF(OR(D15=$AX$24,D15=$AX$25,D15=$AX$26,D15=$AX$27,D15=$AX$28,D15=$AX$29),"",IF(AND('Master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251">
        <f>IFERROR(IF(D15="","",IF(AND(E15=""),"",IF(OR(D15=$AX$24,D15=$AX$25,D15=$AX$26,D15=$AX$27,D15=$AX$28,D15=$AX$29),"",IF(AND('Master Data'!$I$28='GA55 Check &amp; Edit'!$AP$5),'Master Data'!$C$43,"")))),"")</f>
        <v>0</v>
      </c>
      <c r="L15" s="251">
        <f>IFERROR(IF(D15="","",IF(AND(E15=""),"",IF(OR(D15=$AX$24,D15=$AX$25,D15=$AX$26,D15=$AX$27,D15=$AX$28,D15=$AX$29),"",IF(AND('Master Data'!$I$28='GA55 Check &amp; Edit'!$AP$6),"",'Master Data'!$D$43)))),"")</f>
        <v>0</v>
      </c>
      <c r="M15" s="251">
        <f>IFERROR(IF(D15="","",IF(AND(E15=""),"",IF(OR(D15=$AX$24,D15=$AX$25,D15=$AX$26,D15=$AX$27,D15=$AX$28,D15=$AX$29),"",IF(AND('Master Data'!$I$28='GA55 Check &amp; Edit'!$AP$6),"",'Master Data'!$E$43)))),"")</f>
        <v>0</v>
      </c>
      <c r="N15" s="251" t="str">
        <f>IFERROR(IF(D15="","",IF(AND('Master Data'!$I$28='GA55 Check &amp; Edit'!$AP$6),"",IF(AND('Master Data'!$I$24='GA55 Check &amp; Edit'!$AO$6),"0",IF(AND(D15="Bonus"),VLOOKUP(D15,ram,4,0),"")))),"")</f>
        <v/>
      </c>
      <c r="O15" s="41">
        <f>IF(D15="","",IF('Master Data'!$N$24="","",SUM(E15:N15)))</f>
        <v>79233</v>
      </c>
      <c r="P15" s="319">
        <f>IFERROR(IF(OR('Master Data'!$I$28='GA55 Check &amp; Edit'!$AP$6,D15=""),"",IF(AND(D15=$AX$24),"",IF(AND(D15=$AX$25),"",IF(AND(D15=$AX$26),"",IF(AND(D15=$AX$27),"",IF(AND(D15=$AX$28),"",IF(AND(D15=$AX$29),"",IF(AND(E15=""),"",VLOOKUP(D15,ram,11,0))))))))),"")</f>
        <v>7000</v>
      </c>
      <c r="Q15" s="384">
        <f>IFERROR(IF(AND('Master Data'!$I$28='GA55 Check &amp; Edit'!$AP$6),"",IF(AND(D15=$AX$25),"",IF(AND(D15=$AX$28),"",IF(AND(D15=$AX$29),"",IF(AND(D15=""),"",VLOOKUP(D15,ram,12,0)))))),"")</f>
        <v>3575</v>
      </c>
      <c r="R15" s="319">
        <f>IFERROR(IF(OR('Master Data'!$I$28='GA55 Check &amp; Edit'!$AP$6,D15=""),"",IF(AND(D15=$AX$24),"",IF(AND(D15=$AX$25),"",IF(AND(D15=$AX$26),"",IF(AND(D15=$AX$27),"",IF(AND(D15=$AX$28),"",IF(AND(D15=$AX$29),"",IF(AND(E15=""),"",'Master Data'!$I$43)))))))),"")</f>
        <v>1880</v>
      </c>
      <c r="S15" s="319">
        <f>IFERROR(IF(OR('Master Data'!$I$28='GA55 Check &amp; Edit'!$AP$6),"",IF(D15="","",IF(E15="","",IF(AND(D15=$AX$24),"",IF(AND(D15=$AX$25),"",IF(AND(D15=$AX$26),"",IF(AND(D15=$AX$27),"",IF(AND(D15=$AX$28),"",IF(AND(D15=$AX$29),"",VLOOKUP(D15,ram,10,0)))))))))),"")</f>
        <v>658</v>
      </c>
      <c r="T15" s="319">
        <f>IFERROR(IF(OR('Master Data'!$I$28='GA55 Check &amp; Edit'!$AP$6,D15=""),"",IF(AND(D15=$AX$24),"",IF(AND(D15=$AX$25),"",IF(AND(D15=$AX$26),"",IF(AND(D15=$AX$27),"",IF(AND(D15=$AX$28),"",IF(AND(D15=$AX$29),"",IF(AND(E15=""),"",'Master Data'!$K$43)))))))),"")</f>
        <v>0</v>
      </c>
      <c r="U15" s="319">
        <f>IFERROR(IF(OR('Master Data'!$I$28='GA55 Check &amp; Edit'!$AP$6,D15=""),"",IF(AND(D15=$AX$24),"",IF(AND(D15=$AX$25),"",IF(AND(D15=$AX$26),"",IF(AND(D15=$AX$27),"",IF(AND(D15=$AX$28),"",IF(AND(D15=$AX$29),"",IF(AND(E15=""),"",'Master Data'!$L$43)))))))),"")</f>
        <v>0</v>
      </c>
      <c r="V15" s="319">
        <f>IFERROR(IF(OR('Master Data'!$I$28='GA55 Check &amp; Edit'!$AP$6,D15=""),"",IF(AND(D15=$AX$24),"",IF(AND(D15=$AX$25),"",IF(AND(D15=$AX$26),"",IF(AND(D15=$AX$27),"",IF(AND(D15=$AX$28),"",IF(AND(D15=$AX$29),"",IF(AND(E15=""),"",'Master Data'!$M$43)))))))),"")</f>
        <v>0</v>
      </c>
      <c r="W15" s="319">
        <f>IFERROR(IF(OR('Master Data'!$I$28='GA55 Check &amp; Edit'!$AP$6,D15=""),"",IF(AND(D15=$AX$24),"",IF(AND(D15=$AX$25),"",IF(AND(D15=$AX$26),"",IF(AND(D15=$AX$27),"",IF(AND(D15=$AX$28),"",IF(AND(D15=$AX$29),"",IF(AND(E15=""),"",'Master Data'!$N$43)))))))),"")</f>
        <v>0</v>
      </c>
      <c r="X15" s="319" t="str">
        <f>IFERROR(IF(OR('Master Data'!$I$28='GA55 Check &amp; Edit'!$AP$6,D15=""),"",IF(AND(E15=""),"",IF(AND('GA55 Check &amp; Edit'!D15='GA55 Check &amp; Edit'!$AT$17,'Master Data'!$D$18="Gazetted"),500,IF(AND('GA55 Check &amp; Edit'!D15='GA55 Check &amp; Edit'!$AT$17,'Master Data'!$D$18="Non-Gazetted"),250,"")))),"")</f>
        <v/>
      </c>
      <c r="Y15" s="319">
        <f>IFERROR(IF(D15="","",IF(AND(E15=""),"",IF(AND(D15=$AX$24),"",IF(AND(D15=$AX$25),"",IF(AND(D15=$AX$26),"",IF(AND(D15=$AX$27),"",IF(AND(D15=$AX$28),"",IF(AND(D15=$AX$29),"",IF(OR('Master Data'!$I$28='GA55 Check &amp; Edit'!$AP$6,D15=""),"",$Y$7))))))))),"")</f>
        <v>0</v>
      </c>
      <c r="Z15" s="319">
        <f>IFERROR(IF(OR('Master Data'!$I$28='GA55 Check &amp; Edit'!$AP$6),"",IF(D15="","",IF(E15="","",VLOOKUP(D15,ram,9,0)))),"")</f>
        <v>5000</v>
      </c>
      <c r="AA15" s="319" t="str">
        <f>IFERROR(IF(OR('Master Data'!$I$28='GA55 Check &amp; Edit'!$AP$6,D15="",'Master Data'!$N$34=""),"",IF(AND(E15=""),"",IF('GA55 Check &amp; Edit'!D15='GA55 Check &amp; Edit'!$AT$9,'Master Data'!$N$34,""))),"")</f>
        <v/>
      </c>
      <c r="AB15" s="320">
        <f t="shared" si="3"/>
        <v>18113</v>
      </c>
      <c r="AC15" s="33">
        <f t="shared" si="4"/>
        <v>61120</v>
      </c>
      <c r="AD15" s="1020"/>
      <c r="AE15" s="1016"/>
      <c r="AF15" s="37"/>
      <c r="AH15" s="366"/>
      <c r="AI15" s="366"/>
      <c r="AJ15" s="366"/>
      <c r="AK15" s="366"/>
      <c r="AL15" s="366"/>
      <c r="AM15" s="400"/>
      <c r="AN15" s="400"/>
      <c r="AO15" s="400"/>
      <c r="AP15" s="400"/>
      <c r="AQ15" s="400"/>
      <c r="AR15" s="400"/>
      <c r="AS15" s="400" t="s">
        <v>24</v>
      </c>
      <c r="AT15" s="405">
        <v>44835</v>
      </c>
      <c r="AU15" s="400" t="s">
        <v>86</v>
      </c>
      <c r="AV15" s="400"/>
      <c r="AW15" s="412" t="s">
        <v>18</v>
      </c>
      <c r="AX15" s="406">
        <v>44713</v>
      </c>
      <c r="AY15" s="411">
        <v>6</v>
      </c>
      <c r="AZ15" s="414">
        <f>IF(AND('Master Data'!N24=""),"",'Master Data'!N24)</f>
        <v>52300</v>
      </c>
      <c r="BA15" s="414">
        <f>IF(AND('Master Data'!$N$24=""),"",IF(AND('Master Data'!$N$26='GA55 Check &amp; Edit'!$AP$6),'GA55 Check &amp; Edit'!$AZ$15,BU15))</f>
        <v>52300</v>
      </c>
      <c r="BB15" s="411">
        <f>IF(AND(AX15&lt;$AZ$16),"",IF(AND(AX15&gt;$AZ$17),"",BA15))</f>
        <v>52300</v>
      </c>
      <c r="BC15" s="411">
        <f>IF(AND('Master Data'!$N$24=""),"",ROUND(34%*BA15,0))</f>
        <v>17782</v>
      </c>
      <c r="BD15" s="411">
        <f t="shared" ref="BD15:BD22" si="15">IF(BB15="","",BC15)</f>
        <v>17782</v>
      </c>
      <c r="BE15" s="413">
        <f>IFERROR(IF(AND('Master Data'!$N$24=""),"",ROUND('Master Data'!$E$34%*BB15,0)),"")</f>
        <v>4707</v>
      </c>
      <c r="BF15" s="414">
        <f>'Master Data'!E47</f>
        <v>2000</v>
      </c>
      <c r="BG15" s="414">
        <f>IFERROR(IF(OR('Master Data'!$I$28='GA55 Check &amp; Edit'!$AP$6),"",IF('Master Data'!$I$30="GPF-2004",IF(BB15&lt;18001,265,IF(BB15&lt;33501,440,IF(BB15&lt;54001,658,875))),IF(AND('Master Data'!$I$30="GPF",'Master Data'!$J$43=""),IF(BB15&lt;18001,265,IF(BB15&lt;33501,440,IF(BB15&lt;54001,658,875))),'Master Data'!$J$43))),"")</f>
        <v>658</v>
      </c>
      <c r="BH15" s="411">
        <f>IFERROR(IF(OR('Master Data'!$I$28='GA55 Check &amp; Edit'!$AP$6),"",'Master Data'!$G$43),"")</f>
        <v>7000</v>
      </c>
      <c r="BI15" s="415">
        <f>IFERROR(IF(OR('Master Data'!$I$28='GA55 Check &amp; Edit'!$AP$6),"",IF('Master Data'!$I$30="GPF-2004",IF(BB15&lt;23101,1450,IF(BB15&lt;28501,1625,IF(BB15&lt;38501,2100,IF(BB15&lt;51501,2850,IF(BB15&lt;62001,3575,IF(BB15&lt;72001,4200,IF(BB15&lt;80001,4800,IF(BB15&lt;116001,6150,IF(BB15&lt;167001,8900,10500))))))))),'Master Data'!$H$43)),"")</f>
        <v>3575</v>
      </c>
      <c r="BJ15" s="414">
        <f t="shared" si="14"/>
        <v>52300</v>
      </c>
      <c r="BK15" s="418">
        <v>44713</v>
      </c>
      <c r="BL15" s="418">
        <f>IFERROR(IF('Master Data'!$N$24="","",IF('Master Data'!$F$40="","",IF(AND($AZ$17&gt;$AZ$9),"",DATE(YEAR(BL14),MONTH(BL14)+1,DAY(BL14))))),"")</f>
        <v>44713</v>
      </c>
      <c r="BM15" s="419">
        <f>IFERROR(IF('Master Data'!$N$24="","",IF('Master Data'!$F$40="","",IF(AND($AZ$17&gt;$AZ$9),"",DATE(YEAR(BM14),MONTH(BM14)+1,DAY(BM14))))),"")</f>
        <v>44713</v>
      </c>
      <c r="BN15" s="419">
        <f t="shared" si="8"/>
        <v>44713</v>
      </c>
      <c r="BO15" s="419">
        <f t="shared" si="9"/>
        <v>44713</v>
      </c>
      <c r="BP15" s="419"/>
      <c r="BQ15" s="419">
        <f t="shared" si="10"/>
        <v>44713</v>
      </c>
      <c r="BR15" s="419"/>
      <c r="BS15" s="420">
        <f t="shared" ca="1" si="11"/>
        <v>53900</v>
      </c>
      <c r="BT15" s="420"/>
      <c r="BU15" s="420">
        <f>IF(AND('Master Data'!$N$24=""),"",IF(AND('Master Data'!$N$26='GA55 Check &amp; Edit'!AX15),'Master Data'!$N$30,BU14))</f>
        <v>52300</v>
      </c>
      <c r="BV15" s="400"/>
      <c r="BW15" s="400"/>
      <c r="BX15" s="420">
        <f t="shared" si="12"/>
        <v>2000</v>
      </c>
      <c r="BY15" s="400"/>
      <c r="BZ15" s="400"/>
      <c r="CA15" s="400"/>
      <c r="CB15" s="400"/>
      <c r="CC15" s="400"/>
      <c r="CD15" s="400"/>
      <c r="CE15" s="400"/>
      <c r="CF15" s="400"/>
      <c r="CG15" s="400"/>
      <c r="CH15" s="400"/>
      <c r="CI15" s="366"/>
      <c r="CJ15" s="366"/>
      <c r="CK15" s="366"/>
      <c r="CL15" s="366"/>
    </row>
    <row r="16" spans="1:103" s="341" customFormat="1" ht="21" customHeight="1">
      <c r="A16" s="32">
        <f t="shared" si="0"/>
        <v>1</v>
      </c>
      <c r="B16" s="47">
        <f t="shared" si="5"/>
        <v>9</v>
      </c>
      <c r="C16" s="48">
        <f t="shared" si="7"/>
        <v>9</v>
      </c>
      <c r="D16" s="318">
        <f t="shared" si="2"/>
        <v>44866</v>
      </c>
      <c r="E16" s="250">
        <f>IFERROR(IF(D16="","",IF(AND(BQ20=""),"",IF(AND('Master Data'!$I$28='GA55 Check &amp; Edit'!$AP$6),VLOOKUP(D16,ram,13,0),VLOOKUP(D16,ram,4,0)))),"")</f>
        <v>53900</v>
      </c>
      <c r="F16" s="251">
        <f>IFERROR(IF(D16="","",IF(D16=$AX$24,"",IF(AND(D16=$AX$28),"",IF(AND('Master Data'!$I$28='GA55 Check &amp; Edit'!$AP$5),VLOOKUP(D16,ram,7,0),"")))),"")</f>
        <v>20482</v>
      </c>
      <c r="G16" s="251">
        <f>IFERROR(IF(D16="","",IF(D16=$AX$24,"",IF(AND(D16=$AX$25),"",IF(AND(D16=$AX$26),"",IF(AND(D16=$AX$27),"",IF(AND(D16=$AX$28),"",IF(AND(D16=$AX$29),"",IF(AND('Master Data'!$I$28='GA55 Check &amp; Edit'!$AP$6),"",VLOOKUP(D16,ram,8,0))))))))),"")</f>
        <v>4851</v>
      </c>
      <c r="H16" s="251">
        <f>IFERROR(IF(D16="","",IF(AND(E16=""),"",IF(OR(D16=$AX$24,D16=$AX$25,D16=$AX$26,D16=$AX$27,D16=$AX$28,D16=$AX$29),"",IF(AND('Master Data'!$I$28='GA55 Check &amp; Edit'!$AP$5),'Master Data'!$B$43,"")))),"")</f>
        <v>0</v>
      </c>
      <c r="I16" s="251" t="str">
        <f>IFERROR(IF(D16="","",IF(AND(E16=""),"",IF(OR(D16=$AX$24,D16=$AX$25,D16=$AX$26,D16=$AX$27,D16=$AX$28,D16=$AX$29),"",IF(AND('Master Data'!$I$28='GA55 Check &amp; Edit'!$AP$5,'Master Data'!$E$28='GA55 Check &amp; Edit'!$AO$5),'Master Data'!$E$30,"0")))),"")</f>
        <v>0</v>
      </c>
      <c r="J16" s="251" t="str">
        <f>IFERROR(IF(OR('Master Data'!$E$32=$AO$6,'Master Data'!$E$32=""),"",IF(D16="","",IF(AND(E16=""),"",IF(OR(D16=$AX$24,D16=$AX$25,D16=$AX$26,D16=$AX$27,D16=$AX$28,D16=$AX$29),"",IF(AND('Master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251">
        <f>IFERROR(IF(D16="","",IF(AND(E16=""),"",IF(OR(D16=$AX$24,D16=$AX$25,D16=$AX$26,D16=$AX$27,D16=$AX$28,D16=$AX$29),"",IF(AND('Master Data'!$I$28='GA55 Check &amp; Edit'!$AP$5),'Master Data'!$C$43,"")))),"")</f>
        <v>0</v>
      </c>
      <c r="L16" s="251">
        <f>IFERROR(IF(D16="","",IF(AND(E16=""),"",IF(OR(D16=$AX$24,D16=$AX$25,D16=$AX$26,D16=$AX$27,D16=$AX$28,D16=$AX$29),"",IF(AND('Master Data'!$I$28='GA55 Check &amp; Edit'!$AP$6),"",'Master Data'!$D$43)))),"")</f>
        <v>0</v>
      </c>
      <c r="M16" s="251">
        <f>IFERROR(IF(D16="","",IF(AND(E16=""),"",IF(OR(D16=$AX$24,D16=$AX$25,D16=$AX$26,D16=$AX$27,D16=$AX$28,D16=$AX$29),"",IF(AND('Master Data'!$I$28='GA55 Check &amp; Edit'!$AP$6),"",'Master Data'!$E$43)))),"")</f>
        <v>0</v>
      </c>
      <c r="N16" s="251" t="str">
        <f>IFERROR(IF(D16="","",IF(AND('Master Data'!$I$28='GA55 Check &amp; Edit'!$AP$6),"",IF(AND('Master Data'!$I$24='GA55 Check &amp; Edit'!$AO$6),"0",IF(AND(D16="Bonus"),VLOOKUP(D16,ram,4,0),"")))),"")</f>
        <v/>
      </c>
      <c r="O16" s="41">
        <f>IF(D16="","",IF('Master Data'!$N$24="","",SUM(E16:N16)))</f>
        <v>79233</v>
      </c>
      <c r="P16" s="319">
        <f>IFERROR(IF(OR('Master Data'!$I$28='GA55 Check &amp; Edit'!$AP$6,D16=""),"",IF(AND(D16=$AX$24),"",IF(AND(D16=$AX$25),"",IF(AND(D16=$AX$26),"",IF(AND(D16=$AX$27),"",IF(AND(D16=$AX$28),"",IF(AND(D16=$AX$29),"",IF(AND(E16=""),"",VLOOKUP(D16,ram,11,0))))))))),"")</f>
        <v>7000</v>
      </c>
      <c r="Q16" s="384">
        <f>IFERROR(IF(AND('Master Data'!$I$28='GA55 Check &amp; Edit'!$AP$6),"",IF(AND(D16=$AX$25),"",IF(AND(D16=$AX$28),"",IF(AND(D16=$AX$29),"",IF(AND(D16=""),"",VLOOKUP(D16,ram,12,0)))))),"")</f>
        <v>3575</v>
      </c>
      <c r="R16" s="319">
        <f>IFERROR(IF(OR('Master Data'!$I$28='GA55 Check &amp; Edit'!$AP$6,D16=""),"",IF(AND(D16=$AX$24),"",IF(AND(D16=$AX$25),"",IF(AND(D16=$AX$26),"",IF(AND(D16=$AX$27),"",IF(AND(D16=$AX$28),"",IF(AND(D16=$AX$29),"",IF(AND(E16=""),"",'Master Data'!$I$43)))))))),"")</f>
        <v>1880</v>
      </c>
      <c r="S16" s="319">
        <f>IFERROR(IF(OR('Master Data'!$I$28='GA55 Check &amp; Edit'!$AP$6),"",IF(D16="","",IF(E16="","",IF(AND(D16=$AX$24),"",IF(AND(D16=$AX$25),"",IF(AND(D16=$AX$26),"",IF(AND(D16=$AX$27),"",IF(AND(D16=$AX$28),"",IF(AND(D16=$AX$29),"",VLOOKUP(D16,ram,10,0)))))))))),"")</f>
        <v>658</v>
      </c>
      <c r="T16" s="319">
        <f>IFERROR(IF(OR('Master Data'!$I$28='GA55 Check &amp; Edit'!$AP$6,D16=""),"",IF(AND(D16=$AX$24),"",IF(AND(D16=$AX$25),"",IF(AND(D16=$AX$26),"",IF(AND(D16=$AX$27),"",IF(AND(D16=$AX$28),"",IF(AND(D16=$AX$29),"",IF(AND(E16=""),"",'Master Data'!$K$43)))))))),"")</f>
        <v>0</v>
      </c>
      <c r="U16" s="319">
        <f>IFERROR(IF(OR('Master Data'!$I$28='GA55 Check &amp; Edit'!$AP$6,D16=""),"",IF(AND(D16=$AX$24),"",IF(AND(D16=$AX$25),"",IF(AND(D16=$AX$26),"",IF(AND(D16=$AX$27),"",IF(AND(D16=$AX$28),"",IF(AND(D16=$AX$29),"",IF(AND(E16=""),"",'Master Data'!$L$43)))))))),"")</f>
        <v>0</v>
      </c>
      <c r="V16" s="319">
        <f>IFERROR(IF(OR('Master Data'!$I$28='GA55 Check &amp; Edit'!$AP$6,D16=""),"",IF(AND(D16=$AX$24),"",IF(AND(D16=$AX$25),"",IF(AND(D16=$AX$26),"",IF(AND(D16=$AX$27),"",IF(AND(D16=$AX$28),"",IF(AND(D16=$AX$29),"",IF(AND(E16=""),"",'Master Data'!$M$43)))))))),"")</f>
        <v>0</v>
      </c>
      <c r="W16" s="319">
        <f>IFERROR(IF(OR('Master Data'!$I$28='GA55 Check &amp; Edit'!$AP$6,D16=""),"",IF(AND(D16=$AX$24),"",IF(AND(D16=$AX$25),"",IF(AND(D16=$AX$26),"",IF(AND(D16=$AX$27),"",IF(AND(D16=$AX$28),"",IF(AND(D16=$AX$29),"",IF(AND(E16=""),"",'Master Data'!$N$43)))))))),"")</f>
        <v>0</v>
      </c>
      <c r="X16" s="319" t="str">
        <f>IFERROR(IF(OR('Master Data'!$I$28='GA55 Check &amp; Edit'!$AP$6,D16=""),"",IF(AND(E16=""),"",IF(AND('GA55 Check &amp; Edit'!D16='GA55 Check &amp; Edit'!$AT$17,'Master Data'!$D$18="Gazetted"),500,IF(AND('GA55 Check &amp; Edit'!D16='GA55 Check &amp; Edit'!$AT$17,'Master Data'!$D$18="Non-Gazetted"),250,"")))),"")</f>
        <v/>
      </c>
      <c r="Y16" s="319">
        <f>IFERROR(IF(D16="","",IF(AND(E16=""),"",IF(AND(D16=$AX$24),"",IF(AND(D16=$AX$25),"",IF(AND(D16=$AX$26),"",IF(AND(D16=$AX$27),"",IF(AND(D16=$AX$28),"",IF(AND(D16=$AX$29),"",IF(OR('Master Data'!$I$28='GA55 Check &amp; Edit'!$AP$6,D16=""),"",$Y$7))))))))),"")</f>
        <v>0</v>
      </c>
      <c r="Z16" s="319">
        <f>IFERROR(IF(OR('Master Data'!$I$28='GA55 Check &amp; Edit'!$AP$6),"",IF(D16="","",IF(E16="","",VLOOKUP(D16,ram,9,0)))),"")</f>
        <v>5000</v>
      </c>
      <c r="AA16" s="319" t="str">
        <f>IFERROR(IF(OR('Master Data'!$I$28='GA55 Check &amp; Edit'!$AP$6,D16="",'Master Data'!$N$34=""),"",IF(AND(E16=""),"",IF('GA55 Check &amp; Edit'!D16='GA55 Check &amp; Edit'!$AT$9,'Master Data'!$N$34,""))),"")</f>
        <v/>
      </c>
      <c r="AB16" s="320">
        <f t="shared" si="3"/>
        <v>18113</v>
      </c>
      <c r="AC16" s="33">
        <f t="shared" si="4"/>
        <v>61120</v>
      </c>
      <c r="AD16" s="1020"/>
      <c r="AE16" s="1016"/>
      <c r="AF16" s="37"/>
      <c r="AH16" s="366"/>
      <c r="AI16" s="366"/>
      <c r="AJ16" s="366"/>
      <c r="AK16" s="366"/>
      <c r="AL16" s="366"/>
      <c r="AM16" s="400"/>
      <c r="AN16" s="400"/>
      <c r="AO16" s="400"/>
      <c r="AP16" s="400"/>
      <c r="AQ16" s="400"/>
      <c r="AR16" s="400"/>
      <c r="AS16" s="400" t="s">
        <v>27</v>
      </c>
      <c r="AT16" s="405">
        <v>44866</v>
      </c>
      <c r="AU16" s="400" t="s">
        <v>87</v>
      </c>
      <c r="AV16" s="400"/>
      <c r="AW16" s="412" t="s">
        <v>20</v>
      </c>
      <c r="AX16" s="406">
        <v>44743</v>
      </c>
      <c r="AY16" s="411">
        <v>7</v>
      </c>
      <c r="AZ16" s="421">
        <f>IF(AND('Master Data'!F40=""),"",'Master Data'!F40)</f>
        <v>44621</v>
      </c>
      <c r="BA16" s="414">
        <f>IF(AND('Master Data'!$N$24=""),"",IF(AND('Master Data'!$N$26='GA55 Check &amp; Edit'!$AP$6),'GA55 Check &amp; Edit'!$AZ$15,BU16))</f>
        <v>53900</v>
      </c>
      <c r="BB16" s="411">
        <f>IF(AND(AX16&lt;$AZ$16),"",IF(AND(AX16&gt;$AZ$17),"",BA16))</f>
        <v>53900</v>
      </c>
      <c r="BC16" s="411">
        <f>IF(AND('Master Data'!$N$24=""),"",ROUND(34%*BA16,0))</f>
        <v>18326</v>
      </c>
      <c r="BD16" s="411">
        <f t="shared" si="15"/>
        <v>18326</v>
      </c>
      <c r="BE16" s="413">
        <f>IFERROR(IF(AND('Master Data'!$N$24=""),"",ROUND('Master Data'!$E$34%*BB16,0)),"")</f>
        <v>4851</v>
      </c>
      <c r="BF16" s="414">
        <f>'Master Data'!F47</f>
        <v>2000</v>
      </c>
      <c r="BG16" s="414">
        <f>IFERROR(IF(OR('Master Data'!$I$28='GA55 Check &amp; Edit'!$AP$6),"",IF('Master Data'!$I$30="GPF-2004",IF(BB16&lt;18001,265,IF(BB16&lt;33501,440,IF(BB16&lt;54001,658,875))),IF(AND('Master Data'!$I$30="GPF",'Master Data'!$J$43=""),IF(BB16&lt;18001,265,IF(BB16&lt;33501,440,IF(BB16&lt;54001,658,875))),'Master Data'!$J$43))),"")</f>
        <v>658</v>
      </c>
      <c r="BH16" s="411">
        <f>IFERROR(IF(OR('Master Data'!$I$28='GA55 Check &amp; Edit'!$AP$6),"",'Master Data'!$G$43),"")</f>
        <v>7000</v>
      </c>
      <c r="BI16" s="415">
        <f>IFERROR(IF(OR('Master Data'!$I$28='GA55 Check &amp; Edit'!$AP$6),"",IF('Master Data'!$I$30="GPF-2004",IF(BB16&lt;23101,1450,IF(BB16&lt;28501,1625,IF(BB16&lt;38501,2100,IF(BB16&lt;51501,2850,IF(BB16&lt;62001,3575,IF(BB16&lt;72001,4200,IF(BB16&lt;80001,4800,IF(BB16&lt;116001,6150,IF(BB16&lt;167001,8900,10500))))))))),'Master Data'!$H$43)),"")</f>
        <v>3575</v>
      </c>
      <c r="BJ16" s="414">
        <f>BA16</f>
        <v>53900</v>
      </c>
      <c r="BK16" s="418">
        <v>44743</v>
      </c>
      <c r="BL16" s="418">
        <f>IFERROR(IF('Master Data'!$N$24="","",IF('Master Data'!$F$40="","",IF(AND($AZ$17&gt;$AZ$9),"",DATE(YEAR(BL15),MONTH(BL15)+1,DAY(BL15))))),"")</f>
        <v>44743</v>
      </c>
      <c r="BM16" s="419">
        <f>IFERROR(IF('Master Data'!$N$24="","",IF('Master Data'!$F$40="","",IF(AND($AZ$17&gt;$AZ$9),"",DATE(YEAR(BM15),MONTH(BM15)+1,DAY(BM15))))),"")</f>
        <v>44743</v>
      </c>
      <c r="BN16" s="419">
        <f t="shared" si="8"/>
        <v>44743</v>
      </c>
      <c r="BO16" s="419">
        <f t="shared" si="9"/>
        <v>44743</v>
      </c>
      <c r="BP16" s="419"/>
      <c r="BQ16" s="419">
        <f t="shared" si="10"/>
        <v>44743</v>
      </c>
      <c r="BR16" s="419"/>
      <c r="BS16" s="420">
        <f t="shared" ca="1" si="11"/>
        <v>53900</v>
      </c>
      <c r="BT16" s="420"/>
      <c r="BU16" s="420">
        <f>IF(AND('Master Data'!$N$24=""),"",IF(AND('Master Data'!$N$26='GA55 Check &amp; Edit'!AX16),'Master Data'!$N$30,MROUND(BU15*1.03,100)))</f>
        <v>53900</v>
      </c>
      <c r="BV16" s="400"/>
      <c r="BW16" s="400"/>
      <c r="BX16" s="420">
        <f t="shared" si="12"/>
        <v>2000</v>
      </c>
      <c r="BY16" s="400"/>
      <c r="BZ16" s="400"/>
      <c r="CA16" s="400"/>
      <c r="CB16" s="400"/>
      <c r="CC16" s="400"/>
      <c r="CD16" s="400"/>
      <c r="CE16" s="400"/>
      <c r="CF16" s="400"/>
      <c r="CG16" s="400"/>
      <c r="CH16" s="400"/>
      <c r="CI16" s="366"/>
      <c r="CJ16" s="366"/>
      <c r="CK16" s="366"/>
      <c r="CL16" s="366"/>
    </row>
    <row r="17" spans="1:90" s="341" customFormat="1" ht="21" customHeight="1">
      <c r="A17" s="32">
        <f t="shared" si="0"/>
        <v>0</v>
      </c>
      <c r="B17" s="47">
        <f t="shared" si="5"/>
        <v>10</v>
      </c>
      <c r="C17" s="48">
        <f t="shared" si="7"/>
        <v>10</v>
      </c>
      <c r="D17" s="318">
        <f t="shared" si="2"/>
        <v>44896</v>
      </c>
      <c r="E17" s="250">
        <f>IFERROR(IF(D17="","",IF(AND(BQ21=""),"",IF(AND('Master Data'!$I$28='GA55 Check &amp; Edit'!$AP$6),VLOOKUP(D17,ram,13,0),VLOOKUP(D17,ram,4,0)))),"")</f>
        <v>53900</v>
      </c>
      <c r="F17" s="251">
        <f>IFERROR(IF(D17="","",IF(D17=$AX$24,"",IF(AND(D17=$AX$28),"",IF(AND('Master Data'!$I$28='GA55 Check &amp; Edit'!$AP$5),VLOOKUP(D17,ram,7,0),"")))),"")</f>
        <v>20482</v>
      </c>
      <c r="G17" s="251">
        <f>IFERROR(IF(D17="","",IF(D17=$AX$24,"",IF(AND(D17=$AX$25),"",IF(AND(D17=$AX$26),"",IF(AND(D17=$AX$27),"",IF(AND(D17=$AX$28),"",IF(AND(D17=$AX$29),"",IF(AND('Master Data'!$I$28='GA55 Check &amp; Edit'!$AP$6),"",VLOOKUP(D17,ram,8,0))))))))),"")</f>
        <v>4851</v>
      </c>
      <c r="H17" s="251">
        <f>IFERROR(IF(D17="","",IF(AND(E17=""),"",IF(OR(D17=$AX$24,D17=$AX$25,D17=$AX$26,D17=$AX$27,D17=$AX$28,D17=$AX$29),"",IF(AND('Master Data'!$I$28='GA55 Check &amp; Edit'!$AP$5),'Master Data'!$B$43,"")))),"")</f>
        <v>0</v>
      </c>
      <c r="I17" s="251" t="str">
        <f>IFERROR(IF(D17="","",IF(AND(E17=""),"",IF(OR(D17=$AX$24,D17=$AX$25,D17=$AX$26,D17=$AX$27,D17=$AX$28,D17=$AX$29),"",IF(AND('Master Data'!$I$28='GA55 Check &amp; Edit'!$AP$5,'Master Data'!$E$28='GA55 Check &amp; Edit'!$AO$5),'Master Data'!$E$30,"0")))),"")</f>
        <v>0</v>
      </c>
      <c r="J17" s="251" t="str">
        <f>IFERROR(IF(OR('Master Data'!$E$32=$AO$6,'Master Data'!$E$32=""),"",IF(D17="","",IF(AND(E17=""),"",IF(OR(D17=$AX$24,D17=$AX$25,D17=$AX$26,D17=$AX$27,D17=$AX$28,D17=$AX$29),"",IF(AND('Master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251">
        <f>IFERROR(IF(D17="","",IF(AND(E17=""),"",IF(OR(D17=$AX$24,D17=$AX$25,D17=$AX$26,D17=$AX$27,D17=$AX$28,D17=$AX$29),"",IF(AND('Master Data'!$I$28='GA55 Check &amp; Edit'!$AP$5),'Master Data'!$C$43,"")))),"")</f>
        <v>0</v>
      </c>
      <c r="L17" s="251">
        <f>IFERROR(IF(D17="","",IF(AND(E17=""),"",IF(OR(D17=$AX$24,D17=$AX$25,D17=$AX$26,D17=$AX$27,D17=$AX$28,D17=$AX$29),"",IF(AND('Master Data'!$I$28='GA55 Check &amp; Edit'!$AP$6),"",'Master Data'!$D$43)))),"")</f>
        <v>0</v>
      </c>
      <c r="M17" s="251">
        <f>IFERROR(IF(D17="","",IF(AND(E17=""),"",IF(OR(D17=$AX$24,D17=$AX$25,D17=$AX$26,D17=$AX$27,D17=$AX$28,D17=$AX$29),"",IF(AND('Master Data'!$I$28='GA55 Check &amp; Edit'!$AP$6),"",'Master Data'!$E$43)))),"")</f>
        <v>0</v>
      </c>
      <c r="N17" s="251" t="str">
        <f>IFERROR(IF(D17="","",IF(AND('Master Data'!$I$28='GA55 Check &amp; Edit'!$AP$6),"",IF(AND('Master Data'!$I$24='GA55 Check &amp; Edit'!$AO$6),"0",IF(AND(D17="Bonus"),VLOOKUP(D17,ram,4,0),"")))),"")</f>
        <v/>
      </c>
      <c r="O17" s="41">
        <f>IF(D17="","",IF('Master Data'!$N$24="","",SUM(E17:N17)))</f>
        <v>79233</v>
      </c>
      <c r="P17" s="319">
        <f>IFERROR(IF(OR('Master Data'!$I$28='GA55 Check &amp; Edit'!$AP$6,D17=""),"",IF(AND(D17=$AX$24),"",IF(AND(D17=$AX$25),"",IF(AND(D17=$AX$26),"",IF(AND(D17=$AX$27),"",IF(AND(D17=$AX$28),"",IF(AND(D17=$AX$29),"",IF(AND(E17=""),"",VLOOKUP(D17,ram,11,0))))))))),"")</f>
        <v>7000</v>
      </c>
      <c r="Q17" s="384">
        <f>IFERROR(IF(AND('Master Data'!$I$28='GA55 Check &amp; Edit'!$AP$6),"",IF(AND(D17=$AX$25),"",IF(AND(D17=$AX$28),"",IF(AND(D17=$AX$29),"",IF(AND(D17=""),"",VLOOKUP(D17,ram,12,0)))))),"")</f>
        <v>3575</v>
      </c>
      <c r="R17" s="319">
        <f>IFERROR(IF(OR('Master Data'!$I$28='GA55 Check &amp; Edit'!$AP$6,D17=""),"",IF(AND(D17=$AX$24),"",IF(AND(D17=$AX$25),"",IF(AND(D17=$AX$26),"",IF(AND(D17=$AX$27),"",IF(AND(D17=$AX$28),"",IF(AND(D17=$AX$29),"",IF(AND(E17=""),"",'Master Data'!$I$43)))))))),"")</f>
        <v>1880</v>
      </c>
      <c r="S17" s="319">
        <f>IFERROR(IF(OR('Master Data'!$I$28='GA55 Check &amp; Edit'!$AP$6),"",IF(D17="","",IF(E17="","",IF(AND(D17=$AX$24),"",IF(AND(D17=$AX$25),"",IF(AND(D17=$AX$26),"",IF(AND(D17=$AX$27),"",IF(AND(D17=$AX$28),"",IF(AND(D17=$AX$29),"",VLOOKUP(D17,ram,10,0)))))))))),"")</f>
        <v>658</v>
      </c>
      <c r="T17" s="319">
        <f>IFERROR(IF(OR('Master Data'!$I$28='GA55 Check &amp; Edit'!$AP$6,D17=""),"",IF(AND(D17=$AX$24),"",IF(AND(D17=$AX$25),"",IF(AND(D17=$AX$26),"",IF(AND(D17=$AX$27),"",IF(AND(D17=$AX$28),"",IF(AND(D17=$AX$29),"",IF(AND(E17=""),"",'Master Data'!$K$43)))))))),"")</f>
        <v>0</v>
      </c>
      <c r="U17" s="319">
        <f>IFERROR(IF(OR('Master Data'!$I$28='GA55 Check &amp; Edit'!$AP$6,D17=""),"",IF(AND(D17=$AX$24),"",IF(AND(D17=$AX$25),"",IF(AND(D17=$AX$26),"",IF(AND(D17=$AX$27),"",IF(AND(D17=$AX$28),"",IF(AND(D17=$AX$29),"",IF(AND(E17=""),"",'Master Data'!$L$43)))))))),"")</f>
        <v>0</v>
      </c>
      <c r="V17" s="319">
        <f>IFERROR(IF(OR('Master Data'!$I$28='GA55 Check &amp; Edit'!$AP$6,D17=""),"",IF(AND(D17=$AX$24),"",IF(AND(D17=$AX$25),"",IF(AND(D17=$AX$26),"",IF(AND(D17=$AX$27),"",IF(AND(D17=$AX$28),"",IF(AND(D17=$AX$29),"",IF(AND(E17=""),"",'Master Data'!$M$43)))))))),"")</f>
        <v>0</v>
      </c>
      <c r="W17" s="319">
        <f>IFERROR(IF(OR('Master Data'!$I$28='GA55 Check &amp; Edit'!$AP$6,D17=""),"",IF(AND(D17=$AX$24),"",IF(AND(D17=$AX$25),"",IF(AND(D17=$AX$26),"",IF(AND(D17=$AX$27),"",IF(AND(D17=$AX$28),"",IF(AND(D17=$AX$29),"",IF(AND(E17=""),"",'Master Data'!$N$43)))))))),"")</f>
        <v>0</v>
      </c>
      <c r="X17" s="319">
        <f>IFERROR(IF(OR('Master Data'!$I$28='GA55 Check &amp; Edit'!$AP$6,D17=""),"",IF(AND(E17=""),"",IF(AND('GA55 Check &amp; Edit'!D17='GA55 Check &amp; Edit'!$AT$17,'Master Data'!$D$18="Gazetted"),500,IF(AND('GA55 Check &amp; Edit'!D17='GA55 Check &amp; Edit'!$AT$17,'Master Data'!$D$18="Non-Gazetted"),250,"")))),"")</f>
        <v>250</v>
      </c>
      <c r="Y17" s="319">
        <f>IFERROR(IF(D17="","",IF(AND(E17=""),"",IF(AND(D17=$AX$24),"",IF(AND(D17=$AX$25),"",IF(AND(D17=$AX$26),"",IF(AND(D17=$AX$27),"",IF(AND(D17=$AX$28),"",IF(AND(D17=$AX$29),"",IF(OR('Master Data'!$I$28='GA55 Check &amp; Edit'!$AP$6,D17=""),"",$Y$7))))))))),"")</f>
        <v>0</v>
      </c>
      <c r="Z17" s="319">
        <f>IFERROR(IF(OR('Master Data'!$I$28='GA55 Check &amp; Edit'!$AP$6),"",IF(D17="","",IF(E17="","",VLOOKUP(D17,ram,9,0)))),"")</f>
        <v>5000</v>
      </c>
      <c r="AA17" s="319" t="str">
        <f>IFERROR(IF(OR('Master Data'!$I$28='GA55 Check &amp; Edit'!$AP$6,D17="",'Master Data'!$N$34=""),"",IF(AND(E17=""),"",IF('GA55 Check &amp; Edit'!D17='GA55 Check &amp; Edit'!$AT$9,'Master Data'!$N$34,""))),"")</f>
        <v/>
      </c>
      <c r="AB17" s="320">
        <f t="shared" si="3"/>
        <v>18363</v>
      </c>
      <c r="AC17" s="33">
        <f t="shared" si="4"/>
        <v>60870</v>
      </c>
      <c r="AD17" s="1020"/>
      <c r="AE17" s="1016"/>
      <c r="AF17" s="37"/>
      <c r="AH17" s="366"/>
      <c r="AI17" s="366"/>
      <c r="AJ17" s="366"/>
      <c r="AK17" s="366"/>
      <c r="AL17" s="366"/>
      <c r="AM17" s="400"/>
      <c r="AN17" s="400"/>
      <c r="AO17" s="400"/>
      <c r="AP17" s="400"/>
      <c r="AQ17" s="400"/>
      <c r="AR17" s="400"/>
      <c r="AS17" s="400" t="s">
        <v>2</v>
      </c>
      <c r="AT17" s="405">
        <v>44896</v>
      </c>
      <c r="AU17" s="400" t="s">
        <v>88</v>
      </c>
      <c r="AV17" s="400"/>
      <c r="AW17" s="412" t="s">
        <v>24</v>
      </c>
      <c r="AX17" s="406">
        <v>44774</v>
      </c>
      <c r="AY17" s="411">
        <v>8</v>
      </c>
      <c r="AZ17" s="421">
        <f>IF(AND('Master Data'!H40=""),"",'Master Data'!H40)</f>
        <v>44958</v>
      </c>
      <c r="BA17" s="414">
        <f>IF(AND('Master Data'!$N$24=""),"",IF(AND('Master Data'!$N$26='GA55 Check &amp; Edit'!$AP$6),'GA55 Check &amp; Edit'!$AZ$15,BU17))</f>
        <v>53900</v>
      </c>
      <c r="BB17" s="411">
        <f t="shared" si="13"/>
        <v>53900</v>
      </c>
      <c r="BC17" s="411">
        <f>IF(AND('Master Data'!$N$24=""),"",ROUND(34%*BA17,0))</f>
        <v>18326</v>
      </c>
      <c r="BD17" s="411">
        <f t="shared" si="15"/>
        <v>18326</v>
      </c>
      <c r="BE17" s="413">
        <f>IFERROR(IF(AND('Master Data'!$N$24=""),"",ROUND('Master Data'!$E$34%*BB17,0)),"")</f>
        <v>4851</v>
      </c>
      <c r="BF17" s="414">
        <f>'Master Data'!G47</f>
        <v>5000</v>
      </c>
      <c r="BG17" s="414">
        <f>IFERROR(IF(OR('Master Data'!$I$28='GA55 Check &amp; Edit'!$AP$6),"",IF('Master Data'!$I$30="GPF-2004",IF(BB17&lt;18001,265,IF(BB17&lt;33501,440,IF(BB17&lt;54001,658,875))),IF(AND('Master Data'!$I$30="GPF",'Master Data'!$J$43=""),IF(BB17&lt;18001,265,IF(BB17&lt;33501,440,IF(BB17&lt;54001,658,875))),'Master Data'!$J$43))),"")</f>
        <v>658</v>
      </c>
      <c r="BH17" s="411">
        <f>IFERROR(IF(OR('Master Data'!$I$28='GA55 Check &amp; Edit'!$AP$6),"",'Master Data'!$G$43),"")</f>
        <v>7000</v>
      </c>
      <c r="BI17" s="415">
        <f>IFERROR(IF(OR('Master Data'!$I$28='GA55 Check &amp; Edit'!$AP$6),"",IF('Master Data'!$I$30="GPF-2004",IF(BB17&lt;23101,1450,IF(BB17&lt;28501,1625,IF(BB17&lt;38501,2100,IF(BB17&lt;51501,2850,IF(BB17&lt;62001,3575,IF(BB17&lt;72001,4200,IF(BB17&lt;80001,4800,IF(BB17&lt;116001,6150,IF(BB17&lt;167001,8900,10500))))))))),'Master Data'!$H$43)),"")</f>
        <v>3575</v>
      </c>
      <c r="BJ17" s="414">
        <f>BJ16</f>
        <v>53900</v>
      </c>
      <c r="BK17" s="418">
        <v>44774</v>
      </c>
      <c r="BL17" s="418">
        <f>IFERROR(IF('Master Data'!$N$24="","",IF('Master Data'!$F$40="","",IF(AND($AZ$17&gt;$AZ$9),"",DATE(YEAR(BL16),MONTH(BL16)+1,DAY(BL16))))),"")</f>
        <v>44774</v>
      </c>
      <c r="BM17" s="419">
        <f>IFERROR(IF('Master Data'!$N$24="","",IF('Master Data'!$F$40="","",IF(AND($AZ$17&gt;$AZ$9),"",DATE(YEAR(BM16),MONTH(BM16)+1,DAY(BM16))))),"")</f>
        <v>44774</v>
      </c>
      <c r="BN17" s="419">
        <f t="shared" si="8"/>
        <v>44774</v>
      </c>
      <c r="BO17" s="419">
        <f t="shared" si="9"/>
        <v>44774</v>
      </c>
      <c r="BP17" s="419"/>
      <c r="BQ17" s="419">
        <f t="shared" si="10"/>
        <v>44774</v>
      </c>
      <c r="BR17" s="419"/>
      <c r="BS17" s="420">
        <f t="shared" ca="1" si="11"/>
        <v>53900</v>
      </c>
      <c r="BT17" s="420"/>
      <c r="BU17" s="420">
        <f>IF(AND('Master Data'!$N$24=""),"",IF(AND('Master Data'!$N$26='GA55 Check &amp; Edit'!AX17),'Master Data'!$N$30,BU16))</f>
        <v>53900</v>
      </c>
      <c r="BV17" s="400"/>
      <c r="BW17" s="400"/>
      <c r="BX17" s="420">
        <f t="shared" si="12"/>
        <v>5000</v>
      </c>
      <c r="BY17" s="400"/>
      <c r="BZ17" s="400"/>
      <c r="CA17" s="400"/>
      <c r="CB17" s="400"/>
      <c r="CC17" s="400"/>
      <c r="CD17" s="400"/>
      <c r="CE17" s="400"/>
      <c r="CF17" s="400"/>
      <c r="CG17" s="400"/>
      <c r="CH17" s="400"/>
      <c r="CI17" s="366"/>
      <c r="CJ17" s="366"/>
      <c r="CK17" s="366"/>
      <c r="CL17" s="366"/>
    </row>
    <row r="18" spans="1:90" s="341" customFormat="1" ht="21" customHeight="1">
      <c r="A18" s="32">
        <f t="shared" si="0"/>
        <v>1</v>
      </c>
      <c r="B18" s="47">
        <f t="shared" si="5"/>
        <v>11</v>
      </c>
      <c r="C18" s="48">
        <f t="shared" si="7"/>
        <v>11</v>
      </c>
      <c r="D18" s="318">
        <f t="shared" si="2"/>
        <v>44927</v>
      </c>
      <c r="E18" s="250">
        <f>IFERROR(IF(D18="","",IF(AND(BQ22=""),"",IF(AND('Master Data'!$I$28='GA55 Check &amp; Edit'!$AP$6),VLOOKUP(D18,ram,13,0),VLOOKUP(D18,ram,4,0)))),"")</f>
        <v>53900</v>
      </c>
      <c r="F18" s="251">
        <f>IFERROR(IF(D18="","",IF(D18=$AX$24,"",IF(AND(D18=$AX$28),"",IF(AND('Master Data'!$I$28='GA55 Check &amp; Edit'!$AP$5),VLOOKUP(D18,ram,7,0),"")))),"")</f>
        <v>20482</v>
      </c>
      <c r="G18" s="251">
        <f>IFERROR(IF(D18="","",IF(D18=$AX$24,"",IF(AND(D18=$AX$25),"",IF(AND(D18=$AX$26),"",IF(AND(D18=$AX$27),"",IF(AND(D18=$AX$28),"",IF(AND(D18=$AX$29),"",IF(AND('Master Data'!$I$28='GA55 Check &amp; Edit'!$AP$6),"",VLOOKUP(D18,ram,8,0))))))))),"")</f>
        <v>4851</v>
      </c>
      <c r="H18" s="251">
        <f>IFERROR(IF(D18="","",IF(AND(E18=""),"",IF(OR(D18=$AX$24,D18=$AX$25,D18=$AX$26,D18=$AX$27,D18=$AX$28,D18=$AX$29),"",IF(AND('Master Data'!$I$28='GA55 Check &amp; Edit'!$AP$5),'Master Data'!$B$43,"")))),"")</f>
        <v>0</v>
      </c>
      <c r="I18" s="251" t="str">
        <f>IFERROR(IF(D18="","",IF(AND(E18=""),"",IF(OR(D18=$AX$24,D18=$AX$25,D18=$AX$26,D18=$AX$27,D18=$AX$28,D18=$AX$29),"",IF(AND('Master Data'!$I$28='GA55 Check &amp; Edit'!$AP$5,'Master Data'!$E$28='GA55 Check &amp; Edit'!$AO$5),'Master Data'!$E$30,"0")))),"")</f>
        <v>0</v>
      </c>
      <c r="J18" s="251" t="str">
        <f>IFERROR(IF(OR('Master Data'!$E$32=$AO$6,'Master Data'!$E$32=""),"",IF(D18="","",IF(AND(E18=""),"",IF(OR(D18=$AX$24,D18=$AX$25,D18=$AX$26,D18=$AX$27,D18=$AX$28,D18=$AX$29),"",IF(AND('Master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251">
        <f>IFERROR(IF(D18="","",IF(AND(E18=""),"",IF(OR(D18=$AX$24,D18=$AX$25,D18=$AX$26,D18=$AX$27,D18=$AX$28,D18=$AX$29),"",IF(AND('Master Data'!$I$28='GA55 Check &amp; Edit'!$AP$5),'Master Data'!$C$43,"")))),"")</f>
        <v>0</v>
      </c>
      <c r="L18" s="251">
        <f>IFERROR(IF(D18="","",IF(AND(E18=""),"",IF(OR(D18=$AX$24,D18=$AX$25,D18=$AX$26,D18=$AX$27,D18=$AX$28,D18=$AX$29),"",IF(AND('Master Data'!$I$28='GA55 Check &amp; Edit'!$AP$6),"",'Master Data'!$D$43)))),"")</f>
        <v>0</v>
      </c>
      <c r="M18" s="251">
        <f>IFERROR(IF(D18="","",IF(AND(E18=""),"",IF(OR(D18=$AX$24,D18=$AX$25,D18=$AX$26,D18=$AX$27,D18=$AX$28,D18=$AX$29),"",IF(AND('Master Data'!$I$28='GA55 Check &amp; Edit'!$AP$6),"",'Master Data'!$E$43)))),"")</f>
        <v>0</v>
      </c>
      <c r="N18" s="251" t="str">
        <f>IFERROR(IF(D18="","",IF(AND('Master Data'!$I$28='GA55 Check &amp; Edit'!$AP$6),"",IF(AND('Master Data'!$I$24='GA55 Check &amp; Edit'!$AO$6),"0",IF(AND(D18="Bonus"),VLOOKUP(D18,ram,4,0),"")))),"")</f>
        <v/>
      </c>
      <c r="O18" s="41">
        <f>IF(D18="","",IF('Master Data'!$N$24="","",SUM(E18:N18)))</f>
        <v>79233</v>
      </c>
      <c r="P18" s="319">
        <f>IFERROR(IF(OR('Master Data'!$I$28='GA55 Check &amp; Edit'!$AP$6,D18=""),"",IF(AND(D18=$AX$24),"",IF(AND(D18=$AX$25),"",IF(AND(D18=$AX$26),"",IF(AND(D18=$AX$27),"",IF(AND(D18=$AX$28),"",IF(AND(D18=$AX$29),"",IF(AND(E18=""),"",VLOOKUP(D18,ram,11,0))))))))),"")</f>
        <v>7000</v>
      </c>
      <c r="Q18" s="384">
        <f>IFERROR(IF(AND('Master Data'!$I$28='GA55 Check &amp; Edit'!$AP$6),"",IF(AND(D18=$AX$25),"",IF(AND(D18=$AX$28),"",IF(AND(D18=$AX$29),"",IF(AND(D18=""),"",VLOOKUP(D18,ram,12,0)))))),"")</f>
        <v>3575</v>
      </c>
      <c r="R18" s="319">
        <f>IFERROR(IF(OR('Master Data'!$I$28='GA55 Check &amp; Edit'!$AP$6,D18=""),"",IF(AND(D18=$AX$24),"",IF(AND(D18=$AX$25),"",IF(AND(D18=$AX$26),"",IF(AND(D18=$AX$27),"",IF(AND(D18=$AX$28),"",IF(AND(D18=$AX$29),"",IF(AND(E18=""),"",'Master Data'!$I$43)))))))),"")</f>
        <v>1880</v>
      </c>
      <c r="S18" s="319">
        <f>IFERROR(IF(OR('Master Data'!$I$28='GA55 Check &amp; Edit'!$AP$6),"",IF(D18="","",IF(E18="","",IF(AND(D18=$AX$24),"",IF(AND(D18=$AX$25),"",IF(AND(D18=$AX$26),"",IF(AND(D18=$AX$27),"",IF(AND(D18=$AX$28),"",IF(AND(D18=$AX$29),"",VLOOKUP(D18,ram,10,0)))))))))),"")</f>
        <v>658</v>
      </c>
      <c r="T18" s="319">
        <f>IFERROR(IF(OR('Master Data'!$I$28='GA55 Check &amp; Edit'!$AP$6,D18=""),"",IF(AND(D18=$AX$24),"",IF(AND(D18=$AX$25),"",IF(AND(D18=$AX$26),"",IF(AND(D18=$AX$27),"",IF(AND(D18=$AX$28),"",IF(AND(D18=$AX$29),"",IF(AND(E18=""),"",'Master Data'!$K$43)))))))),"")</f>
        <v>0</v>
      </c>
      <c r="U18" s="319">
        <f>IFERROR(IF(OR('Master Data'!$I$28='GA55 Check &amp; Edit'!$AP$6,D18=""),"",IF(AND(D18=$AX$24),"",IF(AND(D18=$AX$25),"",IF(AND(D18=$AX$26),"",IF(AND(D18=$AX$27),"",IF(AND(D18=$AX$28),"",IF(AND(D18=$AX$29),"",IF(AND(E18=""),"",'Master Data'!$L$43)))))))),"")</f>
        <v>0</v>
      </c>
      <c r="V18" s="319">
        <f>IFERROR(IF(OR('Master Data'!$I$28='GA55 Check &amp; Edit'!$AP$6,D18=""),"",IF(AND(D18=$AX$24),"",IF(AND(D18=$AX$25),"",IF(AND(D18=$AX$26),"",IF(AND(D18=$AX$27),"",IF(AND(D18=$AX$28),"",IF(AND(D18=$AX$29),"",IF(AND(E18=""),"",'Master Data'!$M$43)))))))),"")</f>
        <v>0</v>
      </c>
      <c r="W18" s="319">
        <f>IFERROR(IF(OR('Master Data'!$I$28='GA55 Check &amp; Edit'!$AP$6,D18=""),"",IF(AND(D18=$AX$24),"",IF(AND(D18=$AX$25),"",IF(AND(D18=$AX$26),"",IF(AND(D18=$AX$27),"",IF(AND(D18=$AX$28),"",IF(AND(D18=$AX$29),"",IF(AND(E18=""),"",'Master Data'!$N$43)))))))),"")</f>
        <v>0</v>
      </c>
      <c r="X18" s="319" t="str">
        <f>IFERROR(IF(OR('Master Data'!$I$28='GA55 Check &amp; Edit'!$AP$6,D18=""),"",IF(AND(E18=""),"",IF(AND('GA55 Check &amp; Edit'!D18='GA55 Check &amp; Edit'!$AT$17,'Master Data'!$D$18="Gazetted"),500,IF(AND('GA55 Check &amp; Edit'!D18='GA55 Check &amp; Edit'!$AT$17,'Master Data'!$D$18="Non-Gazetted"),250,"")))),"")</f>
        <v/>
      </c>
      <c r="Y18" s="319">
        <f>IFERROR(IF(D18="","",IF(AND(E18=""),"",IF(AND(D18=$AX$24),"",IF(AND(D18=$AX$25),"",IF(AND(D18=$AX$26),"",IF(AND(D18=$AX$27),"",IF(AND(D18=$AX$28),"",IF(AND(D18=$AX$29),"",IF(OR('Master Data'!$I$28='GA55 Check &amp; Edit'!$AP$6,D18=""),"",$Y$7))))))))),"")</f>
        <v>0</v>
      </c>
      <c r="Z18" s="319">
        <f>IFERROR(IF(OR('Master Data'!$I$28='GA55 Check &amp; Edit'!$AP$6),"",IF(D18="","",IF(E18="","",VLOOKUP(D18,ram,9,0)))),"")</f>
        <v>5000</v>
      </c>
      <c r="AA18" s="319" t="str">
        <f>IFERROR(IF(OR('Master Data'!$I$28='GA55 Check &amp; Edit'!$AP$6,D18="",'Master Data'!$N$34=""),"",IF(AND(E18=""),"",IF('GA55 Check &amp; Edit'!D18='GA55 Check &amp; Edit'!$AT$9,'Master Data'!$N$34,""))),"")</f>
        <v/>
      </c>
      <c r="AB18" s="320">
        <f t="shared" si="3"/>
        <v>18113</v>
      </c>
      <c r="AC18" s="33">
        <f t="shared" si="4"/>
        <v>61120</v>
      </c>
      <c r="AD18" s="1020"/>
      <c r="AE18" s="1016"/>
      <c r="AF18" s="37"/>
      <c r="AH18" s="366"/>
      <c r="AI18" s="366"/>
      <c r="AJ18" s="366"/>
      <c r="AK18" s="366"/>
      <c r="AL18" s="366"/>
      <c r="AM18" s="400"/>
      <c r="AN18" s="400"/>
      <c r="AO18" s="400"/>
      <c r="AP18" s="400"/>
      <c r="AQ18" s="400"/>
      <c r="AR18" s="400"/>
      <c r="AS18" s="400" t="s">
        <v>30</v>
      </c>
      <c r="AT18" s="405">
        <v>44927</v>
      </c>
      <c r="AU18" s="400" t="s">
        <v>89</v>
      </c>
      <c r="AV18" s="400"/>
      <c r="AW18" s="412" t="s">
        <v>27</v>
      </c>
      <c r="AX18" s="406">
        <v>44805</v>
      </c>
      <c r="AY18" s="411">
        <v>9</v>
      </c>
      <c r="AZ18" s="411">
        <f>IF(OR('Master Data'!N26="",'Master Data'!N30=""),MROUND(AZ15*1.03,100),IF('Master Data'!N26&lt;'GA55 Check &amp; Edit'!AX16,MROUND('Master Data'!N30*1.03,100),MROUND(AZ15*1.03,100)))</f>
        <v>53900</v>
      </c>
      <c r="BA18" s="414">
        <f>IF(AND('Master Data'!$N$24=""),"",IF(AND('Master Data'!$N$26='GA55 Check &amp; Edit'!$AP$6),'GA55 Check &amp; Edit'!$AZ$15,BU18))</f>
        <v>53900</v>
      </c>
      <c r="BB18" s="411">
        <f t="shared" si="13"/>
        <v>53900</v>
      </c>
      <c r="BC18" s="411">
        <f>IF(AND('Master Data'!$N$24=""),"",ROUND(34%*BA18,0))</f>
        <v>18326</v>
      </c>
      <c r="BD18" s="411">
        <f t="shared" si="15"/>
        <v>18326</v>
      </c>
      <c r="BE18" s="413">
        <f>IFERROR(IF(AND('Master Data'!$N$24=""),"",ROUND('Master Data'!$E$34%*BB18,0)),"")</f>
        <v>4851</v>
      </c>
      <c r="BF18" s="414">
        <f>'Master Data'!H47</f>
        <v>5000</v>
      </c>
      <c r="BG18" s="414">
        <f>IFERROR(IF(OR('Master Data'!$I$28='GA55 Check &amp; Edit'!$AP$6),"",IF('Master Data'!$I$30="GPF-2004",IF(BB18&lt;18001,265,IF(BB18&lt;33501,440,IF(BB18&lt;54001,658,875))),IF(AND('Master Data'!$I$30="GPF",'Master Data'!$J$43=""),IF(BB18&lt;18001,265,IF(BB18&lt;33501,440,IF(BB18&lt;54001,658,875))),'Master Data'!$J$43))),"")</f>
        <v>658</v>
      </c>
      <c r="BH18" s="411">
        <f>IFERROR(IF(OR('Master Data'!$I$28='GA55 Check &amp; Edit'!$AP$6),"",'Master Data'!$G$43),"")</f>
        <v>7000</v>
      </c>
      <c r="BI18" s="415">
        <f>IFERROR(IF(OR('Master Data'!$I$28='GA55 Check &amp; Edit'!$AP$6),"",IF('Master Data'!$I$30="GPF-2004",IF(BB18&lt;23101,1450,IF(BB18&lt;28501,1625,IF(BB18&lt;38501,2100,IF(BB18&lt;51501,2850,IF(BB18&lt;62001,3575,IF(BB18&lt;72001,4200,IF(BB18&lt;80001,4800,IF(BB18&lt;116001,6150,IF(BB18&lt;167001,8900,10500))))))))),'Master Data'!$H$43)),"")</f>
        <v>3575</v>
      </c>
      <c r="BJ18" s="414">
        <f t="shared" ref="BJ18:BJ22" si="16">BJ17</f>
        <v>53900</v>
      </c>
      <c r="BK18" s="418">
        <v>44805</v>
      </c>
      <c r="BL18" s="418">
        <f>IFERROR(IF('Master Data'!$N$24="","",IF('Master Data'!$F$40="","",IF(AND($AZ$17&gt;$AZ$9),"",DATE(YEAR(BL17),MONTH(BL17)+1,DAY(BL17))))),"")</f>
        <v>44805</v>
      </c>
      <c r="BM18" s="419">
        <f>IFERROR(IF('Master Data'!$N$24="","",IF('Master Data'!$F$40="","",IF(AND($AZ$17&gt;$AZ$9),"",DATE(YEAR(BM17),MONTH(BM17)+1,DAY(BM17))))),"")</f>
        <v>44805</v>
      </c>
      <c r="BN18" s="419">
        <f t="shared" si="8"/>
        <v>44805</v>
      </c>
      <c r="BO18" s="419">
        <f t="shared" si="9"/>
        <v>44805</v>
      </c>
      <c r="BP18" s="419"/>
      <c r="BQ18" s="419">
        <f t="shared" si="10"/>
        <v>44805</v>
      </c>
      <c r="BR18" s="419"/>
      <c r="BS18" s="420" t="str">
        <f t="shared" ca="1" si="11"/>
        <v/>
      </c>
      <c r="BT18" s="420"/>
      <c r="BU18" s="420">
        <f>IF(AND('Master Data'!$N$24=""),"",IF(AND('Master Data'!$N$26='GA55 Check &amp; Edit'!AX18),'Master Data'!$N$30,BU17))</f>
        <v>53900</v>
      </c>
      <c r="BV18" s="419"/>
      <c r="BW18" s="400"/>
      <c r="BX18" s="420">
        <f t="shared" si="12"/>
        <v>5000</v>
      </c>
      <c r="BY18" s="400"/>
      <c r="BZ18" s="400"/>
      <c r="CA18" s="400"/>
      <c r="CB18" s="400"/>
      <c r="CC18" s="400"/>
      <c r="CD18" s="400"/>
      <c r="CE18" s="400"/>
      <c r="CF18" s="400"/>
      <c r="CG18" s="400"/>
      <c r="CH18" s="400"/>
      <c r="CI18" s="366"/>
      <c r="CJ18" s="366"/>
      <c r="CK18" s="366"/>
      <c r="CL18" s="366"/>
    </row>
    <row r="19" spans="1:90" s="341" customFormat="1" ht="21" customHeight="1">
      <c r="A19" s="32">
        <f t="shared" si="0"/>
        <v>0</v>
      </c>
      <c r="B19" s="47">
        <f t="shared" si="5"/>
        <v>12</v>
      </c>
      <c r="C19" s="48">
        <f t="shared" si="7"/>
        <v>12</v>
      </c>
      <c r="D19" s="318">
        <f t="shared" si="2"/>
        <v>44958</v>
      </c>
      <c r="E19" s="250">
        <f>IFERROR(IF(D19="","",IF(AND(BQ23=""),"",IF(AND('Master Data'!$I$28='GA55 Check &amp; Edit'!$AP$6),VLOOKUP(D19,ram,13,0),VLOOKUP(D19,ram,4,0)))),"")</f>
        <v>53900</v>
      </c>
      <c r="F19" s="251">
        <f>IFERROR(IF(D19="","",IF(D19=$AX$24,"",IF(AND(D19=$AX$28),"",IF(AND('Master Data'!$I$28='GA55 Check &amp; Edit'!$AP$5),VLOOKUP(D19,ram,7,0),"")))),"")</f>
        <v>20482</v>
      </c>
      <c r="G19" s="251">
        <f>IFERROR(IF(D19="","",IF(D19=$AX$24,"",IF(AND(D19=$AX$25),"",IF(AND(D19=$AX$26),"",IF(AND(D19=$AX$27),"",IF(AND(D19=$AX$28),"",IF(AND(D19=$AX$29),"",IF(AND('Master Data'!$I$28='GA55 Check &amp; Edit'!$AP$6),"",VLOOKUP(D19,ram,8,0))))))))),"")</f>
        <v>4851</v>
      </c>
      <c r="H19" s="251">
        <f>IFERROR(IF(D19="","",IF(AND(E19=""),"",IF(OR(D19=$AX$24,D19=$AX$25,D19=$AX$26,D19=$AX$27,D19=$AX$28,D19=$AX$29),"",IF(AND('Master Data'!$I$28='GA55 Check &amp; Edit'!$AP$5),'Master Data'!$B$43,"")))),"")</f>
        <v>0</v>
      </c>
      <c r="I19" s="251" t="str">
        <f>IFERROR(IF(D19="","",IF(AND(E19=""),"",IF(OR(D19=$AX$24,D19=$AX$25,D19=$AX$26,D19=$AX$27,D19=$AX$28,D19=$AX$29),"",IF(AND('Master Data'!$I$28='GA55 Check &amp; Edit'!$AP$5,'Master Data'!$E$28='GA55 Check &amp; Edit'!$AO$5),'Master Data'!$E$30,"0")))),"")</f>
        <v>0</v>
      </c>
      <c r="J19" s="251" t="str">
        <f>IFERROR(IF(OR('Master Data'!$E$32=$AO$6,'Master Data'!$E$32=""),"",IF(D19="","",IF(AND(E19=""),"",IF(OR(D19=$AX$24,D19=$AX$25,D19=$AX$26,D19=$AX$27,D19=$AX$28,D19=$AX$29),"",IF(AND('Master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251">
        <f>IFERROR(IF(D19="","",IF(AND(E19=""),"",IF(OR(D19=$AX$24,D19=$AX$25,D19=$AX$26,D19=$AX$27,D19=$AX$28,D19=$AX$29),"",IF(AND('Master Data'!$I$28='GA55 Check &amp; Edit'!$AP$5),'Master Data'!$C$43,"")))),"")</f>
        <v>0</v>
      </c>
      <c r="L19" s="251">
        <f>IFERROR(IF(D19="","",IF(AND(E19=""),"",IF(OR(D19=$AX$24,D19=$AX$25,D19=$AX$26,D19=$AX$27,D19=$AX$28,D19=$AX$29),"",IF(AND('Master Data'!$I$28='GA55 Check &amp; Edit'!$AP$6),"",'Master Data'!$D$43)))),"")</f>
        <v>0</v>
      </c>
      <c r="M19" s="251">
        <f>IFERROR(IF(D19="","",IF(AND(E19=""),"",IF(OR(D19=$AX$24,D19=$AX$25,D19=$AX$26,D19=$AX$27,D19=$AX$28,D19=$AX$29),"",IF(AND('Master Data'!$I$28='GA55 Check &amp; Edit'!$AP$6),"",'Master Data'!$E$43)))),"")</f>
        <v>0</v>
      </c>
      <c r="N19" s="251" t="str">
        <f>IFERROR(IF(D19="","",IF(AND('Master Data'!$I$28='GA55 Check &amp; Edit'!$AP$6),"",IF(AND('Master Data'!$I$24='GA55 Check &amp; Edit'!$AO$6),"0",IF(AND(D19="Bonus"),VLOOKUP(D19,ram,4,0),"")))),"")</f>
        <v/>
      </c>
      <c r="O19" s="41">
        <f>IF(D19="","",IF('Master Data'!$N$24="","",SUM(E19:N19)))</f>
        <v>79233</v>
      </c>
      <c r="P19" s="319">
        <f>IFERROR(IF(OR('Master Data'!$I$28='GA55 Check &amp; Edit'!$AP$6,D19=""),"",IF(AND(D19=$AX$24),"",IF(AND(D19=$AX$25),"",IF(AND(D19=$AX$26),"",IF(AND(D19=$AX$27),"",IF(AND(D19=$AX$28),"",IF(AND(D19=$AX$29),"",IF(AND(E19=""),"",VLOOKUP(D19,ram,11,0))))))))),"")</f>
        <v>7000</v>
      </c>
      <c r="Q19" s="384">
        <f>IFERROR(IF(AND('Master Data'!$I$28='GA55 Check &amp; Edit'!$AP$6),"",IF(AND(D19=$AX$25),"",IF(AND(D19=$AX$28),"",IF(AND(D19=$AX$29),"",IF(AND(D19=""),"",VLOOKUP(D19,ram,12,0)))))),"")</f>
        <v>3575</v>
      </c>
      <c r="R19" s="319">
        <f>IFERROR(IF(OR('Master Data'!$I$28='GA55 Check &amp; Edit'!$AP$6,D19=""),"",IF(AND(D19=$AX$24),"",IF(AND(D19=$AX$25),"",IF(AND(D19=$AX$26),"",IF(AND(D19=$AX$27),"",IF(AND(D19=$AX$28),"",IF(AND(D19=$AX$29),"",IF(AND(E19=""),"",'Master Data'!$I$43)))))))),"")</f>
        <v>1880</v>
      </c>
      <c r="S19" s="319">
        <f>IFERROR(IF(OR('Master Data'!$I$28='GA55 Check &amp; Edit'!$AP$6),"",IF(D19="","",IF(E19="","",IF(AND(D19=$AX$24),"",IF(AND(D19=$AX$25),"",IF(AND(D19=$AX$26),"",IF(AND(D19=$AX$27),"",IF(AND(D19=$AX$28),"",IF(AND(D19=$AX$29),"",VLOOKUP(D19,ram,10,0)))))))))),"")</f>
        <v>658</v>
      </c>
      <c r="T19" s="319">
        <f>IFERROR(IF(OR('Master Data'!$I$28='GA55 Check &amp; Edit'!$AP$6,D19=""),"",IF(AND(D19=$AX$24),"",IF(AND(D19=$AX$25),"",IF(AND(D19=$AX$26),"",IF(AND(D19=$AX$27),"",IF(AND(D19=$AX$28),"",IF(AND(D19=$AX$29),"",IF(AND(E19=""),"",'Master Data'!$K$43)))))))),"")</f>
        <v>0</v>
      </c>
      <c r="U19" s="319">
        <f>IFERROR(IF(OR('Master Data'!$I$28='GA55 Check &amp; Edit'!$AP$6,D19=""),"",IF(AND(D19=$AX$24),"",IF(AND(D19=$AX$25),"",IF(AND(D19=$AX$26),"",IF(AND(D19=$AX$27),"",IF(AND(D19=$AX$28),"",IF(AND(D19=$AX$29),"",IF(AND(E19=""),"",'Master Data'!$L$43)))))))),"")</f>
        <v>0</v>
      </c>
      <c r="V19" s="319">
        <f>IFERROR(IF(OR('Master Data'!$I$28='GA55 Check &amp; Edit'!$AP$6,D19=""),"",IF(AND(D19=$AX$24),"",IF(AND(D19=$AX$25),"",IF(AND(D19=$AX$26),"",IF(AND(D19=$AX$27),"",IF(AND(D19=$AX$28),"",IF(AND(D19=$AX$29),"",IF(AND(E19=""),"",'Master Data'!$M$43)))))))),"")</f>
        <v>0</v>
      </c>
      <c r="W19" s="319">
        <f>IFERROR(IF(OR('Master Data'!$I$28='GA55 Check &amp; Edit'!$AP$6,D19=""),"",IF(AND(D19=$AX$24),"",IF(AND(D19=$AX$25),"",IF(AND(D19=$AX$26),"",IF(AND(D19=$AX$27),"",IF(AND(D19=$AX$28),"",IF(AND(D19=$AX$29),"",IF(AND(E19=""),"",'Master Data'!$N$43)))))))),"")</f>
        <v>0</v>
      </c>
      <c r="X19" s="319" t="str">
        <f>IFERROR(IF(OR('Master Data'!$I$28='GA55 Check &amp; Edit'!$AP$6,D19=""),"",IF(AND(E19=""),"",IF(AND('GA55 Check &amp; Edit'!D19='GA55 Check &amp; Edit'!$AT$17,'Master Data'!$D$18="Gazetted"),500,IF(AND('GA55 Check &amp; Edit'!D19='GA55 Check &amp; Edit'!$AT$17,'Master Data'!$D$18="Non-Gazetted"),250,"")))),"")</f>
        <v/>
      </c>
      <c r="Y19" s="319">
        <f>IFERROR(IF(D19="","",IF(AND(E19=""),"",IF(AND(D19=$AX$24),"",IF(AND(D19=$AX$25),"",IF(AND(D19=$AX$26),"",IF(AND(D19=$AX$27),"",IF(AND(D19=$AX$28),"",IF(AND(D19=$AX$29),"",IF(OR('Master Data'!$I$28='GA55 Check &amp; Edit'!$AP$6,D19=""),"",$Y$7))))))))),"")</f>
        <v>0</v>
      </c>
      <c r="Z19" s="319">
        <f>IFERROR(IF(OR('Master Data'!$I$28='GA55 Check &amp; Edit'!$AP$6),"",IF(D19="","",IF(E19="","",VLOOKUP(D19,ram,9,0)))),"")</f>
        <v>5000</v>
      </c>
      <c r="AA19" s="319" t="str">
        <f>IFERROR(IF(OR('Master Data'!$I$28='GA55 Check &amp; Edit'!$AP$6,D19="",'Master Data'!$N$34=""),"",IF(AND(E19=""),"",IF('GA55 Check &amp; Edit'!D19='GA55 Check &amp; Edit'!$AT$9,'Master Data'!$N$34,""))),"")</f>
        <v/>
      </c>
      <c r="AB19" s="320">
        <f t="shared" si="3"/>
        <v>18113</v>
      </c>
      <c r="AC19" s="33">
        <f t="shared" si="4"/>
        <v>61120</v>
      </c>
      <c r="AD19" s="1020"/>
      <c r="AE19" s="1016"/>
      <c r="AF19" s="37"/>
      <c r="AH19" s="366"/>
      <c r="AI19" s="366"/>
      <c r="AJ19" s="366"/>
      <c r="AK19" s="366"/>
      <c r="AL19" s="366"/>
      <c r="AM19" s="400"/>
      <c r="AN19" s="400"/>
      <c r="AO19" s="400"/>
      <c r="AP19" s="400"/>
      <c r="AQ19" s="400"/>
      <c r="AR19" s="400"/>
      <c r="AS19" s="400" t="s">
        <v>33</v>
      </c>
      <c r="AT19" s="405">
        <v>44958</v>
      </c>
      <c r="AU19" s="400" t="s">
        <v>90</v>
      </c>
      <c r="AV19" s="400"/>
      <c r="AW19" s="412" t="s">
        <v>2</v>
      </c>
      <c r="AX19" s="406">
        <v>44835</v>
      </c>
      <c r="AY19" s="411">
        <v>10</v>
      </c>
      <c r="AZ19" s="411" t="str">
        <f>IF(AND(AZ21&lt;$AX$12),"",IF(AND(AZ21&gt;$AX$15),"",AZ22))</f>
        <v/>
      </c>
      <c r="BA19" s="414">
        <f>IF(AND('Master Data'!$N$24=""),"",IF(AND('Master Data'!$N$26='GA55 Check &amp; Edit'!$AP$6),'GA55 Check &amp; Edit'!$AZ$15,BU19))</f>
        <v>53900</v>
      </c>
      <c r="BB19" s="411">
        <f>IF(AND(AX19&lt;$AZ$16),"",IF(AND(AX19&gt;$AZ$17),"",BA19))</f>
        <v>53900</v>
      </c>
      <c r="BC19" s="411">
        <f>IF(AND('Master Data'!$N$24=""),"",ROUND(38%*BA19,0))</f>
        <v>20482</v>
      </c>
      <c r="BD19" s="411">
        <f>IF(BB19="","",BC19)</f>
        <v>20482</v>
      </c>
      <c r="BE19" s="413">
        <f>IFERROR(IF(AND('Master Data'!$N$24=""),"",ROUND('Master Data'!$E$34%*BB19,0)),"")</f>
        <v>4851</v>
      </c>
      <c r="BF19" s="414">
        <f>'Master Data'!I47</f>
        <v>5000</v>
      </c>
      <c r="BG19" s="414">
        <f>IFERROR(IF(OR('Master Data'!$I$28='GA55 Check &amp; Edit'!$AP$6),"",IF('Master Data'!$I$30="GPF-2004",IF(BB19&lt;18001,265,IF(BB19&lt;33501,440,IF(BB19&lt;54001,658,875))),IF(AND('Master Data'!$I$30="GPF",'Master Data'!$J$43=""),IF(BB19&lt;18001,265,IF(BB19&lt;33501,440,IF(BB19&lt;54001,658,875))),'Master Data'!$J$43))),"")</f>
        <v>658</v>
      </c>
      <c r="BH19" s="411">
        <f>IFERROR(IF(OR('Master Data'!$I$28='GA55 Check &amp; Edit'!$AP$6),"",'Master Data'!$G$43),"")</f>
        <v>7000</v>
      </c>
      <c r="BI19" s="415">
        <f>IFERROR(IF(OR('Master Data'!$I$28='GA55 Check &amp; Edit'!$AP$6),"",IF('Master Data'!$I$30="GPF-2004",IF(BB19&lt;23101,1450,IF(BB19&lt;28501,1625,IF(BB19&lt;38501,2100,IF(BB19&lt;51501,2850,IF(BB19&lt;62001,3575,IF(BB19&lt;72001,4200,IF(BB19&lt;80001,4800,IF(BB19&lt;116001,6150,IF(BB19&lt;167001,8900,10500))))))))),'Master Data'!$H$43)),"")</f>
        <v>3575</v>
      </c>
      <c r="BJ19" s="414">
        <f t="shared" si="16"/>
        <v>53900</v>
      </c>
      <c r="BK19" s="418">
        <v>44835</v>
      </c>
      <c r="BL19" s="418">
        <f>IFERROR(IF('Master Data'!$N$24="","",IF('Master Data'!$F$40="","",IF(AND($AZ$17&gt;$AZ$9),"",DATE(YEAR(BL18),MONTH(BL18)+1,DAY(BL18))))),"")</f>
        <v>44835</v>
      </c>
      <c r="BM19" s="419">
        <f>IFERROR(IF('Master Data'!$N$24="","",IF('Master Data'!$F$40="","",IF(AND($AZ$17&gt;$AZ$9),"",DATE(YEAR(BM18),MONTH(BM18)+1,DAY(BM18))))),"")</f>
        <v>44835</v>
      </c>
      <c r="BN19" s="419">
        <f t="shared" si="8"/>
        <v>44835</v>
      </c>
      <c r="BO19" s="419">
        <f>IFERROR(IF(BM19="","",IF(AND(BL19=$BK$24),$BM$24,IF(AND(BL19=$BK$25),$BM$25,IF(AND(BL19=$BK$26),$BM$26,IF(AND(BL19=$BK$27),$BM$27,IF(AND(BL19=$BK$28),$BM$28,IF(AND(BL19=$BK$29),$BM$29,IF(AND(BL19=$BK$30),$BM$30,IF(AND(BL19=$BK$31),$BM$31,IF(AND(BL19=$BK$32),$BM$32,BN19)))))))))),"")</f>
        <v>44835</v>
      </c>
      <c r="BP19" s="419"/>
      <c r="BQ19" s="419">
        <f t="shared" si="10"/>
        <v>44835</v>
      </c>
      <c r="BR19" s="419"/>
      <c r="BS19" s="420" t="str">
        <f t="shared" ca="1" si="11"/>
        <v/>
      </c>
      <c r="BT19" s="420"/>
      <c r="BU19" s="420">
        <f>IF(AND('Master Data'!$N$24=""),"",IF(AND('Master Data'!$N$26='GA55 Check &amp; Edit'!AX19),'Master Data'!$N$30,BU18))</f>
        <v>53900</v>
      </c>
      <c r="BV19" s="419"/>
      <c r="BW19" s="400"/>
      <c r="BX19" s="420">
        <f t="shared" si="12"/>
        <v>5000</v>
      </c>
      <c r="BY19" s="400"/>
      <c r="BZ19" s="400"/>
      <c r="CA19" s="400"/>
      <c r="CB19" s="400"/>
      <c r="CC19" s="400"/>
      <c r="CD19" s="400"/>
      <c r="CE19" s="400"/>
      <c r="CF19" s="400"/>
      <c r="CG19" s="400"/>
      <c r="CH19" s="400"/>
      <c r="CI19" s="366"/>
      <c r="CJ19" s="366"/>
      <c r="CK19" s="366"/>
      <c r="CL19" s="366"/>
    </row>
    <row r="20" spans="1:90" s="341" customFormat="1" ht="21" customHeight="1">
      <c r="A20" s="32">
        <f t="shared" si="0"/>
        <v>1</v>
      </c>
      <c r="B20" s="47">
        <f>IF(LEN(D20)&gt;=3,B19+1,0)</f>
        <v>13</v>
      </c>
      <c r="C20" s="48">
        <f t="shared" si="7"/>
        <v>13</v>
      </c>
      <c r="D20" s="318" t="str">
        <f>IFERROR(IF(BO24="","",BO24),"")</f>
        <v>Bonus</v>
      </c>
      <c r="E20" s="250" t="str">
        <f>IFERROR(IF(D20="","",IF(AND(BQ24=""),"",IF(AND('Master Data'!$I$28='GA55 Check &amp; Edit'!$AP$6),VLOOKUP(D20,ram,13,0),VLOOKUP(D20,ram,4,0)))),"")</f>
        <v/>
      </c>
      <c r="F20" s="251" t="str">
        <f>IFERROR(IF(D20="","",IF(D20=$AX$24,"",IF(AND(D20=$AX$28),"",IF(AND('Master Data'!$I$28='GA55 Check &amp; Edit'!$AP$5),VLOOKUP(D20,ram,7,0),"")))),"")</f>
        <v/>
      </c>
      <c r="G20" s="251" t="str">
        <f>IFERROR(IF(D20="","",IF(D20=$AX$24,"",IF(AND(D20=$AX$25),"",IF(AND(D20=$AX$26),"",IF(AND(D20=$AX$27),"",IF(AND(D20=$AX$28),"",IF(AND(D20=$AX$29),"",IF(AND('Master Data'!$I$28='GA55 Check &amp; Edit'!$AP$6),"",VLOOKUP(D20,ram,8,0))))))))),"")</f>
        <v/>
      </c>
      <c r="H20" s="251" t="str">
        <f>IFERROR(IF(D20="","",IF(AND(E20=""),"",IF(OR(D20=$AX$24,D20=$AX$25,D20=$AX$26,D20=$AX$27,D20=$AX$28,D20=$AX$29),"",IF(AND('Master Data'!$I$28='GA55 Check &amp; Edit'!$AP$5),'Master Data'!$B$43,"")))),"")</f>
        <v/>
      </c>
      <c r="I20" s="251" t="str">
        <f>IFERROR(IF(D20="","",IF(AND(E20=""),"",IF(OR(D20=$AX$24,D20=$AX$25,D20=$AX$26,D20=$AX$27,D20=$AX$28,D20=$AX$29),"",IF(AND('Master Data'!$I$28='GA55 Check &amp; Edit'!$AP$5,'Master Data'!$E$28='GA55 Check &amp; Edit'!$AO$5),'Master Data'!$E$30,"0")))),"")</f>
        <v/>
      </c>
      <c r="J20" s="251" t="str">
        <f>IFERROR(IF(OR('Master Data'!$E$32=$AO$6,'Master Data'!$E$32=""),"",IF(D20="","",IF(AND(E20=""),"",IF(OR(D20=$AX$24,D20=$AX$25,D20=$AX$26,D20=$AX$27,D20=$AX$28,D20=$AX$29),"",IF(AND('Master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251" t="str">
        <f>IFERROR(IF(D20="","",IF(AND(E20=""),"",IF(OR(D20=$AX$24,D20=$AX$25,D20=$AX$26,D20=$AX$27,D20=$AX$28,D20=$AX$29),"",IF(AND('Master Data'!$I$28='GA55 Check &amp; Edit'!$AP$5),'Master Data'!$C$43,"")))),"")</f>
        <v/>
      </c>
      <c r="L20" s="251" t="str">
        <f>IFERROR(IF(D20="","",IF(AND(E20=""),"",IF(OR(D20=$AX$24,D20=$AX$25,D20=$AX$26,D20=$AX$27,D20=$AX$28,D20=$AX$29),"",IF(AND('Master Data'!$I$28='GA55 Check &amp; Edit'!$AP$6),"",'Master Data'!$D$43)))),"")</f>
        <v/>
      </c>
      <c r="M20" s="251" t="str">
        <f>IFERROR(IF(D20="","",IF(AND(E20=""),"",IF(OR(D20=$AX$24,D20=$AX$25,D20=$AX$26,D20=$AX$27,D20=$AX$28,D20=$AX$29),"",IF(AND('Master Data'!$I$28='GA55 Check &amp; Edit'!$AP$6),"",'Master Data'!$E$43)))),"")</f>
        <v/>
      </c>
      <c r="N20" s="251">
        <f>IFERROR(IF(D20="","",IF(AND('Master Data'!$I$28='GA55 Check &amp; Edit'!$AP$6),"",IF(AND('Master Data'!$I$24='GA55 Check &amp; Edit'!$AO$6),"0",IF(AND(D20="Bonus"),VLOOKUP(D20,ram,4,0),"")))),"")</f>
        <v>6774</v>
      </c>
      <c r="O20" s="41">
        <f>IF(D20="","",IF('Master Data'!$N$24="","",SUM(E20:N20)))</f>
        <v>6774</v>
      </c>
      <c r="P20" s="319" t="str">
        <f>IFERROR(IF(OR('Master Data'!$I$28='GA55 Check &amp; Edit'!$AP$6,D20=""),"",IF(AND(D20=$AX$24),"",IF(AND(D20=$AX$25),"",IF(AND(D20=$AX$26),"",IF(AND(D20=$AX$27),"",IF(AND(D20=$AX$28),"",IF(AND(D20=$AX$29),"",IF(AND(E20=""),"",VLOOKUP(D20,ram,11,0))))))))),"")</f>
        <v/>
      </c>
      <c r="Q20" s="384">
        <f>IFERROR(IF(AND('Master Data'!$I$28='GA55 Check &amp; Edit'!$AP$6),"",IF(AND(D20=$AX$25),"",IF(AND(D20=$AX$28),"",IF(AND(D20=$AX$29),"",IF(AND(D20=""),"",VLOOKUP(D20,ram,12,0)))))),"")</f>
        <v>1694</v>
      </c>
      <c r="R20" s="319" t="str">
        <f>IFERROR(IF(OR('Master Data'!$I$28='GA55 Check &amp; Edit'!$AP$6,D20=""),"",IF(AND(D20=$AX$24),"",IF(AND(D20=$AX$25),"",IF(AND(D20=$AX$26),"",IF(AND(D20=$AX$27),"",IF(AND(D20=$AX$28),"",IF(AND(D20=$AX$29),"",IF(AND(E20=""),"",'Master Data'!$I$43)))))))),"")</f>
        <v/>
      </c>
      <c r="S20" s="319" t="str">
        <f>IFERROR(IF(OR('Master Data'!$I$28='GA55 Check &amp; Edit'!$AP$6),"",IF(D20="","",IF(E20="","",IF(AND(D20=$AX$24),"",IF(AND(D20=$AX$25),"",IF(AND(D20=$AX$26),"",IF(AND(D20=$AX$27),"",IF(AND(D20=$AX$28),"",IF(AND(D20=$AX$29),"",VLOOKUP(D20,ram,10,0)))))))))),"")</f>
        <v/>
      </c>
      <c r="T20" s="319" t="str">
        <f>IFERROR(IF(OR('Master Data'!$I$28='GA55 Check &amp; Edit'!$AP$6,D20=""),"",IF(AND(D20=$AX$24),"",IF(AND(D20=$AX$25),"",IF(AND(D20=$AX$26),"",IF(AND(D20=$AX$27),"",IF(AND(D20=$AX$28),"",IF(AND(D20=$AX$29),"",IF(AND(E20=""),"",'Master Data'!$K$43)))))))),"")</f>
        <v/>
      </c>
      <c r="U20" s="319" t="str">
        <f>IFERROR(IF(OR('Master Data'!$I$28='GA55 Check &amp; Edit'!$AP$6,D20=""),"",IF(AND(D20=$AX$24),"",IF(AND(D20=$AX$25),"",IF(AND(D20=$AX$26),"",IF(AND(D20=$AX$27),"",IF(AND(D20=$AX$28),"",IF(AND(D20=$AX$29),"",IF(AND(E20=""),"",'Master Data'!$L$43)))))))),"")</f>
        <v/>
      </c>
      <c r="V20" s="319" t="str">
        <f>IFERROR(IF(OR('Master Data'!$I$28='GA55 Check &amp; Edit'!$AP$6,D20=""),"",IF(AND(D20=$AX$24),"",IF(AND(D20=$AX$25),"",IF(AND(D20=$AX$26),"",IF(AND(D20=$AX$27),"",IF(AND(D20=$AX$28),"",IF(AND(D20=$AX$29),"",IF(AND(E20=""),"",'Master Data'!$M$43)))))))),"")</f>
        <v/>
      </c>
      <c r="W20" s="319" t="str">
        <f>IFERROR(IF(OR('Master Data'!$I$28='GA55 Check &amp; Edit'!$AP$6,D20=""),"",IF(AND(D20=$AX$24),"",IF(AND(D20=$AX$25),"",IF(AND(D20=$AX$26),"",IF(AND(D20=$AX$27),"",IF(AND(D20=$AX$28),"",IF(AND(D20=$AX$29),"",IF(AND(E20=""),"",'Master Data'!$N$43)))))))),"")</f>
        <v/>
      </c>
      <c r="X20" s="319" t="str">
        <f>IFERROR(IF(OR('Master Data'!$I$28='GA55 Check &amp; Edit'!$AP$6,D20=""),"",IF(AND(E20=""),"",IF(AND('GA55 Check &amp; Edit'!D20='GA55 Check &amp; Edit'!$AT$17,'Master Data'!$D$18="Gazetted"),500,IF(AND('GA55 Check &amp; Edit'!D20='GA55 Check &amp; Edit'!$AT$17,'Master Data'!$D$18="Non-Gazetted"),250,"")))),"")</f>
        <v/>
      </c>
      <c r="Y20" s="319" t="str">
        <f>IFERROR(IF(D20="","",IF(AND(E20=""),"",IF(AND(D20=$AX$24),"",IF(AND(D20=$AX$25),"",IF(AND(D20=$AX$26),"",IF(AND(D20=$AX$27),"",IF(AND(D20=$AX$28),"",IF(AND(D20=$AX$29),"",IF(OR('Master Data'!$I$28='GA55 Check &amp; Edit'!$AP$6,D20=""),"",$Y$7))))))))),"")</f>
        <v/>
      </c>
      <c r="Z20" s="319"/>
      <c r="AA20" s="319" t="str">
        <f>IFERROR(IF(OR('Master Data'!$I$28='GA55 Check &amp; Edit'!$AP$6,D20="",'Master Data'!$N$34=""),"",IF(AND(E20=""),"",IF('GA55 Check &amp; Edit'!D20='GA55 Check &amp; Edit'!$AT$9,'Master Data'!$N$34,""))),"")</f>
        <v/>
      </c>
      <c r="AB20" s="320">
        <f t="shared" si="3"/>
        <v>1694</v>
      </c>
      <c r="AC20" s="33">
        <f t="shared" si="4"/>
        <v>5080</v>
      </c>
      <c r="AD20" s="1020"/>
      <c r="AE20" s="1016"/>
      <c r="AF20" s="37"/>
      <c r="AH20" s="366"/>
      <c r="AI20" s="366"/>
      <c r="AJ20" s="366"/>
      <c r="AK20" s="366"/>
      <c r="AL20" s="366"/>
      <c r="AM20" s="400"/>
      <c r="AN20" s="400"/>
      <c r="AO20" s="400"/>
      <c r="AP20" s="400"/>
      <c r="AQ20" s="400"/>
      <c r="AR20" s="400"/>
      <c r="AS20" s="400"/>
      <c r="AT20" s="400"/>
      <c r="AU20" s="400" t="s">
        <v>91</v>
      </c>
      <c r="AV20" s="400"/>
      <c r="AW20" s="412" t="s">
        <v>30</v>
      </c>
      <c r="AX20" s="406">
        <v>44866</v>
      </c>
      <c r="AY20" s="411">
        <v>11</v>
      </c>
      <c r="AZ20" s="411"/>
      <c r="BA20" s="414">
        <f>IF(AND('Master Data'!$N$24=""),"",IF(AND('Master Data'!$N$26='GA55 Check &amp; Edit'!$AP$6),'GA55 Check &amp; Edit'!$AZ$15,BU20))</f>
        <v>53900</v>
      </c>
      <c r="BB20" s="411">
        <f t="shared" si="13"/>
        <v>53900</v>
      </c>
      <c r="BC20" s="411">
        <f>IF(AND('Master Data'!$N$24=""),"",ROUND(38%*BA20,0))</f>
        <v>20482</v>
      </c>
      <c r="BD20" s="411">
        <f t="shared" si="15"/>
        <v>20482</v>
      </c>
      <c r="BE20" s="413">
        <f>IFERROR(IF(AND('Master Data'!$N$24=""),"",ROUND('Master Data'!$E$34%*BB20,0)),"")</f>
        <v>4851</v>
      </c>
      <c r="BF20" s="414">
        <f>'Master Data'!J47</f>
        <v>5000</v>
      </c>
      <c r="BG20" s="414">
        <f>IFERROR(IF(OR('Master Data'!$I$28='GA55 Check &amp; Edit'!$AP$6),"",IF('Master Data'!$I$30="GPF-2004",IF(BB20&lt;18001,265,IF(BB20&lt;33501,440,IF(BB20&lt;54001,658,875))),IF(AND('Master Data'!$I$30="GPF",'Master Data'!$J$43=""),IF(BB20&lt;18001,265,IF(BB20&lt;33501,440,IF(BB20&lt;54001,658,875))),'Master Data'!$J$43))),"")</f>
        <v>658</v>
      </c>
      <c r="BH20" s="411">
        <f>IFERROR(IF(OR('Master Data'!$I$28='GA55 Check &amp; Edit'!$AP$6),"",'Master Data'!$G$43),"")</f>
        <v>7000</v>
      </c>
      <c r="BI20" s="415">
        <f>IFERROR(IF(OR('Master Data'!$I$28='GA55 Check &amp; Edit'!$AP$6),"",IF('Master Data'!$I$30="GPF-2004",IF(BB20&lt;23101,1450,IF(BB20&lt;28501,1625,IF(BB20&lt;38501,2100,IF(BB20&lt;51501,2850,IF(BB20&lt;62001,3575,IF(BB20&lt;72001,4200,IF(BB20&lt;80001,4800,IF(BB20&lt;116001,6150,IF(BB20&lt;167001,8900,10500))))))))),'Master Data'!$H$43)),"")</f>
        <v>3575</v>
      </c>
      <c r="BJ20" s="414">
        <f t="shared" si="16"/>
        <v>53900</v>
      </c>
      <c r="BK20" s="418">
        <v>44866</v>
      </c>
      <c r="BL20" s="418">
        <f>IFERROR(IF('Master Data'!$N$24="","",IF('Master Data'!$F$40="","",IF(AND($AZ$17&gt;$AZ$9),"",DATE(YEAR(BL19),MONTH(BL19)+1,DAY(BL19))))),"")</f>
        <v>44866</v>
      </c>
      <c r="BM20" s="419">
        <f>IFERROR(IF('Master Data'!$N$24="","",IF('Master Data'!$F$40="","",IF(AND($AZ$17&gt;$AZ$9),"",DATE(YEAR(BM19),MONTH(BM19)+1,DAY(BM19))))),"")</f>
        <v>44866</v>
      </c>
      <c r="BN20" s="419">
        <f t="shared" si="8"/>
        <v>44866</v>
      </c>
      <c r="BO20" s="419">
        <f t="shared" si="9"/>
        <v>44866</v>
      </c>
      <c r="BP20" s="419"/>
      <c r="BQ20" s="419">
        <f t="shared" si="10"/>
        <v>44866</v>
      </c>
      <c r="BR20" s="419"/>
      <c r="BS20" s="420" t="str">
        <f t="shared" ca="1" si="11"/>
        <v/>
      </c>
      <c r="BT20" s="420"/>
      <c r="BU20" s="420">
        <f>IF(AND('Master Data'!$N$24=""),"",IF(AND('Master Data'!$N$26='GA55 Check &amp; Edit'!AX20),'Master Data'!$N$30,BU19))</f>
        <v>53900</v>
      </c>
      <c r="BV20" s="419"/>
      <c r="BW20" s="400"/>
      <c r="BX20" s="420">
        <f t="shared" si="12"/>
        <v>5000</v>
      </c>
      <c r="BY20" s="400"/>
      <c r="BZ20" s="400"/>
      <c r="CA20" s="400"/>
      <c r="CB20" s="400"/>
      <c r="CC20" s="400"/>
      <c r="CD20" s="400"/>
      <c r="CE20" s="400"/>
      <c r="CF20" s="400"/>
      <c r="CG20" s="400"/>
      <c r="CH20" s="400"/>
      <c r="CI20" s="366"/>
      <c r="CJ20" s="366"/>
      <c r="CK20" s="366"/>
      <c r="CL20" s="366"/>
    </row>
    <row r="21" spans="1:90" s="341" customFormat="1" ht="21" customHeight="1">
      <c r="A21" s="32">
        <f t="shared" si="0"/>
        <v>0</v>
      </c>
      <c r="B21" s="47">
        <f t="shared" si="5"/>
        <v>14</v>
      </c>
      <c r="C21" s="48">
        <f t="shared" si="7"/>
        <v>14</v>
      </c>
      <c r="D21" s="318" t="str">
        <f t="shared" si="2"/>
        <v>PL Surrender</v>
      </c>
      <c r="E21" s="250" t="str">
        <f>IFERROR(IF(D21="","",IF(AND(BQ25=""),"",IF(AND('Master Data'!$I$28='GA55 Check &amp; Edit'!$AP$6),VLOOKUP(D21,ram,13,0),VLOOKUP(D21,ram,4,0)))),"")</f>
        <v/>
      </c>
      <c r="F21" s="251" t="str">
        <f>IFERROR(IF(D21="","",IF(D21=$AX$24,"",IF(AND(D21=$AX$28),"",IF(AND('Master Data'!$I$28='GA55 Check &amp; Edit'!$AP$5),VLOOKUP(D21,ram,7,0),"")))),"")</f>
        <v/>
      </c>
      <c r="G21" s="251" t="str">
        <f>IFERROR(IF(D21="","",IF(D21=$AX$24,"",IF(AND(D21=$AX$25),"",IF(AND(D21=$AX$26),"",IF(AND(D21=$AX$27),"",IF(AND(D21=$AX$28),"",IF(AND(D21=$AX$29),"",IF(AND('Master Data'!$I$28='GA55 Check &amp; Edit'!$AP$6),"",VLOOKUP(D21,ram,8,0))))))))),"")</f>
        <v/>
      </c>
      <c r="H21" s="251" t="str">
        <f>IFERROR(IF(D21="","",IF(AND(E21=""),"",IF(OR(D21=$AX$24,D21=$AX$25,D21=$AX$26,D21=$AX$27,D21=$AX$28,D21=$AX$29),"",IF(AND('Master Data'!$I$28='GA55 Check &amp; Edit'!$AP$5),'Master Data'!$B$43,"")))),"")</f>
        <v/>
      </c>
      <c r="I21" s="251" t="str">
        <f>IFERROR(IF(D21="","",IF(AND(E21=""),"",IF(OR(D21=$AX$24,D21=$AX$25,D21=$AX$26,D21=$AX$27,D21=$AX$28,D21=$AX$29),"",IF(AND('Master Data'!$I$28='GA55 Check &amp; Edit'!$AP$5,'Master Data'!$E$28='GA55 Check &amp; Edit'!$AO$5),'Master Data'!$E$30,"0")))),"")</f>
        <v/>
      </c>
      <c r="J21" s="251" t="str">
        <f>IFERROR(IF(OR('Master Data'!$E$32=$AO$6,'Master Data'!$E$32=""),"",IF(D21="","",IF(AND(E21=""),"",IF(OR(D21=$AX$24,D21=$AX$25,D21=$AX$26,D21=$AX$27,D21=$AX$28,D21=$AX$29),"",IF(AND('Master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251" t="str">
        <f>IFERROR(IF(D21="","",IF(AND(E21=""),"",IF(OR(D21=$AX$24,D21=$AX$25,D21=$AX$26,D21=$AX$27,D21=$AX$28,D21=$AX$29),"",IF(AND('Master Data'!$I$28='GA55 Check &amp; Edit'!$AP$5),'Master Data'!$C$43,"")))),"")</f>
        <v/>
      </c>
      <c r="L21" s="251" t="str">
        <f>IFERROR(IF(D21="","",IF(AND(E21=""),"",IF(OR(D21=$AX$24,D21=$AX$25,D21=$AX$26,D21=$AX$27,D21=$AX$28,D21=$AX$29),"",IF(AND('Master Data'!$I$28='GA55 Check &amp; Edit'!$AP$6),"",'Master Data'!$D$43)))),"")</f>
        <v/>
      </c>
      <c r="M21" s="251" t="str">
        <f>IFERROR(IF(D21="","",IF(AND(E21=""),"",IF(OR(D21=$AX$24,D21=$AX$25,D21=$AX$26,D21=$AX$27,D21=$AX$28,D21=$AX$29),"",IF(AND('Master Data'!$I$28='GA55 Check &amp; Edit'!$AP$6),"",'Master Data'!$E$43)))),"")</f>
        <v/>
      </c>
      <c r="N21" s="251" t="str">
        <f>IFERROR(IF(D21="","",IF(AND('Master Data'!$I$28='GA55 Check &amp; Edit'!$AP$6),"",IF(AND('Master Data'!$I$24='GA55 Check &amp; Edit'!$AO$6),"0",IF(AND(D21="Bonus"),VLOOKUP(D21,ram,4,0),"")))),"")</f>
        <v/>
      </c>
      <c r="O21" s="41">
        <f>IF(D21="","",IF('Master Data'!$N$24="","",SUM(E21:N21)))</f>
        <v>0</v>
      </c>
      <c r="P21" s="319" t="str">
        <f>IFERROR(IF(OR('Master Data'!$I$28='GA55 Check &amp; Edit'!$AP$6,D21=""),"",IF(AND(D21=$AX$24),"",IF(AND(D21=$AX$25),"",IF(AND(D21=$AX$26),"",IF(AND(D21=$AX$27),"",IF(AND(D21=$AX$28),"",IF(AND(D21=$AX$29),"",IF(AND(E21=""),"",VLOOKUP(D21,ram,11,0))))))))),"")</f>
        <v/>
      </c>
      <c r="Q21" s="384" t="str">
        <f>IFERROR(IF(AND('Master Data'!$I$28='GA55 Check &amp; Edit'!$AP$6),"",IF(AND(D21=$AX$25),"",IF(AND(D21=$AX$28),"",IF(AND(D21=$AX$29),"",IF(AND(D21=""),"",VLOOKUP(D21,ram,12,0)))))),"")</f>
        <v/>
      </c>
      <c r="R21" s="319" t="str">
        <f>IFERROR(IF(OR('Master Data'!$I$28='GA55 Check &amp; Edit'!$AP$6,D21=""),"",IF(AND(D21=$AX$24),"",IF(AND(D21=$AX$25),"",IF(AND(D21=$AX$26),"",IF(AND(D21=$AX$27),"",IF(AND(D21=$AX$28),"",IF(AND(D21=$AX$29),"",IF(AND(E21=""),"",'Master Data'!$I$43)))))))),"")</f>
        <v/>
      </c>
      <c r="S21" s="319" t="str">
        <f>IFERROR(IF(OR('Master Data'!$I$28='GA55 Check &amp; Edit'!$AP$6),"",IF(D21="","",IF(E21="","",IF(AND(D21=$AX$24),"",IF(AND(D21=$AX$25),"",IF(AND(D21=$AX$26),"",IF(AND(D21=$AX$27),"",IF(AND(D21=$AX$28),"",IF(AND(D21=$AX$29),"",VLOOKUP(D21,ram,10,0)))))))))),"")</f>
        <v/>
      </c>
      <c r="T21" s="319" t="str">
        <f>IFERROR(IF(OR('Master Data'!$I$28='GA55 Check &amp; Edit'!$AP$6,D21=""),"",IF(AND(D21=$AX$24),"",IF(AND(D21=$AX$25),"",IF(AND(D21=$AX$26),"",IF(AND(D21=$AX$27),"",IF(AND(D21=$AX$28),"",IF(AND(D21=$AX$29),"",IF(AND(E21=""),"",'Master Data'!$K$43)))))))),"")</f>
        <v/>
      </c>
      <c r="U21" s="319" t="str">
        <f>IFERROR(IF(OR('Master Data'!$I$28='GA55 Check &amp; Edit'!$AP$6,D21=""),"",IF(AND(D21=$AX$24),"",IF(AND(D21=$AX$25),"",IF(AND(D21=$AX$26),"",IF(AND(D21=$AX$27),"",IF(AND(D21=$AX$28),"",IF(AND(D21=$AX$29),"",IF(AND(E21=""),"",'Master Data'!$L$43)))))))),"")</f>
        <v/>
      </c>
      <c r="V21" s="319" t="str">
        <f>IFERROR(IF(OR('Master Data'!$I$28='GA55 Check &amp; Edit'!$AP$6,D21=""),"",IF(AND(D21=$AX$24),"",IF(AND(D21=$AX$25),"",IF(AND(D21=$AX$26),"",IF(AND(D21=$AX$27),"",IF(AND(D21=$AX$28),"",IF(AND(D21=$AX$29),"",IF(AND(E21=""),"",'Master Data'!$M$43)))))))),"")</f>
        <v/>
      </c>
      <c r="W21" s="319" t="str">
        <f>IFERROR(IF(OR('Master Data'!$I$28='GA55 Check &amp; Edit'!$AP$6,D21=""),"",IF(AND(D21=$AX$24),"",IF(AND(D21=$AX$25),"",IF(AND(D21=$AX$26),"",IF(AND(D21=$AX$27),"",IF(AND(D21=$AX$28),"",IF(AND(D21=$AX$29),"",IF(AND(E21=""),"",'Master Data'!$N$43)))))))),"")</f>
        <v/>
      </c>
      <c r="X21" s="319" t="str">
        <f>IFERROR(IF(OR('Master Data'!$I$28='GA55 Check &amp; Edit'!$AP$6,D21=""),"",IF(AND(E21=""),"",IF(AND('GA55 Check &amp; Edit'!D21='GA55 Check &amp; Edit'!$AT$17,'Master Data'!$D$18="Gazetted"),500,IF(AND('GA55 Check &amp; Edit'!D21='GA55 Check &amp; Edit'!$AT$17,'Master Data'!$D$18="Non-Gazetted"),250,"")))),"")</f>
        <v/>
      </c>
      <c r="Y21" s="319" t="str">
        <f>IFERROR(IF(D21="","",IF(AND(E21=""),"",IF(AND(D21=$AX$24),"",IF(AND(D21=$AX$25),"",IF(AND(D21=$AX$26),"",IF(AND(D21=$AX$27),"",IF(AND(D21=$AX$28),"",IF(AND(D21=$AX$29),"",IF(OR('Master Data'!$I$28='GA55 Check &amp; Edit'!$AP$6,D21=""),"",$Y$7))))))))),"")</f>
        <v/>
      </c>
      <c r="Z21" s="319"/>
      <c r="AA21" s="319" t="str">
        <f>IFERROR(IF(OR('Master Data'!$I$28='GA55 Check &amp; Edit'!$AP$6,D21="",'Master Data'!$N$34=""),"",IF(AND(E21=""),"",IF('GA55 Check &amp; Edit'!D21='GA55 Check &amp; Edit'!$AT$9,'Master Data'!$N$34,""))),"")</f>
        <v/>
      </c>
      <c r="AB21" s="320">
        <f t="shared" si="3"/>
        <v>0</v>
      </c>
      <c r="AC21" s="33">
        <f t="shared" si="4"/>
        <v>0</v>
      </c>
      <c r="AD21" s="1020"/>
      <c r="AE21" s="1016"/>
      <c r="AF21" s="37"/>
      <c r="AH21" s="366"/>
      <c r="AI21" s="366"/>
      <c r="AJ21" s="366"/>
      <c r="AK21" s="366"/>
      <c r="AL21" s="366"/>
      <c r="AM21" s="400"/>
      <c r="AN21" s="400"/>
      <c r="AO21" s="400"/>
      <c r="AP21" s="400"/>
      <c r="AQ21" s="400"/>
      <c r="AR21" s="400"/>
      <c r="AS21" s="400"/>
      <c r="AT21" s="400"/>
      <c r="AU21" s="400" t="s">
        <v>92</v>
      </c>
      <c r="AV21" s="400"/>
      <c r="AW21" s="412" t="s">
        <v>33</v>
      </c>
      <c r="AX21" s="406">
        <v>44896</v>
      </c>
      <c r="AY21" s="411">
        <v>12</v>
      </c>
      <c r="AZ21" s="421" t="str">
        <f>IF('Master Data'!N26="","",'Master Data'!N26)</f>
        <v/>
      </c>
      <c r="BA21" s="414">
        <f>IF(AND('Master Data'!$N$24=""),"",IF(AND('Master Data'!$N$26='GA55 Check &amp; Edit'!$AP$6),'GA55 Check &amp; Edit'!$AZ$15,BU21))</f>
        <v>53900</v>
      </c>
      <c r="BB21" s="411">
        <f t="shared" si="13"/>
        <v>53900</v>
      </c>
      <c r="BC21" s="411">
        <f>IF(AND('Master Data'!$N$24=""),"",ROUND(38%*BA21,0))</f>
        <v>20482</v>
      </c>
      <c r="BD21" s="411">
        <f t="shared" si="15"/>
        <v>20482</v>
      </c>
      <c r="BE21" s="413">
        <f>IFERROR(IF(AND('Master Data'!$N$24=""),"",ROUND('Master Data'!$E$34%*BB21,0)),"")</f>
        <v>4851</v>
      </c>
      <c r="BF21" s="414">
        <f>'Master Data'!K47</f>
        <v>5000</v>
      </c>
      <c r="BG21" s="414">
        <f>IFERROR(IF(OR('Master Data'!$I$28='GA55 Check &amp; Edit'!$AP$6),"",IF('Master Data'!$I$30="GPF-2004",IF(BB21&lt;18001,265,IF(BB21&lt;33501,440,IF(BB21&lt;54001,658,875))),IF(AND('Master Data'!$I$30="GPF",'Master Data'!$J$43=""),IF(BB21&lt;18001,265,IF(BB21&lt;33501,440,IF(BB21&lt;54001,658,875))),'Master Data'!$J$43))),"")</f>
        <v>658</v>
      </c>
      <c r="BH21" s="411">
        <f>IFERROR(IF(OR('Master Data'!$I$28='GA55 Check &amp; Edit'!$AP$6),"",'Master Data'!$G$43),"")</f>
        <v>7000</v>
      </c>
      <c r="BI21" s="415">
        <f>IFERROR(IF(OR('Master Data'!$I$28='GA55 Check &amp; Edit'!$AP$6),"",IF('Master Data'!$I$30="GPF-2004",IF(BB21&lt;23101,1450,IF(BB21&lt;28501,1625,IF(BB21&lt;38501,2100,IF(BB21&lt;51501,2850,IF(BB21&lt;62001,3575,IF(BB21&lt;72001,4200,IF(BB21&lt;80001,4800,IF(BB21&lt;116001,6150,IF(BB21&lt;167001,8900,10500))))))))),'Master Data'!$H$43)),"")</f>
        <v>3575</v>
      </c>
      <c r="BJ21" s="414">
        <f t="shared" si="16"/>
        <v>53900</v>
      </c>
      <c r="BK21" s="418">
        <v>44896</v>
      </c>
      <c r="BL21" s="418">
        <f>IFERROR(IF('Master Data'!$N$24="","",IF('Master Data'!$F$40="","",IF(AND($AZ$17&gt;$AZ$9),"",DATE(YEAR(BL20),MONTH(BL20)+1,DAY(BL20))))),"")</f>
        <v>44896</v>
      </c>
      <c r="BM21" s="419">
        <f>IFERROR(IF('Master Data'!$N$24="","",IF('Master Data'!$F$40="","",IF(AND($AZ$17&gt;$AZ$9),"",DATE(YEAR(BM20),MONTH(BM20)+1,DAY(BM20))))),"")</f>
        <v>44896</v>
      </c>
      <c r="BN21" s="419">
        <f t="shared" si="8"/>
        <v>44896</v>
      </c>
      <c r="BO21" s="419">
        <f t="shared" si="9"/>
        <v>44896</v>
      </c>
      <c r="BP21" s="419"/>
      <c r="BQ21" s="419">
        <f t="shared" si="10"/>
        <v>44896</v>
      </c>
      <c r="BR21" s="419"/>
      <c r="BS21" s="420"/>
      <c r="BT21" s="420"/>
      <c r="BU21" s="420">
        <f>IF(AND('Master Data'!$N$24=""),"",IF(AND('Master Data'!$N$26='GA55 Check &amp; Edit'!AX21),'Master Data'!$N$30,BU20))</f>
        <v>53900</v>
      </c>
      <c r="BV21" s="419"/>
      <c r="BW21" s="400"/>
      <c r="BX21" s="420">
        <f t="shared" si="12"/>
        <v>5000</v>
      </c>
      <c r="BY21" s="400"/>
      <c r="BZ21" s="400"/>
      <c r="CA21" s="400"/>
      <c r="CB21" s="400"/>
      <c r="CC21" s="400"/>
      <c r="CD21" s="400"/>
      <c r="CE21" s="400"/>
      <c r="CF21" s="400"/>
      <c r="CG21" s="400"/>
      <c r="CH21" s="400"/>
      <c r="CI21" s="366"/>
      <c r="CJ21" s="366"/>
      <c r="CK21" s="366"/>
      <c r="CL21" s="366"/>
    </row>
    <row r="22" spans="1:90" s="341" customFormat="1" ht="21" customHeight="1">
      <c r="A22" s="32">
        <f t="shared" si="0"/>
        <v>1</v>
      </c>
      <c r="B22" s="47">
        <f t="shared" si="5"/>
        <v>15</v>
      </c>
      <c r="C22" s="48">
        <f t="shared" si="7"/>
        <v>15</v>
      </c>
      <c r="D22" s="318" t="str">
        <f t="shared" si="2"/>
        <v>DA Arrear 31 to 34%</v>
      </c>
      <c r="E22" s="250" t="str">
        <f>IFERROR(IF(D22="","",IF(AND(BQ26=""),"",IF(AND('Master Data'!$I$28='GA55 Check &amp; Edit'!$AP$6),VLOOKUP(D22,ram,13,0),VLOOKUP(D22,ram,4,0)))),"")</f>
        <v/>
      </c>
      <c r="F22" s="251">
        <f>IFERROR(IF(D22="","",IF(D22=$AX$24,"",IF(AND(D22=$AX$28),"",IF(AND('Master Data'!$I$28='GA55 Check &amp; Edit'!$AP$5),VLOOKUP(D22,ram,7,0),"")))),"")</f>
        <v>4707</v>
      </c>
      <c r="G22" s="251" t="str">
        <f>IFERROR(IF(D22="","",IF(D22=$AX$24,"",IF(AND(D22=$AX$25),"",IF(AND(D22=$AX$26),"",IF(AND(D22=$AX$27),"",IF(AND(D22=$AX$28),"",IF(AND(D22=$AX$29),"",IF(AND('Master Data'!$I$28='GA55 Check &amp; Edit'!$AP$6),"",VLOOKUP(D22,ram,8,0))))))))),"")</f>
        <v/>
      </c>
      <c r="H22" s="251" t="str">
        <f>IFERROR(IF(D22="","",IF(AND(E22=""),"",IF(OR(D22=$AX$24,D22=$AX$25,D22=$AX$26,D22=$AX$27,D22=$AX$28,D22=$AX$29),"",IF(AND('Master Data'!$I$28='GA55 Check &amp; Edit'!$AP$5),'Master Data'!$B$43,"")))),"")</f>
        <v/>
      </c>
      <c r="I22" s="251" t="str">
        <f>IFERROR(IF(D22="","",IF(AND(E22=""),"",IF(OR(D22=$AX$24,D22=$AX$25,D22=$AX$26,D22=$AX$27,D22=$AX$28,D22=$AX$29),"",IF(AND('Master Data'!$I$28='GA55 Check &amp; Edit'!$AP$5,'Master Data'!$E$28='GA55 Check &amp; Edit'!$AO$5),'Master Data'!$E$30,"0")))),"")</f>
        <v/>
      </c>
      <c r="J22" s="251" t="str">
        <f>IFERROR(IF(OR('Master Data'!$E$32=$AO$6,'Master Data'!$E$32=""),"",IF(D22="","",IF(AND(E22=""),"",IF(OR(D22=$AX$24,D22=$AX$25,D22=$AX$26,D22=$AX$27,D22=$AX$28,D22=$AX$29),"",IF(AND('Master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251" t="str">
        <f>IFERROR(IF(D22="","",IF(AND(E22=""),"",IF(OR(D22=$AX$24,D22=$AX$25,D22=$AX$26,D22=$AX$27,D22=$AX$28,D22=$AX$29),"",IF(AND('Master Data'!$I$28='GA55 Check &amp; Edit'!$AP$5),'Master Data'!$C$43,"")))),"")</f>
        <v/>
      </c>
      <c r="L22" s="251" t="str">
        <f>IFERROR(IF(D22="","",IF(AND(E22=""),"",IF(OR(D22=$AX$24,D22=$AX$25,D22=$AX$26,D22=$AX$27,D22=$AX$28,D22=$AX$29),"",IF(AND('Master Data'!$I$28='GA55 Check &amp; Edit'!$AP$6),"",'Master Data'!$D$43)))),"")</f>
        <v/>
      </c>
      <c r="M22" s="251" t="str">
        <f>IFERROR(IF(D22="","",IF(AND(E22=""),"",IF(OR(D22=$AX$24,D22=$AX$25,D22=$AX$26,D22=$AX$27,D22=$AX$28,D22=$AX$29),"",IF(AND('Master Data'!$I$28='GA55 Check &amp; Edit'!$AP$6),"",'Master Data'!$E$43)))),"")</f>
        <v/>
      </c>
      <c r="N22" s="251" t="str">
        <f>IFERROR(IF(D22="","",IF(AND('Master Data'!$I$28='GA55 Check &amp; Edit'!$AP$6),"",IF(AND('Master Data'!$I$24='GA55 Check &amp; Edit'!$AO$6),"0",IF(AND(D22="Bonus"),VLOOKUP(D22,ram,4,0),"")))),"")</f>
        <v/>
      </c>
      <c r="O22" s="41">
        <f>IF(D22="","",IF('Master Data'!$N$24="","",SUM(E22:N22)))</f>
        <v>4707</v>
      </c>
      <c r="P22" s="319" t="str">
        <f>IFERROR(IF(OR('Master Data'!$I$28='GA55 Check &amp; Edit'!$AP$6,D22=""),"",IF(AND(D22=$AX$24),"",IF(AND(D22=$AX$25),"",IF(AND(D22=$AX$26),"",IF(AND(D22=$AX$27),"",IF(AND(D22=$AX$28),"",IF(AND(D22=$AX$29),"",IF(AND(E22=""),"",VLOOKUP(D22,ram,11,0))))))))),"")</f>
        <v/>
      </c>
      <c r="Q22" s="384">
        <f>IFERROR(IF(AND('Master Data'!$I$28='GA55 Check &amp; Edit'!$AP$6),"",IF(AND(D22=$AX$25),"",IF(AND(D22=$AX$28),"",IF(AND(D22=$AX$29),"",IF(AND(D22=""),"",VLOOKUP(D22,ram,12,0)))))),"")</f>
        <v>4707</v>
      </c>
      <c r="R22" s="319" t="str">
        <f>IFERROR(IF(OR('Master Data'!$I$28='GA55 Check &amp; Edit'!$AP$6,D22=""),"",IF(AND(D22=$AX$24),"",IF(AND(D22=$AX$25),"",IF(AND(D22=$AX$26),"",IF(AND(D22=$AX$27),"",IF(AND(D22=$AX$28),"",IF(AND(D22=$AX$29),"",IF(AND(E22=""),"",'Master Data'!$I$43)))))))),"")</f>
        <v/>
      </c>
      <c r="S22" s="319" t="str">
        <f>IFERROR(IF(OR('Master Data'!$I$28='GA55 Check &amp; Edit'!$AP$6),"",IF(D22="","",IF(E22="","",IF(AND(D22=$AX$24),"",IF(AND(D22=$AX$25),"",IF(AND(D22=$AX$26),"",IF(AND(D22=$AX$27),"",IF(AND(D22=$AX$28),"",IF(AND(D22=$AX$29),"",VLOOKUP(D22,ram,10,0)))))))))),"")</f>
        <v/>
      </c>
      <c r="T22" s="319" t="str">
        <f>IFERROR(IF(OR('Master Data'!$I$28='GA55 Check &amp; Edit'!$AP$6,D22=""),"",IF(AND(D22=$AX$24),"",IF(AND(D22=$AX$25),"",IF(AND(D22=$AX$26),"",IF(AND(D22=$AX$27),"",IF(AND(D22=$AX$28),"",IF(AND(D22=$AX$29),"",IF(AND(E22=""),"",'Master Data'!$K$43)))))))),"")</f>
        <v/>
      </c>
      <c r="U22" s="319" t="str">
        <f>IFERROR(IF(OR('Master Data'!$I$28='GA55 Check &amp; Edit'!$AP$6,D22=""),"",IF(AND(D22=$AX$24),"",IF(AND(D22=$AX$25),"",IF(AND(D22=$AX$26),"",IF(AND(D22=$AX$27),"",IF(AND(D22=$AX$28),"",IF(AND(D22=$AX$29),"",IF(AND(E22=""),"",'Master Data'!$L$43)))))))),"")</f>
        <v/>
      </c>
      <c r="V22" s="319" t="str">
        <f>IFERROR(IF(OR('Master Data'!$I$28='GA55 Check &amp; Edit'!$AP$6,D22=""),"",IF(AND(D22=$AX$24),"",IF(AND(D22=$AX$25),"",IF(AND(D22=$AX$26),"",IF(AND(D22=$AX$27),"",IF(AND(D22=$AX$28),"",IF(AND(D22=$AX$29),"",IF(AND(E22=""),"",'Master Data'!$M$43)))))))),"")</f>
        <v/>
      </c>
      <c r="W22" s="319" t="str">
        <f>IFERROR(IF(OR('Master Data'!$I$28='GA55 Check &amp; Edit'!$AP$6,D22=""),"",IF(AND(D22=$AX$24),"",IF(AND(D22=$AX$25),"",IF(AND(D22=$AX$26),"",IF(AND(D22=$AX$27),"",IF(AND(D22=$AX$28),"",IF(AND(D22=$AX$29),"",IF(AND(E22=""),"",'Master Data'!$N$43)))))))),"")</f>
        <v/>
      </c>
      <c r="X22" s="319" t="str">
        <f>IFERROR(IF(OR('Master Data'!$I$28='GA55 Check &amp; Edit'!$AP$6,D22=""),"",IF(AND(E22=""),"",IF(AND('GA55 Check &amp; Edit'!D22='GA55 Check &amp; Edit'!$AT$17,'Master Data'!$D$18="Gazetted"),500,IF(AND('GA55 Check &amp; Edit'!D22='GA55 Check &amp; Edit'!$AT$17,'Master Data'!$D$18="Non-Gazetted"),250,"")))),"")</f>
        <v/>
      </c>
      <c r="Y22" s="319" t="str">
        <f>IFERROR(IF(D22="","",IF(AND(E22=""),"",IF(AND(D22=$AX$24),"",IF(AND(D22=$AX$25),"",IF(AND(D22=$AX$26),"",IF(AND(D22=$AX$27),"",IF(AND(D22=$AX$28),"",IF(AND(D22=$AX$29),"",IF(OR('Master Data'!$I$28='GA55 Check &amp; Edit'!$AP$6,D22=""),"",$Y$7))))))))),"")</f>
        <v/>
      </c>
      <c r="Z22" s="319"/>
      <c r="AA22" s="319" t="str">
        <f>IFERROR(IF(OR('Master Data'!$I$28='GA55 Check &amp; Edit'!$AP$6,D22="",'Master Data'!$N$34=""),"",IF(AND(E22=""),"",IF('GA55 Check &amp; Edit'!D22='GA55 Check &amp; Edit'!$AT$9,'Master Data'!$N$34,""))),"")</f>
        <v/>
      </c>
      <c r="AB22" s="320">
        <f>IFERROR(IF(D22="","",IF(AND(O22=""),"",SUM(P22:AA22))),"0")</f>
        <v>4707</v>
      </c>
      <c r="AC22" s="33">
        <f>IFERROR(IF(AND(E22="",O22="",AB22=""),"",SUM(O22-AB22)),"")</f>
        <v>0</v>
      </c>
      <c r="AD22" s="1020"/>
      <c r="AE22" s="1016"/>
      <c r="AF22" s="37"/>
      <c r="AH22" s="366"/>
      <c r="AI22" s="366"/>
      <c r="AJ22" s="366"/>
      <c r="AK22" s="366"/>
      <c r="AL22" s="366"/>
      <c r="AM22" s="400"/>
      <c r="AN22" s="400"/>
      <c r="AO22" s="400"/>
      <c r="AP22" s="400"/>
      <c r="AQ22" s="400"/>
      <c r="AR22" s="400"/>
      <c r="AS22" s="400"/>
      <c r="AT22" s="400"/>
      <c r="AU22" s="400" t="s">
        <v>93</v>
      </c>
      <c r="AV22" s="400"/>
      <c r="AW22" s="412" t="s">
        <v>3</v>
      </c>
      <c r="AX22" s="406">
        <v>44927</v>
      </c>
      <c r="AY22" s="411">
        <v>1</v>
      </c>
      <c r="AZ22" s="411" t="str">
        <f>IF('Master Data'!N30="","",'Master Data'!N30)</f>
        <v/>
      </c>
      <c r="BA22" s="414">
        <f>IF(AND('Master Data'!$N$24=""),"",IF(AND('Master Data'!$N$26='GA55 Check &amp; Edit'!$AP$6),'GA55 Check &amp; Edit'!$AZ$15,BU22))</f>
        <v>53900</v>
      </c>
      <c r="BB22" s="411">
        <f t="shared" si="13"/>
        <v>53900</v>
      </c>
      <c r="BC22" s="411">
        <f>IF(AND('Master Data'!$N$24=""),"",ROUND(38%*BA22,0))</f>
        <v>20482</v>
      </c>
      <c r="BD22" s="411">
        <f t="shared" si="15"/>
        <v>20482</v>
      </c>
      <c r="BE22" s="413">
        <f>IFERROR(IF(AND('Master Data'!$N$24=""),"",ROUND('Master Data'!$E$34%*BB22,0)),"")</f>
        <v>4851</v>
      </c>
      <c r="BF22" s="414">
        <f>'Master Data'!L47</f>
        <v>5000</v>
      </c>
      <c r="BG22" s="414">
        <f>IFERROR(IF(OR('Master Data'!$I$28='GA55 Check &amp; Edit'!$AP$6),"",IF('Master Data'!$I$30="GPF-2004",IF(BB22&lt;18001,265,IF(BB22&lt;33501,440,IF(BB22&lt;54001,658,875))),IF(AND('Master Data'!$I$30="GPF",'Master Data'!$J$43=""),IF(BB22&lt;18001,265,IF(BB22&lt;33501,440,IF(BB22&lt;54001,658,875))),'Master Data'!$J$43))),"")</f>
        <v>658</v>
      </c>
      <c r="BH22" s="411">
        <f>IFERROR(IF(OR('Master Data'!$I$28='GA55 Check &amp; Edit'!$AP$6),"",'Master Data'!$G$43),"")</f>
        <v>7000</v>
      </c>
      <c r="BI22" s="415">
        <f>IFERROR(IF(OR('Master Data'!$I$28='GA55 Check &amp; Edit'!$AP$6),"",IF('Master Data'!$I$30="GPF-2004",IF(BB22&lt;23101,1450,IF(BB22&lt;28501,1625,IF(BB22&lt;38501,2100,IF(BB22&lt;51501,2850,IF(BB22&lt;62001,3575,IF(BB22&lt;72001,4200,IF(BB22&lt;80001,4800,IF(BB22&lt;116001,6150,IF(BB22&lt;167001,8900,10500))))))))),'Master Data'!$H$43)),"")</f>
        <v>3575</v>
      </c>
      <c r="BJ22" s="414">
        <f t="shared" si="16"/>
        <v>53900</v>
      </c>
      <c r="BK22" s="418">
        <v>44927</v>
      </c>
      <c r="BL22" s="418">
        <f>IFERROR(IF('Master Data'!$N$24="","",IF('Master Data'!$F$40="","",IF(AND($AZ$17&gt;$AZ$9),"",DATE(YEAR(BL21),MONTH(BL21)+1,DAY(BL21))))),"")</f>
        <v>44927</v>
      </c>
      <c r="BM22" s="419">
        <f>IFERROR(IF('Master Data'!$N$24="","",IF('Master Data'!$F$40="","",IF(AND($AZ$17&gt;$AZ$9),"",DATE(YEAR(BM21),MONTH(BM21)+1,DAY(BM21))))),"")</f>
        <v>44927</v>
      </c>
      <c r="BN22" s="419">
        <f t="shared" si="8"/>
        <v>44927</v>
      </c>
      <c r="BO22" s="419">
        <f t="shared" si="9"/>
        <v>44927</v>
      </c>
      <c r="BP22" s="419"/>
      <c r="BQ22" s="419">
        <f t="shared" si="10"/>
        <v>44927</v>
      </c>
      <c r="BR22" s="419"/>
      <c r="BS22" s="420"/>
      <c r="BT22" s="420"/>
      <c r="BU22" s="420">
        <f>IF(AND('Master Data'!$N$24=""),"",IF(AND('Master Data'!$N$26='GA55 Check &amp; Edit'!AX22),'Master Data'!$N$30,BU21))</f>
        <v>53900</v>
      </c>
      <c r="BV22" s="419"/>
      <c r="BW22" s="400"/>
      <c r="BX22" s="420">
        <f t="shared" si="12"/>
        <v>5000</v>
      </c>
      <c r="BY22" s="400"/>
      <c r="BZ22" s="400"/>
      <c r="CA22" s="400"/>
      <c r="CB22" s="400"/>
      <c r="CC22" s="400"/>
      <c r="CD22" s="400"/>
      <c r="CE22" s="400"/>
      <c r="CF22" s="400"/>
      <c r="CG22" s="400"/>
      <c r="CH22" s="400"/>
      <c r="CI22" s="366"/>
      <c r="CJ22" s="366"/>
      <c r="CK22" s="366"/>
      <c r="CL22" s="366"/>
    </row>
    <row r="23" spans="1:90" s="341" customFormat="1" ht="21" customHeight="1">
      <c r="A23" s="32">
        <f t="shared" si="0"/>
        <v>0</v>
      </c>
      <c r="B23" s="47">
        <f t="shared" si="5"/>
        <v>16</v>
      </c>
      <c r="C23" s="48">
        <f t="shared" si="7"/>
        <v>16</v>
      </c>
      <c r="D23" s="318" t="str">
        <f t="shared" si="2"/>
        <v>DA Arrear 34 to 38%</v>
      </c>
      <c r="E23" s="250" t="str">
        <f>IFERROR(IF(D23="","",IF(AND(BQ27=""),"",IF(AND('Master Data'!$I$28='GA55 Check &amp; Edit'!$AP$6),VLOOKUP(D23,ram,13,0),VLOOKUP(D23,ram,4,0)))),"")</f>
        <v/>
      </c>
      <c r="F23" s="251">
        <f>IFERROR(IF(D23="","",IF(D23=$AX$24,"",IF(AND(D23=$AX$28),"",IF(AND('Master Data'!$I$28='GA55 Check &amp; Edit'!$AP$5),VLOOKUP(D23,ram,7,0),"")))),"")</f>
        <v>6468</v>
      </c>
      <c r="G23" s="251" t="str">
        <f>IFERROR(IF(D23="","",IF(D23=$AX$24,"",IF(AND(D23=$AX$25),"",IF(AND(D23=$AX$26),"",IF(AND(D23=$AX$27),"",IF(AND(D23=$AX$28),"",IF(AND(D23=$AX$29),"",IF(AND('Master Data'!$I$28='GA55 Check &amp; Edit'!$AP$6),"",VLOOKUP(D23,ram,8,0))))))))),"")</f>
        <v/>
      </c>
      <c r="H23" s="251" t="str">
        <f>IFERROR(IF(D23="","",IF(AND(E23=""),"",IF(OR(D23=$AX$24,D23=$AX$25,D23=$AX$26,D23=$AX$27,D23=$AX$28,D23=$AX$29),"",IF(AND('Master Data'!$I$28='GA55 Check &amp; Edit'!$AP$5),'Master Data'!$B$43,"")))),"")</f>
        <v/>
      </c>
      <c r="I23" s="251" t="str">
        <f>IFERROR(IF(D23="","",IF(AND(E23=""),"",IF(OR(D23=$AX$24,D23=$AX$25,D23=$AX$26,D23=$AX$27,D23=$AX$28,D23=$AX$29),"",IF(AND('Master Data'!$I$28='GA55 Check &amp; Edit'!$AP$5,'Master Data'!$E$28='GA55 Check &amp; Edit'!$AO$5),'Master Data'!$E$30,"0")))),"")</f>
        <v/>
      </c>
      <c r="J23" s="251" t="str">
        <f>IFERROR(IF(OR('Master Data'!$E$32=$AO$6,'Master Data'!$E$32=""),"",IF(D23="","",IF(AND(E23=""),"",IF(OR(D23=$AX$24,D23=$AX$25,D23=$AX$26,D23=$AX$27,D23=$AX$28,D23=$AX$29),"",IF(AND('Master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251" t="str">
        <f>IFERROR(IF(D23="","",IF(AND(E23=""),"",IF(OR(D23=$AX$24,D23=$AX$25,D23=$AX$26,D23=$AX$27,D23=$AX$28,D23=$AX$29),"",IF(AND('Master Data'!$I$28='GA55 Check &amp; Edit'!$AP$5),'Master Data'!$C$43,"")))),"")</f>
        <v/>
      </c>
      <c r="L23" s="251" t="str">
        <f>IFERROR(IF(D23="","",IF(AND(E23=""),"",IF(OR(D23=$AX$24,D23=$AX$25,D23=$AX$26,D23=$AX$27,D23=$AX$28,D23=$AX$29),"",IF(AND('Master Data'!$I$28='GA55 Check &amp; Edit'!$AP$6),"",'Master Data'!$D$43)))),"")</f>
        <v/>
      </c>
      <c r="M23" s="251" t="str">
        <f>IFERROR(IF(D23="","",IF(AND(E23=""),"",IF(OR(D23=$AX$24,D23=$AX$25,D23=$AX$26,D23=$AX$27,D23=$AX$28,D23=$AX$29),"",IF(AND('Master Data'!$I$28='GA55 Check &amp; Edit'!$AP$6),"",'Master Data'!$E$43)))),"")</f>
        <v/>
      </c>
      <c r="N23" s="251" t="str">
        <f>IFERROR(IF(D23="","",IF(AND('Master Data'!$I$28='GA55 Check &amp; Edit'!$AP$6),"",IF(AND('Master Data'!$I$24='GA55 Check &amp; Edit'!$AO$6),"0",IF(AND(D23="Bonus"),VLOOKUP(D23,ram,4,0),"")))),"")</f>
        <v/>
      </c>
      <c r="O23" s="41">
        <f>IF(D23="","",IF('Master Data'!$N$24="","",SUM(E23:N23)))</f>
        <v>6468</v>
      </c>
      <c r="P23" s="319" t="str">
        <f>IFERROR(IF(OR('Master Data'!$I$28='GA55 Check &amp; Edit'!$AP$6,D23=""),"",IF(AND(D23=$AX$24),"",IF(AND(D23=$AX$25),"",IF(AND(D23=$AX$26),"",IF(AND(D23=$AX$27),"",IF(AND(D23=$AX$28),"",IF(AND(D23=$AX$29),"",IF(AND(E23=""),"",VLOOKUP(D23,ram,11,0))))))))),"")</f>
        <v/>
      </c>
      <c r="Q23" s="384">
        <f>IFERROR(IF(AND('Master Data'!$I$28='GA55 Check &amp; Edit'!$AP$6),"",IF(AND(D23=$AX$25),"",IF(AND(D23=$AX$28),"",IF(AND(D23=$AX$29),"",IF(AND(D23=""),"",VLOOKUP(D23,ram,12,0)))))),"")</f>
        <v>6468</v>
      </c>
      <c r="R23" s="319" t="str">
        <f>IFERROR(IF(OR('Master Data'!$I$28='GA55 Check &amp; Edit'!$AP$6,D23=""),"",IF(AND(D23=$AX$24),"",IF(AND(D23=$AX$25),"",IF(AND(D23=$AX$26),"",IF(AND(D23=$AX$27),"",IF(AND(D23=$AX$28),"",IF(AND(D23=$AX$29),"",IF(AND(E23=""),"",'Master Data'!$I$43)))))))),"")</f>
        <v/>
      </c>
      <c r="S23" s="319" t="str">
        <f>IFERROR(IF(OR('Master Data'!$I$28='GA55 Check &amp; Edit'!$AP$6),"",IF(D23="","",IF(E23="","",IF(AND(D23=$AX$24),"",IF(AND(D23=$AX$25),"",IF(AND(D23=$AX$26),"",IF(AND(D23=$AX$27),"",IF(AND(D23=$AX$28),"",IF(AND(D23=$AX$29),"",VLOOKUP(D23,ram,10,0)))))))))),"")</f>
        <v/>
      </c>
      <c r="T23" s="319" t="str">
        <f>IFERROR(IF(OR('Master Data'!$I$28='GA55 Check &amp; Edit'!$AP$6,D23=""),"",IF(AND(D23=$AX$24),"",IF(AND(D23=$AX$25),"",IF(AND(D23=$AX$26),"",IF(AND(D23=$AX$27),"",IF(AND(D23=$AX$28),"",IF(AND(D23=$AX$29),"",IF(AND(E23=""),"",'Master Data'!$K$43)))))))),"")</f>
        <v/>
      </c>
      <c r="U23" s="319" t="str">
        <f>IFERROR(IF(OR('Master Data'!$I$28='GA55 Check &amp; Edit'!$AP$6,D23=""),"",IF(AND(D23=$AX$24),"",IF(AND(D23=$AX$25),"",IF(AND(D23=$AX$26),"",IF(AND(D23=$AX$27),"",IF(AND(D23=$AX$28),"",IF(AND(D23=$AX$29),"",IF(AND(E23=""),"",'Master Data'!$L$43)))))))),"")</f>
        <v/>
      </c>
      <c r="V23" s="319" t="str">
        <f>IFERROR(IF(OR('Master Data'!$I$28='GA55 Check &amp; Edit'!$AP$6,D23=""),"",IF(AND(D23=$AX$24),"",IF(AND(D23=$AX$25),"",IF(AND(D23=$AX$26),"",IF(AND(D23=$AX$27),"",IF(AND(D23=$AX$28),"",IF(AND(D23=$AX$29),"",IF(AND(E23=""),"",'Master Data'!$M$43)))))))),"")</f>
        <v/>
      </c>
      <c r="W23" s="319" t="str">
        <f>IFERROR(IF(OR('Master Data'!$I$28='GA55 Check &amp; Edit'!$AP$6,D23=""),"",IF(AND(D23=$AX$24),"",IF(AND(D23=$AX$25),"",IF(AND(D23=$AX$26),"",IF(AND(D23=$AX$27),"",IF(AND(D23=$AX$28),"",IF(AND(D23=$AX$29),"",IF(AND(E23=""),"",'Master Data'!$N$43)))))))),"")</f>
        <v/>
      </c>
      <c r="X23" s="319" t="str">
        <f>IFERROR(IF(OR('Master Data'!$I$28='GA55 Check &amp; Edit'!$AP$6,D23=""),"",IF(AND(E23=""),"",IF(AND('GA55 Check &amp; Edit'!D23='GA55 Check &amp; Edit'!$AT$17,'Master Data'!$D$18="Gazetted"),500,IF(AND('GA55 Check &amp; Edit'!D23='GA55 Check &amp; Edit'!$AT$17,'Master Data'!$D$18="Non-Gazetted"),250,"")))),"")</f>
        <v/>
      </c>
      <c r="Y23" s="319" t="str">
        <f>IFERROR(IF(D23="","",IF(AND(E23=""),"",IF(AND(D23=$AX$24),"",IF(AND(D23=$AX$25),"",IF(AND(D23=$AX$26),"",IF(AND(D23=$AX$27),"",IF(AND(D23=$AX$28),"",IF(AND(D23=$AX$29),"",IF(OR('Master Data'!$I$28='GA55 Check &amp; Edit'!$AP$6,D23=""),"",$Y$7))))))))),"")</f>
        <v/>
      </c>
      <c r="Z23" s="319"/>
      <c r="AA23" s="319" t="str">
        <f>IFERROR(IF(OR('Master Data'!$I$28='GA55 Check &amp; Edit'!$AP$6,D23="",'Master Data'!$N$34=""),"",IF(AND(E23=""),"",IF('GA55 Check &amp; Edit'!D23='GA55 Check &amp; Edit'!$AT$9,'Master Data'!$N$34,""))),"")</f>
        <v/>
      </c>
      <c r="AB23" s="320">
        <f t="shared" si="3"/>
        <v>6468</v>
      </c>
      <c r="AC23" s="33">
        <f t="shared" si="4"/>
        <v>0</v>
      </c>
      <c r="AD23" s="1020"/>
      <c r="AE23" s="1016"/>
      <c r="AF23" s="37"/>
      <c r="AH23" s="366"/>
      <c r="AI23" s="366"/>
      <c r="AJ23" s="366"/>
      <c r="AK23" s="366"/>
      <c r="AL23" s="366"/>
      <c r="AM23" s="400"/>
      <c r="AN23" s="400"/>
      <c r="AO23" s="400"/>
      <c r="AP23" s="400"/>
      <c r="AQ23" s="400"/>
      <c r="AR23" s="400">
        <f>IF('Master Data'!I38&lt;'GA55 Check &amp; Edit'!AX16,MROUND('Master Data'!N24*1.03,100),MROUND(AZ15*1.03,100))</f>
        <v>53900</v>
      </c>
      <c r="AS23" s="400"/>
      <c r="AT23" s="400"/>
      <c r="AU23" s="400" t="s">
        <v>94</v>
      </c>
      <c r="AV23" s="400"/>
      <c r="AW23" s="412" t="s">
        <v>78</v>
      </c>
      <c r="AX23" s="406">
        <v>44958</v>
      </c>
      <c r="AY23" s="411">
        <v>2</v>
      </c>
      <c r="AZ23" s="411"/>
      <c r="BA23" s="414">
        <f>IF(AND('Master Data'!$N$24=""),"",IF(AND('Master Data'!$N$26='GA55 Check &amp; Edit'!$AP$6),'GA55 Check &amp; Edit'!$AZ$15,BU23))</f>
        <v>53900</v>
      </c>
      <c r="BB23" s="411">
        <f t="shared" si="13"/>
        <v>53900</v>
      </c>
      <c r="BC23" s="411">
        <f>IF(AND('Master Data'!$N$24=""),"",ROUND(38%*BA23,0))</f>
        <v>20482</v>
      </c>
      <c r="BD23" s="411">
        <f>IF(BB23="","",BC23)</f>
        <v>20482</v>
      </c>
      <c r="BE23" s="413">
        <f>IFERROR(IF(AND('Master Data'!$N$24=""),"",ROUND('Master Data'!$E$34%*BB23,0)),"")</f>
        <v>4851</v>
      </c>
      <c r="BF23" s="414">
        <f>'Master Data'!M47</f>
        <v>5000</v>
      </c>
      <c r="BG23" s="414">
        <f>IFERROR(IF(OR('Master Data'!$I$28='GA55 Check &amp; Edit'!$AP$6),"",IF('Master Data'!$I$30="GPF-2004",IF(BB23&lt;18001,265,IF(BB23&lt;33501,440,IF(BB23&lt;54001,658,875))),IF(AND('Master Data'!$I$30="GPF",'Master Data'!$J$43=""),IF(BB23&lt;18001,265,IF(BB23&lt;33501,440,IF(BB23&lt;54001,658,875))),'Master Data'!$J$43))),"")</f>
        <v>658</v>
      </c>
      <c r="BH23" s="411">
        <f>IFERROR(IF(OR('Master Data'!$I$28='GA55 Check &amp; Edit'!$AP$6),"",'Master Data'!$G$43),"")</f>
        <v>7000</v>
      </c>
      <c r="BI23" s="415">
        <f>IFERROR(IF(OR('Master Data'!$I$28='GA55 Check &amp; Edit'!$AP$6),"",IF('Master Data'!$I$30="GPF-2004",IF(BB23&lt;23101,1450,IF(BB23&lt;28501,1625,IF(BB23&lt;38501,2100,IF(BB23&lt;51501,2850,IF(BB23&lt;62001,3575,IF(BB23&lt;72001,4200,IF(BB23&lt;80001,4800,IF(BB23&lt;116001,6150,IF(BB23&lt;167001,8900,10500))))))))),'Master Data'!$H$43)),"")</f>
        <v>3575</v>
      </c>
      <c r="BJ23" s="414">
        <f>BJ22</f>
        <v>53900</v>
      </c>
      <c r="BK23" s="418">
        <v>44958</v>
      </c>
      <c r="BL23" s="418">
        <f>IFERROR(IF('Master Data'!$N$24="","",IF('Master Data'!$F$40="","",IF(AND($AZ$17&gt;$AZ$9),"",DATE(YEAR(BL22),MONTH(BL22)+1,DAY(BL22))))),"")</f>
        <v>44958</v>
      </c>
      <c r="BM23" s="419">
        <f>IFERROR(IF('Master Data'!$N$24="","",IF('Master Data'!$F$40="","",IF(AND($AZ$17&gt;$AZ$9),"",DATE(YEAR(BM22),MONTH(BM22)+1,DAY(BM22))))),"")</f>
        <v>44958</v>
      </c>
      <c r="BN23" s="419">
        <f t="shared" si="8"/>
        <v>44958</v>
      </c>
      <c r="BO23" s="419">
        <f t="shared" si="9"/>
        <v>44958</v>
      </c>
      <c r="BP23" s="419"/>
      <c r="BQ23" s="419">
        <f t="shared" si="10"/>
        <v>44958</v>
      </c>
      <c r="BR23" s="419"/>
      <c r="BS23" s="420"/>
      <c r="BT23" s="420"/>
      <c r="BU23" s="420">
        <f>IF(AND('Master Data'!$N$24=""),"",IF(AND('Master Data'!$N$26='GA55 Check &amp; Edit'!AX23),'Master Data'!$N$30,BU22))</f>
        <v>53900</v>
      </c>
      <c r="BV23" s="419"/>
      <c r="BW23" s="400"/>
      <c r="BX23" s="420">
        <f>IF(BB23="",0,BF23)</f>
        <v>5000</v>
      </c>
      <c r="BY23" s="400"/>
      <c r="BZ23" s="400"/>
      <c r="CA23" s="400"/>
      <c r="CB23" s="400"/>
      <c r="CC23" s="400"/>
      <c r="CD23" s="400"/>
      <c r="CE23" s="400"/>
      <c r="CF23" s="400"/>
      <c r="CG23" s="400"/>
      <c r="CH23" s="400"/>
      <c r="CI23" s="366"/>
      <c r="CJ23" s="366"/>
      <c r="CK23" s="366"/>
      <c r="CL23" s="366"/>
    </row>
    <row r="24" spans="1:90" s="341" customFormat="1" ht="21" customHeight="1">
      <c r="A24" s="32">
        <f t="shared" si="0"/>
        <v>1</v>
      </c>
      <c r="B24" s="47">
        <f t="shared" si="5"/>
        <v>17</v>
      </c>
      <c r="C24" s="48">
        <f t="shared" si="7"/>
        <v>17</v>
      </c>
      <c r="D24" s="318" t="str">
        <f t="shared" si="2"/>
        <v>Fixation arear</v>
      </c>
      <c r="E24" s="250" t="str">
        <f>IFERROR(IF(D24="","",IF(AND(BQ28=""),"",IF(AND('Master Data'!$I$28='GA55 Check &amp; Edit'!$AP$6),VLOOKUP(D24,ram,13,0),VLOOKUP(D24,ram,4,0)))),"")</f>
        <v/>
      </c>
      <c r="F24" s="251" t="str">
        <f>IFERROR(IF(D24="","",IF(D24=$AX$24,"",IF(AND(D24=$AX$28),"",IF(AND('Master Data'!$I$28='GA55 Check &amp; Edit'!$AP$5),VLOOKUP(D24,ram,7,0),"")))),"")</f>
        <v/>
      </c>
      <c r="G24" s="251" t="str">
        <f>IFERROR(IF(D24="","",IF(D24=$AX$24,"",IF(AND(D24=$AX$25),"",IF(AND(D24=$AX$26),"",IF(AND(D24=$AX$27),"",IF(AND(D24=$AX$28),"",IF(AND(D24=$AX$29),"",IF(AND('Master Data'!$I$28='GA55 Check &amp; Edit'!$AP$6),"",VLOOKUP(D24,ram,8,0))))))))),"")</f>
        <v/>
      </c>
      <c r="H24" s="251" t="str">
        <f>IFERROR(IF(D24="","",IF(AND(E24=""),"",IF(OR(D24=$AX$24,D24=$AX$25,D24=$AX$26,D24=$AX$27,D24=$AX$28,D24=$AX$29),"",IF(AND('Master Data'!$I$28='GA55 Check &amp; Edit'!$AP$5),'Master Data'!$B$43,"")))),"")</f>
        <v/>
      </c>
      <c r="I24" s="251" t="str">
        <f>IFERROR(IF(D24="","",IF(AND(E24=""),"",IF(OR(D24=$AX$24,D24=$AX$25,D24=$AX$26,D24=$AX$27,D24=$AX$28,D24=$AX$29),"",IF(AND('Master Data'!$I$28='GA55 Check &amp; Edit'!$AP$5,'Master Data'!$E$28='GA55 Check &amp; Edit'!$AO$5),'Master Data'!$E$30,"0")))),"")</f>
        <v/>
      </c>
      <c r="J24" s="251" t="str">
        <f>IFERROR(IF(OR('Master Data'!$E$32=$AO$6,'Master Data'!$E$32=""),"",IF(D24="","",IF(AND(E24=""),"",IF(OR(D24=$AX$24,D24=$AX$25,D24=$AX$26,D24=$AX$27,D24=$AX$28,D24=$AX$29),"",IF(AND('Master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251" t="str">
        <f>IFERROR(IF(D24="","",IF(AND(E24=""),"",IF(OR(D24=$AX$24,D24=$AX$25,D24=$AX$26,D24=$AX$27,D24=$AX$28,D24=$AX$29),"",IF(AND('Master Data'!$I$28='GA55 Check &amp; Edit'!$AP$5),'Master Data'!$C$43,"")))),"")</f>
        <v/>
      </c>
      <c r="L24" s="251" t="str">
        <f>IFERROR(IF(D24="","",IF(AND(E24=""),"",IF(OR(D24=$AX$24,D24=$AX$25,D24=$AX$26,D24=$AX$27,D24=$AX$28,D24=$AX$29),"",IF(AND('Master Data'!$I$28='GA55 Check &amp; Edit'!$AP$6),"",'Master Data'!$D$43)))),"")</f>
        <v/>
      </c>
      <c r="M24" s="251" t="str">
        <f>IFERROR(IF(D24="","",IF(AND(E24=""),"",IF(OR(D24=$AX$24,D24=$AX$25,D24=$AX$26,D24=$AX$27,D24=$AX$28,D24=$AX$29),"",IF(AND('Master Data'!$I$28='GA55 Check &amp; Edit'!$AP$6),"",'Master Data'!$E$43)))),"")</f>
        <v/>
      </c>
      <c r="N24" s="251" t="str">
        <f>IFERROR(IF(D24="","",IF(AND('Master Data'!$I$28='GA55 Check &amp; Edit'!$AP$6),"",IF(AND('Master Data'!$I$24='GA55 Check &amp; Edit'!$AO$6),"0",IF(AND(D24="Bonus"),VLOOKUP(D24,ram,4,0),"")))),"")</f>
        <v/>
      </c>
      <c r="O24" s="41">
        <f>IF(D24="","",IF('Master Data'!$N$24="","",SUM(E24:N24)))</f>
        <v>0</v>
      </c>
      <c r="P24" s="319" t="str">
        <f>IFERROR(IF(OR('Master Data'!$I$28='GA55 Check &amp; Edit'!$AP$6,D24=""),"",IF(AND(D24=$AX$24),"",IF(AND(D24=$AX$25),"",IF(AND(D24=$AX$26),"",IF(AND(D24=$AX$27),"",IF(AND(D24=$AX$28),"",IF(AND(D24=$AX$29),"",IF(AND(E24=""),"",VLOOKUP(D24,ram,11,0))))))))),"")</f>
        <v/>
      </c>
      <c r="Q24" s="384" t="str">
        <f>IFERROR(IF(AND('Master Data'!$I$28='GA55 Check &amp; Edit'!$AP$6),"",IF(AND(D24=$AX$25),"",IF(AND(D24=$AX$28),"",IF(AND(D24=$AX$29),"",IF(AND(D24=""),"",VLOOKUP(D24,ram,12,0)))))),"")</f>
        <v/>
      </c>
      <c r="R24" s="319" t="str">
        <f>IFERROR(IF(OR('Master Data'!$I$28='GA55 Check &amp; Edit'!$AP$6,D24=""),"",IF(AND(D24=$AX$24),"",IF(AND(D24=$AX$25),"",IF(AND(D24=$AX$26),"",IF(AND(D24=$AX$27),"",IF(AND(D24=$AX$28),"",IF(AND(D24=$AX$29),"",IF(AND(E24=""),"",'Master Data'!$I$43)))))))),"")</f>
        <v/>
      </c>
      <c r="S24" s="319" t="str">
        <f>IFERROR(IF(OR('Master Data'!$I$28='GA55 Check &amp; Edit'!$AP$6),"",IF(D24="","",IF(E24="","",IF(AND(D24=$AX$24),"",IF(AND(D24=$AX$25),"",IF(AND(D24=$AX$26),"",IF(AND(D24=$AX$27),"",IF(AND(D24=$AX$28),"",IF(AND(D24=$AX$29),"",VLOOKUP(D24,ram,10,0)))))))))),"")</f>
        <v/>
      </c>
      <c r="T24" s="319" t="str">
        <f>IFERROR(IF(OR('Master Data'!$I$28='GA55 Check &amp; Edit'!$AP$6,D24=""),"",IF(AND(D24=$AX$24),"",IF(AND(D24=$AX$25),"",IF(AND(D24=$AX$26),"",IF(AND(D24=$AX$27),"",IF(AND(D24=$AX$28),"",IF(AND(D24=$AX$29),"",IF(AND(E24=""),"",'Master Data'!$K$43)))))))),"")</f>
        <v/>
      </c>
      <c r="U24" s="319" t="str">
        <f>IFERROR(IF(OR('Master Data'!$I$28='GA55 Check &amp; Edit'!$AP$6,D24=""),"",IF(AND(D24=$AX$24),"",IF(AND(D24=$AX$25),"",IF(AND(D24=$AX$26),"",IF(AND(D24=$AX$27),"",IF(AND(D24=$AX$28),"",IF(AND(D24=$AX$29),"",IF(AND(E24=""),"",'Master Data'!$L$43)))))))),"")</f>
        <v/>
      </c>
      <c r="V24" s="319" t="str">
        <f>IFERROR(IF(OR('Master Data'!$I$28='GA55 Check &amp; Edit'!$AP$6,D24=""),"",IF(AND(D24=$AX$24),"",IF(AND(D24=$AX$25),"",IF(AND(D24=$AX$26),"",IF(AND(D24=$AX$27),"",IF(AND(D24=$AX$28),"",IF(AND(D24=$AX$29),"",IF(AND(E24=""),"",'Master Data'!$M$43)))))))),"")</f>
        <v/>
      </c>
      <c r="W24" s="319" t="str">
        <f>IFERROR(IF(OR('Master Data'!$I$28='GA55 Check &amp; Edit'!$AP$6,D24=""),"",IF(AND(D24=$AX$24),"",IF(AND(D24=$AX$25),"",IF(AND(D24=$AX$26),"",IF(AND(D24=$AX$27),"",IF(AND(D24=$AX$28),"",IF(AND(D24=$AX$29),"",IF(AND(E24=""),"",'Master Data'!$N$43)))))))),"")</f>
        <v/>
      </c>
      <c r="X24" s="319" t="str">
        <f>IFERROR(IF(OR('Master Data'!$I$28='GA55 Check &amp; Edit'!$AP$6,D24=""),"",IF(AND(E24=""),"",IF(AND('GA55 Check &amp; Edit'!D24='GA55 Check &amp; Edit'!$AT$17,'Master Data'!$D$18="Gazetted"),500,IF(AND('GA55 Check &amp; Edit'!D24='GA55 Check &amp; Edit'!$AT$17,'Master Data'!$D$18="Non-Gazetted"),250,"")))),"")</f>
        <v/>
      </c>
      <c r="Y24" s="319" t="str">
        <f>IFERROR(IF(D24="","",IF(AND(E24=""),"",IF(AND(D24=$AX$24),"",IF(AND(D24=$AX$25),"",IF(AND(D24=$AX$26),"",IF(AND(D24=$AX$27),"",IF(AND(D24=$AX$28),"",IF(AND(D24=$AX$29),"",IF(OR('Master Data'!$I$28='GA55 Check &amp; Edit'!$AP$6,D24=""),"",$Y$7))))))))),"")</f>
        <v/>
      </c>
      <c r="Z24" s="319"/>
      <c r="AA24" s="319" t="str">
        <f>IFERROR(IF(OR('Master Data'!$I$28='GA55 Check &amp; Edit'!$AP$6,D24="",'Master Data'!$N$34=""),"",IF(AND(E24=""),"",IF('GA55 Check &amp; Edit'!D24='GA55 Check &amp; Edit'!$AT$9,'Master Data'!$N$34,""))),"")</f>
        <v/>
      </c>
      <c r="AB24" s="320">
        <f t="shared" si="3"/>
        <v>0</v>
      </c>
      <c r="AC24" s="33">
        <f t="shared" si="4"/>
        <v>0</v>
      </c>
      <c r="AD24" s="1020"/>
      <c r="AE24" s="1016"/>
      <c r="AF24" s="37"/>
      <c r="AH24" s="366"/>
      <c r="AI24" s="366"/>
      <c r="AJ24" s="366"/>
      <c r="AK24" s="366"/>
      <c r="AL24" s="366"/>
      <c r="AM24" s="400"/>
      <c r="AN24" s="400"/>
      <c r="AO24" s="400"/>
      <c r="AP24" s="400"/>
      <c r="AQ24" s="400"/>
      <c r="AR24" s="400"/>
      <c r="AS24" s="400">
        <f>MROUND('Master Data'!N24*1.03,100)</f>
        <v>53900</v>
      </c>
      <c r="AT24" s="400"/>
      <c r="AU24" s="400" t="s">
        <v>95</v>
      </c>
      <c r="AV24" s="400"/>
      <c r="AW24" s="412"/>
      <c r="AX24" s="411" t="str">
        <f>BM24</f>
        <v>Bonus</v>
      </c>
      <c r="AY24" s="411"/>
      <c r="AZ24" s="411"/>
      <c r="BA24" s="411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411"/>
      <c r="BC24" s="411"/>
      <c r="BD24" s="411" t="str">
        <f>IF(BC24="","",BC24)</f>
        <v/>
      </c>
      <c r="BE24" s="411"/>
      <c r="BF24" s="411"/>
      <c r="BG24" s="411"/>
      <c r="BH24" s="411"/>
      <c r="BI24" s="415">
        <f>IF('Master Data'!$I$24="No","",ROUND(BA24*25%,0))</f>
        <v>1694</v>
      </c>
      <c r="BJ24" s="411"/>
      <c r="BK24" s="418">
        <v>44986</v>
      </c>
      <c r="BL24" s="418">
        <f>IFERROR(IF('Master Data'!$N$24="","",IF('Master Data'!$F$40="","",IF(AND($AZ$17&gt;$AZ$9),"",DATE(YEAR(BL23),MONTH(BL23)+1,DAY(BL23))))),"")</f>
        <v>44986</v>
      </c>
      <c r="BM24" s="400" t="s">
        <v>67</v>
      </c>
      <c r="BN24" s="419" t="str">
        <f t="shared" si="8"/>
        <v/>
      </c>
      <c r="BO24" s="419" t="str">
        <f t="shared" si="9"/>
        <v>Bonus</v>
      </c>
      <c r="BP24" s="419"/>
      <c r="BQ24" s="419" t="str">
        <f t="shared" si="10"/>
        <v/>
      </c>
      <c r="BR24" s="419"/>
      <c r="BS24" s="420"/>
      <c r="BT24" s="420"/>
      <c r="BU24" s="420"/>
      <c r="BV24" s="419"/>
      <c r="BW24" s="400">
        <f>MATCH(BM24,$D$8:$D$28,0)</f>
        <v>13</v>
      </c>
      <c r="BX24" s="420">
        <f>IFERROR(IF(BB24="",0,VLOOKUP(BW24,$C$8:$AC$28,24)),0)</f>
        <v>0</v>
      </c>
      <c r="BY24" s="400"/>
      <c r="BZ24" s="400">
        <f>VLOOKUP(BW24,$C$8:$AC$28,24)</f>
        <v>0</v>
      </c>
      <c r="CA24" s="400"/>
      <c r="CB24" s="400"/>
      <c r="CC24" s="400"/>
      <c r="CD24" s="400"/>
      <c r="CE24" s="400"/>
      <c r="CF24" s="400"/>
      <c r="CG24" s="400"/>
      <c r="CH24" s="400"/>
      <c r="CI24" s="366"/>
      <c r="CJ24" s="366"/>
      <c r="CK24" s="366"/>
      <c r="CL24" s="366"/>
    </row>
    <row r="25" spans="1:90" s="341" customFormat="1" ht="21" customHeight="1">
      <c r="A25" s="32">
        <f t="shared" si="0"/>
        <v>0</v>
      </c>
      <c r="B25" s="47">
        <f t="shared" si="5"/>
        <v>18</v>
      </c>
      <c r="C25" s="48">
        <f t="shared" si="7"/>
        <v>18</v>
      </c>
      <c r="D25" s="318" t="str">
        <f t="shared" si="2"/>
        <v>PL Surrender Arrear</v>
      </c>
      <c r="E25" s="250" t="str">
        <f>IFERROR(IF(D25="","",IF(AND(BQ29=""),"",IF(AND('Master Data'!$I$28='GA55 Check &amp; Edit'!$AP$6),VLOOKUP(D25,ram,13,0),VLOOKUP(D25,ram,4,0)))),"")</f>
        <v/>
      </c>
      <c r="F25" s="251" t="str">
        <f>IFERROR(IF(D25="","",IF(D25=$AX$24,"",IF(AND(D25=$AX$28),"",IF(AND('Master Data'!$I$28='GA55 Check &amp; Edit'!$AP$5),VLOOKUP(D25,ram,7,0),"")))),"")</f>
        <v/>
      </c>
      <c r="G25" s="251" t="str">
        <f>IFERROR(IF(D25="","",IF(D25=$AX$24,"",IF(AND(D25=$AX$25),"",IF(AND(D25=$AX$26),"",IF(AND(D25=$AX$27),"",IF(AND(D25=$AX$28),"",IF(AND(D25=$AX$29),"",IF(AND('Master Data'!$I$28='GA55 Check &amp; Edit'!$AP$6),"",VLOOKUP(D25,ram,8,0))))))))),"")</f>
        <v/>
      </c>
      <c r="H25" s="251" t="str">
        <f>IFERROR(IF(D25="","",IF(AND(E25=""),"",IF(OR(D25=$AX$24,D25=$AX$25,D25=$AX$26,D25=$AX$27,D25=$AX$28,D25=$AX$29),"",IF(AND('Master Data'!$I$28='GA55 Check &amp; Edit'!$AP$5),'Master Data'!$B$43,"")))),"")</f>
        <v/>
      </c>
      <c r="I25" s="251" t="str">
        <f>IFERROR(IF(D25="","",IF(AND(E25=""),"",IF(OR(D25=$AX$24,D25=$AX$25,D25=$AX$26,D25=$AX$27,D25=$AX$28,D25=$AX$29),"",IF(AND('Master Data'!$I$28='GA55 Check &amp; Edit'!$AP$5,'Master Data'!$E$28='GA55 Check &amp; Edit'!$AO$5),'Master Data'!$E$30,"0")))),"")</f>
        <v/>
      </c>
      <c r="J25" s="251" t="str">
        <f>IFERROR(IF(OR('Master Data'!$E$32=$AO$6,'Master Data'!$E$32=""),"",IF(D25="","",IF(AND(E25=""),"",IF(OR(D25=$AX$24,D25=$AX$25,D25=$AX$26,D25=$AX$27,D25=$AX$28,D25=$AX$29),"",IF(AND('Master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251" t="str">
        <f>IFERROR(IF(D25="","",IF(AND(E25=""),"",IF(OR(D25=$AX$24,D25=$AX$25,D25=$AX$26,D25=$AX$27,D25=$AX$28,D25=$AX$29),"",IF(AND('Master Data'!$I$28='GA55 Check &amp; Edit'!$AP$5),'Master Data'!$C$43,"")))),"")</f>
        <v/>
      </c>
      <c r="L25" s="251" t="str">
        <f>IFERROR(IF(D25="","",IF(AND(E25=""),"",IF(OR(D25=$AX$24,D25=$AX$25,D25=$AX$26,D25=$AX$27,D25=$AX$28,D25=$AX$29),"",IF(AND('Master Data'!$I$28='GA55 Check &amp; Edit'!$AP$6),"",'Master Data'!$D$43)))),"")</f>
        <v/>
      </c>
      <c r="M25" s="251" t="str">
        <f>IFERROR(IF(D25="","",IF(AND(E25=""),"",IF(OR(D25=$AX$24,D25=$AX$25,D25=$AX$26,D25=$AX$27,D25=$AX$28,D25=$AX$29),"",IF(AND('Master Data'!$I$28='GA55 Check &amp; Edit'!$AP$6),"",'Master Data'!$E$43)))),"")</f>
        <v/>
      </c>
      <c r="N25" s="251" t="str">
        <f>IFERROR(IF(D25="","",IF(AND('Master Data'!$I$28='GA55 Check &amp; Edit'!$AP$6),"",IF(AND('Master Data'!$I$24='GA55 Check &amp; Edit'!$AO$6),"0",IF(AND(D25="Bonus"),VLOOKUP(D25,ram,4,0),"")))),"")</f>
        <v/>
      </c>
      <c r="O25" s="41">
        <f>IF(D25="","",IF('Master Data'!$N$24="","",SUM(E25:N25)))</f>
        <v>0</v>
      </c>
      <c r="P25" s="319" t="str">
        <f>IFERROR(IF(OR('Master Data'!$I$28='GA55 Check &amp; Edit'!$AP$6,D25=""),"",IF(AND(D25=$AX$24),"",IF(AND(D25=$AX$25),"",IF(AND(D25=$AX$26),"",IF(AND(D25=$AX$27),"",IF(AND(D25=$AX$28),"",IF(AND(D25=$AX$29),"",IF(AND(E25=""),"",VLOOKUP(D25,ram,11,0))))))))),"")</f>
        <v/>
      </c>
      <c r="Q25" s="384" t="str">
        <f>IFERROR(IF(AND('Master Data'!$I$28='GA55 Check &amp; Edit'!$AP$6),"",IF(AND(D25=$AX$25),"",IF(AND(D25=$AX$28),"",IF(AND(D25=$AX$29),"",IF(AND(D25=""),"",VLOOKUP(D25,ram,12,0)))))),"")</f>
        <v/>
      </c>
      <c r="R25" s="319" t="str">
        <f>IFERROR(IF(OR('Master Data'!$I$28='GA55 Check &amp; Edit'!$AP$6,D25=""),"",IF(AND(D25=$AX$24),"",IF(AND(D25=$AX$25),"",IF(AND(D25=$AX$26),"",IF(AND(D25=$AX$27),"",IF(AND(D25=$AX$28),"",IF(AND(D25=$AX$29),"",IF(AND(E25=""),"",'Master Data'!$I$43)))))))),"")</f>
        <v/>
      </c>
      <c r="S25" s="319" t="str">
        <f>IFERROR(IF(OR('Master Data'!$I$28='GA55 Check &amp; Edit'!$AP$6),"",IF(D25="","",IF(E25="","",IF(AND(D25=$AX$24),"",IF(AND(D25=$AX$25),"",IF(AND(D25=$AX$26),"",IF(AND(D25=$AX$27),"",IF(AND(D25=$AX$28),"",IF(AND(D25=$AX$29),"",VLOOKUP(D25,ram,10,0)))))))))),"")</f>
        <v/>
      </c>
      <c r="T25" s="319" t="str">
        <f>IFERROR(IF(OR('Master Data'!$I$28='GA55 Check &amp; Edit'!$AP$6,D25=""),"",IF(AND(D25=$AX$24),"",IF(AND(D25=$AX$25),"",IF(AND(D25=$AX$26),"",IF(AND(D25=$AX$27),"",IF(AND(D25=$AX$28),"",IF(AND(D25=$AX$29),"",IF(AND(E25=""),"",'Master Data'!$K$43)))))))),"")</f>
        <v/>
      </c>
      <c r="U25" s="319" t="str">
        <f>IFERROR(IF(OR('Master Data'!$I$28='GA55 Check &amp; Edit'!$AP$6,D25=""),"",IF(AND(D25=$AX$24),"",IF(AND(D25=$AX$25),"",IF(AND(D25=$AX$26),"",IF(AND(D25=$AX$27),"",IF(AND(D25=$AX$28),"",IF(AND(D25=$AX$29),"",IF(AND(E25=""),"",'Master Data'!$L$43)))))))),"")</f>
        <v/>
      </c>
      <c r="V25" s="319" t="str">
        <f>IFERROR(IF(OR('Master Data'!$I$28='GA55 Check &amp; Edit'!$AP$6,D25=""),"",IF(AND(D25=$AX$24),"",IF(AND(D25=$AX$25),"",IF(AND(D25=$AX$26),"",IF(AND(D25=$AX$27),"",IF(AND(D25=$AX$28),"",IF(AND(D25=$AX$29),"",IF(AND(E25=""),"",'Master Data'!$M$43)))))))),"")</f>
        <v/>
      </c>
      <c r="W25" s="319" t="str">
        <f>IFERROR(IF(OR('Master Data'!$I$28='GA55 Check &amp; Edit'!$AP$6,D25=""),"",IF(AND(D25=$AX$24),"",IF(AND(D25=$AX$25),"",IF(AND(D25=$AX$26),"",IF(AND(D25=$AX$27),"",IF(AND(D25=$AX$28),"",IF(AND(D25=$AX$29),"",IF(AND(E25=""),"",'Master Data'!$N$43)))))))),"")</f>
        <v/>
      </c>
      <c r="X25" s="319" t="str">
        <f>IFERROR(IF(OR('Master Data'!$I$28='GA55 Check &amp; Edit'!$AP$6,D25=""),"",IF(AND(E25=""),"",IF(AND('GA55 Check &amp; Edit'!D25='GA55 Check &amp; Edit'!$AT$17,'Master Data'!$D$18="Gazetted"),500,IF(AND('GA55 Check &amp; Edit'!D25='GA55 Check &amp; Edit'!$AT$17,'Master Data'!$D$18="Non-Gazetted"),250,"")))),"")</f>
        <v/>
      </c>
      <c r="Y25" s="319" t="str">
        <f>IFERROR(IF(D25="","",IF(AND(E25=""),"",IF(AND(D25=$AX$24),"",IF(AND(D25=$AX$25),"",IF(AND(D25=$AX$26),"",IF(AND(D25=$AX$27),"",IF(AND(D25=$AX$28),"",IF(AND(D25=$AX$29),"",IF(OR('Master Data'!$I$28='GA55 Check &amp; Edit'!$AP$6,D25=""),"",$Y$7))))))))),"")</f>
        <v/>
      </c>
      <c r="Z25" s="319"/>
      <c r="AA25" s="319" t="str">
        <f>IFERROR(IF(OR('Master Data'!$I$28='GA55 Check &amp; Edit'!$AP$6,D25="",'Master Data'!$N$34=""),"",IF(AND(E25=""),"",IF('GA55 Check &amp; Edit'!D25='GA55 Check &amp; Edit'!$AT$9,'Master Data'!$N$34,""))),"")</f>
        <v/>
      </c>
      <c r="AB25" s="320">
        <f t="shared" si="3"/>
        <v>0</v>
      </c>
      <c r="AC25" s="33">
        <f t="shared" si="4"/>
        <v>0</v>
      </c>
      <c r="AD25" s="1020"/>
      <c r="AE25" s="1016"/>
      <c r="AF25" s="37"/>
      <c r="AH25" s="366"/>
      <c r="AI25" s="366"/>
      <c r="AJ25" s="366"/>
      <c r="AK25" s="366"/>
      <c r="AL25" s="366"/>
      <c r="AM25" s="400"/>
      <c r="AN25" s="400"/>
      <c r="AO25" s="400"/>
      <c r="AP25" s="419"/>
      <c r="AQ25" s="400"/>
      <c r="AR25" s="400"/>
      <c r="AS25" s="400">
        <f>MROUND(AZ15*1.03,100)</f>
        <v>53900</v>
      </c>
      <c r="AT25" s="400"/>
      <c r="AU25" s="400" t="s">
        <v>96</v>
      </c>
      <c r="AV25" s="400"/>
      <c r="AW25" s="412"/>
      <c r="AX25" s="411" t="str">
        <f t="shared" ref="AX25:AX28" si="17">BM25</f>
        <v>PL Surrender</v>
      </c>
      <c r="AY25" s="411"/>
      <c r="AZ25" s="411"/>
      <c r="BA25" s="411" t="str">
        <f>IF('Master Data'!$I$28='GA55 Check &amp; Edit'!$AP$6,"",IF(OR('Master Data'!E22="NO",'Master Data'!E22=""),"",VLOOKUP('Master Data'!I22,AW12:BD29,5,0)/2))</f>
        <v/>
      </c>
      <c r="BB25" s="411"/>
      <c r="BC25" s="411" t="str">
        <f>IF('Master Data'!$I$28='GA55 Check &amp; Edit'!$AP$6,"",IF(AND(BA25=""),"",IF(OR('Master Data'!I22='GA55 Check &amp; Edit'!AW12),ROUND(31%*BA25,0),IF(OR('Master Data'!I22='GA55 Check &amp; Edit'!AW13,'Master Data'!I22='GA55 Check &amp; Edit'!AW14,'Master Data'!I22='GA55 Check &amp; Edit'!AW15),ROUND(34%*BA25,0),IF(OR('Master Data'!I22='GA55 Check &amp; Edit'!AW16,'Master Data'!I22='GA55 Check &amp; Edit'!AW17,'Master Data'!I22='GA55 Check &amp; Edit'!AW18),ROUND(34%*BA25,0),ROUND(38%*BA25,0))))))</f>
        <v/>
      </c>
      <c r="BD25" s="411" t="str">
        <f>IF(BC25="","",BC25)</f>
        <v/>
      </c>
      <c r="BE25" s="411"/>
      <c r="BF25" s="411"/>
      <c r="BG25" s="411"/>
      <c r="BH25" s="411"/>
      <c r="BI25" s="415"/>
      <c r="BJ25" s="411"/>
      <c r="BK25" s="418">
        <v>45017</v>
      </c>
      <c r="BL25" s="418">
        <f>IFERROR(IF('Master Data'!$N$24="","",IF('Master Data'!$F$40="","",IF(AND($AZ$17&gt;$AZ$9),"",DATE(YEAR(BL24),MONTH(BL24)+1,DAY(BL24))))),"")</f>
        <v>45017</v>
      </c>
      <c r="BM25" s="400" t="s">
        <v>100</v>
      </c>
      <c r="BN25" s="419" t="str">
        <f t="shared" si="8"/>
        <v/>
      </c>
      <c r="BO25" s="419" t="str">
        <f t="shared" si="9"/>
        <v>PL Surrender</v>
      </c>
      <c r="BP25" s="419"/>
      <c r="BQ25" s="419" t="str">
        <f t="shared" si="10"/>
        <v>PL Surrender</v>
      </c>
      <c r="BR25" s="400"/>
      <c r="BS25" s="420"/>
      <c r="BT25" s="420"/>
      <c r="BU25" s="420"/>
      <c r="BV25" s="419"/>
      <c r="BW25" s="400">
        <f t="shared" ref="BW25:BW30" si="18">MATCH(BM25,$D$8:$D$28,0)</f>
        <v>14</v>
      </c>
      <c r="BX25" s="420">
        <f t="shared" ref="BX25:BX30" si="19">IFERROR(IF(BB25="",0,VLOOKUP(BW25,$C$8:$AC$28,24)),0)</f>
        <v>0</v>
      </c>
      <c r="BY25" s="400"/>
      <c r="BZ25" s="400">
        <f t="shared" ref="BZ25:BZ30" si="20">VLOOKUP(BW25,$C$8:$AC$28,24)</f>
        <v>0</v>
      </c>
      <c r="CA25" s="400"/>
      <c r="CB25" s="400"/>
      <c r="CC25" s="400"/>
      <c r="CD25" s="400"/>
      <c r="CE25" s="400"/>
      <c r="CF25" s="400"/>
      <c r="CG25" s="400"/>
      <c r="CH25" s="400"/>
      <c r="CI25" s="366"/>
      <c r="CJ25" s="366"/>
      <c r="CK25" s="366"/>
      <c r="CL25" s="366"/>
    </row>
    <row r="26" spans="1:90" s="341" customFormat="1" ht="21" customHeight="1">
      <c r="A26" s="32">
        <f t="shared" si="0"/>
        <v>0</v>
      </c>
      <c r="B26" s="47">
        <f t="shared" si="5"/>
        <v>0</v>
      </c>
      <c r="C26" s="48" t="str">
        <f t="shared" si="7"/>
        <v/>
      </c>
      <c r="D26" s="318" t="str">
        <f>IFERROR(IF(BO30="","",BO30),"")</f>
        <v/>
      </c>
      <c r="E26" s="250" t="str">
        <f>IFERROR(IF(D26="","",IF(AND(BQ30=""),"",IF(AND('Master Data'!$I$28='GA55 Check &amp; Edit'!$AP$6),VLOOKUP(D26,ram,13,0),VLOOKUP(D26,ram,4,0)))),"")</f>
        <v/>
      </c>
      <c r="F26" s="251" t="str">
        <f>IFERROR(IF(D26="","",IF(D26=$AX$24,"",IF(AND(D26=$AX$28),"",IF(AND('Master Data'!$I$28='GA55 Check &amp; Edit'!$AP$5),VLOOKUP(D26,ram,7,0),"")))),"")</f>
        <v/>
      </c>
      <c r="G26" s="251" t="str">
        <f>IFERROR(IF(D26="","",IF(D26=$AX$24,"",IF(AND(D26=$AX$25),"",IF(AND(D26=$AX$26),"",IF(AND(D26=$AX$27),"",IF(AND(D26=$AX$28),"",IF(AND(D26=$AX$29),"",IF(AND('Master Data'!$I$28='GA55 Check &amp; Edit'!$AP$6),"",VLOOKUP(D26,ram,8,0))))))))),"")</f>
        <v/>
      </c>
      <c r="H26" s="251" t="str">
        <f>IFERROR(IF(D26="","",IF(AND(E26=""),"",IF(OR(D26=$AX$24,D26=$AX$25,D26=$AX$26,D26=$AX$27,D26=$AX$28,D26=$AX$29),"",IF(AND('Master Data'!$I$28='GA55 Check &amp; Edit'!$AP$5),'Master Data'!$B$43,"")))),"")</f>
        <v/>
      </c>
      <c r="I26" s="251" t="str">
        <f>IFERROR(IF(D26="","",IF(AND(E26=""),"",IF(OR(D26=$AX$24,D26=$AX$25,D26=$AX$26,D26=$AX$27,D26=$AX$28,D26=$AX$29),"",IF(AND('Master Data'!$I$28='GA55 Check &amp; Edit'!$AP$5,'Master Data'!$E$28='GA55 Check &amp; Edit'!$AO$5),'Master Data'!$E$30,"0")))),"")</f>
        <v/>
      </c>
      <c r="J26" s="251" t="str">
        <f>IFERROR(IF(OR('Master Data'!$E$32=$AO$6,'Master Data'!$E$32=""),"",IF(D26="","",IF(AND(E26=""),"",IF(OR(D26=$AX$24,D26=$AX$25,D26=$AX$26,D26=$AX$27,D26=$AX$28,D26=$AX$29),"",IF(AND('Master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251" t="str">
        <f>IFERROR(IF(D26="","",IF(AND(E26=""),"",IF(OR(D26=$AX$24,D26=$AX$25,D26=$AX$26,D26=$AX$27,D26=$AX$28,D26=$AX$29),"",IF(AND('Master Data'!$I$28='GA55 Check &amp; Edit'!$AP$5),'Master Data'!$C$43,"")))),"")</f>
        <v/>
      </c>
      <c r="L26" s="251" t="str">
        <f>IFERROR(IF(D26="","",IF(AND(E26=""),"",IF(OR(D26=$AX$24,D26=$AX$25,D26=$AX$26,D26=$AX$27,D26=$AX$28,D26=$AX$29),"",IF(AND('Master Data'!$I$28='GA55 Check &amp; Edit'!$AP$6),"",'Master Data'!$D$43)))),"")</f>
        <v/>
      </c>
      <c r="M26" s="251" t="str">
        <f>IFERROR(IF(D26="","",IF(AND(E26=""),"",IF(OR(D26=$AX$24,D26=$AX$25,D26=$AX$26,D26=$AX$27,D26=$AX$28,D26=$AX$29),"",IF(AND('Master Data'!$I$28='GA55 Check &amp; Edit'!$AP$6),"",'Master Data'!$E$43)))),"")</f>
        <v/>
      </c>
      <c r="N26" s="251" t="str">
        <f>IFERROR(IF(D26="","",IF(AND('Master Data'!$I$28='GA55 Check &amp; Edit'!$AP$6),"",IF(AND('Master Data'!$I$24='GA55 Check &amp; Edit'!$AO$6),"0",IF(AND(D26="Bonus"),VLOOKUP(D26,ram,4,0),"")))),"")</f>
        <v/>
      </c>
      <c r="O26" s="41" t="str">
        <f>IF(D26="","",IF('Master Data'!$N$24="","",SUM(E26:N26)))</f>
        <v/>
      </c>
      <c r="P26" s="319" t="str">
        <f>IFERROR(IF(OR('Master Data'!$I$28='GA55 Check &amp; Edit'!$AP$6,D26=""),"",IF(AND(D26=$AX$24),"",IF(AND(D26=$AX$25),"",IF(AND(D26=$AX$26),"",IF(AND(D26=$AX$27),"",IF(AND(D26=$AX$28),"",IF(AND(D26=$AX$29),"",IF(AND(E26=""),"",VLOOKUP(D26,ram,11,0))))))))),"")</f>
        <v/>
      </c>
      <c r="Q26" s="384" t="str">
        <f>IFERROR(IF(AND('Master Data'!$I$28='GA55 Check &amp; Edit'!$AP$6),"",IF(AND(D26=$AX$25),"",IF(AND(D26=$AX$28),"",IF(AND(D26=$AX$29),"",IF(AND(D26=""),"",VLOOKUP(D26,ram,12,0)))))),"")</f>
        <v/>
      </c>
      <c r="R26" s="319" t="str">
        <f>IFERROR(IF(OR('Master Data'!$I$28='GA55 Check &amp; Edit'!$AP$6,D26=""),"",IF(AND(D26=$AX$24),"",IF(AND(D26=$AX$25),"",IF(AND(D26=$AX$26),"",IF(AND(D26=$AX$27),"",IF(AND(D26=$AX$28),"",IF(AND(D26=$AX$29),"",IF(AND(E26=""),"",'Master Data'!$I$43)))))))),"")</f>
        <v/>
      </c>
      <c r="S26" s="319" t="str">
        <f>IFERROR(IF(OR('Master Data'!$I$28='GA55 Check &amp; Edit'!$AP$6),"",IF(D26="","",IF(E26="","",IF(AND(D26=$AX$24),"",IF(AND(D26=$AX$25),"",IF(AND(D26=$AX$26),"",IF(AND(D26=$AX$27),"",IF(AND(D26=$AX$28),"",IF(AND(D26=$AX$29),"",VLOOKUP(D26,ram,10,0)))))))))),"")</f>
        <v/>
      </c>
      <c r="T26" s="319" t="str">
        <f>IFERROR(IF(OR('Master Data'!$I$28='GA55 Check &amp; Edit'!$AP$6,D26=""),"",IF(AND(D26=$AX$24),"",IF(AND(D26=$AX$25),"",IF(AND(D26=$AX$26),"",IF(AND(D26=$AX$27),"",IF(AND(D26=$AX$28),"",IF(AND(D26=$AX$29),"",IF(AND(E26=""),"",'Master Data'!$K$43)))))))),"")</f>
        <v/>
      </c>
      <c r="U26" s="319" t="str">
        <f>IFERROR(IF(OR('Master Data'!$I$28='GA55 Check &amp; Edit'!$AP$6,D26=""),"",IF(AND(D26=$AX$24),"",IF(AND(D26=$AX$25),"",IF(AND(D26=$AX$26),"",IF(AND(D26=$AX$27),"",IF(AND(D26=$AX$28),"",IF(AND(D26=$AX$29),"",IF(AND(E26=""),"",'Master Data'!$L$43)))))))),"")</f>
        <v/>
      </c>
      <c r="V26" s="319" t="str">
        <f>IFERROR(IF(OR('Master Data'!$I$28='GA55 Check &amp; Edit'!$AP$6,D26=""),"",IF(AND(D26=$AX$24),"",IF(AND(D26=$AX$25),"",IF(AND(D26=$AX$26),"",IF(AND(D26=$AX$27),"",IF(AND(D26=$AX$28),"",IF(AND(D26=$AX$29),"",IF(AND(E26=""),"",'Master Data'!$M$43)))))))),"")</f>
        <v/>
      </c>
      <c r="W26" s="319" t="str">
        <f>IFERROR(IF(OR('Master Data'!$I$28='GA55 Check &amp; Edit'!$AP$6,D26=""),"",IF(AND(D26=$AX$24),"",IF(AND(D26=$AX$25),"",IF(AND(D26=$AX$26),"",IF(AND(D26=$AX$27),"",IF(AND(D26=$AX$28),"",IF(AND(D26=$AX$29),"",IF(AND(E26=""),"",'Master Data'!$N$43)))))))),"")</f>
        <v/>
      </c>
      <c r="X26" s="319" t="str">
        <f>IFERROR(IF(OR('Master Data'!$I$28='GA55 Check &amp; Edit'!$AP$6,D26=""),"",IF(AND(E26=""),"",IF(AND('GA55 Check &amp; Edit'!D26='GA55 Check &amp; Edit'!$AT$17,'Master Data'!$D$18="Gazetted"),500,IF(AND('GA55 Check &amp; Edit'!D26='GA55 Check &amp; Edit'!$AT$17,'Master Data'!$D$18="Non-Gazetted"),250,"")))),"")</f>
        <v/>
      </c>
      <c r="Y26" s="319" t="str">
        <f>IFERROR(IF(D26="","",IF(AND(E26=""),"",IF(AND(D26=$AX$24),"",IF(AND(D26=$AX$25),"",IF(AND(D26=$AX$26),"",IF(AND(D26=$AX$27),"",IF(AND(D26=$AX$28),"",IF(AND(D26=$AX$29),"",IF(OR('Master Data'!$I$28='GA55 Check &amp; Edit'!$AP$6,D26=""),"",$Y$7))))))))),"")</f>
        <v/>
      </c>
      <c r="Z26" s="319"/>
      <c r="AA26" s="319" t="str">
        <f>IFERROR(IF(OR('Master Data'!$I$28='GA55 Check &amp; Edit'!$AP$6,D26="",'Master Data'!$N$34=""),"",IF(AND(E26=""),"",IF('GA55 Check &amp; Edit'!D26='GA55 Check &amp; Edit'!$AT$9,'Master Data'!$N$34,""))),"")</f>
        <v/>
      </c>
      <c r="AB26" s="320" t="str">
        <f t="shared" si="3"/>
        <v/>
      </c>
      <c r="AC26" s="33" t="str">
        <f t="shared" si="4"/>
        <v/>
      </c>
      <c r="AD26" s="1020"/>
      <c r="AE26" s="1016"/>
      <c r="AF26" s="37"/>
      <c r="AH26" s="366"/>
      <c r="AI26" s="366"/>
      <c r="AJ26" s="366"/>
      <c r="AK26" s="366"/>
      <c r="AL26" s="366"/>
      <c r="AM26" s="400"/>
      <c r="AN26" s="400"/>
      <c r="AO26" s="400"/>
      <c r="AP26" s="419"/>
      <c r="AQ26" s="400"/>
      <c r="AR26" s="400"/>
      <c r="AS26" s="400"/>
      <c r="AT26" s="400"/>
      <c r="AU26" s="400" t="s">
        <v>97</v>
      </c>
      <c r="AV26" s="400"/>
      <c r="AW26" s="412"/>
      <c r="AX26" s="411" t="str">
        <f t="shared" si="17"/>
        <v>DA Arrear 31 to 34%</v>
      </c>
      <c r="AY26" s="411"/>
      <c r="AZ26" s="411"/>
      <c r="BA26" s="411"/>
      <c r="BB26" s="411"/>
      <c r="BC26" s="411">
        <f>(ROUND((BA12*34%),0)-ROUND((BA12*31%),0))*3</f>
        <v>4707</v>
      </c>
      <c r="BD26" s="411">
        <f>IF(BC26="","",BC26)</f>
        <v>4707</v>
      </c>
      <c r="BE26" s="411"/>
      <c r="BF26" s="411"/>
      <c r="BG26" s="411"/>
      <c r="BH26" s="411"/>
      <c r="BI26" s="415">
        <f>BD26</f>
        <v>4707</v>
      </c>
      <c r="BJ26" s="411"/>
      <c r="BK26" s="418">
        <v>45047</v>
      </c>
      <c r="BL26" s="418">
        <f>IFERROR(IF('Master Data'!$N$24="","",IF('Master Data'!$F$40="","",IF(AND($AZ$17&gt;$AZ$9),"",DATE(YEAR(BL25),MONTH(BL25)+1,DAY(BL25))))),"")</f>
        <v>45047</v>
      </c>
      <c r="BM26" s="400" t="s">
        <v>545</v>
      </c>
      <c r="BN26" s="419" t="str">
        <f t="shared" si="8"/>
        <v/>
      </c>
      <c r="BO26" s="419" t="str">
        <f t="shared" si="9"/>
        <v>DA Arrear 31 to 34%</v>
      </c>
      <c r="BP26" s="419"/>
      <c r="BQ26" s="419" t="str">
        <f t="shared" si="10"/>
        <v/>
      </c>
      <c r="BR26" s="400"/>
      <c r="BS26" s="420"/>
      <c r="BT26" s="419"/>
      <c r="BU26" s="420"/>
      <c r="BV26" s="419"/>
      <c r="BW26" s="400">
        <f t="shared" si="18"/>
        <v>15</v>
      </c>
      <c r="BX26" s="420">
        <f t="shared" si="19"/>
        <v>0</v>
      </c>
      <c r="BY26" s="400"/>
      <c r="BZ26" s="400">
        <f t="shared" si="20"/>
        <v>0</v>
      </c>
      <c r="CA26" s="400"/>
      <c r="CB26" s="400"/>
      <c r="CC26" s="400"/>
      <c r="CD26" s="400"/>
      <c r="CE26" s="400"/>
      <c r="CF26" s="400"/>
      <c r="CG26" s="400"/>
      <c r="CH26" s="400"/>
      <c r="CI26" s="366"/>
      <c r="CJ26" s="366"/>
      <c r="CK26" s="366"/>
      <c r="CL26" s="366"/>
    </row>
    <row r="27" spans="1:90" s="341" customFormat="1" ht="21" customHeight="1">
      <c r="A27" s="32">
        <f t="shared" si="0"/>
        <v>0</v>
      </c>
      <c r="B27" s="47">
        <f t="shared" si="5"/>
        <v>0</v>
      </c>
      <c r="C27" s="48" t="str">
        <f t="shared" si="7"/>
        <v/>
      </c>
      <c r="D27" s="318" t="str">
        <f t="shared" si="2"/>
        <v/>
      </c>
      <c r="E27" s="250" t="str">
        <f>IFERROR(IF(D27="","",IF(AND(BQ31=""),"",IF(AND('Master Data'!$I$28='GA55 Check &amp; Edit'!$AP$6),VLOOKUP(D27,ram,13,0),VLOOKUP(D27,ram,4,0)))),"")</f>
        <v/>
      </c>
      <c r="F27" s="251" t="str">
        <f>IFERROR(IF(D27="","",IF(D27=$AX$24,"",IF(AND(D27=$AX$28),"",IF(AND('Master Data'!$I$28='GA55 Check &amp; Edit'!$AP$5),VLOOKUP(D27,ram,7,0),"")))),"")</f>
        <v/>
      </c>
      <c r="G27" s="251" t="str">
        <f>IFERROR(IF(D27="","",IF(D27=$AX$24,"",IF(AND(D27=$AX$25),"",IF(AND(D27=$AX$26),"",IF(AND(D27=$AX$27),"",IF(AND(D27=$AX$28),"",IF(AND(D27=$AX$29),"",IF(AND('Master Data'!$I$28='GA55 Check &amp; Edit'!$AP$6),"",VLOOKUP(D27,ram,8,0))))))))),"")</f>
        <v/>
      </c>
      <c r="H27" s="251" t="str">
        <f>IFERROR(IF(D27="","",IF(AND(E27=""),"",IF(OR(D27=$AX$24,D27=$AX$25,D27=$AX$26,D27=$AX$27,D27=$AX$28,D27=$AX$29),"",IF(AND('Master Data'!$I$28='GA55 Check &amp; Edit'!$AP$5),'Master Data'!$B$43,"")))),"")</f>
        <v/>
      </c>
      <c r="I27" s="251" t="str">
        <f>IFERROR(IF(D27="","",IF(AND(E27=""),"",IF(OR(D27=$AX$24,D27=$AX$25,D27=$AX$26,D27=$AX$27,D27=$AX$28,D27=$AX$29),"",IF(AND('Master Data'!$I$28='GA55 Check &amp; Edit'!$AP$5,'Master Data'!$E$28='GA55 Check &amp; Edit'!$AO$5),'Master Data'!$E$30,"0")))),"")</f>
        <v/>
      </c>
      <c r="J27" s="251" t="str">
        <f>IFERROR(IF(OR('Master Data'!$E$32=$AO$6,'Master Data'!$E$32=""),"",IF(D27="","",IF(AND(E27=""),"",IF(OR(D27=$AX$24,D27=$AX$25,D27=$AX$26,D27=$AX$27,D27=$AX$28,D27=$AX$29),"",IF(AND('Master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251" t="str">
        <f>IFERROR(IF(D27="","",IF(AND(E27=""),"",IF(OR(D27=$AX$24,D27=$AX$25,D27=$AX$26,D27=$AX$27,D27=$AX$28,D27=$AX$29),"",IF(AND('Master Data'!$I$28='GA55 Check &amp; Edit'!$AP$5),'Master Data'!$C$43,"")))),"")</f>
        <v/>
      </c>
      <c r="L27" s="251" t="str">
        <f>IFERROR(IF(D27="","",IF(AND(E27=""),"",IF(OR(D27=$AX$24,D27=$AX$25,D27=$AX$26,D27=$AX$27,D27=$AX$28,D27=$AX$29),"",IF(AND('Master Data'!$I$28='GA55 Check &amp; Edit'!$AP$6),"",'Master Data'!$D$43)))),"")</f>
        <v/>
      </c>
      <c r="M27" s="251" t="str">
        <f>IFERROR(IF(D27="","",IF(AND(E27=""),"",IF(OR(D27=$AX$24,D27=$AX$25,D27=$AX$26,D27=$AX$27,D27=$AX$28,D27=$AX$29),"",IF(AND('Master Data'!$I$28='GA55 Check &amp; Edit'!$AP$6),"",'Master Data'!$E$43)))),"")</f>
        <v/>
      </c>
      <c r="N27" s="251" t="str">
        <f>IFERROR(IF(D27="","",IF(AND('Master Data'!$I$28='GA55 Check &amp; Edit'!$AP$6),"",IF(AND('Master Data'!$I$24='GA55 Check &amp; Edit'!$AO$6),"0",IF(AND(D27="Bonus"),VLOOKUP(D27,ram,4,0),"")))),"")</f>
        <v/>
      </c>
      <c r="O27" s="41" t="str">
        <f>IF(D27="","",IF('Master Data'!$N$24="","",SUM(E27:N27)))</f>
        <v/>
      </c>
      <c r="P27" s="319" t="str">
        <f>IFERROR(IF(OR('Master Data'!$I$28='GA55 Check &amp; Edit'!$AP$6,D27=""),"",IF(AND(D27=$AX$24),"",IF(AND(D27=$AX$25),"",IF(AND(D27=$AX$26),"",IF(AND(D27=$AX$27),"",IF(AND(D27=$AX$28),"",IF(AND(D27=$AX$29),"",IF(AND(E27=""),"",VLOOKUP(D27,ram,11,0))))))))),"")</f>
        <v/>
      </c>
      <c r="Q27" s="384" t="str">
        <f>IFERROR(IF(AND('Master Data'!$I$28='GA55 Check &amp; Edit'!$AP$6),"",IF(AND(D27=$AX$25),"",IF(AND(D27=$AX$28),"",IF(AND(D27=$AX$29),"",IF(AND(D27=""),"",VLOOKUP(D27,ram,12,0)))))),"")</f>
        <v/>
      </c>
      <c r="R27" s="319" t="str">
        <f>IFERROR(IF(OR('Master Data'!$I$28='GA55 Check &amp; Edit'!$AP$6,D27=""),"",IF(AND(D27=$AX$24),"",IF(AND(D27=$AX$25),"",IF(AND(D27=$AX$26),"",IF(AND(D27=$AX$27),"",IF(AND(D27=$AX$28),"",IF(AND(D27=$AX$29),"",IF(AND(E27=""),"",'Master Data'!$I$43)))))))),"")</f>
        <v/>
      </c>
      <c r="S27" s="319" t="str">
        <f>IFERROR(IF(OR('Master Data'!$I$28='GA55 Check &amp; Edit'!$AP$6),"",IF(D27="","",IF(E27="","",IF(AND(D27=$AX$24),"",IF(AND(D27=$AX$25),"",IF(AND(D27=$AX$26),"",IF(AND(D27=$AX$27),"",IF(AND(D27=$AX$28),"",IF(AND(D27=$AX$29),"",VLOOKUP(D27,ram,10,0)))))))))),"")</f>
        <v/>
      </c>
      <c r="T27" s="319" t="str">
        <f>IFERROR(IF(OR('Master Data'!$I$28='GA55 Check &amp; Edit'!$AP$6,D27=""),"",IF(AND(D27=$AX$24),"",IF(AND(D27=$AX$25),"",IF(AND(D27=$AX$26),"",IF(AND(D27=$AX$27),"",IF(AND(D27=$AX$28),"",IF(AND(D27=$AX$29),"",IF(AND(E27=""),"",'Master Data'!$K$43)))))))),"")</f>
        <v/>
      </c>
      <c r="U27" s="319" t="str">
        <f>IFERROR(IF(OR('Master Data'!$I$28='GA55 Check &amp; Edit'!$AP$6,D27=""),"",IF(AND(D27=$AX$24),"",IF(AND(D27=$AX$25),"",IF(AND(D27=$AX$26),"",IF(AND(D27=$AX$27),"",IF(AND(D27=$AX$28),"",IF(AND(D27=$AX$29),"",IF(AND(E27=""),"",'Master Data'!$L$43)))))))),"")</f>
        <v/>
      </c>
      <c r="V27" s="319" t="str">
        <f>IFERROR(IF(OR('Master Data'!$I$28='GA55 Check &amp; Edit'!$AP$6,D27=""),"",IF(AND(D27=$AX$24),"",IF(AND(D27=$AX$25),"",IF(AND(D27=$AX$26),"",IF(AND(D27=$AX$27),"",IF(AND(D27=$AX$28),"",IF(AND(D27=$AX$29),"",IF(AND(E27=""),"",'Master Data'!$M$43)))))))),"")</f>
        <v/>
      </c>
      <c r="W27" s="319" t="str">
        <f>IFERROR(IF(OR('Master Data'!$I$28='GA55 Check &amp; Edit'!$AP$6,D27=""),"",IF(AND(D27=$AX$24),"",IF(AND(D27=$AX$25),"",IF(AND(D27=$AX$26),"",IF(AND(D27=$AX$27),"",IF(AND(D27=$AX$28),"",IF(AND(D27=$AX$29),"",IF(AND(E27=""),"",'Master Data'!$N$43)))))))),"")</f>
        <v/>
      </c>
      <c r="X27" s="319" t="str">
        <f>IFERROR(IF(OR('Master Data'!$I$28='GA55 Check &amp; Edit'!$AP$6,D27=""),"",IF(AND(E27=""),"",IF(AND('GA55 Check &amp; Edit'!D27='GA55 Check &amp; Edit'!$AT$17,'Master Data'!$D$18="Gazetted"),500,IF(AND('GA55 Check &amp; Edit'!D27='GA55 Check &amp; Edit'!$AT$17,'Master Data'!$D$18="Non-Gazetted"),250,"")))),"")</f>
        <v/>
      </c>
      <c r="Y27" s="319" t="str">
        <f>IFERROR(IF(D27="","",IF(AND(E27=""),"",IF(AND(D27=$AX$24),"",IF(AND(D27=$AX$25),"",IF(AND(D27=$AX$26),"",IF(AND(D27=$AX$27),"",IF(AND(D27=$AX$28),"",IF(AND(D27=$AX$29),"",IF(OR('Master Data'!$I$28='GA55 Check &amp; Edit'!$AP$6,D27=""),"",$Y$7))))))))),"")</f>
        <v/>
      </c>
      <c r="Z27" s="319"/>
      <c r="AA27" s="319" t="str">
        <f>IFERROR(IF(OR('Master Data'!$I$28='GA55 Check &amp; Edit'!$AP$6,D27="",'Master Data'!$N$34=""),"",IF(AND(E27=""),"",IF('GA55 Check &amp; Edit'!D27='GA55 Check &amp; Edit'!$AT$9,'Master Data'!$N$34,""))),"")</f>
        <v/>
      </c>
      <c r="AB27" s="320" t="str">
        <f t="shared" si="3"/>
        <v/>
      </c>
      <c r="AC27" s="33" t="str">
        <f t="shared" si="4"/>
        <v/>
      </c>
      <c r="AD27" s="1020"/>
      <c r="AE27" s="1017"/>
      <c r="AF27" s="37"/>
      <c r="AH27" s="366"/>
      <c r="AI27" s="366"/>
      <c r="AJ27" s="366"/>
      <c r="AK27" s="366"/>
      <c r="AL27" s="366"/>
      <c r="AM27" s="400"/>
      <c r="AN27" s="400"/>
      <c r="AO27" s="400"/>
      <c r="AP27" s="400"/>
      <c r="AQ27" s="400"/>
      <c r="AR27" s="400"/>
      <c r="AS27" s="400"/>
      <c r="AT27" s="400"/>
      <c r="AU27" s="400" t="s">
        <v>98</v>
      </c>
      <c r="AV27" s="400"/>
      <c r="AW27" s="412"/>
      <c r="AX27" s="411" t="str">
        <f t="shared" si="17"/>
        <v>DA Arrear 34 to 38%</v>
      </c>
      <c r="AY27" s="411"/>
      <c r="AZ27" s="411"/>
      <c r="BA27" s="411"/>
      <c r="BB27" s="411"/>
      <c r="BC27" s="411">
        <f>(ROUND((BA16*38%),0)-ROUND((BA16*34%),0))*3</f>
        <v>6468</v>
      </c>
      <c r="BD27" s="411">
        <f>IF(BC27="","",BC27)</f>
        <v>6468</v>
      </c>
      <c r="BE27" s="411"/>
      <c r="BF27" s="411"/>
      <c r="BG27" s="411"/>
      <c r="BH27" s="411"/>
      <c r="BI27" s="415">
        <f>BD27</f>
        <v>6468</v>
      </c>
      <c r="BJ27" s="411"/>
      <c r="BK27" s="418">
        <v>45078</v>
      </c>
      <c r="BL27" s="418">
        <f>IFERROR(IF('Master Data'!$N$24="","",IF('Master Data'!$F$40="","",IF(AND($AZ$17&gt;$AZ$9),"",DATE(YEAR(BL26),MONTH(BL26)+1,DAY(BL26))))),"")</f>
        <v>45078</v>
      </c>
      <c r="BM27" s="400" t="s">
        <v>546</v>
      </c>
      <c r="BN27" s="419" t="str">
        <f t="shared" si="8"/>
        <v/>
      </c>
      <c r="BO27" s="419" t="str">
        <f t="shared" si="9"/>
        <v>DA Arrear 34 to 38%</v>
      </c>
      <c r="BP27" s="419"/>
      <c r="BQ27" s="419" t="str">
        <f t="shared" si="10"/>
        <v/>
      </c>
      <c r="BR27" s="400"/>
      <c r="BS27" s="420"/>
      <c r="BT27" s="400"/>
      <c r="BU27" s="420"/>
      <c r="BV27" s="419"/>
      <c r="BW27" s="400">
        <f t="shared" si="18"/>
        <v>16</v>
      </c>
      <c r="BX27" s="420">
        <f t="shared" si="19"/>
        <v>0</v>
      </c>
      <c r="BY27" s="400"/>
      <c r="BZ27" s="400">
        <f t="shared" si="20"/>
        <v>0</v>
      </c>
      <c r="CA27" s="400"/>
      <c r="CB27" s="400"/>
      <c r="CC27" s="400"/>
      <c r="CD27" s="400"/>
      <c r="CE27" s="400"/>
      <c r="CF27" s="400"/>
      <c r="CG27" s="400"/>
      <c r="CH27" s="400"/>
      <c r="CI27" s="366"/>
      <c r="CJ27" s="366"/>
      <c r="CK27" s="366"/>
      <c r="CL27" s="366"/>
    </row>
    <row r="28" spans="1:90" s="341" customFormat="1" ht="21" customHeight="1" thickBot="1">
      <c r="A28" s="32">
        <f t="shared" si="0"/>
        <v>0</v>
      </c>
      <c r="B28" s="47">
        <f t="shared" si="5"/>
        <v>0</v>
      </c>
      <c r="C28" s="49" t="str">
        <f t="shared" si="7"/>
        <v/>
      </c>
      <c r="D28" s="318" t="str">
        <f>IFERROR(IF(BO32="","",BO32),"")</f>
        <v/>
      </c>
      <c r="E28" s="250" t="str">
        <f>IFERROR(IF(D28="","",IF(AND(BQ32=""),"",IF(AND('Master Data'!$I$28='GA55 Check &amp; Edit'!$AP$6),VLOOKUP(D28,ram,13,0),VLOOKUP(D28,ram,4,0)))),"")</f>
        <v/>
      </c>
      <c r="F28" s="251" t="str">
        <f>IFERROR(IF(D28="","",IF(D28=$AX$24,"",IF(AND(D28=$AX$28),"",IF(AND('Master Data'!$I$28='GA55 Check &amp; Edit'!$AP$5),VLOOKUP(D28,ram,7,0),"")))),"")</f>
        <v/>
      </c>
      <c r="G28" s="251" t="str">
        <f>IFERROR(IF(D28="","",IF(D28=$AX$24,"",IF(AND(D28=$AX$25),"",IF(AND(D28=$AX$26),"",IF(AND(D28=$AX$27),"",IF(AND(D28=$AX$28),"",IF(AND(D28=$AX$29),"",IF(AND('Master Data'!$I$28='GA55 Check &amp; Edit'!$AP$6),"",VLOOKUP(D28,ram,8,0))))))))),"")</f>
        <v/>
      </c>
      <c r="H28" s="251" t="str">
        <f>IFERROR(IF(D28="","",IF(AND(E28=""),"",IF(OR(D28=$AX$24,D28=$AX$25,D28=$AX$26,D28=$AX$27,D28=$AX$28,D28=$AX$29),"",IF(AND('Master Data'!$I$28='GA55 Check &amp; Edit'!$AP$5),'Master Data'!$B$43,"")))),"")</f>
        <v/>
      </c>
      <c r="I28" s="251" t="str">
        <f>IFERROR(IF(D28="","",IF(AND(E28=""),"",IF(OR(D28=$AX$24,D28=$AX$25,D28=$AX$26,D28=$AX$27,D28=$AX$28,D28=$AX$29),"",IF(AND('Master Data'!$I$28='GA55 Check &amp; Edit'!$AP$5,'Master Data'!$E$28='GA55 Check &amp; Edit'!$AO$5),'Master Data'!$E$30,"0")))),"")</f>
        <v/>
      </c>
      <c r="J28" s="251" t="str">
        <f>IFERROR(IF(OR('Master Data'!$E$32=$AO$6,'Master Data'!$E$32=""),"",IF(D28="","",IF(AND(E28=""),"",IF(OR(D28=$AX$24,D28=$AX$25,D28=$AX$26,D28=$AX$27,D28=$AX$28,D28=$AX$29),"",IF(AND('Master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251" t="str">
        <f>IFERROR(IF(D28="","",IF(AND(E28=""),"",IF(OR(D28=$AX$24,D28=$AX$25,D28=$AX$26,D28=$AX$27,D28=$AX$28,D28=$AX$29),"",IF(AND('Master Data'!$I$28='GA55 Check &amp; Edit'!$AP$5),'Master Data'!$C$43,"")))),"")</f>
        <v/>
      </c>
      <c r="L28" s="251" t="str">
        <f>IFERROR(IF(D28="","",IF(AND(E28=""),"",IF(OR(D28=$AX$24,D28=$AX$25,D28=$AX$26,D28=$AX$27,D28=$AX$28,D28=$AX$29),"",IF(AND('Master Data'!$I$28='GA55 Check &amp; Edit'!$AP$6),"",'Master Data'!$D$43)))),"")</f>
        <v/>
      </c>
      <c r="M28" s="251" t="str">
        <f>IFERROR(IF(D28="","",IF(AND(E28=""),"",IF(OR(D28=$AX$24,D28=$AX$25,D28=$AX$26,D28=$AX$27,D28=$AX$28,D28=$AX$29),"",IF(AND('Master Data'!$I$28='GA55 Check &amp; Edit'!$AP$6),"",'Master Data'!$E$43)))),"")</f>
        <v/>
      </c>
      <c r="N28" s="251" t="str">
        <f>IFERROR(IF(D28="","",IF(AND('Master Data'!$I$28='GA55 Check &amp; Edit'!$AP$6),"",IF(AND('Master Data'!$I$24='GA55 Check &amp; Edit'!$AO$6),"0",IF(AND(D28="Bonus"),VLOOKUP(D28,ram,4,0),"")))),"")</f>
        <v/>
      </c>
      <c r="O28" s="41" t="str">
        <f>IF(D28="","",IF('Master Data'!$N$24="","",SUM(E28:N28)))</f>
        <v/>
      </c>
      <c r="P28" s="319" t="str">
        <f>IFERROR(IF(OR('Master Data'!$I$28='GA55 Check &amp; Edit'!$AP$6,D28=""),"",IF(AND(D28=$AX$24),"",IF(AND(D28=$AX$25),"",IF(AND(D28=$AX$26),"",IF(AND(D28=$AX$27),"",IF(AND(D28=$AX$28),"",IF(AND(D28=$AX$29),"",IF(AND(E28=""),"",VLOOKUP(D28,ram,11,0))))))))),"")</f>
        <v/>
      </c>
      <c r="Q28" s="384" t="str">
        <f>IFERROR(IF(AND('Master Data'!$I$28='GA55 Check &amp; Edit'!$AP$6),"",IF(AND(D28=$AX$25),"",IF(AND(D28=$AX$28),"",IF(AND(D28=$AX$29),"",IF(AND(D28=""),"",VLOOKUP(D28,ram,12,0)))))),"")</f>
        <v/>
      </c>
      <c r="R28" s="319" t="str">
        <f>IFERROR(IF(OR('Master Data'!$I$28='GA55 Check &amp; Edit'!$AP$6,D28=""),"",IF(AND(D28=$AX$24),"",IF(AND(D28=$AX$25),"",IF(AND(D28=$AX$26),"",IF(AND(D28=$AX$27),"",IF(AND(D28=$AX$28),"",IF(AND(D28=$AX$29),"",IF(AND(E28=""),"",'Master Data'!$I$43)))))))),"")</f>
        <v/>
      </c>
      <c r="S28" s="319" t="str">
        <f>IFERROR(IF(OR('Master Data'!$I$28='GA55 Check &amp; Edit'!$AP$6),"",IF(D28="","",IF(E28="","",IF(AND(D28=$AX$24),"",IF(AND(D28=$AX$25),"",IF(AND(D28=$AX$26),"",IF(AND(D28=$AX$27),"",IF(AND(D28=$AX$28),"",IF(AND(D28=$AX$29),"",VLOOKUP(D28,ram,10,0)))))))))),"")</f>
        <v/>
      </c>
      <c r="T28" s="319" t="str">
        <f>IFERROR(IF(OR('Master Data'!$I$28='GA55 Check &amp; Edit'!$AP$6,D28=""),"",IF(AND(D28=$AX$24),"",IF(AND(D28=$AX$25),"",IF(AND(D28=$AX$26),"",IF(AND(D28=$AX$27),"",IF(AND(D28=$AX$28),"",IF(AND(D28=$AX$29),"",IF(AND(E28=""),"",'Master Data'!$K$43)))))))),"")</f>
        <v/>
      </c>
      <c r="U28" s="319" t="str">
        <f>IFERROR(IF(OR('Master Data'!$I$28='GA55 Check &amp; Edit'!$AP$6,D28=""),"",IF(AND(D28=$AX$24),"",IF(AND(D28=$AX$25),"",IF(AND(D28=$AX$26),"",IF(AND(D28=$AX$27),"",IF(AND(D28=$AX$28),"",IF(AND(D28=$AX$29),"",IF(AND(E28=""),"",'Master Data'!$L$43)))))))),"")</f>
        <v/>
      </c>
      <c r="V28" s="319" t="str">
        <f>IFERROR(IF(OR('Master Data'!$I$28='GA55 Check &amp; Edit'!$AP$6,D28=""),"",IF(AND(D28=$AX$24),"",IF(AND(D28=$AX$25),"",IF(AND(D28=$AX$26),"",IF(AND(D28=$AX$27),"",IF(AND(D28=$AX$28),"",IF(AND(D28=$AX$29),"",IF(AND(E28=""),"",'Master Data'!$M$43)))))))),"")</f>
        <v/>
      </c>
      <c r="W28" s="319" t="str">
        <f>IFERROR(IF(OR('Master Data'!$I$28='GA55 Check &amp; Edit'!$AP$6,D28=""),"",IF(AND(D28=$AX$24),"",IF(AND(D28=$AX$25),"",IF(AND(D28=$AX$26),"",IF(AND(D28=$AX$27),"",IF(AND(D28=$AX$28),"",IF(AND(D28=$AX$29),"",IF(AND(E28=""),"",'Master Data'!$N$43)))))))),"")</f>
        <v/>
      </c>
      <c r="X28" s="319" t="str">
        <f>IFERROR(IF(OR('Master Data'!$I$28='GA55 Check &amp; Edit'!$AP$6,D28=""),"",IF(AND(E28=""),"",IF(AND('GA55 Check &amp; Edit'!D28='GA55 Check &amp; Edit'!$AT$17,'Master Data'!$D$18="Gazetted"),500,IF(AND('GA55 Check &amp; Edit'!D28='GA55 Check &amp; Edit'!$AT$17,'Master Data'!$D$18="Non-Gazetted"),250,"")))),"")</f>
        <v/>
      </c>
      <c r="Y28" s="319" t="str">
        <f>IFERROR(IF(D28="","",IF(AND(E28=""),"",IF(AND(D28=$AX$24),"",IF(AND(D28=$AX$25),"",IF(AND(D28=$AX$26),"",IF(AND(D28=$AX$27),"",IF(AND(D28=$AX$28),"",IF(AND(D28=$AX$29),"",IF(OR('Master Data'!$I$28='GA55 Check &amp; Edit'!$AP$6,D28=""),"",$Y$7))))))))),"")</f>
        <v/>
      </c>
      <c r="Z28" s="319"/>
      <c r="AA28" s="319" t="str">
        <f>IFERROR(IF(OR('Master Data'!$I$28='GA55 Check &amp; Edit'!$AP$6,D28="",'Master Data'!$N$34=""),"",IF(AND(E28=""),"",IF('GA55 Check &amp; Edit'!D28='GA55 Check &amp; Edit'!$AT$9,'Master Data'!$N$34,""))),"")</f>
        <v/>
      </c>
      <c r="AB28" s="320" t="str">
        <f t="shared" si="3"/>
        <v/>
      </c>
      <c r="AC28" s="33" t="str">
        <f t="shared" si="4"/>
        <v/>
      </c>
      <c r="AD28" s="1021"/>
      <c r="AE28" s="1018"/>
      <c r="AF28" s="37"/>
      <c r="AH28" s="366"/>
      <c r="AI28" s="366"/>
      <c r="AJ28" s="366"/>
      <c r="AK28" s="366"/>
      <c r="AL28" s="366"/>
      <c r="AM28" s="400"/>
      <c r="AN28" s="400"/>
      <c r="AO28" s="400"/>
      <c r="AP28" s="400"/>
      <c r="AQ28" s="400"/>
      <c r="AR28" s="400"/>
      <c r="AS28" s="400"/>
      <c r="AT28" s="400"/>
      <c r="AU28" s="400" t="s">
        <v>99</v>
      </c>
      <c r="AV28" s="400"/>
      <c r="AW28" s="412"/>
      <c r="AX28" s="411" t="str">
        <f t="shared" si="17"/>
        <v>Fixation arear</v>
      </c>
      <c r="AY28" s="411"/>
      <c r="AZ28" s="411"/>
      <c r="BA28" s="411"/>
      <c r="BB28" s="411"/>
      <c r="BC28" s="411"/>
      <c r="BD28" s="411"/>
      <c r="BE28" s="411"/>
      <c r="BF28" s="411"/>
      <c r="BG28" s="411"/>
      <c r="BH28" s="411"/>
      <c r="BI28" s="415"/>
      <c r="BJ28" s="411"/>
      <c r="BK28" s="418">
        <v>45108</v>
      </c>
      <c r="BL28" s="418">
        <f>IFERROR(IF('Master Data'!$N$24="","",IF('Master Data'!$F$40="","",IF(AND($AZ$17&gt;$AZ$9),"",DATE(YEAR(BL27),MONTH(BL27)+1,DAY(BL27))))),"")</f>
        <v>45108</v>
      </c>
      <c r="BM28" s="400" t="s">
        <v>491</v>
      </c>
      <c r="BN28" s="419" t="str">
        <f t="shared" si="8"/>
        <v/>
      </c>
      <c r="BO28" s="419" t="str">
        <f t="shared" si="9"/>
        <v>Fixation arear</v>
      </c>
      <c r="BP28" s="400"/>
      <c r="BQ28" s="419" t="str">
        <f t="shared" si="10"/>
        <v/>
      </c>
      <c r="BR28" s="400"/>
      <c r="BS28" s="420"/>
      <c r="BT28" s="400"/>
      <c r="BU28" s="420"/>
      <c r="BV28" s="419"/>
      <c r="BW28" s="400">
        <f t="shared" si="18"/>
        <v>17</v>
      </c>
      <c r="BX28" s="420">
        <f t="shared" si="19"/>
        <v>0</v>
      </c>
      <c r="BY28" s="400"/>
      <c r="BZ28" s="400">
        <f t="shared" si="20"/>
        <v>0</v>
      </c>
      <c r="CA28" s="400"/>
      <c r="CB28" s="400"/>
      <c r="CC28" s="400"/>
      <c r="CD28" s="400"/>
      <c r="CE28" s="400"/>
      <c r="CF28" s="400"/>
      <c r="CG28" s="400"/>
      <c r="CH28" s="400"/>
      <c r="CI28" s="366"/>
      <c r="CJ28" s="366"/>
      <c r="CK28" s="366"/>
      <c r="CL28" s="366"/>
    </row>
    <row r="29" spans="1:90" s="342" customFormat="1" ht="20.25">
      <c r="A29" s="34"/>
      <c r="B29" s="34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34"/>
      <c r="X29" s="253"/>
      <c r="Y29" s="253"/>
      <c r="Z29" s="253"/>
      <c r="AA29" s="253"/>
      <c r="AB29" s="34"/>
      <c r="AC29" s="253"/>
      <c r="AD29" s="253"/>
      <c r="AE29" s="253"/>
      <c r="AF29" s="253"/>
      <c r="AH29" s="367"/>
      <c r="AI29" s="367"/>
      <c r="AJ29" s="367"/>
      <c r="AK29" s="367"/>
      <c r="AL29" s="367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3"/>
      <c r="AX29" s="411" t="str">
        <f>IF(BM29="","",BM29)</f>
        <v>PL Surrender Arrear</v>
      </c>
      <c r="AY29" s="424"/>
      <c r="AZ29" s="424"/>
      <c r="BA29" s="424"/>
      <c r="BB29" s="424"/>
      <c r="BC29" s="411" t="str">
        <f>IF('Master Data'!$I$28='GA55 Check &amp; Edit'!$AP$6,"",IF(AND(BA25=""),"",IF(OR('Master Data'!I22='GA55 Check &amp; Edit'!AW10,'Master Data'!I22='GA55 Check &amp; Edit'!AW11,'Master Data'!I22='GA55 Check &amp; Edit'!AW12),ROUND(3%*BA25,0),IF(OR('Master Data'!I22='GA55 Check &amp; Edit'!AW16,'Master Data'!I22='GA55 Check &amp; Edit'!AW17,'Master Data'!I22='GA55 Check &amp; Edit'!AW18),ROUND(4%*BA25,0),""))))</f>
        <v/>
      </c>
      <c r="BD29" s="411" t="str">
        <f t="shared" ref="BD29" si="21">IF(BC29="","",BC29)</f>
        <v/>
      </c>
      <c r="BE29" s="424"/>
      <c r="BF29" s="424"/>
      <c r="BG29" s="424"/>
      <c r="BH29" s="424"/>
      <c r="BI29" s="415" t="str">
        <f>BD29</f>
        <v/>
      </c>
      <c r="BJ29" s="425"/>
      <c r="BK29" s="418">
        <v>45139</v>
      </c>
      <c r="BL29" s="418">
        <f>IFERROR(IF('Master Data'!$N$24="","",IF('Master Data'!$F$40="","",IF(AND($AZ$17&gt;$AZ$9),"",DATE(YEAR(BL28),MONTH(BL28)+1,DAY(BL28))))),"")</f>
        <v>45139</v>
      </c>
      <c r="BM29" s="400" t="s">
        <v>492</v>
      </c>
      <c r="BN29" s="419" t="str">
        <f t="shared" si="8"/>
        <v/>
      </c>
      <c r="BO29" s="419" t="str">
        <f t="shared" si="9"/>
        <v>PL Surrender Arrear</v>
      </c>
      <c r="BP29" s="422"/>
      <c r="BQ29" s="419" t="str">
        <f t="shared" si="10"/>
        <v/>
      </c>
      <c r="BR29" s="422"/>
      <c r="BS29" s="422"/>
      <c r="BT29" s="422"/>
      <c r="BU29" s="426"/>
      <c r="BV29" s="427"/>
      <c r="BW29" s="400">
        <f t="shared" si="18"/>
        <v>18</v>
      </c>
      <c r="BX29" s="420">
        <f t="shared" si="19"/>
        <v>0</v>
      </c>
      <c r="BY29" s="422"/>
      <c r="BZ29" s="400">
        <f t="shared" si="20"/>
        <v>0</v>
      </c>
      <c r="CA29" s="422"/>
      <c r="CB29" s="422"/>
      <c r="CC29" s="422"/>
      <c r="CD29" s="422"/>
      <c r="CE29" s="422"/>
      <c r="CF29" s="422"/>
      <c r="CG29" s="422"/>
      <c r="CH29" s="422"/>
      <c r="CI29" s="367"/>
      <c r="CJ29" s="367"/>
      <c r="CK29" s="367"/>
      <c r="CL29" s="367"/>
    </row>
    <row r="30" spans="1:90" hidden="1">
      <c r="AW30" s="411"/>
      <c r="AX30" s="406" t="str">
        <f>IF(BM30="","",BM30)</f>
        <v/>
      </c>
      <c r="AY30" s="411"/>
      <c r="AZ30" s="411"/>
      <c r="BA30" s="411" t="str">
        <f>IF(AND('Master Data'!$E$36=""),"",IF('Master Data'!$N$32='GA55 Check &amp; Edit'!$AO$5,'Master Data'!$E$36,""))</f>
        <v/>
      </c>
      <c r="BB30" s="411" t="str">
        <f>IF('Master Data'!$N$32='GA55 Check &amp; Edit'!$AO$5,BA30,"")</f>
        <v/>
      </c>
      <c r="BC30" s="411" t="str">
        <f>IFERROR(IF(AND('Master Data'!$E$36=""),"",ROUND(17%*BB30,0)),"")</f>
        <v/>
      </c>
      <c r="BD30" s="411" t="str">
        <f>IF(BC30="","",BC30)</f>
        <v/>
      </c>
      <c r="BE30" s="411"/>
      <c r="BF30" s="411"/>
      <c r="BG30" s="411" t="b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30" s="411" t="str">
        <f>IFERROR(IF(OR('Master Data'!$I$28='GA55 Check &amp; Edit'!$AP$6),"",IF('Master Data'!$N$32='GA55 Check &amp; Edit'!$AO$5,'Master Data'!$G$43,"")),"")</f>
        <v/>
      </c>
      <c r="BI30" s="411" t="str">
        <f>IFERROR(IF('Master Data'!$N$32='GA55 Check &amp; Edit'!$AO$6,"",IF(AND('Master Data'!I$30='GA55 Check &amp; Edit'!$AN$6),ROUND((BB30)*0.1,0),IF(AND('Master Data'!$I$28='GA55 Check &amp; Edit'!$AP$6),ROUND((BB30+BD30)*0.1,0),'Master Data'!$H$43))),"")</f>
        <v/>
      </c>
      <c r="BK30" s="418">
        <v>45170</v>
      </c>
      <c r="BL30" s="418">
        <f>IFERROR(IF('Master Data'!$N$24="","",IF('Master Data'!$F$40="","",IF(AND($AZ$17&gt;$AZ$9),"",DATE(YEAR(BL29),MONTH(BL29)+1,DAY(BL29))))),"")</f>
        <v>45170</v>
      </c>
      <c r="BM30" s="406" t="str">
        <f>IF(OR('Master Data'!N34='GA55 Check &amp; Edit'!AO5,'Master Data'!N32='GA55 Check &amp; Edit'!AO5,'Master Data'!N40='GA55 Check &amp; Edit'!AO5),'GA55 Check &amp; Edit'!AX10,"")</f>
        <v/>
      </c>
      <c r="BN30" s="419" t="str">
        <f t="shared" si="8"/>
        <v/>
      </c>
      <c r="BO30" s="419" t="str">
        <f t="shared" si="9"/>
        <v/>
      </c>
      <c r="BQ30" s="419" t="str">
        <f>IFERROR(IF(BM30="","",IF(D26=$AX$25,$AX$25,IF(D26=$AX$30,$AX$30,IF(D26=$AX$31,$AX$31,IF(D26=$AX$32,$AX$32,IF(BM30&gt;$AZ$17,"",BM30)))))),"")</f>
        <v/>
      </c>
      <c r="BV30" s="419"/>
      <c r="BW30" s="400">
        <f t="shared" si="18"/>
        <v>19</v>
      </c>
      <c r="BX30" s="420">
        <f t="shared" si="19"/>
        <v>0</v>
      </c>
      <c r="BZ30" s="400">
        <f t="shared" si="20"/>
        <v>0</v>
      </c>
    </row>
    <row r="31" spans="1:90" hidden="1">
      <c r="AX31" s="406" t="str">
        <f>IF(BM31="","",BM31)</f>
        <v/>
      </c>
      <c r="BA31" s="411" t="str">
        <f>IF(AND('Master Data'!$E$36=""),"",IF('Master Data'!$N$34='GA55 Check &amp; Edit'!$AO$5,'Master Data'!$E$36,""))</f>
        <v/>
      </c>
      <c r="BB31" s="411" t="str">
        <f>IF('Master Data'!$N$34='GA55 Check &amp; Edit'!$AO$5,BA31,"")</f>
        <v/>
      </c>
      <c r="BC31" s="411" t="str">
        <f>IFERROR(IF(AND('Master Data'!$E$36=""),"",ROUND(17%*BB31,0)),"")</f>
        <v/>
      </c>
      <c r="BD31" s="411" t="str">
        <f>IF(BC31="","",BC31)</f>
        <v/>
      </c>
      <c r="BE31" s="411" t="str">
        <f>IFERROR(IF(AND('Master Data'!$E$36=""),"",ROUND('Master Data'!$E$30%*BB31,0)),"")</f>
        <v/>
      </c>
      <c r="BG31" s="411" t="b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0</v>
      </c>
      <c r="BH31" s="411" t="str">
        <f>IFERROR(IF(OR('Master Data'!$I$28='GA55 Check &amp; Edit'!$AP$6),"",IF('Master Data'!$N$34='GA55 Check &amp; Edit'!$AO$5,'Master Data'!$G$43,"")),"")</f>
        <v/>
      </c>
      <c r="BI31" s="411" t="str">
        <f>IFERROR(IF('Master Data'!$N$34='GA55 Check &amp; Edit'!$AO$6,"",IF(AND('Master Data'!I$30='GA55 Check &amp; Edit'!$AN$6),ROUND((BB31)*0.1,0),IF(AND('Master Data'!$I$28='GA55 Check &amp; Edit'!$AP$6),ROUND((BB31+BD31)*0.1,0),'Master Data'!$H$43))),"")</f>
        <v/>
      </c>
      <c r="BK31" s="418">
        <v>45200</v>
      </c>
      <c r="BL31" s="428" t="str">
        <f>IFERROR(IF('Master Data'!$E$36="","",IF('Master Data'!$F$40="","",IF(AND($AZ$17&gt;$AZ$9),"",DATE(YEAR(BL30),MONTH(BL30)+1,DAY(BL30))))),"")</f>
        <v/>
      </c>
      <c r="BM31" s="406" t="str">
        <f>IF(OR('Master Data'!N34='GA55 Check &amp; Edit'!AO5,'Master Data'!N40='GA55 Check &amp; Edit'!AO5),'GA55 Check &amp; Edit'!AX11,"")</f>
        <v/>
      </c>
      <c r="BN31" s="419" t="str">
        <f t="shared" si="8"/>
        <v/>
      </c>
      <c r="BO31" s="419" t="str">
        <f t="shared" si="9"/>
        <v/>
      </c>
      <c r="BQ31" s="419" t="str">
        <f t="shared" si="10"/>
        <v/>
      </c>
      <c r="BW31" s="400"/>
    </row>
    <row r="32" spans="1:90" hidden="1">
      <c r="AX32" s="406" t="str">
        <f>IF(BM32="","",BM32)</f>
        <v/>
      </c>
      <c r="BA32" s="400" t="str">
        <f>IF('Master Data'!N40='GA55 Check &amp; Edit'!$AO$5,(AZ3-AZ1),"")</f>
        <v/>
      </c>
      <c r="BB32" s="411" t="str">
        <f>IF('Master Data'!N40='GA55 Check &amp; Edit'!$AO$5,BA32,"")</f>
        <v/>
      </c>
      <c r="BC32" s="400" t="str">
        <f>IF(OR('Master Data'!$E$36="",BB32=""),"",ROUND(17%*BB32,0))</f>
        <v/>
      </c>
      <c r="BD32" s="411" t="str">
        <f>IF(BC32="","",BC32)</f>
        <v/>
      </c>
      <c r="BE32" s="411" t="str">
        <f>IFERROR(IF(AND('Master Data'!$E$36=""),"",ROUND('Master Data'!$E$30%*BB32,0)),"")</f>
        <v/>
      </c>
      <c r="BG32" s="411"/>
      <c r="BI32" s="400">
        <f>IFERROR(IF(AND('Master Data'!$I$30='GA55 Check &amp; Edit'!$AN$6),ROUND((E19)*0.1,0),IF(AND('Master Data'!$I$28='GA55 Check &amp; Edit'!$AP$6),ROUND((E19+F19)*0.1,0),'Master Data'!$H$43)),"")</f>
        <v>5390</v>
      </c>
      <c r="BK32" s="418">
        <v>45231</v>
      </c>
      <c r="BL32" s="428" t="str">
        <f>IFERROR(IF('Master Data'!$E$36="","",IF('Master Data'!$F$40="","",IF(AND($AZ$17&gt;$AZ$9),"",DATE(YEAR(BL31),MONTH(BL31)+1,DAY(BL31))))),"")</f>
        <v/>
      </c>
      <c r="BM32" s="429" t="str">
        <f>IF('Master Data'!N40='GA55 Check &amp; Edit'!AO5,CONCATENATE("Defer Salary"," - ","March-20"),"")</f>
        <v/>
      </c>
      <c r="BN32" s="419" t="str">
        <f t="shared" si="8"/>
        <v/>
      </c>
      <c r="BO32" s="419" t="str">
        <f t="shared" si="9"/>
        <v/>
      </c>
      <c r="BQ32" s="419" t="str">
        <f t="shared" si="10"/>
        <v/>
      </c>
    </row>
    <row r="33" spans="64:67" hidden="1">
      <c r="BO33" s="419" t="str">
        <f t="shared" si="9"/>
        <v/>
      </c>
    </row>
    <row r="34" spans="64:67" hidden="1"/>
    <row r="35" spans="64:67" hidden="1">
      <c r="BL35" s="401"/>
    </row>
  </sheetData>
  <sheetProtection password="C1FB" sheet="1" objects="1" scenarios="1" formatColumns="0" formatRows="0"/>
  <protectedRanges>
    <protectedRange password="CFD9" sqref="AB8:AC28" name="Range2"/>
    <protectedRange password="CFD9" sqref="O8:AA28" name="Range1"/>
    <protectedRange sqref="D7" name="Range1_1"/>
    <protectedRange sqref="E7:M7" name="Range2_1"/>
    <protectedRange sqref="N7" name="Range3"/>
    <protectedRange sqref="AD7:AE7" name="Range4"/>
  </protectedRanges>
  <mergeCells count="32"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</mergeCells>
  <conditionalFormatting sqref="B8:C28">
    <cfRule type="cellIs" dxfId="12" priority="23" operator="equal">
      <formula>0</formula>
    </cfRule>
  </conditionalFormatting>
  <conditionalFormatting sqref="B9:AE28">
    <cfRule type="expression" dxfId="11" priority="22">
      <formula>$B8=0</formula>
    </cfRule>
  </conditionalFormatting>
  <conditionalFormatting sqref="B8:AE28">
    <cfRule type="expression" dxfId="10" priority="21">
      <formula>$A8=0</formula>
    </cfRule>
  </conditionalFormatting>
  <conditionalFormatting sqref="B28:AE28">
    <cfRule type="expression" dxfId="9" priority="14">
      <formula>$B23=0</formula>
    </cfRule>
  </conditionalFormatting>
  <conditionalFormatting sqref="B27:AE27">
    <cfRule type="expression" dxfId="8" priority="13">
      <formula>$B23=0</formula>
    </cfRule>
  </conditionalFormatting>
  <conditionalFormatting sqref="B26:AE26 R27:U28 W27:AB28 E27:O28 D27">
    <cfRule type="expression" dxfId="7" priority="12">
      <formula>$B23=0</formula>
    </cfRule>
  </conditionalFormatting>
  <conditionalFormatting sqref="B25:AE25 R27:U28 W27:AB28 E27:O28 D26:AC26 D26:D28">
    <cfRule type="expression" dxfId="6" priority="11">
      <formula>$B23=0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workbookViewId="0">
      <selection activeCell="E13" sqref="E13"/>
    </sheetView>
  </sheetViews>
  <sheetFormatPr defaultColWidth="0" defaultRowHeight="15" zeroHeight="1"/>
  <cols>
    <col min="1" max="1" width="9" style="32" customWidth="1"/>
    <col min="2" max="2" width="3.5" style="32" customWidth="1"/>
    <col min="3" max="3" width="59" style="32" customWidth="1"/>
    <col min="4" max="4" width="6.25" style="32" customWidth="1"/>
    <col min="5" max="5" width="18.625" style="32" customWidth="1"/>
    <col min="6" max="6" width="3.375" style="32" customWidth="1"/>
    <col min="7" max="7" width="70.75" style="32" customWidth="1"/>
    <col min="8" max="8" width="8.125" style="32" customWidth="1"/>
    <col min="9" max="9" width="16.625" style="32" customWidth="1"/>
    <col min="10" max="10" width="3.375" style="32" customWidth="1"/>
    <col min="11" max="11" width="9" style="32" customWidth="1"/>
    <col min="12" max="16384" width="9" style="32" hidden="1"/>
  </cols>
  <sheetData>
    <row r="1" spans="1:11" ht="37.5" customHeight="1">
      <c r="A1" s="539" t="s">
        <v>482</v>
      </c>
      <c r="B1" s="540"/>
      <c r="C1" s="540"/>
      <c r="D1" s="199"/>
      <c r="E1" s="199"/>
      <c r="F1" s="199"/>
      <c r="G1" s="199"/>
      <c r="H1" s="199"/>
      <c r="I1" s="199"/>
      <c r="J1" s="199"/>
      <c r="K1" s="199"/>
    </row>
    <row r="2" spans="1:11" ht="18.75" customHeight="1">
      <c r="A2" s="199"/>
      <c r="B2" s="541" t="s">
        <v>483</v>
      </c>
      <c r="C2" s="541"/>
      <c r="D2" s="199"/>
      <c r="E2" s="199"/>
      <c r="F2" s="199"/>
      <c r="G2" s="199"/>
      <c r="H2" s="199"/>
      <c r="I2" s="199"/>
      <c r="J2" s="199"/>
      <c r="K2" s="199"/>
    </row>
    <row r="3" spans="1:11" ht="27" customHeight="1">
      <c r="A3" s="199"/>
      <c r="B3" s="199"/>
      <c r="C3" s="542" t="s">
        <v>106</v>
      </c>
      <c r="D3" s="542"/>
      <c r="E3" s="542"/>
      <c r="F3" s="542"/>
      <c r="G3" s="542"/>
      <c r="H3" s="542"/>
      <c r="I3" s="542"/>
      <c r="J3" s="199"/>
      <c r="K3" s="199"/>
    </row>
    <row r="4" spans="1:11" ht="15.75" customHeight="1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</row>
    <row r="5" spans="1:11" ht="15.75" customHeight="1" thickBot="1">
      <c r="A5" s="199"/>
      <c r="B5" s="200"/>
      <c r="C5" s="201"/>
      <c r="D5" s="201"/>
      <c r="E5" s="201"/>
      <c r="F5" s="201"/>
      <c r="G5" s="201"/>
      <c r="H5" s="201"/>
      <c r="I5" s="201"/>
      <c r="J5" s="200"/>
      <c r="K5" s="199"/>
    </row>
    <row r="6" spans="1:11" ht="24.95" customHeight="1" thickTop="1" thickBot="1">
      <c r="A6" s="199"/>
      <c r="B6" s="202"/>
      <c r="C6" s="393" t="s">
        <v>105</v>
      </c>
      <c r="D6" s="45" t="s">
        <v>76</v>
      </c>
      <c r="E6" s="313">
        <f>IF(D6="Yes",'HRA Calculation'!J10,0)</f>
        <v>32148</v>
      </c>
      <c r="F6" s="543"/>
      <c r="G6" s="544" t="s">
        <v>285</v>
      </c>
      <c r="H6" s="544"/>
      <c r="I6" s="203"/>
      <c r="J6" s="549"/>
      <c r="K6" s="199"/>
    </row>
    <row r="7" spans="1:11" ht="24.95" customHeight="1" thickTop="1">
      <c r="A7" s="199"/>
      <c r="B7" s="202"/>
      <c r="C7" s="537" t="s">
        <v>604</v>
      </c>
      <c r="D7" s="538"/>
      <c r="E7" s="203">
        <v>50000</v>
      </c>
      <c r="F7" s="543"/>
      <c r="G7" s="544" t="s">
        <v>286</v>
      </c>
      <c r="H7" s="544"/>
      <c r="I7" s="203"/>
      <c r="J7" s="549"/>
      <c r="K7" s="199"/>
    </row>
    <row r="8" spans="1:11" ht="24.95" customHeight="1">
      <c r="A8" s="199"/>
      <c r="B8" s="202"/>
      <c r="C8" s="537" t="s">
        <v>605</v>
      </c>
      <c r="D8" s="538"/>
      <c r="E8" s="203"/>
      <c r="F8" s="543"/>
      <c r="G8" s="544" t="s">
        <v>299</v>
      </c>
      <c r="H8" s="544"/>
      <c r="I8" s="203"/>
      <c r="J8" s="549"/>
      <c r="K8" s="199"/>
    </row>
    <row r="9" spans="1:11" ht="24.95" customHeight="1">
      <c r="A9" s="199"/>
      <c r="B9" s="202"/>
      <c r="C9" s="537" t="s">
        <v>606</v>
      </c>
      <c r="D9" s="538"/>
      <c r="E9" s="203"/>
      <c r="F9" s="543"/>
      <c r="G9" s="544" t="s">
        <v>287</v>
      </c>
      <c r="H9" s="544"/>
      <c r="I9" s="203"/>
      <c r="J9" s="549"/>
      <c r="K9" s="199"/>
    </row>
    <row r="10" spans="1:11" ht="24.95" customHeight="1">
      <c r="A10" s="199"/>
      <c r="B10" s="202"/>
      <c r="C10" s="537" t="s">
        <v>272</v>
      </c>
      <c r="D10" s="538"/>
      <c r="E10" s="203"/>
      <c r="F10" s="543"/>
      <c r="G10" s="544" t="s">
        <v>489</v>
      </c>
      <c r="H10" s="544"/>
      <c r="I10" s="203"/>
      <c r="J10" s="549"/>
      <c r="K10" s="199"/>
    </row>
    <row r="11" spans="1:11" ht="33" customHeight="1">
      <c r="A11" s="199"/>
      <c r="B11" s="202"/>
      <c r="C11" s="537" t="s">
        <v>273</v>
      </c>
      <c r="D11" s="538"/>
      <c r="E11" s="203"/>
      <c r="F11" s="543"/>
      <c r="G11" s="545" t="s">
        <v>617</v>
      </c>
      <c r="H11" s="546"/>
      <c r="I11" s="203"/>
      <c r="J11" s="549"/>
      <c r="K11" s="199"/>
    </row>
    <row r="12" spans="1:11" ht="24.95" customHeight="1">
      <c r="A12" s="199"/>
      <c r="B12" s="202"/>
      <c r="C12" s="537" t="s">
        <v>274</v>
      </c>
      <c r="D12" s="538"/>
      <c r="E12" s="203"/>
      <c r="F12" s="543"/>
      <c r="G12" s="544" t="s">
        <v>288</v>
      </c>
      <c r="H12" s="544"/>
      <c r="I12" s="203"/>
      <c r="J12" s="549"/>
      <c r="K12" s="199"/>
    </row>
    <row r="13" spans="1:11" ht="24.95" customHeight="1">
      <c r="A13" s="199"/>
      <c r="B13" s="202"/>
      <c r="C13" s="551" t="s">
        <v>275</v>
      </c>
      <c r="D13" s="552"/>
      <c r="E13" s="203"/>
      <c r="F13" s="543"/>
      <c r="G13" s="544" t="s">
        <v>469</v>
      </c>
      <c r="H13" s="544"/>
      <c r="I13" s="203"/>
      <c r="J13" s="549"/>
      <c r="K13" s="199"/>
    </row>
    <row r="14" spans="1:11" ht="24.95" customHeight="1">
      <c r="A14" s="199"/>
      <c r="B14" s="202"/>
      <c r="C14" s="553" t="s">
        <v>607</v>
      </c>
      <c r="D14" s="554"/>
      <c r="E14" s="203"/>
      <c r="F14" s="543"/>
      <c r="G14" s="547" t="s">
        <v>289</v>
      </c>
      <c r="H14" s="547"/>
      <c r="I14" s="203">
        <v>50000</v>
      </c>
      <c r="J14" s="549"/>
      <c r="K14" s="199"/>
    </row>
    <row r="15" spans="1:11" ht="24.95" customHeight="1">
      <c r="A15" s="199"/>
      <c r="B15" s="202"/>
      <c r="C15" s="537" t="s">
        <v>608</v>
      </c>
      <c r="D15" s="538"/>
      <c r="E15" s="203"/>
      <c r="F15" s="543"/>
      <c r="G15" s="544" t="s">
        <v>290</v>
      </c>
      <c r="H15" s="544"/>
      <c r="I15" s="203"/>
      <c r="J15" s="549"/>
      <c r="K15" s="199"/>
    </row>
    <row r="16" spans="1:11" ht="24.95" customHeight="1">
      <c r="A16" s="199"/>
      <c r="B16" s="202"/>
      <c r="C16" s="537" t="s">
        <v>609</v>
      </c>
      <c r="D16" s="538"/>
      <c r="E16" s="203"/>
      <c r="F16" s="543"/>
      <c r="G16" s="544" t="s">
        <v>291</v>
      </c>
      <c r="H16" s="544"/>
      <c r="I16" s="203"/>
      <c r="J16" s="549"/>
      <c r="K16" s="199"/>
    </row>
    <row r="17" spans="1:11" ht="24.95" customHeight="1">
      <c r="A17" s="199"/>
      <c r="B17" s="202"/>
      <c r="C17" s="537" t="s">
        <v>276</v>
      </c>
      <c r="D17" s="538"/>
      <c r="E17" s="203"/>
      <c r="F17" s="543"/>
      <c r="G17" s="544" t="s">
        <v>292</v>
      </c>
      <c r="H17" s="544"/>
      <c r="I17" s="203"/>
      <c r="J17" s="549"/>
      <c r="K17" s="199"/>
    </row>
    <row r="18" spans="1:11" ht="24.95" customHeight="1">
      <c r="A18" s="199"/>
      <c r="B18" s="202"/>
      <c r="C18" s="537" t="s">
        <v>610</v>
      </c>
      <c r="D18" s="538"/>
      <c r="E18" s="203"/>
      <c r="F18" s="543"/>
      <c r="G18" s="544" t="s">
        <v>293</v>
      </c>
      <c r="H18" s="544"/>
      <c r="I18" s="203"/>
      <c r="J18" s="549"/>
      <c r="K18" s="199"/>
    </row>
    <row r="19" spans="1:11" ht="24.95" customHeight="1">
      <c r="A19" s="199"/>
      <c r="B19" s="202"/>
      <c r="C19" s="537" t="s">
        <v>277</v>
      </c>
      <c r="D19" s="538"/>
      <c r="E19" s="203"/>
      <c r="F19" s="543"/>
      <c r="G19" s="544" t="s">
        <v>294</v>
      </c>
      <c r="H19" s="544"/>
      <c r="I19" s="311">
        <f>SUM(E25)+ ROUND(I25/2,0)</f>
        <v>0</v>
      </c>
      <c r="J19" s="549"/>
      <c r="K19" s="199"/>
    </row>
    <row r="20" spans="1:11" ht="24.95" customHeight="1">
      <c r="A20" s="199"/>
      <c r="B20" s="202"/>
      <c r="C20" s="537" t="s">
        <v>611</v>
      </c>
      <c r="D20" s="538"/>
      <c r="E20" s="203"/>
      <c r="F20" s="543"/>
      <c r="G20" s="544" t="s">
        <v>295</v>
      </c>
      <c r="H20" s="544"/>
      <c r="I20" s="203"/>
      <c r="J20" s="549"/>
      <c r="K20" s="199"/>
    </row>
    <row r="21" spans="1:11" ht="24.95" customHeight="1">
      <c r="A21" s="199"/>
      <c r="B21" s="202"/>
      <c r="C21" s="537" t="s">
        <v>612</v>
      </c>
      <c r="D21" s="538"/>
      <c r="E21" s="203"/>
      <c r="F21" s="543"/>
      <c r="G21" s="550" t="s">
        <v>616</v>
      </c>
      <c r="H21" s="550"/>
      <c r="I21" s="203">
        <v>1500</v>
      </c>
      <c r="J21" s="549"/>
      <c r="K21" s="199"/>
    </row>
    <row r="22" spans="1:11" ht="24.95" customHeight="1">
      <c r="A22" s="199"/>
      <c r="B22" s="202"/>
      <c r="C22" s="537" t="s">
        <v>613</v>
      </c>
      <c r="D22" s="538"/>
      <c r="E22" s="203"/>
      <c r="F22" s="543"/>
      <c r="G22" s="544" t="s">
        <v>296</v>
      </c>
      <c r="H22" s="544"/>
      <c r="I22" s="203"/>
      <c r="J22" s="549"/>
      <c r="K22" s="199"/>
    </row>
    <row r="23" spans="1:11" ht="24.95" customHeight="1" thickBot="1">
      <c r="A23" s="199"/>
      <c r="B23" s="202"/>
      <c r="C23" s="537" t="s">
        <v>614</v>
      </c>
      <c r="D23" s="538"/>
      <c r="E23" s="203"/>
      <c r="F23" s="543"/>
      <c r="G23" s="544" t="s">
        <v>300</v>
      </c>
      <c r="H23" s="544"/>
      <c r="I23" s="203"/>
      <c r="J23" s="549"/>
      <c r="K23" s="199"/>
    </row>
    <row r="24" spans="1:11" ht="24.95" customHeight="1" thickTop="1" thickBot="1">
      <c r="A24" s="199"/>
      <c r="B24" s="202"/>
      <c r="C24" s="537" t="s">
        <v>603</v>
      </c>
      <c r="D24" s="538"/>
      <c r="E24" s="203"/>
      <c r="F24" s="543"/>
      <c r="G24" s="50" t="s">
        <v>298</v>
      </c>
      <c r="H24" s="19" t="s">
        <v>75</v>
      </c>
      <c r="I24" s="203">
        <f>IF(H24="Yes",form10E!M28,0)</f>
        <v>0</v>
      </c>
      <c r="J24" s="549"/>
      <c r="K24" s="199"/>
    </row>
    <row r="25" spans="1:11" ht="24.95" customHeight="1" thickTop="1">
      <c r="A25" s="199"/>
      <c r="B25" s="202"/>
      <c r="C25" s="537" t="s">
        <v>615</v>
      </c>
      <c r="D25" s="538"/>
      <c r="E25" s="310"/>
      <c r="F25" s="308"/>
      <c r="G25" s="50" t="s">
        <v>488</v>
      </c>
      <c r="H25" s="50"/>
      <c r="I25" s="310"/>
      <c r="J25" s="309"/>
      <c r="K25" s="199"/>
    </row>
    <row r="26" spans="1:11" ht="16.5" customHeight="1">
      <c r="A26" s="199"/>
      <c r="B26" s="200"/>
      <c r="C26" s="548"/>
      <c r="D26" s="548"/>
      <c r="E26" s="548"/>
      <c r="F26" s="548"/>
      <c r="G26" s="548"/>
      <c r="H26" s="548"/>
      <c r="I26" s="548"/>
      <c r="J26" s="200"/>
      <c r="K26" s="199"/>
    </row>
    <row r="27" spans="1:11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199"/>
    </row>
    <row r="28" spans="1:11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</row>
    <row r="29" spans="1:11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</row>
    <row r="30" spans="1:11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</row>
  </sheetData>
  <sheetProtection password="C1FB" sheet="1" objects="1" scenarios="1" selectLockedCells="1"/>
  <mergeCells count="43">
    <mergeCell ref="C24:D24"/>
    <mergeCell ref="C18:D18"/>
    <mergeCell ref="C19:D19"/>
    <mergeCell ref="C20:D20"/>
    <mergeCell ref="C21:D21"/>
    <mergeCell ref="C22:D22"/>
    <mergeCell ref="G23:H23"/>
    <mergeCell ref="G17:H17"/>
    <mergeCell ref="G18:H18"/>
    <mergeCell ref="G19:H19"/>
    <mergeCell ref="C23:D23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5:D25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</mergeCells>
  <dataValidations count="5">
    <dataValidation type="list" allowBlank="1" showInputMessage="1" showErrorMessage="1" error="केवल हाँ अथवा ना सलेक्ट करें।" sqref="D6 H24">
      <formula1>ye</formula1>
    </dataValidation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12 E14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  <dataValidation type="whole" operator="lessThanOrEqual" allowBlank="1" showInputMessage="1" showErrorMessage="1" errorTitle="Write Interest of Home loan" error="Please input Max. Interest 200000" sqref="E13">
      <formula1>200000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35"/>
  <sheetViews>
    <sheetView showGridLines="0" showRowColHeaders="0" workbookViewId="0">
      <selection activeCell="J9" sqref="J9"/>
    </sheetView>
  </sheetViews>
  <sheetFormatPr defaultColWidth="0" defaultRowHeight="15" zeroHeight="1"/>
  <cols>
    <col min="1" max="1" width="7" style="32" customWidth="1"/>
    <col min="2" max="2" width="3.875" style="32" customWidth="1"/>
    <col min="3" max="3" width="20.75" style="32" customWidth="1"/>
    <col min="4" max="4" width="10" style="32" customWidth="1"/>
    <col min="5" max="5" width="11.875" style="32" customWidth="1"/>
    <col min="6" max="6" width="11.375" style="32" customWidth="1"/>
    <col min="7" max="7" width="10" style="32" customWidth="1"/>
    <col min="8" max="8" width="3.25" style="32" customWidth="1"/>
    <col min="9" max="9" width="48.375" style="32" customWidth="1"/>
    <col min="10" max="10" width="17.25" style="32" customWidth="1"/>
    <col min="11" max="11" width="4.625" style="32" customWidth="1"/>
    <col min="12" max="12" width="4.375" style="32" customWidth="1"/>
    <col min="13" max="13" width="8.125" style="32" customWidth="1"/>
    <col min="14" max="16" width="9" style="32" hidden="1" customWidth="1"/>
    <col min="17" max="17" width="3.5" style="32" hidden="1" customWidth="1"/>
    <col min="18" max="22" width="0" style="32" hidden="1" customWidth="1"/>
    <col min="23" max="16384" width="9" style="32" hidden="1"/>
  </cols>
  <sheetData>
    <row r="1" spans="1:22" ht="55.5" customHeight="1" thickBo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22" s="130" customFormat="1" ht="26.25" customHeight="1" thickBot="1">
      <c r="A2" s="129"/>
      <c r="B2" s="555"/>
      <c r="C2" s="571" t="s">
        <v>284</v>
      </c>
      <c r="D2" s="572"/>
      <c r="E2" s="572"/>
      <c r="F2" s="572"/>
      <c r="G2" s="572"/>
      <c r="H2" s="572"/>
      <c r="I2" s="572"/>
      <c r="J2" s="572"/>
      <c r="K2" s="573"/>
      <c r="L2" s="568"/>
      <c r="M2" s="129"/>
    </row>
    <row r="3" spans="1:22" s="130" customFormat="1" ht="26.25" customHeight="1">
      <c r="A3" s="129"/>
      <c r="B3" s="556"/>
      <c r="C3" s="131"/>
      <c r="D3" s="132"/>
      <c r="E3" s="132"/>
      <c r="F3" s="132"/>
      <c r="G3" s="132"/>
      <c r="H3" s="575"/>
      <c r="I3" s="132"/>
      <c r="J3" s="132"/>
      <c r="K3" s="133"/>
      <c r="L3" s="569"/>
      <c r="M3" s="129"/>
    </row>
    <row r="4" spans="1:22" s="130" customFormat="1" ht="35.25" customHeight="1">
      <c r="A4" s="129"/>
      <c r="B4" s="556"/>
      <c r="C4" s="134" t="s">
        <v>240</v>
      </c>
      <c r="D4" s="204" t="s">
        <v>241</v>
      </c>
      <c r="E4" s="205" t="s">
        <v>259</v>
      </c>
      <c r="F4" s="206" t="s">
        <v>66</v>
      </c>
      <c r="G4" s="135"/>
      <c r="H4" s="576"/>
      <c r="I4" s="561" t="s">
        <v>321</v>
      </c>
      <c r="J4" s="561"/>
      <c r="K4" s="562"/>
      <c r="L4" s="569"/>
      <c r="M4" s="129"/>
    </row>
    <row r="5" spans="1:22" s="130" customFormat="1" ht="24.95" customHeight="1">
      <c r="A5" s="129"/>
      <c r="B5" s="556"/>
      <c r="C5" s="136" t="s">
        <v>242</v>
      </c>
      <c r="D5" s="115" t="s">
        <v>243</v>
      </c>
      <c r="E5" s="137">
        <f>IF('GA55 Check &amp; Edit'!BB12="","",IF(D5="Y",'GA55 Check &amp; Edit'!BA12+'GA55 Check &amp; Edit'!BC12,0))</f>
        <v>68513</v>
      </c>
      <c r="F5" s="137">
        <f>IF(E5="","",IF(D5="Y",ROUND('Master Data'!$E$34%*'GA55 Check &amp; Edit'!BA12,0),"0"))</f>
        <v>4707</v>
      </c>
      <c r="G5" s="138"/>
      <c r="H5" s="576"/>
      <c r="I5" s="561"/>
      <c r="J5" s="561"/>
      <c r="K5" s="562"/>
      <c r="L5" s="569"/>
      <c r="M5" s="129"/>
    </row>
    <row r="6" spans="1:22" s="130" customFormat="1" ht="24.95" customHeight="1">
      <c r="A6" s="129"/>
      <c r="B6" s="556"/>
      <c r="C6" s="139" t="s">
        <v>244</v>
      </c>
      <c r="D6" s="116" t="s">
        <v>243</v>
      </c>
      <c r="E6" s="137">
        <f>IF('GA55 Check &amp; Edit'!BB13="","",IF(D6="Y",'GA55 Check &amp; Edit'!BA13+'GA55 Check &amp; Edit'!BC13,0))</f>
        <v>70082</v>
      </c>
      <c r="F6" s="137">
        <f>IF(E6="","",IF(D6="Y",ROUND('Master Data'!$E$34%*'GA55 Check &amp; Edit'!BA13,0),"0"))</f>
        <v>4707</v>
      </c>
      <c r="G6" s="138"/>
      <c r="H6" s="576"/>
      <c r="I6" s="559" t="s">
        <v>269</v>
      </c>
      <c r="J6" s="559"/>
      <c r="K6" s="560"/>
      <c r="L6" s="569"/>
      <c r="M6" s="129"/>
    </row>
    <row r="7" spans="1:22" s="130" customFormat="1" ht="24.95" customHeight="1">
      <c r="A7" s="129"/>
      <c r="B7" s="556"/>
      <c r="C7" s="139" t="s">
        <v>245</v>
      </c>
      <c r="D7" s="116" t="s">
        <v>243</v>
      </c>
      <c r="E7" s="137">
        <f>IF('GA55 Check &amp; Edit'!BB14="","",IF(D7="Y",'GA55 Check &amp; Edit'!BA14+'GA55 Check &amp; Edit'!BC14,0))</f>
        <v>70082</v>
      </c>
      <c r="F7" s="137">
        <f>IF(E7="","",IF(D7="Y",ROUND('Master Data'!$E$34%*'GA55 Check &amp; Edit'!BA14,0),"0"))</f>
        <v>4707</v>
      </c>
      <c r="G7" s="138"/>
      <c r="H7" s="576"/>
      <c r="I7" s="559"/>
      <c r="J7" s="559"/>
      <c r="K7" s="560"/>
      <c r="L7" s="569"/>
      <c r="M7" s="129"/>
    </row>
    <row r="8" spans="1:22" s="130" customFormat="1" ht="24.95" customHeight="1">
      <c r="A8" s="129"/>
      <c r="B8" s="556"/>
      <c r="C8" s="139" t="s">
        <v>246</v>
      </c>
      <c r="D8" s="116" t="s">
        <v>243</v>
      </c>
      <c r="E8" s="137">
        <f>IF('GA55 Check &amp; Edit'!BB15="","",IF(D8="Y",'GA55 Check &amp; Edit'!BA15+'GA55 Check &amp; Edit'!BC15,0))</f>
        <v>70082</v>
      </c>
      <c r="F8" s="137">
        <f>IF(E8="","",IF(D8="Y",ROUND('Master Data'!$E$34%*'GA55 Check &amp; Edit'!BA15,0),"0"))</f>
        <v>4707</v>
      </c>
      <c r="G8" s="138"/>
      <c r="H8" s="576"/>
      <c r="I8" s="135"/>
      <c r="J8" s="135"/>
      <c r="K8" s="140"/>
      <c r="L8" s="569"/>
      <c r="M8" s="129"/>
    </row>
    <row r="9" spans="1:22" s="130" customFormat="1" ht="24.95" customHeight="1">
      <c r="A9" s="129"/>
      <c r="B9" s="556"/>
      <c r="C9" s="139" t="s">
        <v>247</v>
      </c>
      <c r="D9" s="116" t="s">
        <v>243</v>
      </c>
      <c r="E9" s="137">
        <f>IF('GA55 Check &amp; Edit'!BB16="","",IF(D9="Y",'GA55 Check &amp; Edit'!BA16+'GA55 Check &amp; Edit'!BC16,0))</f>
        <v>72226</v>
      </c>
      <c r="F9" s="137">
        <f>IF(E9="","",IF(D9="Y",ROUND('Master Data'!$E$34%*'GA55 Check &amp; Edit'!BA16,0),"0"))</f>
        <v>4851</v>
      </c>
      <c r="G9" s="138"/>
      <c r="H9" s="576"/>
      <c r="I9" s="119" t="s">
        <v>256</v>
      </c>
      <c r="J9" s="159">
        <v>10000</v>
      </c>
      <c r="K9" s="140"/>
      <c r="L9" s="569"/>
      <c r="M9" s="129"/>
    </row>
    <row r="10" spans="1:22" s="130" customFormat="1" ht="24.95" customHeight="1">
      <c r="A10" s="129"/>
      <c r="B10" s="556"/>
      <c r="C10" s="139" t="s">
        <v>248</v>
      </c>
      <c r="D10" s="116" t="s">
        <v>243</v>
      </c>
      <c r="E10" s="137">
        <f>IF('GA55 Check &amp; Edit'!BB17="","",IF(D10="Y",'GA55 Check &amp; Edit'!BA17+'GA55 Check &amp; Edit'!BC17,0))</f>
        <v>72226</v>
      </c>
      <c r="F10" s="137">
        <f>IF(E10="","",IF(D10="Y",ROUND('Master Data'!$E$34%*'GA55 Check &amp; Edit'!BA17,0),"0"))</f>
        <v>4851</v>
      </c>
      <c r="G10" s="138"/>
      <c r="H10" s="576"/>
      <c r="I10" s="120" t="s">
        <v>255</v>
      </c>
      <c r="J10" s="125">
        <f>IF((J9*D17)&gt;E19*10%, MIN(ROUND(J9*D17-(E19)*10%,0),J19,J13),0)</f>
        <v>32148</v>
      </c>
      <c r="K10" s="140"/>
      <c r="L10" s="569"/>
      <c r="M10" s="129"/>
      <c r="R10" s="563"/>
      <c r="S10" s="563"/>
      <c r="T10" s="563"/>
      <c r="U10" s="563"/>
      <c r="V10" s="563"/>
    </row>
    <row r="11" spans="1:22" s="130" customFormat="1" ht="24.95" customHeight="1">
      <c r="A11" s="129"/>
      <c r="B11" s="556"/>
      <c r="C11" s="139" t="s">
        <v>249</v>
      </c>
      <c r="D11" s="116" t="s">
        <v>243</v>
      </c>
      <c r="E11" s="137">
        <f>IF('GA55 Check &amp; Edit'!BB18="","",IF(D11="Y",'GA55 Check &amp; Edit'!BA18+'GA55 Check &amp; Edit'!BC18,0))</f>
        <v>72226</v>
      </c>
      <c r="F11" s="137">
        <f>IF(E11="","",IF(D11="Y",ROUND('Master Data'!$E$34%*'GA55 Check &amp; Edit'!BA18,0),"0"))</f>
        <v>4851</v>
      </c>
      <c r="G11" s="138"/>
      <c r="H11" s="576"/>
      <c r="I11" s="574" t="str">
        <f>IF(OR(LEN(FLOOR(J10,1))=13,FLOOR(J10,1)&lt;=0),"NIL",PROPER(SUBSTITUTE(CONCATENATE(CHOOSE(MID(TEXT(INT(J10),REPT(0,12)),1,1)+1,"","one hundred ","two hundred ","three hundred ","four hundred ","five hundred ","six hundred ","seven hundred ","eight hundred ","nine hundred "),CHOOSE(MID(TEXT(INT(J10),REPT(0,12)),2,1)+1,"",CHOOSE(MID(TEXT(INT(J10),REPT(0,12)),3,1)+1,"ten","eleven","twelve","thirteen","fourteen","fifteen","sixteen","seventeen","eighteen","nineteen"),"twenty","thirty","forty","fifty","sixty","seventy","eighty","ninety"),IF(VALUE(MID(TEXT(INT(J10),REPT(0,12)),2,1))&gt;1,CHOOSE(MID(TEXT(INT(J10),REPT(0,12)),3,1)+1,"","-one","-two","-three","-four","-five","-six","-seven","-eight","-nine"),IF(VALUE(MID(TEXT(INT(J10),REPT(0,12)),2,1))=0,CHOOSE(MID(TEXT(INT(J10),REPT(0,12)),3,1)+1,"","one","two","three","four","five","six","seven","eight","nine"),"")),IF(J10&gt;=10^9," billion ",""),CHOOSE(MID(TEXT(INT(J10),REPT(0,12)),4,1)+1,"","one hundred ","two hundred ","three hundred ","four hundred ","five hundred ","six hundred ","seven hundred ","eight hundred ","nine hundred "),CHOOSE(MID(TEXT(INT(J10),REPT(0,12)),5,1)+1,"",CHOOSE(MID(TEXT(INT(J10),REPT(0,12)),6,1)+1,"ten","eleven","twelve","thirteen","fourteen","fifteen","sixteen","seventeen","eighteen","nineteen"),"twenty","thirty","forty","fifty","sixty","seventy","eighty","ninety"),IF(VALUE(MID(TEXT(INT(J10),REPT(0,12)),5,1))&gt;1,CHOOSE(MID(TEXT(INT(J10),REPT(0,12)),6,1)+1,"","-one","-two","-three","-four","-five","-six","-seven","-eight","-nine"),IF(VALUE(MID(TEXT(INT(J10),REPT(0,12)),5,1))=0,CHOOSE(MID(TEXT(INT(J10),REPT(0,12)),6,1)+1,"","one","two","three","four","five","six","seven","eight","nine"),"")),IF(VALUE(MID(TEXT(INT(J10),REPT(0,12)),4,3))&gt;0," million ",""),CHOOSE(MID(TEXT(INT(J10),REPT(0,12)),7,1)+1,"","one hundred ","two hundred ","three hundred ","four hundred ","five hundred ","six hundred ","seven hundred ","eight hundred ","nine hundred "),CHOOSE(MID(TEXT(INT(J10),REPT(0,12)),8,1)+1,"",CHOOSE(MID(TEXT(INT(J10),REPT(0,12)),9,1)+1,"ten","eleven","twelve","thirteen","fourteen","fifteen","sixteen","seventeen","eighteen","nineteen"),"twenty","thirty","forty","fifty","sixty","seventy","eighty","ninety"),IF(VALUE(MID(TEXT(INT(J10),REPT(0,12)),8,1))&gt;1,CHOOSE(MID(TEXT(INT(J10),REPT(0,12)),9,1)+1,"","-one","-two","-three","-four","-five","-six","-seven","-eight","-nine"),IF(VALUE(MID(TEXT(INT(J10),REPT(0,12)),8,1))=0,CHOOSE(MID(TEXT(INT(J10),REPT(0,12)),9,1)+1,"","one","two","three","four","five","six","seven","eight","nine"),"")),IF(VALUE(MID(TEXT(INT(J10),REPT(0,12)),7,3))," thousand ",""),CHOOSE(MID(TEXT(INT(J10),REPT(0,12)),10,1)+1,"","one hundred ","two hundred ","three hundred ","four hundred ","five hundred ","six hundred ","seven hundred ","eight hundred ","nine hundred "),CHOOSE(MID(TEXT(INT(J10),REPT(0,12)),11,1)+1,"",CHOOSE(MID(TEXT(INT(J10),REPT(0,12)),12,1)+1,"ten","eleven","twelve","thirteen","fourteen","fifteen","sixteen","seventeen","eighteen","nineteen"),"twenty","thirty","forty","fifty","sixty","seventy","eighty","ninety"),IF(VALUE(MID(TEXT(INT(J10),REPT(0,12)),11,1))&gt;1,CHOOSE(MID(TEXT(INT(J10),REPT(0,12)),12,1)+1,"","-one","-two","-three","-four","-five","-six","-seven","-eight","-nine"),IF(VALUE(MID(TEXT(INT(J10),REPT(0,12)),11,1))=0,CHOOSE(MID(TEXT(INT(J10),REPT(0,12)),12,1)+1,"","one","two","three","four","five","six","seven","eight","nine"),""))),"  "," ")&amp;IF(FLOOR(J10,1)&gt;1," Rupees"," Rupees"))&amp;IF(ISERROR(FIND(".",J10,1)),""," and "&amp;PROPER(IF(LEN(LEFT(TRIM(MID(SUBSTITUTE(J10,".",REPT(" ",255)),255,200)),2))=1,CHOOSE(1*LEFT(TRIM(MID(SUBSTITUTE(J10,".",REPT(" ",255)),255,200)),2),"ten","twenty","thirty","forty","fifty","sixty","seventy","eighty","ninety")&amp;" Paise","")&amp;CONCATENATE(CHOOSE(MID(TEXT(INT(LEFT(TRIM(MID(SUBSTITUTE(J10,".",REPT(" ",255)),255,200)),2)),REPT(0,12)),11,1)+1,"",CHOOSE(MID(TEXT(INT(LEFT(TRIM(MID(SUBSTITUTE(J10,".",REPT(" ",255)),255,200)),2)),REPT(0,12)),12,1)+1,"ten","eleven","twelve","thirteen","fourteen","fifteen","sixteen","seventeen","eighteen","nineteen"),"twenty","thirty","forty","fifty","sixty","seventy","eighty","ninety"),IF(VALUE(MID(TEXT(INT(LEFT(TRIM(MID(SUBSTITUTE(J10,".",REPT(" ",255)),255,200)),2)),REPT(0,12)),11,1))&gt;1,CHOOSE(MID(TEXT(INT(LEFT(TRIM(MID(SUBSTITUTE(J10,".",REPT(" ",255)),255,200)),2)),REPT(0,12)),12,1)+1,"","-one","-two","-three","-four","-five","-six","-seven","-eight","-nine")&amp;" Paise",IF(LEFT(TRIM(MID(SUBSTITUTE(J10,".",REPT(" ",255)),255,200)),2)="01","one Paise",IF(LEFT(TRIM(MID(SUBSTITUTE(J10,".",REPT(" ",255)),255,200)),1)="0",CHOOSE(MID(TEXT(INT(LEFT(TRIM(MID(SUBSTITUTE(J10,".",REPT(" ",255)),255,200)),2)),REPT(0,12)),12,1)+1,"","one","two","three","four","five","six","seven","eight","nine")&amp;" Paise","")))))))</f>
        <v>Thirty-Two Thousand One Hundred Forty-Eight Rupees</v>
      </c>
      <c r="J11" s="574"/>
      <c r="K11" s="140"/>
      <c r="L11" s="569"/>
      <c r="M11" s="129"/>
      <c r="R11" s="563"/>
      <c r="S11" s="563"/>
      <c r="T11" s="563"/>
      <c r="U11" s="563"/>
      <c r="V11" s="563"/>
    </row>
    <row r="12" spans="1:22" s="130" customFormat="1" ht="24.95" customHeight="1">
      <c r="A12" s="129"/>
      <c r="B12" s="556"/>
      <c r="C12" s="139" t="s">
        <v>250</v>
      </c>
      <c r="D12" s="116" t="s">
        <v>243</v>
      </c>
      <c r="E12" s="137">
        <f>IF('GA55 Check &amp; Edit'!BB19="","",IF(D12="Y",'GA55 Check &amp; Edit'!BA19+'GA55 Check &amp; Edit'!BC19,0))</f>
        <v>74382</v>
      </c>
      <c r="F12" s="137">
        <f>IF(E12="","",IF(D12="Y",ROUND('Master Data'!$E$34%*'GA55 Check &amp; Edit'!BA19,0),"0"))</f>
        <v>4851</v>
      </c>
      <c r="G12" s="138"/>
      <c r="H12" s="576"/>
      <c r="I12" s="135"/>
      <c r="J12" s="135"/>
      <c r="K12" s="140"/>
      <c r="L12" s="569"/>
      <c r="M12" s="129"/>
    </row>
    <row r="13" spans="1:22" s="130" customFormat="1" ht="24.95" customHeight="1">
      <c r="A13" s="129"/>
      <c r="B13" s="556"/>
      <c r="C13" s="139" t="s">
        <v>251</v>
      </c>
      <c r="D13" s="116" t="s">
        <v>243</v>
      </c>
      <c r="E13" s="137">
        <f>IF('GA55 Check &amp; Edit'!BB20="","",IF(D13="Y",'GA55 Check &amp; Edit'!BA20+'GA55 Check &amp; Edit'!BC20,0))</f>
        <v>74382</v>
      </c>
      <c r="F13" s="137">
        <f>IF(E13="","",IF(D13="Y",ROUND('Master Data'!$E$34%*'GA55 Check &amp; Edit'!BA20,0),"0"))</f>
        <v>4851</v>
      </c>
      <c r="G13" s="138"/>
      <c r="H13" s="576"/>
      <c r="I13" s="126" t="s">
        <v>265</v>
      </c>
      <c r="J13" s="141">
        <f>F19</f>
        <v>57636</v>
      </c>
      <c r="K13" s="140"/>
      <c r="L13" s="569"/>
      <c r="M13" s="129"/>
      <c r="R13" s="53"/>
      <c r="S13" s="53"/>
      <c r="T13" s="53"/>
      <c r="U13" s="53"/>
    </row>
    <row r="14" spans="1:22" s="130" customFormat="1" ht="24.95" customHeight="1">
      <c r="A14" s="129"/>
      <c r="B14" s="556"/>
      <c r="C14" s="139" t="s">
        <v>252</v>
      </c>
      <c r="D14" s="116" t="s">
        <v>243</v>
      </c>
      <c r="E14" s="137">
        <f>IF('GA55 Check &amp; Edit'!BB21="","",IF(D14="Y",'GA55 Check &amp; Edit'!BA21+'GA55 Check &amp; Edit'!BC21,0))</f>
        <v>74382</v>
      </c>
      <c r="F14" s="137">
        <f>IF(E14="","",IF(D14="Y",ROUND('Master Data'!$E$34%*'GA55 Check &amp; Edit'!BA21,0),"0"))</f>
        <v>4851</v>
      </c>
      <c r="G14" s="138"/>
      <c r="H14" s="576"/>
      <c r="I14" s="121" t="s">
        <v>257</v>
      </c>
      <c r="J14" s="142">
        <f>ROUND(((10%*E19)+F19),0)</f>
        <v>145488</v>
      </c>
      <c r="K14" s="140"/>
      <c r="L14" s="569"/>
      <c r="M14" s="129"/>
      <c r="R14" s="53"/>
      <c r="S14" s="53"/>
      <c r="T14" s="53"/>
      <c r="U14" s="53"/>
    </row>
    <row r="15" spans="1:22" s="130" customFormat="1" ht="24.95" customHeight="1">
      <c r="A15" s="129"/>
      <c r="B15" s="556"/>
      <c r="C15" s="139" t="s">
        <v>253</v>
      </c>
      <c r="D15" s="116" t="s">
        <v>243</v>
      </c>
      <c r="E15" s="137">
        <f>IF('GA55 Check &amp; Edit'!BB22="","",IF(D15="Y",'GA55 Check &amp; Edit'!BA22+'GA55 Check &amp; Edit'!BC22,0))</f>
        <v>74382</v>
      </c>
      <c r="F15" s="137">
        <f>IF(E15="","",IF(D15="Y",ROUND('Master Data'!$E$34%*'GA55 Check &amp; Edit'!BA22,0),"0"))</f>
        <v>4851</v>
      </c>
      <c r="G15" s="138"/>
      <c r="H15" s="576"/>
      <c r="I15" s="143"/>
      <c r="J15" s="143"/>
      <c r="K15" s="144"/>
      <c r="L15" s="569"/>
      <c r="M15" s="129"/>
      <c r="Q15" s="145"/>
      <c r="R15" s="40"/>
      <c r="S15" s="40"/>
      <c r="T15" s="40"/>
      <c r="U15" s="40"/>
    </row>
    <row r="16" spans="1:22" s="130" customFormat="1" ht="24.95" customHeight="1">
      <c r="A16" s="129"/>
      <c r="B16" s="556"/>
      <c r="C16" s="146" t="s">
        <v>254</v>
      </c>
      <c r="D16" s="117" t="s">
        <v>243</v>
      </c>
      <c r="E16" s="137">
        <f>IF('GA55 Check &amp; Edit'!BB23="","",IF(D16="Y",'GA55 Check &amp; Edit'!BA23+'GA55 Check &amp; Edit'!BC23,0))</f>
        <v>74382</v>
      </c>
      <c r="F16" s="137">
        <f>IF(E16="","",IF(D16="Y",ROUND('Master Data'!$E$34%*'GA55 Check &amp; Edit'!BA23,0),"0"))</f>
        <v>4851</v>
      </c>
      <c r="G16" s="138"/>
      <c r="H16" s="576"/>
      <c r="I16" s="121" t="s">
        <v>263</v>
      </c>
      <c r="J16" s="147">
        <f>ROUND(J14/D17,0)</f>
        <v>12124</v>
      </c>
      <c r="K16" s="144"/>
      <c r="L16" s="569"/>
      <c r="M16" s="129"/>
      <c r="Q16" s="145" t="s">
        <v>268</v>
      </c>
      <c r="R16" s="123"/>
      <c r="S16" s="123"/>
      <c r="T16" s="123"/>
      <c r="U16" s="123"/>
    </row>
    <row r="17" spans="1:21" s="130" customFormat="1" ht="24.95" customHeight="1">
      <c r="A17" s="129"/>
      <c r="B17" s="556"/>
      <c r="C17" s="139" t="s">
        <v>68</v>
      </c>
      <c r="D17" s="158">
        <f>COUNTIF(D5:D16, "Y")</f>
        <v>12</v>
      </c>
      <c r="E17" s="148">
        <f>SUM(E5:E16)</f>
        <v>867347</v>
      </c>
      <c r="F17" s="148">
        <f>SUM(F5:F16)</f>
        <v>57636</v>
      </c>
      <c r="G17" s="135"/>
      <c r="H17" s="576"/>
      <c r="I17" s="135"/>
      <c r="J17" s="135"/>
      <c r="K17" s="140"/>
      <c r="L17" s="569"/>
      <c r="M17" s="129"/>
      <c r="Q17" s="145" t="s">
        <v>261</v>
      </c>
      <c r="R17" s="123"/>
      <c r="S17" s="123"/>
      <c r="T17" s="123"/>
      <c r="U17" s="123"/>
    </row>
    <row r="18" spans="1:21" s="130" customFormat="1" ht="32.25" customHeight="1">
      <c r="A18" s="129"/>
      <c r="B18" s="556"/>
      <c r="C18" s="564" t="s">
        <v>258</v>
      </c>
      <c r="D18" s="565"/>
      <c r="E18" s="148">
        <f>'GA55 Only Print'!C27+'GA55 Only Print'!D27-E17</f>
        <v>11175</v>
      </c>
      <c r="F18" s="148">
        <f>'GA55 Only Print'!E27-F17</f>
        <v>0</v>
      </c>
      <c r="G18" s="149"/>
      <c r="H18" s="576"/>
      <c r="I18" s="126" t="s">
        <v>264</v>
      </c>
      <c r="J18" s="127" t="s">
        <v>260</v>
      </c>
      <c r="K18" s="150"/>
      <c r="L18" s="569"/>
      <c r="M18" s="129"/>
      <c r="Q18" s="145" t="s">
        <v>266</v>
      </c>
      <c r="R18" s="123"/>
      <c r="S18" s="123"/>
      <c r="T18" s="123"/>
      <c r="U18" s="123"/>
    </row>
    <row r="19" spans="1:21" s="130" customFormat="1" ht="24.95" customHeight="1">
      <c r="A19" s="129"/>
      <c r="B19" s="556"/>
      <c r="C19" s="566" t="s">
        <v>68</v>
      </c>
      <c r="D19" s="567"/>
      <c r="E19" s="151">
        <f>E17+E18</f>
        <v>878522</v>
      </c>
      <c r="F19" s="152">
        <f>F17+F18</f>
        <v>57636</v>
      </c>
      <c r="G19" s="149"/>
      <c r="H19" s="576"/>
      <c r="I19" s="126" t="str">
        <f>IF(J18="","",IF(J18=Q16,"First select city in above unlock cell",IF(J18="Other cities","40 % Salary + DA","50 % Salary + DA")))</f>
        <v>40 % Salary + DA</v>
      </c>
      <c r="J19" s="153">
        <f>IF(J18="","",IF(J18=Q16,"------",IF(J18="Other cities",ROUND(40 %* E19,0),ROUND(50 %*E19,0))))</f>
        <v>351409</v>
      </c>
      <c r="K19" s="140"/>
      <c r="L19" s="569"/>
      <c r="M19" s="129"/>
      <c r="Q19" s="145" t="s">
        <v>262</v>
      </c>
      <c r="R19" s="123"/>
      <c r="S19" s="123"/>
      <c r="T19" s="123"/>
      <c r="U19" s="123"/>
    </row>
    <row r="20" spans="1:21" s="130" customFormat="1" ht="18" customHeight="1" thickBot="1">
      <c r="A20" s="129"/>
      <c r="B20" s="556"/>
      <c r="C20" s="154"/>
      <c r="D20" s="155"/>
      <c r="E20" s="155"/>
      <c r="F20" s="155"/>
      <c r="G20" s="155"/>
      <c r="H20" s="577"/>
      <c r="I20" s="155"/>
      <c r="J20" s="155"/>
      <c r="K20" s="156"/>
      <c r="L20" s="569"/>
      <c r="M20" s="129"/>
      <c r="Q20" s="145" t="s">
        <v>267</v>
      </c>
      <c r="R20" s="123"/>
      <c r="S20" s="123"/>
      <c r="T20" s="123"/>
      <c r="U20" s="123"/>
    </row>
    <row r="21" spans="1:21" s="130" customFormat="1" ht="23.25" customHeight="1" thickBot="1">
      <c r="A21" s="129"/>
      <c r="B21" s="557"/>
      <c r="C21" s="558"/>
      <c r="D21" s="558"/>
      <c r="E21" s="558"/>
      <c r="F21" s="558"/>
      <c r="G21" s="558"/>
      <c r="H21" s="558"/>
      <c r="I21" s="558"/>
      <c r="J21" s="558"/>
      <c r="K21" s="558"/>
      <c r="L21" s="570"/>
      <c r="M21" s="129"/>
      <c r="Q21" s="145" t="s">
        <v>260</v>
      </c>
      <c r="R21" s="123"/>
      <c r="S21" s="123"/>
      <c r="T21" s="123"/>
      <c r="U21" s="123"/>
    </row>
    <row r="22" spans="1:21" s="130" customFormat="1" ht="42" customHeight="1">
      <c r="A22" s="129"/>
      <c r="B22" s="129"/>
      <c r="C22" s="118"/>
      <c r="D22" s="118"/>
      <c r="E22" s="118"/>
      <c r="F22" s="118"/>
      <c r="G22" s="118"/>
      <c r="H22" s="118"/>
      <c r="I22" s="118"/>
      <c r="J22" s="135"/>
      <c r="K22" s="129"/>
      <c r="L22" s="129"/>
      <c r="M22" s="129"/>
      <c r="Q22" s="145"/>
      <c r="R22" s="123"/>
      <c r="S22" s="123"/>
      <c r="T22" s="123"/>
      <c r="U22" s="123"/>
    </row>
    <row r="23" spans="1:21" hidden="1">
      <c r="Q23" s="43"/>
      <c r="R23" s="123"/>
      <c r="S23" s="123"/>
      <c r="T23" s="123"/>
      <c r="U23" s="123"/>
    </row>
    <row r="24" spans="1:21" hidden="1">
      <c r="Q24" s="43"/>
      <c r="R24" s="123"/>
      <c r="S24" s="123"/>
      <c r="T24" s="157"/>
      <c r="U24" s="123"/>
    </row>
    <row r="25" spans="1:21" hidden="1">
      <c r="Q25" s="43"/>
      <c r="R25" s="123"/>
      <c r="S25" s="123"/>
      <c r="T25" s="123"/>
      <c r="U25" s="123"/>
    </row>
    <row r="26" spans="1:21" hidden="1">
      <c r="Q26" s="43"/>
      <c r="R26" s="123"/>
      <c r="S26" s="123"/>
      <c r="T26" s="123"/>
      <c r="U26" s="123"/>
    </row>
    <row r="27" spans="1:21" hidden="1">
      <c r="Q27" s="43"/>
      <c r="R27" s="123"/>
      <c r="S27" s="123"/>
      <c r="T27" s="123"/>
      <c r="U27" s="123"/>
    </row>
    <row r="28" spans="1:21" hidden="1">
      <c r="Q28" s="43"/>
      <c r="R28" s="124"/>
      <c r="S28" s="123"/>
      <c r="T28" s="124"/>
      <c r="U28" s="123"/>
    </row>
    <row r="29" spans="1:21" hidden="1">
      <c r="Q29" s="43"/>
      <c r="R29" s="123"/>
      <c r="S29" s="123"/>
      <c r="T29" s="123"/>
      <c r="U29" s="123"/>
    </row>
    <row r="30" spans="1:21" hidden="1">
      <c r="Q30" s="43"/>
      <c r="R30" s="123"/>
      <c r="S30" s="123"/>
      <c r="T30" s="123"/>
      <c r="U30" s="123"/>
    </row>
    <row r="31" spans="1:21" hidden="1">
      <c r="Q31" s="43"/>
      <c r="R31" s="123"/>
      <c r="S31" s="123"/>
      <c r="T31" s="123"/>
      <c r="U31" s="123"/>
    </row>
    <row r="32" spans="1:21" hidden="1">
      <c r="Q32" s="43"/>
      <c r="R32" s="123"/>
      <c r="S32" s="123"/>
      <c r="T32" s="123"/>
      <c r="U32" s="40"/>
    </row>
    <row r="33" spans="17:21" hidden="1">
      <c r="Q33" s="43"/>
      <c r="R33" s="40"/>
      <c r="S33" s="40"/>
      <c r="T33" s="40"/>
      <c r="U33" s="40"/>
    </row>
    <row r="34" spans="17:21" hidden="1">
      <c r="Q34" s="43"/>
      <c r="R34" s="43"/>
      <c r="S34" s="43"/>
      <c r="T34" s="43"/>
      <c r="U34" s="43"/>
    </row>
    <row r="35" spans="17:21" hidden="1">
      <c r="Q35" s="43"/>
      <c r="R35" s="43"/>
      <c r="S35" s="43"/>
      <c r="T35" s="43"/>
      <c r="U35" s="43"/>
    </row>
  </sheetData>
  <sheetProtection password="C1FB" sheet="1" objects="1" scenarios="1" selectLockedCells="1"/>
  <mergeCells count="12">
    <mergeCell ref="B2:B21"/>
    <mergeCell ref="C21:K21"/>
    <mergeCell ref="I6:K7"/>
    <mergeCell ref="I4:K5"/>
    <mergeCell ref="R10:V10"/>
    <mergeCell ref="R11:V11"/>
    <mergeCell ref="C18:D18"/>
    <mergeCell ref="C19:D19"/>
    <mergeCell ref="L2:L21"/>
    <mergeCell ref="C2:K2"/>
    <mergeCell ref="I11:J11"/>
    <mergeCell ref="H3:H20"/>
  </mergeCells>
  <dataValidations count="6">
    <dataValidation operator="lessThanOrEqual" allowBlank="1" showInputMessage="1" showErrorMessage="1" errorTitle="Sorry...!!! Not Allow" error="HRA Rebate Permissible up to Actual HRA Recieved" sqref="J10"/>
    <dataValidation type="list" allowBlank="1" showInputMessage="1" showErrorMessage="1" sqref="D5:D16">
      <formula1>"Y,N"</formula1>
    </dataValidation>
    <dataValidation type="whole" allowBlank="1" showInputMessage="1" showErrorMessage="1" sqref="T26">
      <formula1>1</formula1>
      <formula2>12</formula2>
    </dataValidation>
    <dataValidation type="list" allowBlank="1" showInputMessage="1" showErrorMessage="1" sqref="T24">
      <formula1>cities</formula1>
    </dataValidation>
    <dataValidation type="list" allowBlank="1" showInputMessage="1" showErrorMessage="1" sqref="J18">
      <formula1>$Q$16:$Q$21</formula1>
    </dataValidation>
    <dataValidation type="custom" allowBlank="1" showInputMessage="1" showErrorMessage="1" errorTitle="write in Digit" error="Please Input Data only in Number" sqref="J9">
      <formula1>ISNUMBER(J9)=TRUE</formula1>
    </dataValidation>
  </dataValidations>
  <pageMargins left="0.7" right="0.7" top="0.75" bottom="0.75" header="0.3" footer="0.3"/>
  <pageSetup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showGridLines="0" view="pageBreakPreview" zoomScaleSheetLayoutView="100" workbookViewId="0">
      <selection activeCell="AD8" sqref="AD8"/>
    </sheetView>
  </sheetViews>
  <sheetFormatPr defaultColWidth="9.125" defaultRowHeight="15.75"/>
  <cols>
    <col min="1" max="1" width="4" style="52" customWidth="1"/>
    <col min="2" max="2" width="12.125" style="52" customWidth="1"/>
    <col min="3" max="3" width="7.75" style="52" customWidth="1"/>
    <col min="4" max="4" width="6.625" style="52" customWidth="1"/>
    <col min="5" max="5" width="5.625" style="52" customWidth="1"/>
    <col min="6" max="6" width="5.75" style="52" customWidth="1"/>
    <col min="7" max="7" width="5.375" style="52" customWidth="1"/>
    <col min="8" max="8" width="5.25" style="52" customWidth="1"/>
    <col min="9" max="9" width="6.25" style="52" customWidth="1"/>
    <col min="10" max="10" width="6.375" style="52" customWidth="1"/>
    <col min="11" max="12" width="5.875" style="52" customWidth="1"/>
    <col min="13" max="13" width="7.625" style="52" customWidth="1"/>
    <col min="14" max="14" width="5.25" style="52" customWidth="1"/>
    <col min="15" max="15" width="5.375" style="52" customWidth="1"/>
    <col min="16" max="16" width="5.25" style="52" customWidth="1"/>
    <col min="17" max="17" width="5.625" style="52" customWidth="1"/>
    <col min="18" max="18" width="5.75" style="52" customWidth="1"/>
    <col min="19" max="20" width="5.25" style="52" customWidth="1"/>
    <col min="21" max="21" width="5.5" style="52" customWidth="1"/>
    <col min="22" max="22" width="5.625" style="52" customWidth="1"/>
    <col min="23" max="25" width="5.75" style="52" customWidth="1"/>
    <col min="26" max="26" width="7.75" style="52" customWidth="1"/>
    <col min="27" max="27" width="8" style="77" customWidth="1"/>
    <col min="28" max="28" width="7.125" style="77" customWidth="1"/>
    <col min="29" max="29" width="8.25" style="32" customWidth="1"/>
    <col min="30" max="32" width="9.125" style="32" customWidth="1"/>
    <col min="33" max="33" width="22.625" style="52" customWidth="1"/>
    <col min="34" max="34" width="9.125" style="32" customWidth="1"/>
    <col min="35" max="35" width="10.875" style="32" customWidth="1"/>
    <col min="36" max="51" width="9.125" style="32" customWidth="1"/>
    <col min="52" max="52" width="11.25" style="32" customWidth="1"/>
    <col min="53" max="85" width="9.125" style="32" customWidth="1"/>
    <col min="86" max="86" width="8.375" style="32" customWidth="1"/>
    <col min="87" max="271" width="9.125" style="32" customWidth="1"/>
    <col min="272" max="16384" width="9.125" style="32"/>
  </cols>
  <sheetData>
    <row r="1" spans="1:33" ht="27.75" customHeight="1">
      <c r="A1" s="51"/>
      <c r="B1" s="582" t="str">
        <f>IF(AND('Master Data'!D4=""),"",CONCATENATE("Office Name :- ",PROPER('Master Data'!D4)))</f>
        <v>Office Name :- Mahatma Gandhi Govt. School (English Medium) Bar, Pali</v>
      </c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98"/>
      <c r="AB1" s="598"/>
      <c r="AC1" s="599"/>
    </row>
    <row r="2" spans="1:33" s="53" customFormat="1" ht="25.5" customHeight="1">
      <c r="A2" s="600" t="s">
        <v>101</v>
      </c>
      <c r="B2" s="601"/>
      <c r="C2" s="601"/>
      <c r="D2" s="602" t="str">
        <f>UPPER(IF('Master Data'!D6="","",'Master Data'!D6))</f>
        <v>HEERALAL JAT</v>
      </c>
      <c r="E2" s="602"/>
      <c r="F2" s="602"/>
      <c r="G2" s="602"/>
      <c r="H2" s="602"/>
      <c r="I2" s="583" t="s">
        <v>22</v>
      </c>
      <c r="J2" s="583"/>
      <c r="K2" s="583"/>
      <c r="L2" s="583"/>
      <c r="M2" s="603" t="str">
        <f>UPPER(IF('Master Data'!H6="","",'Master Data'!H6))</f>
        <v>SR TEACHER</v>
      </c>
      <c r="N2" s="603"/>
      <c r="O2" s="603"/>
      <c r="P2" s="603"/>
      <c r="Q2" s="601" t="s">
        <v>25</v>
      </c>
      <c r="R2" s="601"/>
      <c r="S2" s="601"/>
      <c r="T2" s="601"/>
      <c r="U2" s="603" t="str">
        <f>UPPER(IF('Master Data'!D8="","",'Master Data'!D8))</f>
        <v>M.G.G.S. BAR</v>
      </c>
      <c r="V2" s="603"/>
      <c r="W2" s="603"/>
      <c r="X2" s="603"/>
      <c r="Y2" s="603"/>
      <c r="Z2" s="603"/>
      <c r="AA2" s="603"/>
      <c r="AB2" s="604" t="s">
        <v>619</v>
      </c>
      <c r="AC2" s="605"/>
      <c r="AG2" s="54"/>
    </row>
    <row r="3" spans="1:33" s="53" customFormat="1" ht="23.25" customHeight="1">
      <c r="A3" s="593" t="s">
        <v>107</v>
      </c>
      <c r="B3" s="594"/>
      <c r="C3" s="595" t="str">
        <f>UPPER(IF('Master Data'!D12="","",'Master Data'!D12))</f>
        <v>ABCDE1234H</v>
      </c>
      <c r="D3" s="595"/>
      <c r="E3" s="595"/>
      <c r="F3" s="394" t="s">
        <v>108</v>
      </c>
      <c r="G3" s="595">
        <f>IF(AND('Master Data'!H14=""),"",'Master Data'!H14)</f>
        <v>123456</v>
      </c>
      <c r="H3" s="595"/>
      <c r="I3" s="595"/>
      <c r="J3" s="395" t="s">
        <v>4</v>
      </c>
      <c r="K3" s="596">
        <f>IF(AND('Master Data'!D14=""),"",'Master Data'!D14)</f>
        <v>11</v>
      </c>
      <c r="L3" s="596"/>
      <c r="M3" s="596"/>
      <c r="N3" s="596"/>
      <c r="O3" s="597" t="s">
        <v>34</v>
      </c>
      <c r="P3" s="597"/>
      <c r="Q3" s="597"/>
      <c r="R3" s="596">
        <f>IF(AND('Master Data'!D16=""),"",'Master Data'!D16)</f>
        <v>12134545454541</v>
      </c>
      <c r="S3" s="596"/>
      <c r="T3" s="596"/>
      <c r="U3" s="596"/>
      <c r="V3" s="596"/>
      <c r="W3" s="583" t="s">
        <v>109</v>
      </c>
      <c r="X3" s="583"/>
      <c r="Y3" s="583"/>
      <c r="Z3" s="583"/>
      <c r="AA3" s="584">
        <f>IF(AND('Master Data'!H16=""),"",'Master Data'!H16)</f>
        <v>121212121212121</v>
      </c>
      <c r="AB3" s="584"/>
      <c r="AC3" s="585"/>
      <c r="AG3" s="54"/>
    </row>
    <row r="4" spans="1:33" s="55" customFormat="1" ht="21.75" customHeight="1">
      <c r="A4" s="586" t="s">
        <v>539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8" t="s">
        <v>618</v>
      </c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9"/>
      <c r="AA4" s="590" t="str">
        <f>'GA55 Check &amp; Edit'!AC6</f>
        <v>NET PAY</v>
      </c>
      <c r="AB4" s="591" t="str">
        <f>'GA55 Check &amp; Edit'!AD6</f>
        <v>TV.NO.</v>
      </c>
      <c r="AC4" s="592" t="str">
        <f>'GA55 Check &amp; Edit'!AE6</f>
        <v>Enc.  DATE</v>
      </c>
      <c r="AG4" s="38"/>
    </row>
    <row r="5" spans="1:33" s="58" customFormat="1" ht="47.25" customHeight="1">
      <c r="A5" s="56" t="str">
        <f>IF(AND('GA55 Check &amp; Edit'!C6=""),"",'GA55 Check &amp; Edit'!C6)</f>
        <v>S.N.</v>
      </c>
      <c r="B5" s="57" t="str">
        <f>IF(AND('GA55 Check &amp; Edit'!D6=""),"",'GA55 Check &amp; Edit'!D6)</f>
        <v>Month</v>
      </c>
      <c r="C5" s="57" t="str">
        <f>IF(AND('GA55 Check &amp; Edit'!E6=""),"",'GA55 Check &amp; Edit'!E6)</f>
        <v>Basic with Grade Pay</v>
      </c>
      <c r="D5" s="57" t="str">
        <f>IF(AND('GA55 Check &amp; Edit'!F6=""),"",'GA55 Check &amp; Edit'!F6)</f>
        <v>DA</v>
      </c>
      <c r="E5" s="57" t="str">
        <f>IF(AND('GA55 Check &amp; Edit'!G6=""),"",'GA55 Check &amp; Edit'!G6)</f>
        <v>HRA</v>
      </c>
      <c r="F5" s="57" t="str">
        <f>IF(AND('GA55 Check &amp; Edit'!H6=""),"",'GA55 Check &amp; Edit'!H6)</f>
        <v>Wash All.</v>
      </c>
      <c r="G5" s="57" t="str">
        <f>IF(AND('GA55 Check &amp; Edit'!I6=""),"",'GA55 Check &amp; Edit'!I6)</f>
        <v>Handi. All.</v>
      </c>
      <c r="H5" s="57" t="str">
        <f>IF(AND('GA55 Check &amp; Edit'!J6=""),"",'GA55 Check &amp; Edit'!J6)</f>
        <v>CCA</v>
      </c>
      <c r="I5" s="57" t="str">
        <f>IF(AND('GA55 Check &amp; Edit'!K6=""),"",'GA55 Check &amp; Edit'!K6)</f>
        <v>ROP</v>
      </c>
      <c r="J5" s="57" t="str">
        <f>IF(AND('GA55 Check &amp; Edit'!L6=""),"",'GA55 Check &amp; Edit'!L6)</f>
        <v>other-1</v>
      </c>
      <c r="K5" s="57" t="str">
        <f>IF(AND('GA55 Check &amp; Edit'!M6=""),"",'GA55 Check &amp; Edit'!M6)</f>
        <v>other-2</v>
      </c>
      <c r="L5" s="57" t="str">
        <f>IF(AND('GA55 Check &amp; Edit'!N6=""),"",'GA55 Check &amp; Edit'!N6)</f>
        <v>Bonus</v>
      </c>
      <c r="M5" s="57" t="str">
        <f>IF(AND('GA55 Check &amp; Edit'!O6=""),"",'GA55 Check &amp; Edit'!O6)</f>
        <v>TOTAL</v>
      </c>
      <c r="N5" s="57" t="str">
        <f>IF(AND('GA55 Check &amp; Edit'!P6=""),"",'GA55 Check &amp; Edit'!P6)</f>
        <v>SI</v>
      </c>
      <c r="O5" s="57" t="str">
        <f>IF(AND('GA55 Check &amp; Edit'!Q6=""),"",'GA55 Check &amp; Edit'!Q6)</f>
        <v>GPF-2004</v>
      </c>
      <c r="P5" s="57" t="str">
        <f>IF(AND('GA55 Check &amp; Edit'!R6=""),"",'GA55 Check &amp; Edit'!R6)</f>
        <v>L.I.C.</v>
      </c>
      <c r="Q5" s="57" t="str">
        <f>IF(AND('GA55 Check &amp; Edit'!S6=""),"",'GA55 Check &amp; Edit'!S6)</f>
        <v xml:space="preserve"> RGHS</v>
      </c>
      <c r="R5" s="57" t="str">
        <f>IF(AND('GA55 Check &amp; Edit'!T6=""),"",'GA55 Check &amp; Edit'!T6)</f>
        <v>SI Loan</v>
      </c>
      <c r="S5" s="57" t="str">
        <f>IF(AND('GA55 Check &amp; Edit'!U6=""),"",'GA55 Check &amp; Edit'!U6)</f>
        <v>GPF Loan</v>
      </c>
      <c r="T5" s="57" t="str">
        <f>IF(AND('GA55 Check &amp; Edit'!V6=""),"",'GA55 Check &amp; Edit'!V6)</f>
        <v>SI Int.</v>
      </c>
      <c r="U5" s="57" t="str">
        <f>IF(AND('GA55 Check &amp; Edit'!W6=""),"",'GA55 Check &amp; Edit'!W6)</f>
        <v>Other</v>
      </c>
      <c r="V5" s="334" t="str">
        <f>IF(AND('GA55 Check &amp; Edit'!X6=""),"",'GA55 Check &amp; Edit'!X6)</f>
        <v>HITKARI NIDHI</v>
      </c>
      <c r="W5" s="57" t="str">
        <f>IF(AND('GA55 Check &amp; Edit'!Y6=""),"",'GA55 Check &amp; Edit'!Y6)</f>
        <v xml:space="preserve">Other </v>
      </c>
      <c r="X5" s="57" t="str">
        <f>IF(AND('GA55 Check &amp; Edit'!Z6=""),"",'GA55 Check &amp; Edit'!Z6)</f>
        <v>Income Tax</v>
      </c>
      <c r="Y5" s="57" t="str">
        <f>IF(AND('GA55 Check &amp; Edit'!AA6=""),"",'GA55 Check &amp; Edit'!AA6)</f>
        <v>G.I. + S. Tax</v>
      </c>
      <c r="Z5" s="57" t="str">
        <f>IF(AND('GA55 Check &amp; Edit'!AB6=""),"",'GA55 Check &amp; Edit'!AB6)</f>
        <v>Total Ded.</v>
      </c>
      <c r="AA5" s="590"/>
      <c r="AB5" s="591"/>
      <c r="AC5" s="592"/>
      <c r="AG5" s="59"/>
    </row>
    <row r="6" spans="1:33" ht="21.95" customHeight="1">
      <c r="A6" s="60">
        <v>1</v>
      </c>
      <c r="B6" s="122">
        <f>IF(AND('GA55 Check &amp; Edit'!D8=""),"",'GA55 Check &amp; Edit'!D8)</f>
        <v>44621</v>
      </c>
      <c r="C6" s="61">
        <f>IF(AND('GA55 Check &amp; Edit'!E8=""),"",'GA55 Check &amp; Edit'!E8)</f>
        <v>52300</v>
      </c>
      <c r="D6" s="61">
        <f>IF(AND('GA55 Check &amp; Edit'!F8=""),"",'GA55 Check &amp; Edit'!F8)</f>
        <v>16213</v>
      </c>
      <c r="E6" s="61">
        <f>IF(AND('GA55 Check &amp; Edit'!G8=""),"",'GA55 Check &amp; Edit'!G8)</f>
        <v>4707</v>
      </c>
      <c r="F6" s="61">
        <f>IF(AND('GA55 Check &amp; Edit'!H8=""),"",'GA55 Check &amp; Edit'!H8)</f>
        <v>0</v>
      </c>
      <c r="G6" s="61" t="str">
        <f>IF(AND('GA55 Check &amp; Edit'!I8=""),"",'GA55 Check &amp; Edit'!I8)</f>
        <v>0</v>
      </c>
      <c r="H6" s="61" t="str">
        <f>IF(AND('GA55 Check &amp; Edit'!J8=""),"",'GA55 Check &amp; Edit'!J8)</f>
        <v/>
      </c>
      <c r="I6" s="61">
        <f>IF(AND('GA55 Check &amp; Edit'!K8=""),"",'GA55 Check &amp; Edit'!K8)</f>
        <v>0</v>
      </c>
      <c r="J6" s="61">
        <f>IF(AND('GA55 Check &amp; Edit'!L8=""),"",'GA55 Check &amp; Edit'!L8)</f>
        <v>0</v>
      </c>
      <c r="K6" s="61">
        <f>IF(AND('GA55 Check &amp; Edit'!M8=""),"",'GA55 Check &amp; Edit'!M8)</f>
        <v>0</v>
      </c>
      <c r="L6" s="61" t="str">
        <f>IF(AND('GA55 Check &amp; Edit'!N8=""),"",'GA55 Check &amp; Edit'!N8)</f>
        <v/>
      </c>
      <c r="M6" s="61">
        <f>IF(AND('GA55 Check &amp; Edit'!O8=""),"",'GA55 Check &amp; Edit'!O8)</f>
        <v>73220</v>
      </c>
      <c r="N6" s="61">
        <f>IF(AND('GA55 Check &amp; Edit'!P8=""),"",'GA55 Check &amp; Edit'!P8)</f>
        <v>7000</v>
      </c>
      <c r="O6" s="61" t="str">
        <f>IF(AND('GA55 Check &amp; Edit'!Q8=""),"",'GA55 Check &amp; Edit'!Q8)</f>
        <v/>
      </c>
      <c r="P6" s="61">
        <f>IF(AND('GA55 Check &amp; Edit'!R8=""),"",'GA55 Check &amp; Edit'!R8)</f>
        <v>1880</v>
      </c>
      <c r="Q6" s="61">
        <f>IF(AND('GA55 Check &amp; Edit'!S8=""),"",'GA55 Check &amp; Edit'!S8)</f>
        <v>330</v>
      </c>
      <c r="R6" s="61">
        <f>IF(AND('GA55 Check &amp; Edit'!T8=""),"",'GA55 Check &amp; Edit'!T8)</f>
        <v>0</v>
      </c>
      <c r="S6" s="61">
        <f>IF(AND('GA55 Check &amp; Edit'!U8=""),"",'GA55 Check &amp; Edit'!U8)</f>
        <v>0</v>
      </c>
      <c r="T6" s="61">
        <f>IF(AND('GA55 Check &amp; Edit'!V8=""),"",'GA55 Check &amp; Edit'!V8)</f>
        <v>0</v>
      </c>
      <c r="U6" s="61">
        <f>IF(AND('GA55 Check &amp; Edit'!W8=""),"",'GA55 Check &amp; Edit'!W8)</f>
        <v>0</v>
      </c>
      <c r="V6" s="61" t="str">
        <f>IF(AND('GA55 Check &amp; Edit'!X8=""),"",'GA55 Check &amp; Edit'!X8)</f>
        <v/>
      </c>
      <c r="W6" s="61">
        <f>IF(AND('GA55 Check &amp; Edit'!Y8=""),"",'GA55 Check &amp; Edit'!Y8)</f>
        <v>0</v>
      </c>
      <c r="X6" s="61">
        <f>IF(AND('GA55 Check &amp; Edit'!Z8=""),"",'GA55 Check &amp; Edit'!Z8)</f>
        <v>2000</v>
      </c>
      <c r="Y6" s="61" t="str">
        <f>IF(AND('GA55 Check &amp; Edit'!AA8=""),"",'GA55 Check &amp; Edit'!AA8)</f>
        <v/>
      </c>
      <c r="Z6" s="61">
        <f>IF(AND('GA55 Check &amp; Edit'!AB8=""),"",'GA55 Check &amp; Edit'!AB8)</f>
        <v>11210</v>
      </c>
      <c r="AA6" s="61">
        <f>IF(AND('GA55 Check &amp; Edit'!AC8=""),"",'GA55 Check &amp; Edit'!AC8)</f>
        <v>62010</v>
      </c>
      <c r="AB6" s="61" t="str">
        <f>IF(AND('GA55 Check &amp; Edit'!AD8=""),"",'GA55 Check &amp; Edit'!AD8)</f>
        <v/>
      </c>
      <c r="AC6" s="1014" t="str">
        <f>IF(AND('GA55 Check &amp; Edit'!AE8=""),"",'GA55 Check &amp; Edit'!AE8)</f>
        <v/>
      </c>
    </row>
    <row r="7" spans="1:33" ht="21.95" customHeight="1">
      <c r="A7" s="60">
        <v>2</v>
      </c>
      <c r="B7" s="122">
        <f>IF(AND('GA55 Check &amp; Edit'!D9=""),"",'GA55 Check &amp; Edit'!D9)</f>
        <v>44652</v>
      </c>
      <c r="C7" s="61">
        <f>IF(AND('GA55 Check &amp; Edit'!E9=""),"",'GA55 Check &amp; Edit'!E9)</f>
        <v>52300</v>
      </c>
      <c r="D7" s="61">
        <f>IF(AND('GA55 Check &amp; Edit'!F9=""),"",'GA55 Check &amp; Edit'!F9)</f>
        <v>17782</v>
      </c>
      <c r="E7" s="61">
        <f>IF(AND('GA55 Check &amp; Edit'!G9=""),"",'GA55 Check &amp; Edit'!G9)</f>
        <v>4707</v>
      </c>
      <c r="F7" s="61">
        <f>IF(AND('GA55 Check &amp; Edit'!H9=""),"",'GA55 Check &amp; Edit'!H9)</f>
        <v>0</v>
      </c>
      <c r="G7" s="61" t="str">
        <f>IF(AND('GA55 Check &amp; Edit'!I9=""),"",'GA55 Check &amp; Edit'!I9)</f>
        <v>0</v>
      </c>
      <c r="H7" s="61" t="str">
        <f>IF(AND('GA55 Check &amp; Edit'!J9=""),"",'GA55 Check &amp; Edit'!J9)</f>
        <v/>
      </c>
      <c r="I7" s="61">
        <f>IF(AND('GA55 Check &amp; Edit'!K9=""),"",'GA55 Check &amp; Edit'!K9)</f>
        <v>0</v>
      </c>
      <c r="J7" s="61">
        <f>IF(AND('GA55 Check &amp; Edit'!L9=""),"",'GA55 Check &amp; Edit'!L9)</f>
        <v>0</v>
      </c>
      <c r="K7" s="61">
        <f>IF(AND('GA55 Check &amp; Edit'!M9=""),"",'GA55 Check &amp; Edit'!M9)</f>
        <v>0</v>
      </c>
      <c r="L7" s="61" t="str">
        <f>IF(AND('GA55 Check &amp; Edit'!N9=""),"",'GA55 Check &amp; Edit'!N9)</f>
        <v/>
      </c>
      <c r="M7" s="61">
        <f>IF(AND('GA55 Check &amp; Edit'!O9=""),"",'GA55 Check &amp; Edit'!O9)</f>
        <v>74789</v>
      </c>
      <c r="N7" s="61">
        <f>IF(AND('GA55 Check &amp; Edit'!P9=""),"",'GA55 Check &amp; Edit'!P9)</f>
        <v>7000</v>
      </c>
      <c r="O7" s="61" t="str">
        <f>IF(AND('GA55 Check &amp; Edit'!Q9=""),"",'GA55 Check &amp; Edit'!Q9)</f>
        <v/>
      </c>
      <c r="P7" s="61">
        <f>IF(AND('GA55 Check &amp; Edit'!R9=""),"",'GA55 Check &amp; Edit'!R9)</f>
        <v>1880</v>
      </c>
      <c r="Q7" s="61">
        <f>IF(AND('GA55 Check &amp; Edit'!S9=""),"",'GA55 Check &amp; Edit'!S9)</f>
        <v>658</v>
      </c>
      <c r="R7" s="61">
        <f>IF(AND('GA55 Check &amp; Edit'!T9=""),"",'GA55 Check &amp; Edit'!T9)</f>
        <v>0</v>
      </c>
      <c r="S7" s="61">
        <f>IF(AND('GA55 Check &amp; Edit'!U9=""),"",'GA55 Check &amp; Edit'!U9)</f>
        <v>0</v>
      </c>
      <c r="T7" s="61">
        <f>IF(AND('GA55 Check &amp; Edit'!V9=""),"",'GA55 Check &amp; Edit'!V9)</f>
        <v>0</v>
      </c>
      <c r="U7" s="61">
        <f>IF(AND('GA55 Check &amp; Edit'!W9=""),"",'GA55 Check &amp; Edit'!W9)</f>
        <v>0</v>
      </c>
      <c r="V7" s="61" t="str">
        <f>IF(AND('GA55 Check &amp; Edit'!X9=""),"",'GA55 Check &amp; Edit'!X9)</f>
        <v/>
      </c>
      <c r="W7" s="61">
        <f>IF(AND('GA55 Check &amp; Edit'!Y9=""),"",'GA55 Check &amp; Edit'!Y9)</f>
        <v>0</v>
      </c>
      <c r="X7" s="61">
        <f>IF(AND('GA55 Check &amp; Edit'!Z9=""),"",'GA55 Check &amp; Edit'!Z9)</f>
        <v>2000</v>
      </c>
      <c r="Y7" s="61">
        <f>IF(AND('GA55 Check &amp; Edit'!AA9=""),"",'GA55 Check &amp; Edit'!AA9)</f>
        <v>220</v>
      </c>
      <c r="Z7" s="61">
        <f>IF(AND('GA55 Check &amp; Edit'!AB9=""),"",'GA55 Check &amp; Edit'!AB9)</f>
        <v>11758</v>
      </c>
      <c r="AA7" s="61">
        <f>IF(AND('GA55 Check &amp; Edit'!AC9=""),"",'GA55 Check &amp; Edit'!AC9)</f>
        <v>63031</v>
      </c>
      <c r="AB7" s="61" t="str">
        <f>IF(AND('GA55 Check &amp; Edit'!AD9=""),"",'GA55 Check &amp; Edit'!AD9)</f>
        <v/>
      </c>
      <c r="AC7" s="1014" t="str">
        <f>IF(AND('GA55 Check &amp; Edit'!AE9=""),"",'GA55 Check &amp; Edit'!AE9)</f>
        <v/>
      </c>
    </row>
    <row r="8" spans="1:33" ht="21.95" customHeight="1">
      <c r="A8" s="60">
        <v>3</v>
      </c>
      <c r="B8" s="122">
        <f>IF(AND('GA55 Check &amp; Edit'!D10=""),"",'GA55 Check &amp; Edit'!D10)</f>
        <v>44682</v>
      </c>
      <c r="C8" s="61">
        <f>IF(AND('GA55 Check &amp; Edit'!E10=""),"",'GA55 Check &amp; Edit'!E10)</f>
        <v>52300</v>
      </c>
      <c r="D8" s="61">
        <f>IF(AND('GA55 Check &amp; Edit'!F10=""),"",'GA55 Check &amp; Edit'!F10)</f>
        <v>17782</v>
      </c>
      <c r="E8" s="61">
        <f>IF(AND('GA55 Check &amp; Edit'!G10=""),"",'GA55 Check &amp; Edit'!G10)</f>
        <v>4707</v>
      </c>
      <c r="F8" s="61">
        <f>IF(AND('GA55 Check &amp; Edit'!H10=""),"",'GA55 Check &amp; Edit'!H10)</f>
        <v>0</v>
      </c>
      <c r="G8" s="61" t="str">
        <f>IF(AND('GA55 Check &amp; Edit'!I10=""),"",'GA55 Check &amp; Edit'!I10)</f>
        <v>0</v>
      </c>
      <c r="H8" s="61" t="str">
        <f>IF(AND('GA55 Check &amp; Edit'!J10=""),"",'GA55 Check &amp; Edit'!J10)</f>
        <v/>
      </c>
      <c r="I8" s="61">
        <f>IF(AND('GA55 Check &amp; Edit'!K10=""),"",'GA55 Check &amp; Edit'!K10)</f>
        <v>0</v>
      </c>
      <c r="J8" s="61">
        <f>IF(AND('GA55 Check &amp; Edit'!L10=""),"",'GA55 Check &amp; Edit'!L10)</f>
        <v>0</v>
      </c>
      <c r="K8" s="61">
        <f>IF(AND('GA55 Check &amp; Edit'!M10=""),"",'GA55 Check &amp; Edit'!M10)</f>
        <v>0</v>
      </c>
      <c r="L8" s="61" t="str">
        <f>IF(AND('GA55 Check &amp; Edit'!N10=""),"",'GA55 Check &amp; Edit'!N10)</f>
        <v/>
      </c>
      <c r="M8" s="61">
        <f>IF(AND('GA55 Check &amp; Edit'!O10=""),"",'GA55 Check &amp; Edit'!O10)</f>
        <v>74789</v>
      </c>
      <c r="N8" s="61">
        <f>IF(AND('GA55 Check &amp; Edit'!P10=""),"",'GA55 Check &amp; Edit'!P10)</f>
        <v>7000</v>
      </c>
      <c r="O8" s="61">
        <f>IF(AND('GA55 Check &amp; Edit'!Q10=""),"",'GA55 Check &amp; Edit'!Q10)</f>
        <v>7150</v>
      </c>
      <c r="P8" s="61">
        <f>IF(AND('GA55 Check &amp; Edit'!R10=""),"",'GA55 Check &amp; Edit'!R10)</f>
        <v>1880</v>
      </c>
      <c r="Q8" s="61">
        <f>IF(AND('GA55 Check &amp; Edit'!S10=""),"",'GA55 Check &amp; Edit'!S10)</f>
        <v>658</v>
      </c>
      <c r="R8" s="61">
        <f>IF(AND('GA55 Check &amp; Edit'!T10=""),"",'GA55 Check &amp; Edit'!T10)</f>
        <v>0</v>
      </c>
      <c r="S8" s="61">
        <f>IF(AND('GA55 Check &amp; Edit'!U10=""),"",'GA55 Check &amp; Edit'!U10)</f>
        <v>0</v>
      </c>
      <c r="T8" s="61">
        <f>IF(AND('GA55 Check &amp; Edit'!V10=""),"",'GA55 Check &amp; Edit'!V10)</f>
        <v>0</v>
      </c>
      <c r="U8" s="61">
        <f>IF(AND('GA55 Check &amp; Edit'!W10=""),"",'GA55 Check &amp; Edit'!W10)</f>
        <v>0</v>
      </c>
      <c r="V8" s="61" t="str">
        <f>IF(AND('GA55 Check &amp; Edit'!X10=""),"",'GA55 Check &amp; Edit'!X10)</f>
        <v/>
      </c>
      <c r="W8" s="61">
        <f>IF(AND('GA55 Check &amp; Edit'!Y10=""),"",'GA55 Check &amp; Edit'!Y10)</f>
        <v>0</v>
      </c>
      <c r="X8" s="61">
        <f>IF(AND('GA55 Check &amp; Edit'!Z10=""),"",'GA55 Check &amp; Edit'!Z10)</f>
        <v>2000</v>
      </c>
      <c r="Y8" s="61" t="str">
        <f>IF(AND('GA55 Check &amp; Edit'!AA10=""),"",'GA55 Check &amp; Edit'!AA10)</f>
        <v/>
      </c>
      <c r="Z8" s="61">
        <f>IF(AND('GA55 Check &amp; Edit'!AB10=""),"",'GA55 Check &amp; Edit'!AB10)</f>
        <v>18688</v>
      </c>
      <c r="AA8" s="61">
        <f>IF(AND('GA55 Check &amp; Edit'!AC10=""),"",'GA55 Check &amp; Edit'!AC10)</f>
        <v>56101</v>
      </c>
      <c r="AB8" s="61" t="str">
        <f>IF(AND('GA55 Check &amp; Edit'!AD10=""),"",'GA55 Check &amp; Edit'!AD10)</f>
        <v/>
      </c>
      <c r="AC8" s="1014" t="str">
        <f>IF(AND('GA55 Check &amp; Edit'!AE10=""),"",'GA55 Check &amp; Edit'!AE10)</f>
        <v/>
      </c>
    </row>
    <row r="9" spans="1:33" ht="21.95" customHeight="1">
      <c r="A9" s="60">
        <v>4</v>
      </c>
      <c r="B9" s="122">
        <f>IF(AND('GA55 Check &amp; Edit'!D11=""),"",'GA55 Check &amp; Edit'!D11)</f>
        <v>44713</v>
      </c>
      <c r="C9" s="61">
        <f>IF(AND('GA55 Check &amp; Edit'!E11=""),"",'GA55 Check &amp; Edit'!E11)</f>
        <v>52300</v>
      </c>
      <c r="D9" s="61">
        <f>IF(AND('GA55 Check &amp; Edit'!F11=""),"",'GA55 Check &amp; Edit'!F11)</f>
        <v>17782</v>
      </c>
      <c r="E9" s="61">
        <f>IF(AND('GA55 Check &amp; Edit'!G11=""),"",'GA55 Check &amp; Edit'!G11)</f>
        <v>4707</v>
      </c>
      <c r="F9" s="61">
        <f>IF(AND('GA55 Check &amp; Edit'!H11=""),"",'GA55 Check &amp; Edit'!H11)</f>
        <v>0</v>
      </c>
      <c r="G9" s="61" t="str">
        <f>IF(AND('GA55 Check &amp; Edit'!I11=""),"",'GA55 Check &amp; Edit'!I11)</f>
        <v>0</v>
      </c>
      <c r="H9" s="61" t="str">
        <f>IF(AND('GA55 Check &amp; Edit'!J11=""),"",'GA55 Check &amp; Edit'!J11)</f>
        <v/>
      </c>
      <c r="I9" s="61">
        <f>IF(AND('GA55 Check &amp; Edit'!K11=""),"",'GA55 Check &amp; Edit'!K11)</f>
        <v>0</v>
      </c>
      <c r="J9" s="61">
        <f>IF(AND('GA55 Check &amp; Edit'!L11=""),"",'GA55 Check &amp; Edit'!L11)</f>
        <v>0</v>
      </c>
      <c r="K9" s="61">
        <f>IF(AND('GA55 Check &amp; Edit'!M11=""),"",'GA55 Check &amp; Edit'!M11)</f>
        <v>0</v>
      </c>
      <c r="L9" s="61" t="str">
        <f>IF(AND('GA55 Check &amp; Edit'!N11=""),"",'GA55 Check &amp; Edit'!N11)</f>
        <v/>
      </c>
      <c r="M9" s="61">
        <f>IF(AND('GA55 Check &amp; Edit'!O11=""),"",'GA55 Check &amp; Edit'!O11)</f>
        <v>74789</v>
      </c>
      <c r="N9" s="61">
        <f>IF(AND('GA55 Check &amp; Edit'!P11=""),"",'GA55 Check &amp; Edit'!P11)</f>
        <v>7000</v>
      </c>
      <c r="O9" s="61">
        <f>IF(AND('GA55 Check &amp; Edit'!Q11=""),"",'GA55 Check &amp; Edit'!Q11)</f>
        <v>3575</v>
      </c>
      <c r="P9" s="61">
        <f>IF(AND('GA55 Check &amp; Edit'!R11=""),"",'GA55 Check &amp; Edit'!R11)</f>
        <v>1880</v>
      </c>
      <c r="Q9" s="61">
        <f>IF(AND('GA55 Check &amp; Edit'!S11=""),"",'GA55 Check &amp; Edit'!S11)</f>
        <v>658</v>
      </c>
      <c r="R9" s="61">
        <f>IF(AND('GA55 Check &amp; Edit'!T11=""),"",'GA55 Check &amp; Edit'!T11)</f>
        <v>0</v>
      </c>
      <c r="S9" s="61">
        <f>IF(AND('GA55 Check &amp; Edit'!U11=""),"",'GA55 Check &amp; Edit'!U11)</f>
        <v>0</v>
      </c>
      <c r="T9" s="61">
        <f>IF(AND('GA55 Check &amp; Edit'!V11=""),"",'GA55 Check &amp; Edit'!V11)</f>
        <v>0</v>
      </c>
      <c r="U9" s="61">
        <f>IF(AND('GA55 Check &amp; Edit'!W11=""),"",'GA55 Check &amp; Edit'!W11)</f>
        <v>0</v>
      </c>
      <c r="V9" s="61" t="str">
        <f>IF(AND('GA55 Check &amp; Edit'!X11=""),"",'GA55 Check &amp; Edit'!X11)</f>
        <v/>
      </c>
      <c r="W9" s="61">
        <f>IF(AND('GA55 Check &amp; Edit'!Y11=""),"",'GA55 Check &amp; Edit'!Y11)</f>
        <v>0</v>
      </c>
      <c r="X9" s="61">
        <f>IF(AND('GA55 Check &amp; Edit'!Z11=""),"",'GA55 Check &amp; Edit'!Z11)</f>
        <v>2000</v>
      </c>
      <c r="Y9" s="61" t="str">
        <f>IF(AND('GA55 Check &amp; Edit'!AA11=""),"",'GA55 Check &amp; Edit'!AA11)</f>
        <v/>
      </c>
      <c r="Z9" s="61">
        <f>IF(AND('GA55 Check &amp; Edit'!AB11=""),"",'GA55 Check &amp; Edit'!AB11)</f>
        <v>15113</v>
      </c>
      <c r="AA9" s="61">
        <f>IF(AND('GA55 Check &amp; Edit'!AC11=""),"",'GA55 Check &amp; Edit'!AC11)</f>
        <v>59676</v>
      </c>
      <c r="AB9" s="61" t="str">
        <f>IF(AND('GA55 Check &amp; Edit'!AD11=""),"",'GA55 Check &amp; Edit'!AD11)</f>
        <v/>
      </c>
      <c r="AC9" s="1014" t="str">
        <f>IF(AND('GA55 Check &amp; Edit'!AE11=""),"",'GA55 Check &amp; Edit'!AE11)</f>
        <v/>
      </c>
    </row>
    <row r="10" spans="1:33" ht="21.95" customHeight="1">
      <c r="A10" s="60">
        <v>5</v>
      </c>
      <c r="B10" s="122">
        <f>IF(AND('GA55 Check &amp; Edit'!D12=""),"",'GA55 Check &amp; Edit'!D12)</f>
        <v>44743</v>
      </c>
      <c r="C10" s="61">
        <f>IF(AND('GA55 Check &amp; Edit'!E12=""),"",'GA55 Check &amp; Edit'!E12)</f>
        <v>53900</v>
      </c>
      <c r="D10" s="61">
        <f>IF(AND('GA55 Check &amp; Edit'!F12=""),"",'GA55 Check &amp; Edit'!F12)</f>
        <v>18326</v>
      </c>
      <c r="E10" s="61">
        <f>IF(AND('GA55 Check &amp; Edit'!G12=""),"",'GA55 Check &amp; Edit'!G12)</f>
        <v>4851</v>
      </c>
      <c r="F10" s="61">
        <f>IF(AND('GA55 Check &amp; Edit'!H12=""),"",'GA55 Check &amp; Edit'!H12)</f>
        <v>0</v>
      </c>
      <c r="G10" s="61" t="str">
        <f>IF(AND('GA55 Check &amp; Edit'!I12=""),"",'GA55 Check &amp; Edit'!I12)</f>
        <v>0</v>
      </c>
      <c r="H10" s="61" t="str">
        <f>IF(AND('GA55 Check &amp; Edit'!J12=""),"",'GA55 Check &amp; Edit'!J12)</f>
        <v/>
      </c>
      <c r="I10" s="61">
        <f>IF(AND('GA55 Check &amp; Edit'!K12=""),"",'GA55 Check &amp; Edit'!K12)</f>
        <v>0</v>
      </c>
      <c r="J10" s="61">
        <f>IF(AND('GA55 Check &amp; Edit'!L12=""),"",'GA55 Check &amp; Edit'!L12)</f>
        <v>0</v>
      </c>
      <c r="K10" s="61">
        <f>IF(AND('GA55 Check &amp; Edit'!M12=""),"",'GA55 Check &amp; Edit'!M12)</f>
        <v>0</v>
      </c>
      <c r="L10" s="61" t="str">
        <f>IF(AND('GA55 Check &amp; Edit'!N12=""),"",'GA55 Check &amp; Edit'!N12)</f>
        <v/>
      </c>
      <c r="M10" s="61">
        <f>IF(AND('GA55 Check &amp; Edit'!O12=""),"",'GA55 Check &amp; Edit'!O12)</f>
        <v>77077</v>
      </c>
      <c r="N10" s="61">
        <f>IF(AND('GA55 Check &amp; Edit'!P12=""),"",'GA55 Check &amp; Edit'!P12)</f>
        <v>7000</v>
      </c>
      <c r="O10" s="61">
        <f>IF(AND('GA55 Check &amp; Edit'!Q12=""),"",'GA55 Check &amp; Edit'!Q12)</f>
        <v>3575</v>
      </c>
      <c r="P10" s="61">
        <f>IF(AND('GA55 Check &amp; Edit'!R12=""),"",'GA55 Check &amp; Edit'!R12)</f>
        <v>1880</v>
      </c>
      <c r="Q10" s="61">
        <f>IF(AND('GA55 Check &amp; Edit'!S12=""),"",'GA55 Check &amp; Edit'!S12)</f>
        <v>658</v>
      </c>
      <c r="R10" s="61">
        <f>IF(AND('GA55 Check &amp; Edit'!T12=""),"",'GA55 Check &amp; Edit'!T12)</f>
        <v>0</v>
      </c>
      <c r="S10" s="61">
        <f>IF(AND('GA55 Check &amp; Edit'!U12=""),"",'GA55 Check &amp; Edit'!U12)</f>
        <v>0</v>
      </c>
      <c r="T10" s="61">
        <f>IF(AND('GA55 Check &amp; Edit'!V12=""),"",'GA55 Check &amp; Edit'!V12)</f>
        <v>0</v>
      </c>
      <c r="U10" s="61">
        <f>IF(AND('GA55 Check &amp; Edit'!W12=""),"",'GA55 Check &amp; Edit'!W12)</f>
        <v>0</v>
      </c>
      <c r="V10" s="61" t="str">
        <f>IF(AND('GA55 Check &amp; Edit'!X12=""),"",'GA55 Check &amp; Edit'!X12)</f>
        <v/>
      </c>
      <c r="W10" s="61">
        <f>IF(AND('GA55 Check &amp; Edit'!Y12=""),"",'GA55 Check &amp; Edit'!Y12)</f>
        <v>0</v>
      </c>
      <c r="X10" s="61">
        <f>IF(AND('GA55 Check &amp; Edit'!Z12=""),"",'GA55 Check &amp; Edit'!Z12)</f>
        <v>2000</v>
      </c>
      <c r="Y10" s="61" t="str">
        <f>IF(AND('GA55 Check &amp; Edit'!AA12=""),"",'GA55 Check &amp; Edit'!AA12)</f>
        <v/>
      </c>
      <c r="Z10" s="61">
        <f>IF(AND('GA55 Check &amp; Edit'!AB12=""),"",'GA55 Check &amp; Edit'!AB12)</f>
        <v>15113</v>
      </c>
      <c r="AA10" s="61">
        <f>IF(AND('GA55 Check &amp; Edit'!AC12=""),"",'GA55 Check &amp; Edit'!AC12)</f>
        <v>61964</v>
      </c>
      <c r="AB10" s="61" t="str">
        <f>IF(AND('GA55 Check &amp; Edit'!AD12=""),"",'GA55 Check &amp; Edit'!AD12)</f>
        <v/>
      </c>
      <c r="AC10" s="1014" t="str">
        <f>IF(AND('GA55 Check &amp; Edit'!AE12=""),"",'GA55 Check &amp; Edit'!AE12)</f>
        <v/>
      </c>
    </row>
    <row r="11" spans="1:33" ht="21.95" customHeight="1">
      <c r="A11" s="60">
        <v>6</v>
      </c>
      <c r="B11" s="122">
        <f>IF(AND('GA55 Check &amp; Edit'!D13=""),"",'GA55 Check &amp; Edit'!D13)</f>
        <v>44774</v>
      </c>
      <c r="C11" s="61">
        <f>IF(AND('GA55 Check &amp; Edit'!E13=""),"",'GA55 Check &amp; Edit'!E13)</f>
        <v>53900</v>
      </c>
      <c r="D11" s="61">
        <f>IF(AND('GA55 Check &amp; Edit'!F13=""),"",'GA55 Check &amp; Edit'!F13)</f>
        <v>18326</v>
      </c>
      <c r="E11" s="61">
        <f>IF(AND('GA55 Check &amp; Edit'!G13=""),"",'GA55 Check &amp; Edit'!G13)</f>
        <v>4851</v>
      </c>
      <c r="F11" s="61">
        <f>IF(AND('GA55 Check &amp; Edit'!H13=""),"",'GA55 Check &amp; Edit'!H13)</f>
        <v>0</v>
      </c>
      <c r="G11" s="61" t="str">
        <f>IF(AND('GA55 Check &amp; Edit'!I13=""),"",'GA55 Check &amp; Edit'!I13)</f>
        <v>0</v>
      </c>
      <c r="H11" s="61" t="str">
        <f>IF(AND('GA55 Check &amp; Edit'!J13=""),"",'GA55 Check &amp; Edit'!J13)</f>
        <v/>
      </c>
      <c r="I11" s="61">
        <f>IF(AND('GA55 Check &amp; Edit'!K13=""),"",'GA55 Check &amp; Edit'!K13)</f>
        <v>0</v>
      </c>
      <c r="J11" s="61">
        <f>IF(AND('GA55 Check &amp; Edit'!L13=""),"",'GA55 Check &amp; Edit'!L13)</f>
        <v>0</v>
      </c>
      <c r="K11" s="61">
        <f>IF(AND('GA55 Check &amp; Edit'!M13=""),"",'GA55 Check &amp; Edit'!M13)</f>
        <v>0</v>
      </c>
      <c r="L11" s="61" t="str">
        <f>IF(AND('GA55 Check &amp; Edit'!N13=""),"",'GA55 Check &amp; Edit'!N13)</f>
        <v/>
      </c>
      <c r="M11" s="61">
        <f>IF(AND('GA55 Check &amp; Edit'!O13=""),"",'GA55 Check &amp; Edit'!O13)</f>
        <v>77077</v>
      </c>
      <c r="N11" s="61">
        <f>IF(AND('GA55 Check &amp; Edit'!P13=""),"",'GA55 Check &amp; Edit'!P13)</f>
        <v>7000</v>
      </c>
      <c r="O11" s="61">
        <f>IF(AND('GA55 Check &amp; Edit'!Q13=""),"",'GA55 Check &amp; Edit'!Q13)</f>
        <v>3575</v>
      </c>
      <c r="P11" s="61">
        <f>IF(AND('GA55 Check &amp; Edit'!R13=""),"",'GA55 Check &amp; Edit'!R13)</f>
        <v>1880</v>
      </c>
      <c r="Q11" s="61">
        <f>IF(AND('GA55 Check &amp; Edit'!S13=""),"",'GA55 Check &amp; Edit'!S13)</f>
        <v>658</v>
      </c>
      <c r="R11" s="61">
        <f>IF(AND('GA55 Check &amp; Edit'!T13=""),"",'GA55 Check &amp; Edit'!T13)</f>
        <v>0</v>
      </c>
      <c r="S11" s="61">
        <f>IF(AND('GA55 Check &amp; Edit'!U13=""),"",'GA55 Check &amp; Edit'!U13)</f>
        <v>0</v>
      </c>
      <c r="T11" s="61">
        <f>IF(AND('GA55 Check &amp; Edit'!V13=""),"",'GA55 Check &amp; Edit'!V13)</f>
        <v>0</v>
      </c>
      <c r="U11" s="61">
        <f>IF(AND('GA55 Check &amp; Edit'!W13=""),"",'GA55 Check &amp; Edit'!W13)</f>
        <v>0</v>
      </c>
      <c r="V11" s="61" t="str">
        <f>IF(AND('GA55 Check &amp; Edit'!X13=""),"",'GA55 Check &amp; Edit'!X13)</f>
        <v/>
      </c>
      <c r="W11" s="61">
        <f>IF(AND('GA55 Check &amp; Edit'!Y13=""),"",'GA55 Check &amp; Edit'!Y13)</f>
        <v>0</v>
      </c>
      <c r="X11" s="61">
        <f>IF(AND('GA55 Check &amp; Edit'!Z13=""),"",'GA55 Check &amp; Edit'!Z13)</f>
        <v>5000</v>
      </c>
      <c r="Y11" s="61" t="str">
        <f>IF(AND('GA55 Check &amp; Edit'!AA13=""),"",'GA55 Check &amp; Edit'!AA13)</f>
        <v/>
      </c>
      <c r="Z11" s="61">
        <f>IF(AND('GA55 Check &amp; Edit'!AB13=""),"",'GA55 Check &amp; Edit'!AB13)</f>
        <v>18113</v>
      </c>
      <c r="AA11" s="61">
        <f>IF(AND('GA55 Check &amp; Edit'!AC13=""),"",'GA55 Check &amp; Edit'!AC13)</f>
        <v>58964</v>
      </c>
      <c r="AB11" s="61" t="str">
        <f>IF(AND('GA55 Check &amp; Edit'!AD13=""),"",'GA55 Check &amp; Edit'!AD13)</f>
        <v/>
      </c>
      <c r="AC11" s="1014" t="str">
        <f>IF(AND('GA55 Check &amp; Edit'!AE13=""),"",'GA55 Check &amp; Edit'!AE13)</f>
        <v/>
      </c>
    </row>
    <row r="12" spans="1:33" ht="21.95" customHeight="1">
      <c r="A12" s="60">
        <v>7</v>
      </c>
      <c r="B12" s="122">
        <f>IF(AND('GA55 Check &amp; Edit'!D14=""),"",'GA55 Check &amp; Edit'!D14)</f>
        <v>44805</v>
      </c>
      <c r="C12" s="61">
        <f>IF(AND('GA55 Check &amp; Edit'!E14=""),"",'GA55 Check &amp; Edit'!E14)</f>
        <v>53900</v>
      </c>
      <c r="D12" s="61">
        <f>IF(AND('GA55 Check &amp; Edit'!F14=""),"",'GA55 Check &amp; Edit'!F14)</f>
        <v>18326</v>
      </c>
      <c r="E12" s="61">
        <f>IF(AND('GA55 Check &amp; Edit'!G14=""),"",'GA55 Check &amp; Edit'!G14)</f>
        <v>4851</v>
      </c>
      <c r="F12" s="61">
        <f>IF(AND('GA55 Check &amp; Edit'!H14=""),"",'GA55 Check &amp; Edit'!H14)</f>
        <v>0</v>
      </c>
      <c r="G12" s="61" t="str">
        <f>IF(AND('GA55 Check &amp; Edit'!I14=""),"",'GA55 Check &amp; Edit'!I14)</f>
        <v>0</v>
      </c>
      <c r="H12" s="61" t="str">
        <f>IF(AND('GA55 Check &amp; Edit'!J14=""),"",'GA55 Check &amp; Edit'!J14)</f>
        <v/>
      </c>
      <c r="I12" s="61">
        <f>IF(AND('GA55 Check &amp; Edit'!K14=""),"",'GA55 Check &amp; Edit'!K14)</f>
        <v>0</v>
      </c>
      <c r="J12" s="61">
        <f>IF(AND('GA55 Check &amp; Edit'!L14=""),"",'GA55 Check &amp; Edit'!L14)</f>
        <v>0</v>
      </c>
      <c r="K12" s="61">
        <f>IF(AND('GA55 Check &amp; Edit'!M14=""),"",'GA55 Check &amp; Edit'!M14)</f>
        <v>0</v>
      </c>
      <c r="L12" s="61" t="str">
        <f>IF(AND('GA55 Check &amp; Edit'!N14=""),"",'GA55 Check &amp; Edit'!N14)</f>
        <v/>
      </c>
      <c r="M12" s="61">
        <f>IF(AND('GA55 Check &amp; Edit'!O14=""),"",'GA55 Check &amp; Edit'!O14)</f>
        <v>77077</v>
      </c>
      <c r="N12" s="61">
        <f>IF(AND('GA55 Check &amp; Edit'!P14=""),"",'GA55 Check &amp; Edit'!P14)</f>
        <v>7000</v>
      </c>
      <c r="O12" s="61">
        <f>IF(AND('GA55 Check &amp; Edit'!Q14=""),"",'GA55 Check &amp; Edit'!Q14)</f>
        <v>3575</v>
      </c>
      <c r="P12" s="61">
        <f>IF(AND('GA55 Check &amp; Edit'!R14=""),"",'GA55 Check &amp; Edit'!R14)</f>
        <v>1880</v>
      </c>
      <c r="Q12" s="61">
        <f>IF(AND('GA55 Check &amp; Edit'!S14=""),"",'GA55 Check &amp; Edit'!S14)</f>
        <v>658</v>
      </c>
      <c r="R12" s="61">
        <f>IF(AND('GA55 Check &amp; Edit'!T14=""),"",'GA55 Check &amp; Edit'!T14)</f>
        <v>0</v>
      </c>
      <c r="S12" s="61">
        <f>IF(AND('GA55 Check &amp; Edit'!U14=""),"",'GA55 Check &amp; Edit'!U14)</f>
        <v>0</v>
      </c>
      <c r="T12" s="61">
        <f>IF(AND('GA55 Check &amp; Edit'!V14=""),"",'GA55 Check &amp; Edit'!V14)</f>
        <v>0</v>
      </c>
      <c r="U12" s="61">
        <f>IF(AND('GA55 Check &amp; Edit'!W14=""),"",'GA55 Check &amp; Edit'!W14)</f>
        <v>0</v>
      </c>
      <c r="V12" s="61" t="str">
        <f>IF(AND('GA55 Check &amp; Edit'!X14=""),"",'GA55 Check &amp; Edit'!X14)</f>
        <v/>
      </c>
      <c r="W12" s="61">
        <f>IF(AND('GA55 Check &amp; Edit'!Y14=""),"",'GA55 Check &amp; Edit'!Y14)</f>
        <v>0</v>
      </c>
      <c r="X12" s="61">
        <f>IF(AND('GA55 Check &amp; Edit'!Z14=""),"",'GA55 Check &amp; Edit'!Z14)</f>
        <v>5000</v>
      </c>
      <c r="Y12" s="61" t="str">
        <f>IF(AND('GA55 Check &amp; Edit'!AA14=""),"",'GA55 Check &amp; Edit'!AA14)</f>
        <v/>
      </c>
      <c r="Z12" s="61">
        <f>IF(AND('GA55 Check &amp; Edit'!AB14=""),"",'GA55 Check &amp; Edit'!AB14)</f>
        <v>18113</v>
      </c>
      <c r="AA12" s="61">
        <f>IF(AND('GA55 Check &amp; Edit'!AC14=""),"",'GA55 Check &amp; Edit'!AC14)</f>
        <v>58964</v>
      </c>
      <c r="AB12" s="61" t="str">
        <f>IF(AND('GA55 Check &amp; Edit'!AD14=""),"",'GA55 Check &amp; Edit'!AD14)</f>
        <v/>
      </c>
      <c r="AC12" s="1014" t="str">
        <f>IF(AND('GA55 Check &amp; Edit'!AE14=""),"",'GA55 Check &amp; Edit'!AE14)</f>
        <v/>
      </c>
    </row>
    <row r="13" spans="1:33" ht="21.95" customHeight="1">
      <c r="A13" s="60">
        <v>8</v>
      </c>
      <c r="B13" s="122">
        <f>IF(AND('GA55 Check &amp; Edit'!D15=""),"",'GA55 Check &amp; Edit'!D15)</f>
        <v>44835</v>
      </c>
      <c r="C13" s="61">
        <f>IF(AND('GA55 Check &amp; Edit'!E15=""),"",'GA55 Check &amp; Edit'!E15)</f>
        <v>53900</v>
      </c>
      <c r="D13" s="61">
        <f>IF(AND('GA55 Check &amp; Edit'!F15=""),"",'GA55 Check &amp; Edit'!F15)</f>
        <v>20482</v>
      </c>
      <c r="E13" s="61">
        <f>IF(AND('GA55 Check &amp; Edit'!G15=""),"",'GA55 Check &amp; Edit'!G15)</f>
        <v>4851</v>
      </c>
      <c r="F13" s="61">
        <f>IF(AND('GA55 Check &amp; Edit'!H15=""),"",'GA55 Check &amp; Edit'!H15)</f>
        <v>0</v>
      </c>
      <c r="G13" s="61" t="str">
        <f>IF(AND('GA55 Check &amp; Edit'!I15=""),"",'GA55 Check &amp; Edit'!I15)</f>
        <v>0</v>
      </c>
      <c r="H13" s="61" t="str">
        <f>IF(AND('GA55 Check &amp; Edit'!J15=""),"",'GA55 Check &amp; Edit'!J15)</f>
        <v/>
      </c>
      <c r="I13" s="61">
        <f>IF(AND('GA55 Check &amp; Edit'!K15=""),"",'GA55 Check &amp; Edit'!K15)</f>
        <v>0</v>
      </c>
      <c r="J13" s="61">
        <f>IF(AND('GA55 Check &amp; Edit'!L15=""),"",'GA55 Check &amp; Edit'!L15)</f>
        <v>0</v>
      </c>
      <c r="K13" s="61">
        <f>IF(AND('GA55 Check &amp; Edit'!M15=""),"",'GA55 Check &amp; Edit'!M15)</f>
        <v>0</v>
      </c>
      <c r="L13" s="61" t="str">
        <f>IF(AND('GA55 Check &amp; Edit'!N15=""),"",'GA55 Check &amp; Edit'!N15)</f>
        <v/>
      </c>
      <c r="M13" s="61">
        <f>IF(AND('GA55 Check &amp; Edit'!O15=""),"",'GA55 Check &amp; Edit'!O15)</f>
        <v>79233</v>
      </c>
      <c r="N13" s="61">
        <f>IF(AND('GA55 Check &amp; Edit'!P15=""),"",'GA55 Check &amp; Edit'!P15)</f>
        <v>7000</v>
      </c>
      <c r="O13" s="61">
        <f>IF(AND('GA55 Check &amp; Edit'!Q15=""),"",'GA55 Check &amp; Edit'!Q15)</f>
        <v>3575</v>
      </c>
      <c r="P13" s="61">
        <f>IF(AND('GA55 Check &amp; Edit'!R15=""),"",'GA55 Check &amp; Edit'!R15)</f>
        <v>1880</v>
      </c>
      <c r="Q13" s="61">
        <f>IF(AND('GA55 Check &amp; Edit'!S15=""),"",'GA55 Check &amp; Edit'!S15)</f>
        <v>658</v>
      </c>
      <c r="R13" s="61">
        <f>IF(AND('GA55 Check &amp; Edit'!T15=""),"",'GA55 Check &amp; Edit'!T15)</f>
        <v>0</v>
      </c>
      <c r="S13" s="61">
        <f>IF(AND('GA55 Check &amp; Edit'!U15=""),"",'GA55 Check &amp; Edit'!U15)</f>
        <v>0</v>
      </c>
      <c r="T13" s="61">
        <f>IF(AND('GA55 Check &amp; Edit'!V15=""),"",'GA55 Check &amp; Edit'!V15)</f>
        <v>0</v>
      </c>
      <c r="U13" s="61">
        <f>IF(AND('GA55 Check &amp; Edit'!W15=""),"",'GA55 Check &amp; Edit'!W15)</f>
        <v>0</v>
      </c>
      <c r="V13" s="61" t="str">
        <f>IF(AND('GA55 Check &amp; Edit'!X15=""),"",'GA55 Check &amp; Edit'!X15)</f>
        <v/>
      </c>
      <c r="W13" s="61">
        <f>IF(AND('GA55 Check &amp; Edit'!Y15=""),"",'GA55 Check &amp; Edit'!Y15)</f>
        <v>0</v>
      </c>
      <c r="X13" s="61">
        <f>IF(AND('GA55 Check &amp; Edit'!Z15=""),"",'GA55 Check &amp; Edit'!Z15)</f>
        <v>5000</v>
      </c>
      <c r="Y13" s="61" t="str">
        <f>IF(AND('GA55 Check &amp; Edit'!AA15=""),"",'GA55 Check &amp; Edit'!AA15)</f>
        <v/>
      </c>
      <c r="Z13" s="61">
        <f>IF(AND('GA55 Check &amp; Edit'!AB15=""),"",'GA55 Check &amp; Edit'!AB15)</f>
        <v>18113</v>
      </c>
      <c r="AA13" s="61">
        <f>IF(AND('GA55 Check &amp; Edit'!AC15=""),"",'GA55 Check &amp; Edit'!AC15)</f>
        <v>61120</v>
      </c>
      <c r="AB13" s="61" t="str">
        <f>IF(AND('GA55 Check &amp; Edit'!AD15=""),"",'GA55 Check &amp; Edit'!AD15)</f>
        <v/>
      </c>
      <c r="AC13" s="1014" t="str">
        <f>IF(AND('GA55 Check &amp; Edit'!AE15=""),"",'GA55 Check &amp; Edit'!AE15)</f>
        <v/>
      </c>
    </row>
    <row r="14" spans="1:33" ht="21.95" customHeight="1">
      <c r="A14" s="60">
        <v>9</v>
      </c>
      <c r="B14" s="122">
        <f>IF(AND('GA55 Check &amp; Edit'!D16=""),"",'GA55 Check &amp; Edit'!D16)</f>
        <v>44866</v>
      </c>
      <c r="C14" s="61">
        <f>IF(AND('GA55 Check &amp; Edit'!E16=""),"",'GA55 Check &amp; Edit'!E16)</f>
        <v>53900</v>
      </c>
      <c r="D14" s="61">
        <f>IF(AND('GA55 Check &amp; Edit'!F16=""),"",'GA55 Check &amp; Edit'!F16)</f>
        <v>20482</v>
      </c>
      <c r="E14" s="61">
        <f>IF(AND('GA55 Check &amp; Edit'!G16=""),"",'GA55 Check &amp; Edit'!G16)</f>
        <v>4851</v>
      </c>
      <c r="F14" s="61">
        <f>IF(AND('GA55 Check &amp; Edit'!H16=""),"",'GA55 Check &amp; Edit'!H16)</f>
        <v>0</v>
      </c>
      <c r="G14" s="61" t="str">
        <f>IF(AND('GA55 Check &amp; Edit'!I16=""),"",'GA55 Check &amp; Edit'!I16)</f>
        <v>0</v>
      </c>
      <c r="H14" s="61" t="str">
        <f>IF(AND('GA55 Check &amp; Edit'!J16=""),"",'GA55 Check &amp; Edit'!J16)</f>
        <v/>
      </c>
      <c r="I14" s="61">
        <f>IF(AND('GA55 Check &amp; Edit'!K16=""),"",'GA55 Check &amp; Edit'!K16)</f>
        <v>0</v>
      </c>
      <c r="J14" s="61">
        <f>IF(AND('GA55 Check &amp; Edit'!L16=""),"",'GA55 Check &amp; Edit'!L16)</f>
        <v>0</v>
      </c>
      <c r="K14" s="61">
        <f>IF(AND('GA55 Check &amp; Edit'!M16=""),"",'GA55 Check &amp; Edit'!M16)</f>
        <v>0</v>
      </c>
      <c r="L14" s="61" t="str">
        <f>IF(AND('GA55 Check &amp; Edit'!N16=""),"",'GA55 Check &amp; Edit'!N16)</f>
        <v/>
      </c>
      <c r="M14" s="61">
        <f>IF(AND('GA55 Check &amp; Edit'!O16=""),"",'GA55 Check &amp; Edit'!O16)</f>
        <v>79233</v>
      </c>
      <c r="N14" s="61">
        <f>IF(AND('GA55 Check &amp; Edit'!P16=""),"",'GA55 Check &amp; Edit'!P16)</f>
        <v>7000</v>
      </c>
      <c r="O14" s="61">
        <f>IF(AND('GA55 Check &amp; Edit'!Q16=""),"",'GA55 Check &amp; Edit'!Q16)</f>
        <v>3575</v>
      </c>
      <c r="P14" s="61">
        <f>IF(AND('GA55 Check &amp; Edit'!R16=""),"",'GA55 Check &amp; Edit'!R16)</f>
        <v>1880</v>
      </c>
      <c r="Q14" s="61">
        <f>IF(AND('GA55 Check &amp; Edit'!S16=""),"",'GA55 Check &amp; Edit'!S16)</f>
        <v>658</v>
      </c>
      <c r="R14" s="61">
        <f>IF(AND('GA55 Check &amp; Edit'!T16=""),"",'GA55 Check &amp; Edit'!T16)</f>
        <v>0</v>
      </c>
      <c r="S14" s="61">
        <f>IF(AND('GA55 Check &amp; Edit'!U16=""),"",'GA55 Check &amp; Edit'!U16)</f>
        <v>0</v>
      </c>
      <c r="T14" s="61">
        <f>IF(AND('GA55 Check &amp; Edit'!V16=""),"",'GA55 Check &amp; Edit'!V16)</f>
        <v>0</v>
      </c>
      <c r="U14" s="61">
        <f>IF(AND('GA55 Check &amp; Edit'!W16=""),"",'GA55 Check &amp; Edit'!W16)</f>
        <v>0</v>
      </c>
      <c r="V14" s="61" t="str">
        <f>IF(AND('GA55 Check &amp; Edit'!X16=""),"",'GA55 Check &amp; Edit'!X16)</f>
        <v/>
      </c>
      <c r="W14" s="61">
        <f>IF(AND('GA55 Check &amp; Edit'!Y16=""),"",'GA55 Check &amp; Edit'!Y16)</f>
        <v>0</v>
      </c>
      <c r="X14" s="61">
        <f>IF(AND('GA55 Check &amp; Edit'!Z16=""),"",'GA55 Check &amp; Edit'!Z16)</f>
        <v>5000</v>
      </c>
      <c r="Y14" s="61" t="str">
        <f>IF(AND('GA55 Check &amp; Edit'!AA16=""),"",'GA55 Check &amp; Edit'!AA16)</f>
        <v/>
      </c>
      <c r="Z14" s="61">
        <f>IF(AND('GA55 Check &amp; Edit'!AB16=""),"",'GA55 Check &amp; Edit'!AB16)</f>
        <v>18113</v>
      </c>
      <c r="AA14" s="61">
        <f>IF(AND('GA55 Check &amp; Edit'!AC16=""),"",'GA55 Check &amp; Edit'!AC16)</f>
        <v>61120</v>
      </c>
      <c r="AB14" s="61" t="str">
        <f>IF(AND('GA55 Check &amp; Edit'!AD16=""),"",'GA55 Check &amp; Edit'!AD16)</f>
        <v/>
      </c>
      <c r="AC14" s="1014" t="str">
        <f>IF(AND('GA55 Check &amp; Edit'!AE16=""),"",'GA55 Check &amp; Edit'!AE16)</f>
        <v/>
      </c>
      <c r="AF14" s="62"/>
    </row>
    <row r="15" spans="1:33" ht="21.95" customHeight="1">
      <c r="A15" s="60">
        <v>10</v>
      </c>
      <c r="B15" s="122">
        <f>IF(AND('GA55 Check &amp; Edit'!D17=""),"",'GA55 Check &amp; Edit'!D17)</f>
        <v>44896</v>
      </c>
      <c r="C15" s="61">
        <f>IF(AND('GA55 Check &amp; Edit'!E17=""),"",'GA55 Check &amp; Edit'!E17)</f>
        <v>53900</v>
      </c>
      <c r="D15" s="61">
        <f>IF(AND('GA55 Check &amp; Edit'!F17=""),"",'GA55 Check &amp; Edit'!F17)</f>
        <v>20482</v>
      </c>
      <c r="E15" s="61">
        <f>IF(AND('GA55 Check &amp; Edit'!G17=""),"",'GA55 Check &amp; Edit'!G17)</f>
        <v>4851</v>
      </c>
      <c r="F15" s="61">
        <f>IF(AND('GA55 Check &amp; Edit'!H17=""),"",'GA55 Check &amp; Edit'!H17)</f>
        <v>0</v>
      </c>
      <c r="G15" s="61" t="str">
        <f>IF(AND('GA55 Check &amp; Edit'!I17=""),"",'GA55 Check &amp; Edit'!I17)</f>
        <v>0</v>
      </c>
      <c r="H15" s="61" t="str">
        <f>IF(AND('GA55 Check &amp; Edit'!J17=""),"",'GA55 Check &amp; Edit'!J17)</f>
        <v/>
      </c>
      <c r="I15" s="61">
        <f>IF(AND('GA55 Check &amp; Edit'!K17=""),"",'GA55 Check &amp; Edit'!K17)</f>
        <v>0</v>
      </c>
      <c r="J15" s="61">
        <f>IF(AND('GA55 Check &amp; Edit'!L17=""),"",'GA55 Check &amp; Edit'!L17)</f>
        <v>0</v>
      </c>
      <c r="K15" s="61">
        <f>IF(AND('GA55 Check &amp; Edit'!M17=""),"",'GA55 Check &amp; Edit'!M17)</f>
        <v>0</v>
      </c>
      <c r="L15" s="61" t="str">
        <f>IF(AND('GA55 Check &amp; Edit'!N17=""),"",'GA55 Check &amp; Edit'!N17)</f>
        <v/>
      </c>
      <c r="M15" s="61">
        <f>IF(AND('GA55 Check &amp; Edit'!O17=""),"",'GA55 Check &amp; Edit'!O17)</f>
        <v>79233</v>
      </c>
      <c r="N15" s="61">
        <f>IF(AND('GA55 Check &amp; Edit'!P17=""),"",'GA55 Check &amp; Edit'!P17)</f>
        <v>7000</v>
      </c>
      <c r="O15" s="61">
        <f>IF(AND('GA55 Check &amp; Edit'!Q17=""),"",'GA55 Check &amp; Edit'!Q17)</f>
        <v>3575</v>
      </c>
      <c r="P15" s="61">
        <f>IF(AND('GA55 Check &amp; Edit'!R17=""),"",'GA55 Check &amp; Edit'!R17)</f>
        <v>1880</v>
      </c>
      <c r="Q15" s="61">
        <f>IF(AND('GA55 Check &amp; Edit'!S17=""),"",'GA55 Check &amp; Edit'!S17)</f>
        <v>658</v>
      </c>
      <c r="R15" s="61">
        <f>IF(AND('GA55 Check &amp; Edit'!T17=""),"",'GA55 Check &amp; Edit'!T17)</f>
        <v>0</v>
      </c>
      <c r="S15" s="61">
        <f>IF(AND('GA55 Check &amp; Edit'!U17=""),"",'GA55 Check &amp; Edit'!U17)</f>
        <v>0</v>
      </c>
      <c r="T15" s="61">
        <f>IF(AND('GA55 Check &amp; Edit'!V17=""),"",'GA55 Check &amp; Edit'!V17)</f>
        <v>0</v>
      </c>
      <c r="U15" s="61">
        <f>IF(AND('GA55 Check &amp; Edit'!W17=""),"",'GA55 Check &amp; Edit'!W17)</f>
        <v>0</v>
      </c>
      <c r="V15" s="61">
        <f>IF(AND('GA55 Check &amp; Edit'!X17=""),"",'GA55 Check &amp; Edit'!X17)</f>
        <v>250</v>
      </c>
      <c r="W15" s="61">
        <f>IF(AND('GA55 Check &amp; Edit'!Y17=""),"",'GA55 Check &amp; Edit'!Y17)</f>
        <v>0</v>
      </c>
      <c r="X15" s="61">
        <f>IF(AND('GA55 Check &amp; Edit'!Z17=""),"",'GA55 Check &amp; Edit'!Z17)</f>
        <v>5000</v>
      </c>
      <c r="Y15" s="61" t="str">
        <f>IF(AND('GA55 Check &amp; Edit'!AA17=""),"",'GA55 Check &amp; Edit'!AA17)</f>
        <v/>
      </c>
      <c r="Z15" s="61">
        <f>IF(AND('GA55 Check &amp; Edit'!AB17=""),"",'GA55 Check &amp; Edit'!AB17)</f>
        <v>18363</v>
      </c>
      <c r="AA15" s="61">
        <f>IF(AND('GA55 Check &amp; Edit'!AC17=""),"",'GA55 Check &amp; Edit'!AC17)</f>
        <v>60870</v>
      </c>
      <c r="AB15" s="61" t="str">
        <f>IF(AND('GA55 Check &amp; Edit'!AD17=""),"",'GA55 Check &amp; Edit'!AD17)</f>
        <v/>
      </c>
      <c r="AC15" s="1014" t="str">
        <f>IF(AND('GA55 Check &amp; Edit'!AE17=""),"",'GA55 Check &amp; Edit'!AE17)</f>
        <v/>
      </c>
    </row>
    <row r="16" spans="1:33" ht="21.95" customHeight="1">
      <c r="A16" s="60">
        <v>11</v>
      </c>
      <c r="B16" s="122">
        <f>IF(AND('GA55 Check &amp; Edit'!D18=""),"",'GA55 Check &amp; Edit'!D18)</f>
        <v>44927</v>
      </c>
      <c r="C16" s="61">
        <f>IF(AND('GA55 Check &amp; Edit'!E18=""),"",'GA55 Check &amp; Edit'!E18)</f>
        <v>53900</v>
      </c>
      <c r="D16" s="61">
        <f>IF(AND('GA55 Check &amp; Edit'!F18=""),"",'GA55 Check &amp; Edit'!F18)</f>
        <v>20482</v>
      </c>
      <c r="E16" s="61">
        <f>IF(AND('GA55 Check &amp; Edit'!G18=""),"",'GA55 Check &amp; Edit'!G18)</f>
        <v>4851</v>
      </c>
      <c r="F16" s="61">
        <f>IF(AND('GA55 Check &amp; Edit'!H18=""),"",'GA55 Check &amp; Edit'!H18)</f>
        <v>0</v>
      </c>
      <c r="G16" s="61" t="str">
        <f>IF(AND('GA55 Check &amp; Edit'!I18=""),"",'GA55 Check &amp; Edit'!I18)</f>
        <v>0</v>
      </c>
      <c r="H16" s="61" t="str">
        <f>IF(AND('GA55 Check &amp; Edit'!J18=""),"",'GA55 Check &amp; Edit'!J18)</f>
        <v/>
      </c>
      <c r="I16" s="61">
        <f>IF(AND('GA55 Check &amp; Edit'!K18=""),"",'GA55 Check &amp; Edit'!K18)</f>
        <v>0</v>
      </c>
      <c r="J16" s="61">
        <f>IF(AND('GA55 Check &amp; Edit'!L18=""),"",'GA55 Check &amp; Edit'!L18)</f>
        <v>0</v>
      </c>
      <c r="K16" s="61">
        <f>IF(AND('GA55 Check &amp; Edit'!M18=""),"",'GA55 Check &amp; Edit'!M18)</f>
        <v>0</v>
      </c>
      <c r="L16" s="61" t="str">
        <f>IF(AND('GA55 Check &amp; Edit'!N18=""),"",'GA55 Check &amp; Edit'!N18)</f>
        <v/>
      </c>
      <c r="M16" s="61">
        <f>IF(AND('GA55 Check &amp; Edit'!O18=""),"",'GA55 Check &amp; Edit'!O18)</f>
        <v>79233</v>
      </c>
      <c r="N16" s="61">
        <f>IF(AND('GA55 Check &amp; Edit'!P18=""),"",'GA55 Check &amp; Edit'!P18)</f>
        <v>7000</v>
      </c>
      <c r="O16" s="61">
        <f>IF(AND('GA55 Check &amp; Edit'!Q18=""),"",'GA55 Check &amp; Edit'!Q18)</f>
        <v>3575</v>
      </c>
      <c r="P16" s="61">
        <f>IF(AND('GA55 Check &amp; Edit'!R18=""),"",'GA55 Check &amp; Edit'!R18)</f>
        <v>1880</v>
      </c>
      <c r="Q16" s="61">
        <f>IF(AND('GA55 Check &amp; Edit'!S18=""),"",'GA55 Check &amp; Edit'!S18)</f>
        <v>658</v>
      </c>
      <c r="R16" s="61">
        <f>IF(AND('GA55 Check &amp; Edit'!T18=""),"",'GA55 Check &amp; Edit'!T18)</f>
        <v>0</v>
      </c>
      <c r="S16" s="61">
        <f>IF(AND('GA55 Check &amp; Edit'!U18=""),"",'GA55 Check &amp; Edit'!U18)</f>
        <v>0</v>
      </c>
      <c r="T16" s="61">
        <f>IF(AND('GA55 Check &amp; Edit'!V18=""),"",'GA55 Check &amp; Edit'!V18)</f>
        <v>0</v>
      </c>
      <c r="U16" s="61">
        <f>IF(AND('GA55 Check &amp; Edit'!W18=""),"",'GA55 Check &amp; Edit'!W18)</f>
        <v>0</v>
      </c>
      <c r="V16" s="61" t="str">
        <f>IF(AND('GA55 Check &amp; Edit'!X18=""),"",'GA55 Check &amp; Edit'!X18)</f>
        <v/>
      </c>
      <c r="W16" s="61">
        <f>IF(AND('GA55 Check &amp; Edit'!Y18=""),"",'GA55 Check &amp; Edit'!Y18)</f>
        <v>0</v>
      </c>
      <c r="X16" s="61">
        <f>IF(AND('GA55 Check &amp; Edit'!Z18=""),"",'GA55 Check &amp; Edit'!Z18)</f>
        <v>5000</v>
      </c>
      <c r="Y16" s="61" t="str">
        <f>IF(AND('GA55 Check &amp; Edit'!AA18=""),"",'GA55 Check &amp; Edit'!AA18)</f>
        <v/>
      </c>
      <c r="Z16" s="61">
        <f>IF(AND('GA55 Check &amp; Edit'!AB18=""),"",'GA55 Check &amp; Edit'!AB18)</f>
        <v>18113</v>
      </c>
      <c r="AA16" s="61">
        <f>IF(AND('GA55 Check &amp; Edit'!AC18=""),"",'GA55 Check &amp; Edit'!AC18)</f>
        <v>61120</v>
      </c>
      <c r="AB16" s="61" t="str">
        <f>IF(AND('GA55 Check &amp; Edit'!AD18=""),"",'GA55 Check &amp; Edit'!AD18)</f>
        <v/>
      </c>
      <c r="AC16" s="1014" t="str">
        <f>IF(AND('GA55 Check &amp; Edit'!AE18=""),"",'GA55 Check &amp; Edit'!AE18)</f>
        <v/>
      </c>
    </row>
    <row r="17" spans="1:29" ht="21.95" customHeight="1">
      <c r="A17" s="60">
        <v>12</v>
      </c>
      <c r="B17" s="122">
        <f>IF(AND('GA55 Check &amp; Edit'!D19=""),"",'GA55 Check &amp; Edit'!D19)</f>
        <v>44958</v>
      </c>
      <c r="C17" s="61">
        <f>IF(AND('GA55 Check &amp; Edit'!E19=""),"",'GA55 Check &amp; Edit'!E19)</f>
        <v>53900</v>
      </c>
      <c r="D17" s="61">
        <f>IF(AND('GA55 Check &amp; Edit'!F19=""),"",'GA55 Check &amp; Edit'!F19)</f>
        <v>20482</v>
      </c>
      <c r="E17" s="61">
        <f>IF(AND('GA55 Check &amp; Edit'!G19=""),"",'GA55 Check &amp; Edit'!G19)</f>
        <v>4851</v>
      </c>
      <c r="F17" s="61">
        <f>IF(AND('GA55 Check &amp; Edit'!H19=""),"",'GA55 Check &amp; Edit'!H19)</f>
        <v>0</v>
      </c>
      <c r="G17" s="61" t="str">
        <f>IF(AND('GA55 Check &amp; Edit'!I19=""),"",'GA55 Check &amp; Edit'!I19)</f>
        <v>0</v>
      </c>
      <c r="H17" s="61" t="str">
        <f>IF(AND('GA55 Check &amp; Edit'!J19=""),"",'GA55 Check &amp; Edit'!J19)</f>
        <v/>
      </c>
      <c r="I17" s="61">
        <f>IF(AND('GA55 Check &amp; Edit'!K19=""),"",'GA55 Check &amp; Edit'!K19)</f>
        <v>0</v>
      </c>
      <c r="J17" s="61">
        <f>IF(AND('GA55 Check &amp; Edit'!L19=""),"",'GA55 Check &amp; Edit'!L19)</f>
        <v>0</v>
      </c>
      <c r="K17" s="61">
        <f>IF(AND('GA55 Check &amp; Edit'!M19=""),"",'GA55 Check &amp; Edit'!M19)</f>
        <v>0</v>
      </c>
      <c r="L17" s="61" t="str">
        <f>IF(AND('GA55 Check &amp; Edit'!N19=""),"",'GA55 Check &amp; Edit'!N19)</f>
        <v/>
      </c>
      <c r="M17" s="61">
        <f>IF(AND('GA55 Check &amp; Edit'!O19=""),"",'GA55 Check &amp; Edit'!O19)</f>
        <v>79233</v>
      </c>
      <c r="N17" s="61">
        <f>IF(AND('GA55 Check &amp; Edit'!P19=""),"",'GA55 Check &amp; Edit'!P19)</f>
        <v>7000</v>
      </c>
      <c r="O17" s="61">
        <f>IF(AND('GA55 Check &amp; Edit'!Q19=""),"",'GA55 Check &amp; Edit'!Q19)</f>
        <v>3575</v>
      </c>
      <c r="P17" s="61">
        <f>IF(AND('GA55 Check &amp; Edit'!R19=""),"",'GA55 Check &amp; Edit'!R19)</f>
        <v>1880</v>
      </c>
      <c r="Q17" s="61">
        <f>IF(AND('GA55 Check &amp; Edit'!S19=""),"",'GA55 Check &amp; Edit'!S19)</f>
        <v>658</v>
      </c>
      <c r="R17" s="61">
        <f>IF(AND('GA55 Check &amp; Edit'!T19=""),"",'GA55 Check &amp; Edit'!T19)</f>
        <v>0</v>
      </c>
      <c r="S17" s="61">
        <f>IF(AND('GA55 Check &amp; Edit'!U19=""),"",'GA55 Check &amp; Edit'!U19)</f>
        <v>0</v>
      </c>
      <c r="T17" s="61">
        <f>IF(AND('GA55 Check &amp; Edit'!V19=""),"",'GA55 Check &amp; Edit'!V19)</f>
        <v>0</v>
      </c>
      <c r="U17" s="61">
        <f>IF(AND('GA55 Check &amp; Edit'!W19=""),"",'GA55 Check &amp; Edit'!W19)</f>
        <v>0</v>
      </c>
      <c r="V17" s="61" t="str">
        <f>IF(AND('GA55 Check &amp; Edit'!X19=""),"",'GA55 Check &amp; Edit'!X19)</f>
        <v/>
      </c>
      <c r="W17" s="61">
        <f>IF(AND('GA55 Check &amp; Edit'!Y19=""),"",'GA55 Check &amp; Edit'!Y19)</f>
        <v>0</v>
      </c>
      <c r="X17" s="61">
        <f>IF(AND('GA55 Check &amp; Edit'!Z19=""),"",'GA55 Check &amp; Edit'!Z19)</f>
        <v>5000</v>
      </c>
      <c r="Y17" s="61" t="str">
        <f>IF(AND('GA55 Check &amp; Edit'!AA19=""),"",'GA55 Check &amp; Edit'!AA19)</f>
        <v/>
      </c>
      <c r="Z17" s="61">
        <f>IF(AND('GA55 Check &amp; Edit'!AB19=""),"",'GA55 Check &amp; Edit'!AB19)</f>
        <v>18113</v>
      </c>
      <c r="AA17" s="61">
        <f>IF(AND('GA55 Check &amp; Edit'!AC19=""),"",'GA55 Check &amp; Edit'!AC19)</f>
        <v>61120</v>
      </c>
      <c r="AB17" s="61" t="str">
        <f>IF(AND('GA55 Check &amp; Edit'!AD19=""),"",'GA55 Check &amp; Edit'!AD19)</f>
        <v/>
      </c>
      <c r="AC17" s="1014" t="str">
        <f>IF(AND('GA55 Check &amp; Edit'!AE19=""),"",'GA55 Check &amp; Edit'!AE19)</f>
        <v/>
      </c>
    </row>
    <row r="18" spans="1:29" ht="21.95" customHeight="1">
      <c r="A18" s="60">
        <v>13</v>
      </c>
      <c r="B18" s="122" t="str">
        <f>IF(AND('GA55 Check &amp; Edit'!D20=""),"",'GA55 Check &amp; Edit'!D20)</f>
        <v>Bonus</v>
      </c>
      <c r="C18" s="61" t="str">
        <f>IF(AND('GA55 Check &amp; Edit'!E20=""),"",'GA55 Check &amp; Edit'!E20)</f>
        <v/>
      </c>
      <c r="D18" s="61" t="str">
        <f>IF(AND('GA55 Check &amp; Edit'!F20=""),"",'GA55 Check &amp; Edit'!F20)</f>
        <v/>
      </c>
      <c r="E18" s="61" t="str">
        <f>IF(AND('GA55 Check &amp; Edit'!G20=""),"",'GA55 Check &amp; Edit'!G20)</f>
        <v/>
      </c>
      <c r="F18" s="61" t="str">
        <f>IF(AND('GA55 Check &amp; Edit'!H20=""),"",'GA55 Check &amp; Edit'!H20)</f>
        <v/>
      </c>
      <c r="G18" s="61" t="str">
        <f>IF(AND('GA55 Check &amp; Edit'!I20=""),"",'GA55 Check &amp; Edit'!I20)</f>
        <v/>
      </c>
      <c r="H18" s="61" t="str">
        <f>IF(AND('GA55 Check &amp; Edit'!J20=""),"",'GA55 Check &amp; Edit'!J20)</f>
        <v/>
      </c>
      <c r="I18" s="61" t="str">
        <f>IF(AND('GA55 Check &amp; Edit'!K20=""),"",'GA55 Check &amp; Edit'!K20)</f>
        <v/>
      </c>
      <c r="J18" s="61" t="str">
        <f>IF(AND('GA55 Check &amp; Edit'!L20=""),"",'GA55 Check &amp; Edit'!L20)</f>
        <v/>
      </c>
      <c r="K18" s="61" t="str">
        <f>IF(AND('GA55 Check &amp; Edit'!M20=""),"",'GA55 Check &amp; Edit'!M20)</f>
        <v/>
      </c>
      <c r="L18" s="61">
        <f>IF(AND('GA55 Check &amp; Edit'!N20=""),"",'GA55 Check &amp; Edit'!N20)</f>
        <v>6774</v>
      </c>
      <c r="M18" s="61">
        <f>IF(AND('GA55 Check &amp; Edit'!O20=""),"",'GA55 Check &amp; Edit'!O20)</f>
        <v>6774</v>
      </c>
      <c r="N18" s="61" t="str">
        <f>IF(AND('GA55 Check &amp; Edit'!P20=""),"",'GA55 Check &amp; Edit'!P20)</f>
        <v/>
      </c>
      <c r="O18" s="61">
        <f>IF(AND('GA55 Check &amp; Edit'!Q20=""),"",'GA55 Check &amp; Edit'!Q20)</f>
        <v>1694</v>
      </c>
      <c r="P18" s="61" t="str">
        <f>IF(AND('GA55 Check &amp; Edit'!R20=""),"",'GA55 Check &amp; Edit'!R20)</f>
        <v/>
      </c>
      <c r="Q18" s="61" t="str">
        <f>IF(AND('GA55 Check &amp; Edit'!S20=""),"",'GA55 Check &amp; Edit'!S20)</f>
        <v/>
      </c>
      <c r="R18" s="61" t="str">
        <f>IF(AND('GA55 Check &amp; Edit'!T20=""),"",'GA55 Check &amp; Edit'!T20)</f>
        <v/>
      </c>
      <c r="S18" s="61" t="str">
        <f>IF(AND('GA55 Check &amp; Edit'!U20=""),"",'GA55 Check &amp; Edit'!U20)</f>
        <v/>
      </c>
      <c r="T18" s="61" t="str">
        <f>IF(AND('GA55 Check &amp; Edit'!V20=""),"",'GA55 Check &amp; Edit'!V20)</f>
        <v/>
      </c>
      <c r="U18" s="61" t="str">
        <f>IF(AND('GA55 Check &amp; Edit'!W20=""),"",'GA55 Check &amp; Edit'!W20)</f>
        <v/>
      </c>
      <c r="V18" s="61" t="str">
        <f>IF(AND('GA55 Check &amp; Edit'!X20=""),"",'GA55 Check &amp; Edit'!X20)</f>
        <v/>
      </c>
      <c r="W18" s="61" t="str">
        <f>IF(AND('GA55 Check &amp; Edit'!Y20=""),"",'GA55 Check &amp; Edit'!Y20)</f>
        <v/>
      </c>
      <c r="X18" s="61" t="str">
        <f>IF(AND('GA55 Check &amp; Edit'!Z20=""),"",'GA55 Check &amp; Edit'!Z20)</f>
        <v/>
      </c>
      <c r="Y18" s="61" t="str">
        <f>IF(AND('GA55 Check &amp; Edit'!AA20=""),"",'GA55 Check &amp; Edit'!AA20)</f>
        <v/>
      </c>
      <c r="Z18" s="61">
        <f>IF(AND('GA55 Check &amp; Edit'!AB20=""),"",'GA55 Check &amp; Edit'!AB20)</f>
        <v>1694</v>
      </c>
      <c r="AA18" s="61">
        <f>IF(AND('GA55 Check &amp; Edit'!AC20=""),"",'GA55 Check &amp; Edit'!AC20)</f>
        <v>5080</v>
      </c>
      <c r="AB18" s="61" t="str">
        <f>IF(AND('GA55 Check &amp; Edit'!AD20=""),"",'GA55 Check &amp; Edit'!AD20)</f>
        <v/>
      </c>
      <c r="AC18" s="1014" t="str">
        <f>IF(AND('GA55 Check &amp; Edit'!AE20=""),"",'GA55 Check &amp; Edit'!AE20)</f>
        <v/>
      </c>
    </row>
    <row r="19" spans="1:29" ht="21.95" customHeight="1">
      <c r="A19" s="60">
        <v>14</v>
      </c>
      <c r="B19" s="122" t="str">
        <f>IF(AND('GA55 Check &amp; Edit'!D21=""),"",'GA55 Check &amp; Edit'!D21)</f>
        <v>PL Surrender</v>
      </c>
      <c r="C19" s="61" t="str">
        <f>IF(AND('GA55 Check &amp; Edit'!E21=""),"",'GA55 Check &amp; Edit'!E21)</f>
        <v/>
      </c>
      <c r="D19" s="61" t="str">
        <f>IF(AND('GA55 Check &amp; Edit'!F21=""),"",'GA55 Check &amp; Edit'!F21)</f>
        <v/>
      </c>
      <c r="E19" s="61" t="str">
        <f>IF(AND('GA55 Check &amp; Edit'!G21=""),"",'GA55 Check &amp; Edit'!G21)</f>
        <v/>
      </c>
      <c r="F19" s="61" t="str">
        <f>IF(AND('GA55 Check &amp; Edit'!H21=""),"",'GA55 Check &amp; Edit'!H21)</f>
        <v/>
      </c>
      <c r="G19" s="61" t="str">
        <f>IF(AND('GA55 Check &amp; Edit'!I21=""),"",'GA55 Check &amp; Edit'!I21)</f>
        <v/>
      </c>
      <c r="H19" s="61" t="str">
        <f>IF(AND('GA55 Check &amp; Edit'!J21=""),"",'GA55 Check &amp; Edit'!J21)</f>
        <v/>
      </c>
      <c r="I19" s="61" t="str">
        <f>IF(AND('GA55 Check &amp; Edit'!K21=""),"",'GA55 Check &amp; Edit'!K21)</f>
        <v/>
      </c>
      <c r="J19" s="61" t="str">
        <f>IF(AND('GA55 Check &amp; Edit'!L21=""),"",'GA55 Check &amp; Edit'!L21)</f>
        <v/>
      </c>
      <c r="K19" s="61" t="str">
        <f>IF(AND('GA55 Check &amp; Edit'!M21=""),"",'GA55 Check &amp; Edit'!M21)</f>
        <v/>
      </c>
      <c r="L19" s="61" t="str">
        <f>IF(AND('GA55 Check &amp; Edit'!N21=""),"",'GA55 Check &amp; Edit'!N21)</f>
        <v/>
      </c>
      <c r="M19" s="61">
        <f>IF(AND('GA55 Check &amp; Edit'!O21=""),"",'GA55 Check &amp; Edit'!O21)</f>
        <v>0</v>
      </c>
      <c r="N19" s="61" t="str">
        <f>IF(AND('GA55 Check &amp; Edit'!P21=""),"",'GA55 Check &amp; Edit'!P21)</f>
        <v/>
      </c>
      <c r="O19" s="61" t="str">
        <f>IF(AND('GA55 Check &amp; Edit'!Q21=""),"",'GA55 Check &amp; Edit'!Q21)</f>
        <v/>
      </c>
      <c r="P19" s="61" t="str">
        <f>IF(AND('GA55 Check &amp; Edit'!R21=""),"",'GA55 Check &amp; Edit'!R21)</f>
        <v/>
      </c>
      <c r="Q19" s="61" t="str">
        <f>IF(AND('GA55 Check &amp; Edit'!S21=""),"",'GA55 Check &amp; Edit'!S21)</f>
        <v/>
      </c>
      <c r="R19" s="61" t="str">
        <f>IF(AND('GA55 Check &amp; Edit'!T21=""),"",'GA55 Check &amp; Edit'!T21)</f>
        <v/>
      </c>
      <c r="S19" s="61" t="str">
        <f>IF(AND('GA55 Check &amp; Edit'!U21=""),"",'GA55 Check &amp; Edit'!U21)</f>
        <v/>
      </c>
      <c r="T19" s="61" t="str">
        <f>IF(AND('GA55 Check &amp; Edit'!V21=""),"",'GA55 Check &amp; Edit'!V21)</f>
        <v/>
      </c>
      <c r="U19" s="61" t="str">
        <f>IF(AND('GA55 Check &amp; Edit'!W21=""),"",'GA55 Check &amp; Edit'!W21)</f>
        <v/>
      </c>
      <c r="V19" s="61" t="str">
        <f>IF(AND('GA55 Check &amp; Edit'!X21=""),"",'GA55 Check &amp; Edit'!X21)</f>
        <v/>
      </c>
      <c r="W19" s="61" t="str">
        <f>IF(AND('GA55 Check &amp; Edit'!Y21=""),"",'GA55 Check &amp; Edit'!Y21)</f>
        <v/>
      </c>
      <c r="X19" s="61" t="str">
        <f>IF(AND('GA55 Check &amp; Edit'!Z21=""),"",'GA55 Check &amp; Edit'!Z21)</f>
        <v/>
      </c>
      <c r="Y19" s="61" t="str">
        <f>IF(AND('GA55 Check &amp; Edit'!AA21=""),"",'GA55 Check &amp; Edit'!AA21)</f>
        <v/>
      </c>
      <c r="Z19" s="61">
        <f>IF(AND('GA55 Check &amp; Edit'!AB21=""),"",'GA55 Check &amp; Edit'!AB21)</f>
        <v>0</v>
      </c>
      <c r="AA19" s="61">
        <f>IF(AND('GA55 Check &amp; Edit'!AC21=""),"",'GA55 Check &amp; Edit'!AC21)</f>
        <v>0</v>
      </c>
      <c r="AB19" s="61" t="str">
        <f>IF(AND('GA55 Check &amp; Edit'!AD21=""),"",'GA55 Check &amp; Edit'!AD21)</f>
        <v/>
      </c>
      <c r="AC19" s="1014" t="str">
        <f>IF(AND('GA55 Check &amp; Edit'!AE21=""),"",'GA55 Check &amp; Edit'!AE21)</f>
        <v/>
      </c>
    </row>
    <row r="20" spans="1:29" ht="21.95" customHeight="1">
      <c r="A20" s="60">
        <v>15</v>
      </c>
      <c r="B20" s="122" t="str">
        <f>IF(AND('GA55 Check &amp; Edit'!D22=""),"",'GA55 Check &amp; Edit'!D22)</f>
        <v>DA Arrear 31 to 34%</v>
      </c>
      <c r="C20" s="61" t="str">
        <f>IF(AND('GA55 Check &amp; Edit'!E22=""),"",'GA55 Check &amp; Edit'!E22)</f>
        <v/>
      </c>
      <c r="D20" s="61">
        <f>IF(AND('GA55 Check &amp; Edit'!F22=""),"",'GA55 Check &amp; Edit'!F22)</f>
        <v>4707</v>
      </c>
      <c r="E20" s="61" t="str">
        <f>IF(AND('GA55 Check &amp; Edit'!G22=""),"",'GA55 Check &amp; Edit'!G22)</f>
        <v/>
      </c>
      <c r="F20" s="61" t="str">
        <f>IF(AND('GA55 Check &amp; Edit'!H22=""),"",'GA55 Check &amp; Edit'!H22)</f>
        <v/>
      </c>
      <c r="G20" s="61" t="str">
        <f>IF(AND('GA55 Check &amp; Edit'!I22=""),"",'GA55 Check &amp; Edit'!I22)</f>
        <v/>
      </c>
      <c r="H20" s="61" t="str">
        <f>IF(AND('GA55 Check &amp; Edit'!J22=""),"",'GA55 Check &amp; Edit'!J22)</f>
        <v/>
      </c>
      <c r="I20" s="61" t="str">
        <f>IF(AND('GA55 Check &amp; Edit'!K22=""),"",'GA55 Check &amp; Edit'!K22)</f>
        <v/>
      </c>
      <c r="J20" s="61" t="str">
        <f>IF(AND('GA55 Check &amp; Edit'!L22=""),"",'GA55 Check &amp; Edit'!L22)</f>
        <v/>
      </c>
      <c r="K20" s="61" t="str">
        <f>IF(AND('GA55 Check &amp; Edit'!M22=""),"",'GA55 Check &amp; Edit'!M22)</f>
        <v/>
      </c>
      <c r="L20" s="61" t="str">
        <f>IF(AND('GA55 Check &amp; Edit'!N22=""),"",'GA55 Check &amp; Edit'!N22)</f>
        <v/>
      </c>
      <c r="M20" s="61">
        <f>IF(AND('GA55 Check &amp; Edit'!O22=""),"",'GA55 Check &amp; Edit'!O22)</f>
        <v>4707</v>
      </c>
      <c r="N20" s="61" t="str">
        <f>IF(AND('GA55 Check &amp; Edit'!P22=""),"",'GA55 Check &amp; Edit'!P22)</f>
        <v/>
      </c>
      <c r="O20" s="61">
        <f>IF(AND('GA55 Check &amp; Edit'!Q22=""),"",'GA55 Check &amp; Edit'!Q22)</f>
        <v>4707</v>
      </c>
      <c r="P20" s="61" t="str">
        <f>IF(AND('GA55 Check &amp; Edit'!R22=""),"",'GA55 Check &amp; Edit'!R22)</f>
        <v/>
      </c>
      <c r="Q20" s="61" t="str">
        <f>IF(AND('GA55 Check &amp; Edit'!S22=""),"",'GA55 Check &amp; Edit'!S22)</f>
        <v/>
      </c>
      <c r="R20" s="61" t="str">
        <f>IF(AND('GA55 Check &amp; Edit'!T22=""),"",'GA55 Check &amp; Edit'!T22)</f>
        <v/>
      </c>
      <c r="S20" s="61" t="str">
        <f>IF(AND('GA55 Check &amp; Edit'!U22=""),"",'GA55 Check &amp; Edit'!U22)</f>
        <v/>
      </c>
      <c r="T20" s="61" t="str">
        <f>IF(AND('GA55 Check &amp; Edit'!V22=""),"",'GA55 Check &amp; Edit'!V22)</f>
        <v/>
      </c>
      <c r="U20" s="61" t="str">
        <f>IF(AND('GA55 Check &amp; Edit'!W22=""),"",'GA55 Check &amp; Edit'!W22)</f>
        <v/>
      </c>
      <c r="V20" s="61" t="str">
        <f>IF(AND('GA55 Check &amp; Edit'!X22=""),"",'GA55 Check &amp; Edit'!X22)</f>
        <v/>
      </c>
      <c r="W20" s="61" t="str">
        <f>IF(AND('GA55 Check &amp; Edit'!Y22=""),"",'GA55 Check &amp; Edit'!Y22)</f>
        <v/>
      </c>
      <c r="X20" s="61" t="str">
        <f>IF(AND('GA55 Check &amp; Edit'!Z22=""),"",'GA55 Check &amp; Edit'!Z22)</f>
        <v/>
      </c>
      <c r="Y20" s="61" t="str">
        <f>IF(AND('GA55 Check &amp; Edit'!AA22=""),"",'GA55 Check &amp; Edit'!AA22)</f>
        <v/>
      </c>
      <c r="Z20" s="61">
        <f>IF(AND('GA55 Check &amp; Edit'!AB22=""),"",'GA55 Check &amp; Edit'!AB22)</f>
        <v>4707</v>
      </c>
      <c r="AA20" s="61">
        <f>IF(AND('GA55 Check &amp; Edit'!AC22=""),"",'GA55 Check &amp; Edit'!AC22)</f>
        <v>0</v>
      </c>
      <c r="AB20" s="61" t="str">
        <f>IF(AND('GA55 Check &amp; Edit'!AD22=""),"",'GA55 Check &amp; Edit'!AD22)</f>
        <v/>
      </c>
      <c r="AC20" s="1014" t="str">
        <f>IF(AND('GA55 Check &amp; Edit'!AE22=""),"",'GA55 Check &amp; Edit'!AE22)</f>
        <v/>
      </c>
    </row>
    <row r="21" spans="1:29" ht="21.95" customHeight="1">
      <c r="A21" s="60">
        <v>16</v>
      </c>
      <c r="B21" s="122" t="str">
        <f>IF(AND('GA55 Check &amp; Edit'!D23=""),"",'GA55 Check &amp; Edit'!D23)</f>
        <v>DA Arrear 34 to 38%</v>
      </c>
      <c r="C21" s="61" t="str">
        <f>IF(AND('GA55 Check &amp; Edit'!E23=""),"",'GA55 Check &amp; Edit'!E23)</f>
        <v/>
      </c>
      <c r="D21" s="61">
        <f>IF(AND('GA55 Check &amp; Edit'!F23=""),"",'GA55 Check &amp; Edit'!F23)</f>
        <v>6468</v>
      </c>
      <c r="E21" s="61" t="str">
        <f>IF(AND('GA55 Check &amp; Edit'!G23=""),"",'GA55 Check &amp; Edit'!G23)</f>
        <v/>
      </c>
      <c r="F21" s="61" t="str">
        <f>IF(AND('GA55 Check &amp; Edit'!H23=""),"",'GA55 Check &amp; Edit'!H23)</f>
        <v/>
      </c>
      <c r="G21" s="61" t="str">
        <f>IF(AND('GA55 Check &amp; Edit'!I23=""),"",'GA55 Check &amp; Edit'!I23)</f>
        <v/>
      </c>
      <c r="H21" s="61" t="str">
        <f>IF(AND('GA55 Check &amp; Edit'!J23=""),"",'GA55 Check &amp; Edit'!J23)</f>
        <v/>
      </c>
      <c r="I21" s="61" t="str">
        <f>IF(AND('GA55 Check &amp; Edit'!K23=""),"",'GA55 Check &amp; Edit'!K23)</f>
        <v/>
      </c>
      <c r="J21" s="61" t="str">
        <f>IF(AND('GA55 Check &amp; Edit'!L23=""),"",'GA55 Check &amp; Edit'!L23)</f>
        <v/>
      </c>
      <c r="K21" s="61" t="str">
        <f>IF(AND('GA55 Check &amp; Edit'!M23=""),"",'GA55 Check &amp; Edit'!M23)</f>
        <v/>
      </c>
      <c r="L21" s="61" t="str">
        <f>IF(AND('GA55 Check &amp; Edit'!N23=""),"",'GA55 Check &amp; Edit'!N23)</f>
        <v/>
      </c>
      <c r="M21" s="61">
        <f>IF(AND('GA55 Check &amp; Edit'!O23=""),"",'GA55 Check &amp; Edit'!O23)</f>
        <v>6468</v>
      </c>
      <c r="N21" s="61" t="str">
        <f>IF(AND('GA55 Check &amp; Edit'!P23=""),"",'GA55 Check &amp; Edit'!P23)</f>
        <v/>
      </c>
      <c r="O21" s="61">
        <f>IF(AND('GA55 Check &amp; Edit'!Q23=""),"",'GA55 Check &amp; Edit'!Q23)</f>
        <v>6468</v>
      </c>
      <c r="P21" s="61" t="str">
        <f>IF(AND('GA55 Check &amp; Edit'!R23=""),"",'GA55 Check &amp; Edit'!R23)</f>
        <v/>
      </c>
      <c r="Q21" s="61" t="str">
        <f>IF(AND('GA55 Check &amp; Edit'!S23=""),"",'GA55 Check &amp; Edit'!S23)</f>
        <v/>
      </c>
      <c r="R21" s="61" t="str">
        <f>IF(AND('GA55 Check &amp; Edit'!T23=""),"",'GA55 Check &amp; Edit'!T23)</f>
        <v/>
      </c>
      <c r="S21" s="61" t="str">
        <f>IF(AND('GA55 Check &amp; Edit'!U23=""),"",'GA55 Check &amp; Edit'!U23)</f>
        <v/>
      </c>
      <c r="T21" s="61" t="str">
        <f>IF(AND('GA55 Check &amp; Edit'!V23=""),"",'GA55 Check &amp; Edit'!V23)</f>
        <v/>
      </c>
      <c r="U21" s="61" t="str">
        <f>IF(AND('GA55 Check &amp; Edit'!W23=""),"",'GA55 Check &amp; Edit'!W23)</f>
        <v/>
      </c>
      <c r="V21" s="61" t="str">
        <f>IF(AND('GA55 Check &amp; Edit'!X23=""),"",'GA55 Check &amp; Edit'!X23)</f>
        <v/>
      </c>
      <c r="W21" s="61" t="str">
        <f>IF(AND('GA55 Check &amp; Edit'!Y23=""),"",'GA55 Check &amp; Edit'!Y23)</f>
        <v/>
      </c>
      <c r="X21" s="61" t="str">
        <f>IF(AND('GA55 Check &amp; Edit'!Z23=""),"",'GA55 Check &amp; Edit'!Z23)</f>
        <v/>
      </c>
      <c r="Y21" s="61" t="str">
        <f>IF(AND('GA55 Check &amp; Edit'!AA23=""),"",'GA55 Check &amp; Edit'!AA23)</f>
        <v/>
      </c>
      <c r="Z21" s="61">
        <f>IF(AND('GA55 Check &amp; Edit'!AB23=""),"",'GA55 Check &amp; Edit'!AB23)</f>
        <v>6468</v>
      </c>
      <c r="AA21" s="61">
        <f>IF(AND('GA55 Check &amp; Edit'!AC23=""),"",'GA55 Check &amp; Edit'!AC23)</f>
        <v>0</v>
      </c>
      <c r="AB21" s="61" t="str">
        <f>IF(AND('GA55 Check &amp; Edit'!AD23=""),"",'GA55 Check &amp; Edit'!AD23)</f>
        <v/>
      </c>
      <c r="AC21" s="1014" t="str">
        <f>IF(AND('GA55 Check &amp; Edit'!AE23=""),"",'GA55 Check &amp; Edit'!AE23)</f>
        <v/>
      </c>
    </row>
    <row r="22" spans="1:29" ht="21.95" customHeight="1">
      <c r="A22" s="60">
        <v>17</v>
      </c>
      <c r="B22" s="122" t="str">
        <f>IF(AND('GA55 Check &amp; Edit'!D24=""),"",'GA55 Check &amp; Edit'!D24)</f>
        <v>Fixation arear</v>
      </c>
      <c r="C22" s="61" t="str">
        <f>IF(AND('GA55 Check &amp; Edit'!E24=""),"",'GA55 Check &amp; Edit'!E24)</f>
        <v/>
      </c>
      <c r="D22" s="61" t="str">
        <f>IF(AND('GA55 Check &amp; Edit'!F24=""),"",'GA55 Check &amp; Edit'!F24)</f>
        <v/>
      </c>
      <c r="E22" s="61" t="str">
        <f>IF(AND('GA55 Check &amp; Edit'!G24=""),"",'GA55 Check &amp; Edit'!G24)</f>
        <v/>
      </c>
      <c r="F22" s="61" t="str">
        <f>IF(AND('GA55 Check &amp; Edit'!H24=""),"",'GA55 Check &amp; Edit'!H24)</f>
        <v/>
      </c>
      <c r="G22" s="61" t="str">
        <f>IF(AND('GA55 Check &amp; Edit'!I24=""),"",'GA55 Check &amp; Edit'!I24)</f>
        <v/>
      </c>
      <c r="H22" s="61" t="str">
        <f>IF(AND('GA55 Check &amp; Edit'!J24=""),"",'GA55 Check &amp; Edit'!J24)</f>
        <v/>
      </c>
      <c r="I22" s="61" t="str">
        <f>IF(AND('GA55 Check &amp; Edit'!K24=""),"",'GA55 Check &amp; Edit'!K24)</f>
        <v/>
      </c>
      <c r="J22" s="61" t="str">
        <f>IF(AND('GA55 Check &amp; Edit'!L24=""),"",'GA55 Check &amp; Edit'!L24)</f>
        <v/>
      </c>
      <c r="K22" s="61" t="str">
        <f>IF(AND('GA55 Check &amp; Edit'!M24=""),"",'GA55 Check &amp; Edit'!M24)</f>
        <v/>
      </c>
      <c r="L22" s="61" t="str">
        <f>IF(AND('GA55 Check &amp; Edit'!N24=""),"",'GA55 Check &amp; Edit'!N24)</f>
        <v/>
      </c>
      <c r="M22" s="61">
        <f>IF(AND('GA55 Check &amp; Edit'!O24=""),"",'GA55 Check &amp; Edit'!O24)</f>
        <v>0</v>
      </c>
      <c r="N22" s="61" t="str">
        <f>IF(AND('GA55 Check &amp; Edit'!P24=""),"",'GA55 Check &amp; Edit'!P24)</f>
        <v/>
      </c>
      <c r="O22" s="61" t="str">
        <f>IF(AND('GA55 Check &amp; Edit'!Q24=""),"",'GA55 Check &amp; Edit'!Q24)</f>
        <v/>
      </c>
      <c r="P22" s="61" t="str">
        <f>IF(AND('GA55 Check &amp; Edit'!R24=""),"",'GA55 Check &amp; Edit'!R24)</f>
        <v/>
      </c>
      <c r="Q22" s="61" t="str">
        <f>IF(AND('GA55 Check &amp; Edit'!S24=""),"",'GA55 Check &amp; Edit'!S24)</f>
        <v/>
      </c>
      <c r="R22" s="61" t="str">
        <f>IF(AND('GA55 Check &amp; Edit'!T24=""),"",'GA55 Check &amp; Edit'!T24)</f>
        <v/>
      </c>
      <c r="S22" s="61" t="str">
        <f>IF(AND('GA55 Check &amp; Edit'!U24=""),"",'GA55 Check &amp; Edit'!U24)</f>
        <v/>
      </c>
      <c r="T22" s="61" t="str">
        <f>IF(AND('GA55 Check &amp; Edit'!V24=""),"",'GA55 Check &amp; Edit'!V24)</f>
        <v/>
      </c>
      <c r="U22" s="61" t="str">
        <f>IF(AND('GA55 Check &amp; Edit'!W24=""),"",'GA55 Check &amp; Edit'!W24)</f>
        <v/>
      </c>
      <c r="V22" s="61" t="str">
        <f>IF(AND('GA55 Check &amp; Edit'!X24=""),"",'GA55 Check &amp; Edit'!X24)</f>
        <v/>
      </c>
      <c r="W22" s="61" t="str">
        <f>IF(AND('GA55 Check &amp; Edit'!Y24=""),"",'GA55 Check &amp; Edit'!Y24)</f>
        <v/>
      </c>
      <c r="X22" s="61" t="str">
        <f>IF(AND('GA55 Check &amp; Edit'!Z24=""),"",'GA55 Check &amp; Edit'!Z24)</f>
        <v/>
      </c>
      <c r="Y22" s="61" t="str">
        <f>IF(AND('GA55 Check &amp; Edit'!AA24=""),"",'GA55 Check &amp; Edit'!AA24)</f>
        <v/>
      </c>
      <c r="Z22" s="61">
        <f>IF(AND('GA55 Check &amp; Edit'!AB24=""),"",'GA55 Check &amp; Edit'!AB24)</f>
        <v>0</v>
      </c>
      <c r="AA22" s="61">
        <f>IF(AND('GA55 Check &amp; Edit'!AC24=""),"",'GA55 Check &amp; Edit'!AC24)</f>
        <v>0</v>
      </c>
      <c r="AB22" s="61" t="str">
        <f>IF(AND('GA55 Check &amp; Edit'!AD24=""),"",'GA55 Check &amp; Edit'!AD24)</f>
        <v/>
      </c>
      <c r="AC22" s="1014" t="str">
        <f>IF(AND('GA55 Check &amp; Edit'!AE24=""),"",'GA55 Check &amp; Edit'!AE24)</f>
        <v/>
      </c>
    </row>
    <row r="23" spans="1:29" ht="21.95" customHeight="1">
      <c r="A23" s="60">
        <v>18</v>
      </c>
      <c r="B23" s="122" t="str">
        <f>IF(AND('GA55 Check &amp; Edit'!D25=""),"",'GA55 Check &amp; Edit'!D25)</f>
        <v>PL Surrender Arrear</v>
      </c>
      <c r="C23" s="61" t="str">
        <f>IF(AND('GA55 Check &amp; Edit'!E25=""),"",'GA55 Check &amp; Edit'!E25)</f>
        <v/>
      </c>
      <c r="D23" s="61" t="str">
        <f>IF(AND('GA55 Check &amp; Edit'!F25=""),"",'GA55 Check &amp; Edit'!F25)</f>
        <v/>
      </c>
      <c r="E23" s="61" t="str">
        <f>IF(AND('GA55 Check &amp; Edit'!G25=""),"",'GA55 Check &amp; Edit'!G25)</f>
        <v/>
      </c>
      <c r="F23" s="61" t="str">
        <f>IF(AND('GA55 Check &amp; Edit'!H25=""),"",'GA55 Check &amp; Edit'!H25)</f>
        <v/>
      </c>
      <c r="G23" s="61" t="str">
        <f>IF(AND('GA55 Check &amp; Edit'!I25=""),"",'GA55 Check &amp; Edit'!I25)</f>
        <v/>
      </c>
      <c r="H23" s="61" t="str">
        <f>IF(AND('GA55 Check &amp; Edit'!J25=""),"",'GA55 Check &amp; Edit'!J25)</f>
        <v/>
      </c>
      <c r="I23" s="61" t="str">
        <f>IF(AND('GA55 Check &amp; Edit'!K25=""),"",'GA55 Check &amp; Edit'!K25)</f>
        <v/>
      </c>
      <c r="J23" s="61" t="str">
        <f>IF(AND('GA55 Check &amp; Edit'!L25=""),"",'GA55 Check &amp; Edit'!L25)</f>
        <v/>
      </c>
      <c r="K23" s="61" t="str">
        <f>IF(AND('GA55 Check &amp; Edit'!M25=""),"",'GA55 Check &amp; Edit'!M25)</f>
        <v/>
      </c>
      <c r="L23" s="61" t="str">
        <f>IF(AND('GA55 Check &amp; Edit'!N25=""),"",'GA55 Check &amp; Edit'!N25)</f>
        <v/>
      </c>
      <c r="M23" s="61">
        <f>IF(AND('GA55 Check &amp; Edit'!O25=""),"",'GA55 Check &amp; Edit'!O25)</f>
        <v>0</v>
      </c>
      <c r="N23" s="61" t="str">
        <f>IF(AND('GA55 Check &amp; Edit'!P25=""),"",'GA55 Check &amp; Edit'!P25)</f>
        <v/>
      </c>
      <c r="O23" s="61" t="str">
        <f>IF(AND('GA55 Check &amp; Edit'!Q25=""),"",'GA55 Check &amp; Edit'!Q25)</f>
        <v/>
      </c>
      <c r="P23" s="61" t="str">
        <f>IF(AND('GA55 Check &amp; Edit'!R25=""),"",'GA55 Check &amp; Edit'!R25)</f>
        <v/>
      </c>
      <c r="Q23" s="61" t="str">
        <f>IF(AND('GA55 Check &amp; Edit'!S25=""),"",'GA55 Check &amp; Edit'!S25)</f>
        <v/>
      </c>
      <c r="R23" s="61" t="str">
        <f>IF(AND('GA55 Check &amp; Edit'!T25=""),"",'GA55 Check &amp; Edit'!T25)</f>
        <v/>
      </c>
      <c r="S23" s="61" t="str">
        <f>IF(AND('GA55 Check &amp; Edit'!U25=""),"",'GA55 Check &amp; Edit'!U25)</f>
        <v/>
      </c>
      <c r="T23" s="61" t="str">
        <f>IF(AND('GA55 Check &amp; Edit'!V25=""),"",'GA55 Check &amp; Edit'!V25)</f>
        <v/>
      </c>
      <c r="U23" s="61" t="str">
        <f>IF(AND('GA55 Check &amp; Edit'!W25=""),"",'GA55 Check &amp; Edit'!W25)</f>
        <v/>
      </c>
      <c r="V23" s="61" t="str">
        <f>IF(AND('GA55 Check &amp; Edit'!X25=""),"",'GA55 Check &amp; Edit'!X25)</f>
        <v/>
      </c>
      <c r="W23" s="61" t="str">
        <f>IF(AND('GA55 Check &amp; Edit'!Y25=""),"",'GA55 Check &amp; Edit'!Y25)</f>
        <v/>
      </c>
      <c r="X23" s="61" t="str">
        <f>IF(AND('GA55 Check &amp; Edit'!Z25=""),"",'GA55 Check &amp; Edit'!Z25)</f>
        <v/>
      </c>
      <c r="Y23" s="61" t="str">
        <f>IF(AND('GA55 Check &amp; Edit'!AA25=""),"",'GA55 Check &amp; Edit'!AA25)</f>
        <v/>
      </c>
      <c r="Z23" s="61">
        <f>IF(AND('GA55 Check &amp; Edit'!AB25=""),"",'GA55 Check &amp; Edit'!AB25)</f>
        <v>0</v>
      </c>
      <c r="AA23" s="61">
        <f>IF(AND('GA55 Check &amp; Edit'!AC25=""),"",'GA55 Check &amp; Edit'!AC25)</f>
        <v>0</v>
      </c>
      <c r="AB23" s="61" t="str">
        <f>IF(AND('GA55 Check &amp; Edit'!AD25=""),"",'GA55 Check &amp; Edit'!AD25)</f>
        <v/>
      </c>
      <c r="AC23" s="1014" t="str">
        <f>IF(AND('GA55 Check &amp; Edit'!AE25=""),"",'GA55 Check &amp; Edit'!AE25)</f>
        <v/>
      </c>
    </row>
    <row r="24" spans="1:29" ht="21.95" customHeight="1">
      <c r="A24" s="60">
        <v>19</v>
      </c>
      <c r="B24" s="122" t="str">
        <f>IF(AND('GA55 Check &amp; Edit'!D26=""),"",'GA55 Check &amp; Edit'!D26)</f>
        <v/>
      </c>
      <c r="C24" s="61" t="str">
        <f>IF(AND('GA55 Check &amp; Edit'!E26=""),"",'GA55 Check &amp; Edit'!E26)</f>
        <v/>
      </c>
      <c r="D24" s="61" t="str">
        <f>IF(AND('GA55 Check &amp; Edit'!F26=""),"",'GA55 Check &amp; Edit'!F26)</f>
        <v/>
      </c>
      <c r="E24" s="61" t="str">
        <f>IF(AND('GA55 Check &amp; Edit'!G26=""),"",'GA55 Check &amp; Edit'!G26)</f>
        <v/>
      </c>
      <c r="F24" s="61" t="str">
        <f>IF(AND('GA55 Check &amp; Edit'!H26=""),"",'GA55 Check &amp; Edit'!H26)</f>
        <v/>
      </c>
      <c r="G24" s="61" t="str">
        <f>IF(AND('GA55 Check &amp; Edit'!I26=""),"",'GA55 Check &amp; Edit'!I26)</f>
        <v/>
      </c>
      <c r="H24" s="61" t="str">
        <f>IF(AND('GA55 Check &amp; Edit'!J26=""),"",'GA55 Check &amp; Edit'!J26)</f>
        <v/>
      </c>
      <c r="I24" s="61" t="str">
        <f>IF(AND('GA55 Check &amp; Edit'!K26=""),"",'GA55 Check &amp; Edit'!K26)</f>
        <v/>
      </c>
      <c r="J24" s="61" t="str">
        <f>IF(AND('GA55 Check &amp; Edit'!L26=""),"",'GA55 Check &amp; Edit'!L26)</f>
        <v/>
      </c>
      <c r="K24" s="61" t="str">
        <f>IF(AND('GA55 Check &amp; Edit'!M26=""),"",'GA55 Check &amp; Edit'!M26)</f>
        <v/>
      </c>
      <c r="L24" s="61" t="str">
        <f>IF(AND('GA55 Check &amp; Edit'!N26=""),"",'GA55 Check &amp; Edit'!N26)</f>
        <v/>
      </c>
      <c r="M24" s="61" t="str">
        <f>IF(AND('GA55 Check &amp; Edit'!O26=""),"",'GA55 Check &amp; Edit'!O26)</f>
        <v/>
      </c>
      <c r="N24" s="61" t="str">
        <f>IF(AND('GA55 Check &amp; Edit'!P26=""),"",'GA55 Check &amp; Edit'!P26)</f>
        <v/>
      </c>
      <c r="O24" s="61" t="str">
        <f>IF(AND('GA55 Check &amp; Edit'!Q26=""),"",'GA55 Check &amp; Edit'!Q26)</f>
        <v/>
      </c>
      <c r="P24" s="61" t="str">
        <f>IF(AND('GA55 Check &amp; Edit'!R26=""),"",'GA55 Check &amp; Edit'!R26)</f>
        <v/>
      </c>
      <c r="Q24" s="61" t="str">
        <f>IF(AND('GA55 Check &amp; Edit'!S26=""),"",'GA55 Check &amp; Edit'!S26)</f>
        <v/>
      </c>
      <c r="R24" s="61" t="str">
        <f>IF(AND('GA55 Check &amp; Edit'!T26=""),"",'GA55 Check &amp; Edit'!T26)</f>
        <v/>
      </c>
      <c r="S24" s="61" t="str">
        <f>IF(AND('GA55 Check &amp; Edit'!U26=""),"",'GA55 Check &amp; Edit'!U26)</f>
        <v/>
      </c>
      <c r="T24" s="61" t="str">
        <f>IF(AND('GA55 Check &amp; Edit'!V26=""),"",'GA55 Check &amp; Edit'!V26)</f>
        <v/>
      </c>
      <c r="U24" s="61" t="str">
        <f>IF(AND('GA55 Check &amp; Edit'!W26=""),"",'GA55 Check &amp; Edit'!W26)</f>
        <v/>
      </c>
      <c r="V24" s="61" t="str">
        <f>IF(AND('GA55 Check &amp; Edit'!X26=""),"",'GA55 Check &amp; Edit'!X26)</f>
        <v/>
      </c>
      <c r="W24" s="61" t="str">
        <f>IF(AND('GA55 Check &amp; Edit'!Y26=""),"",'GA55 Check &amp; Edit'!Y26)</f>
        <v/>
      </c>
      <c r="X24" s="61" t="str">
        <f>IF(AND('GA55 Check &amp; Edit'!Z26=""),"",'GA55 Check &amp; Edit'!Z26)</f>
        <v/>
      </c>
      <c r="Y24" s="61" t="str">
        <f>IF(AND('GA55 Check &amp; Edit'!AA26=""),"",'GA55 Check &amp; Edit'!AA26)</f>
        <v/>
      </c>
      <c r="Z24" s="61" t="str">
        <f>IF(AND('GA55 Check &amp; Edit'!AB26=""),"",'GA55 Check &amp; Edit'!AB26)</f>
        <v/>
      </c>
      <c r="AA24" s="61" t="str">
        <f>IF(AND('GA55 Check &amp; Edit'!AC26=""),"",'GA55 Check &amp; Edit'!AC26)</f>
        <v/>
      </c>
      <c r="AB24" s="61" t="str">
        <f>IF(AND('GA55 Check &amp; Edit'!AD26=""),"",'GA55 Check &amp; Edit'!AD26)</f>
        <v/>
      </c>
      <c r="AC24" s="1014" t="str">
        <f>IF(AND('GA55 Check &amp; Edit'!AE26=""),"",'GA55 Check &amp; Edit'!AE26)</f>
        <v/>
      </c>
    </row>
    <row r="25" spans="1:29" ht="21.95" customHeight="1">
      <c r="A25" s="60">
        <v>20</v>
      </c>
      <c r="B25" s="122" t="str">
        <f>IF(AND('GA55 Check &amp; Edit'!D27=""),"",'GA55 Check &amp; Edit'!D27)</f>
        <v/>
      </c>
      <c r="C25" s="61" t="str">
        <f>IF(AND('GA55 Check &amp; Edit'!E27=""),"",'GA55 Check &amp; Edit'!E27)</f>
        <v/>
      </c>
      <c r="D25" s="61" t="str">
        <f>IF(AND('GA55 Check &amp; Edit'!F27=""),"",'GA55 Check &amp; Edit'!F27)</f>
        <v/>
      </c>
      <c r="E25" s="61" t="str">
        <f>IF(AND('GA55 Check &amp; Edit'!G27=""),"",'GA55 Check &amp; Edit'!G27)</f>
        <v/>
      </c>
      <c r="F25" s="61" t="str">
        <f>IF(AND('GA55 Check &amp; Edit'!H27=""),"",'GA55 Check &amp; Edit'!H27)</f>
        <v/>
      </c>
      <c r="G25" s="61" t="str">
        <f>IF(AND('GA55 Check &amp; Edit'!I27=""),"",'GA55 Check &amp; Edit'!I27)</f>
        <v/>
      </c>
      <c r="H25" s="61" t="str">
        <f>IF(AND('GA55 Check &amp; Edit'!J27=""),"",'GA55 Check &amp; Edit'!J27)</f>
        <v/>
      </c>
      <c r="I25" s="61" t="str">
        <f>IF(AND('GA55 Check &amp; Edit'!K27=""),"",'GA55 Check &amp; Edit'!K27)</f>
        <v/>
      </c>
      <c r="J25" s="61" t="str">
        <f>IF(AND('GA55 Check &amp; Edit'!L27=""),"",'GA55 Check &amp; Edit'!L27)</f>
        <v/>
      </c>
      <c r="K25" s="61" t="str">
        <f>IF(AND('GA55 Check &amp; Edit'!M27=""),"",'GA55 Check &amp; Edit'!M27)</f>
        <v/>
      </c>
      <c r="L25" s="61" t="str">
        <f>IF(AND('GA55 Check &amp; Edit'!N27=""),"",'GA55 Check &amp; Edit'!N27)</f>
        <v/>
      </c>
      <c r="M25" s="61" t="str">
        <f>IF(AND('GA55 Check &amp; Edit'!O27=""),"",'GA55 Check &amp; Edit'!O27)</f>
        <v/>
      </c>
      <c r="N25" s="61" t="str">
        <f>IF(AND('GA55 Check &amp; Edit'!P27=""),"",'GA55 Check &amp; Edit'!P27)</f>
        <v/>
      </c>
      <c r="O25" s="61" t="str">
        <f>IF(AND('GA55 Check &amp; Edit'!Q27=""),"",'GA55 Check &amp; Edit'!Q27)</f>
        <v/>
      </c>
      <c r="P25" s="61" t="str">
        <f>IF(AND('GA55 Check &amp; Edit'!R27=""),"",'GA55 Check &amp; Edit'!R27)</f>
        <v/>
      </c>
      <c r="Q25" s="61" t="str">
        <f>IF(AND('GA55 Check &amp; Edit'!S27=""),"",'GA55 Check &amp; Edit'!S27)</f>
        <v/>
      </c>
      <c r="R25" s="61" t="str">
        <f>IF(AND('GA55 Check &amp; Edit'!T27=""),"",'GA55 Check &amp; Edit'!T27)</f>
        <v/>
      </c>
      <c r="S25" s="61" t="str">
        <f>IF(AND('GA55 Check &amp; Edit'!U27=""),"",'GA55 Check &amp; Edit'!U27)</f>
        <v/>
      </c>
      <c r="T25" s="61" t="str">
        <f>IF(AND('GA55 Check &amp; Edit'!V27=""),"",'GA55 Check &amp; Edit'!V27)</f>
        <v/>
      </c>
      <c r="U25" s="61" t="str">
        <f>IF(AND('GA55 Check &amp; Edit'!W27=""),"",'GA55 Check &amp; Edit'!W27)</f>
        <v/>
      </c>
      <c r="V25" s="61" t="str">
        <f>IF(AND('GA55 Check &amp; Edit'!X27=""),"",'GA55 Check &amp; Edit'!X27)</f>
        <v/>
      </c>
      <c r="W25" s="61" t="str">
        <f>IF(AND('GA55 Check &amp; Edit'!Y27=""),"",'GA55 Check &amp; Edit'!Y27)</f>
        <v/>
      </c>
      <c r="X25" s="61" t="str">
        <f>IF(AND('GA55 Check &amp; Edit'!Z27=""),"",'GA55 Check &amp; Edit'!Z27)</f>
        <v/>
      </c>
      <c r="Y25" s="61" t="str">
        <f>IF(AND('GA55 Check &amp; Edit'!AA27=""),"",'GA55 Check &amp; Edit'!AA27)</f>
        <v/>
      </c>
      <c r="Z25" s="61" t="str">
        <f>IF(AND('GA55 Check &amp; Edit'!AB27=""),"",'GA55 Check &amp; Edit'!AB27)</f>
        <v/>
      </c>
      <c r="AA25" s="61" t="str">
        <f>IF(AND('GA55 Check &amp; Edit'!AC27=""),"",'GA55 Check &amp; Edit'!AC27)</f>
        <v/>
      </c>
      <c r="AB25" s="61" t="str">
        <f>IF(AND('GA55 Check &amp; Edit'!AD27=""),"",'GA55 Check &amp; Edit'!AD27)</f>
        <v/>
      </c>
      <c r="AC25" s="1014" t="str">
        <f>IF(AND('GA55 Check &amp; Edit'!AE27=""),"",'GA55 Check &amp; Edit'!AE27)</f>
        <v/>
      </c>
    </row>
    <row r="26" spans="1:29" ht="21.95" customHeight="1">
      <c r="A26" s="60">
        <v>21</v>
      </c>
      <c r="B26" s="122" t="str">
        <f>IF(AND('GA55 Check &amp; Edit'!D28=""),"",'GA55 Check &amp; Edit'!D28)</f>
        <v/>
      </c>
      <c r="C26" s="61" t="str">
        <f>IF(AND('GA55 Check &amp; Edit'!E28=""),"",'GA55 Check &amp; Edit'!E28)</f>
        <v/>
      </c>
      <c r="D26" s="61" t="str">
        <f>IF(AND('GA55 Check &amp; Edit'!F28=""),"",'GA55 Check &amp; Edit'!F28)</f>
        <v/>
      </c>
      <c r="E26" s="61" t="str">
        <f>IF(AND('GA55 Check &amp; Edit'!G28=""),"",'GA55 Check &amp; Edit'!G28)</f>
        <v/>
      </c>
      <c r="F26" s="61" t="str">
        <f>IF(AND('GA55 Check &amp; Edit'!H28=""),"",'GA55 Check &amp; Edit'!H28)</f>
        <v/>
      </c>
      <c r="G26" s="61" t="str">
        <f>IF(AND('GA55 Check &amp; Edit'!I28=""),"",'GA55 Check &amp; Edit'!I28)</f>
        <v/>
      </c>
      <c r="H26" s="61" t="str">
        <f>IF(AND('GA55 Check &amp; Edit'!J28=""),"",'GA55 Check &amp; Edit'!J28)</f>
        <v/>
      </c>
      <c r="I26" s="61" t="str">
        <f>IF(AND('GA55 Check &amp; Edit'!K28=""),"",'GA55 Check &amp; Edit'!K28)</f>
        <v/>
      </c>
      <c r="J26" s="61" t="str">
        <f>IF(AND('GA55 Check &amp; Edit'!L28=""),"",'GA55 Check &amp; Edit'!L28)</f>
        <v/>
      </c>
      <c r="K26" s="61" t="str">
        <f>IF(AND('GA55 Check &amp; Edit'!M28=""),"",'GA55 Check &amp; Edit'!M28)</f>
        <v/>
      </c>
      <c r="L26" s="61" t="str">
        <f>IF(AND('GA55 Check &amp; Edit'!N28=""),"",'GA55 Check &amp; Edit'!N28)</f>
        <v/>
      </c>
      <c r="M26" s="61" t="str">
        <f>IF(AND('GA55 Check &amp; Edit'!O28=""),"",'GA55 Check &amp; Edit'!O28)</f>
        <v/>
      </c>
      <c r="N26" s="61" t="str">
        <f>IF(AND('GA55 Check &amp; Edit'!P28=""),"",'GA55 Check &amp; Edit'!P28)</f>
        <v/>
      </c>
      <c r="O26" s="61" t="str">
        <f>IF(AND('GA55 Check &amp; Edit'!Q28=""),"",'GA55 Check &amp; Edit'!Q28)</f>
        <v/>
      </c>
      <c r="P26" s="61" t="str">
        <f>IF(AND('GA55 Check &amp; Edit'!R28=""),"",'GA55 Check &amp; Edit'!R28)</f>
        <v/>
      </c>
      <c r="Q26" s="61" t="str">
        <f>IF(AND('GA55 Check &amp; Edit'!S28=""),"",'GA55 Check &amp; Edit'!S28)</f>
        <v/>
      </c>
      <c r="R26" s="61" t="str">
        <f>IF(AND('GA55 Check &amp; Edit'!T28=""),"",'GA55 Check &amp; Edit'!T28)</f>
        <v/>
      </c>
      <c r="S26" s="61" t="str">
        <f>IF(AND('GA55 Check &amp; Edit'!U28=""),"",'GA55 Check &amp; Edit'!U28)</f>
        <v/>
      </c>
      <c r="T26" s="61" t="str">
        <f>IF(AND('GA55 Check &amp; Edit'!V28=""),"",'GA55 Check &amp; Edit'!V28)</f>
        <v/>
      </c>
      <c r="U26" s="61" t="str">
        <f>IF(AND('GA55 Check &amp; Edit'!W28=""),"",'GA55 Check &amp; Edit'!W28)</f>
        <v/>
      </c>
      <c r="V26" s="61" t="str">
        <f>IF(AND('GA55 Check &amp; Edit'!X28=""),"",'GA55 Check &amp; Edit'!X28)</f>
        <v/>
      </c>
      <c r="W26" s="61" t="str">
        <f>IF(AND('GA55 Check &amp; Edit'!Y28=""),"",'GA55 Check &amp; Edit'!Y28)</f>
        <v/>
      </c>
      <c r="X26" s="61" t="str">
        <f>IF(AND('GA55 Check &amp; Edit'!Z28=""),"",'GA55 Check &amp; Edit'!Z28)</f>
        <v/>
      </c>
      <c r="Y26" s="61" t="str">
        <f>IF(AND('GA55 Check &amp; Edit'!AA28=""),"",'GA55 Check &amp; Edit'!AA28)</f>
        <v/>
      </c>
      <c r="Z26" s="61" t="str">
        <f>IF(AND('GA55 Check &amp; Edit'!AB28=""),"",'GA55 Check &amp; Edit'!AB28)</f>
        <v/>
      </c>
      <c r="AA26" s="61" t="str">
        <f>IF(AND('GA55 Check &amp; Edit'!AC28=""),"",'GA55 Check &amp; Edit'!AC28)</f>
        <v/>
      </c>
      <c r="AB26" s="61" t="str">
        <f>IF(AND('GA55 Check &amp; Edit'!AD28=""),"",'GA55 Check &amp; Edit'!AD28)</f>
        <v/>
      </c>
      <c r="AC26" s="1014" t="str">
        <f>IF(AND('GA55 Check &amp; Edit'!AE28=""),"",'GA55 Check &amp; Edit'!AE28)</f>
        <v/>
      </c>
    </row>
    <row r="27" spans="1:29" ht="28.5" customHeight="1">
      <c r="A27" s="63"/>
      <c r="B27" s="64" t="s">
        <v>110</v>
      </c>
      <c r="C27" s="65">
        <f>IF(AND($D$2=""),"",SUM(C6:C26))</f>
        <v>640400</v>
      </c>
      <c r="D27" s="65">
        <f t="shared" ref="D27:AA27" si="0">IF(AND($D$2=""),"",SUM(D6:D26))</f>
        <v>238122</v>
      </c>
      <c r="E27" s="65">
        <f t="shared" si="0"/>
        <v>57636</v>
      </c>
      <c r="F27" s="65">
        <f t="shared" si="0"/>
        <v>0</v>
      </c>
      <c r="G27" s="65">
        <f t="shared" si="0"/>
        <v>0</v>
      </c>
      <c r="H27" s="65">
        <f t="shared" si="0"/>
        <v>0</v>
      </c>
      <c r="I27" s="65">
        <f t="shared" si="0"/>
        <v>0</v>
      </c>
      <c r="J27" s="65">
        <f t="shared" si="0"/>
        <v>0</v>
      </c>
      <c r="K27" s="65">
        <f t="shared" si="0"/>
        <v>0</v>
      </c>
      <c r="L27" s="65">
        <f t="shared" si="0"/>
        <v>6774</v>
      </c>
      <c r="M27" s="65">
        <f t="shared" si="0"/>
        <v>942932</v>
      </c>
      <c r="N27" s="65">
        <f t="shared" si="0"/>
        <v>84000</v>
      </c>
      <c r="O27" s="65">
        <f t="shared" si="0"/>
        <v>52194</v>
      </c>
      <c r="P27" s="65">
        <f t="shared" si="0"/>
        <v>22560</v>
      </c>
      <c r="Q27" s="65">
        <f t="shared" si="0"/>
        <v>7568</v>
      </c>
      <c r="R27" s="65">
        <f t="shared" si="0"/>
        <v>0</v>
      </c>
      <c r="S27" s="65">
        <f t="shared" si="0"/>
        <v>0</v>
      </c>
      <c r="T27" s="65">
        <f t="shared" si="0"/>
        <v>0</v>
      </c>
      <c r="U27" s="65">
        <f t="shared" si="0"/>
        <v>0</v>
      </c>
      <c r="V27" s="65">
        <f t="shared" si="0"/>
        <v>250</v>
      </c>
      <c r="W27" s="65">
        <f t="shared" si="0"/>
        <v>0</v>
      </c>
      <c r="X27" s="65">
        <f t="shared" si="0"/>
        <v>45000</v>
      </c>
      <c r="Y27" s="65">
        <f t="shared" si="0"/>
        <v>220</v>
      </c>
      <c r="Z27" s="65">
        <f t="shared" si="0"/>
        <v>211792</v>
      </c>
      <c r="AA27" s="65">
        <f t="shared" si="0"/>
        <v>731140</v>
      </c>
      <c r="AB27" s="66"/>
      <c r="AC27" s="290"/>
    </row>
    <row r="28" spans="1:29" ht="34.5" customHeight="1">
      <c r="A28" s="67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9"/>
    </row>
    <row r="29" spans="1:29" ht="20.25" customHeight="1">
      <c r="A29" s="67"/>
      <c r="B29" s="171"/>
      <c r="C29" s="578" t="str">
        <f>UPPER(IF('Master Data'!D6="","",'Master Data'!D6))</f>
        <v>HEERALAL JAT</v>
      </c>
      <c r="D29" s="578"/>
      <c r="E29" s="578"/>
      <c r="F29" s="578"/>
      <c r="G29" s="578"/>
      <c r="H29" s="578"/>
      <c r="I29" s="171"/>
      <c r="J29" s="171"/>
      <c r="K29" s="171"/>
      <c r="L29" s="171"/>
      <c r="M29" s="171"/>
      <c r="N29" s="171"/>
      <c r="O29" s="171"/>
      <c r="P29" s="171"/>
      <c r="Q29" s="68"/>
      <c r="R29" s="68"/>
      <c r="S29" s="579" t="str">
        <f>IF(AND('Master Data'!H8=""),"",CONCATENATE("( ",UPPER('Master Data'!H8), " )",))</f>
        <v>( USHA PALIYA )</v>
      </c>
      <c r="T29" s="579"/>
      <c r="U29" s="579"/>
      <c r="V29" s="579"/>
      <c r="W29" s="579"/>
      <c r="X29" s="579"/>
      <c r="Y29" s="579"/>
      <c r="Z29" s="579"/>
      <c r="AA29" s="579"/>
      <c r="AB29" s="70"/>
      <c r="AC29" s="69"/>
    </row>
    <row r="30" spans="1:29" ht="21" customHeight="1" thickBot="1">
      <c r="A30" s="71"/>
      <c r="B30" s="72"/>
      <c r="C30" s="580" t="s">
        <v>111</v>
      </c>
      <c r="D30" s="580"/>
      <c r="E30" s="580"/>
      <c r="F30" s="580"/>
      <c r="G30" s="580"/>
      <c r="H30" s="580"/>
      <c r="I30" s="73"/>
      <c r="J30" s="73"/>
      <c r="K30" s="72"/>
      <c r="L30" s="72"/>
      <c r="M30" s="72"/>
      <c r="N30" s="72"/>
      <c r="O30" s="72"/>
      <c r="P30" s="72"/>
      <c r="Q30" s="74"/>
      <c r="R30" s="74"/>
      <c r="S30" s="581" t="s">
        <v>112</v>
      </c>
      <c r="T30" s="581"/>
      <c r="U30" s="581"/>
      <c r="V30" s="581"/>
      <c r="W30" s="581"/>
      <c r="X30" s="581"/>
      <c r="Y30" s="581"/>
      <c r="Z30" s="581"/>
      <c r="AA30" s="581"/>
      <c r="AB30" s="75"/>
      <c r="AC30" s="76"/>
    </row>
    <row r="31" spans="1:29" ht="15">
      <c r="AA31" s="52"/>
      <c r="AB31" s="52"/>
    </row>
    <row r="32" spans="1:29" ht="15">
      <c r="AA32" s="52"/>
      <c r="AB32" s="52"/>
    </row>
  </sheetData>
  <sheetProtection password="C1FB" sheet="1" objects="1" scenarios="1" formatColumns="0" formatRows="0"/>
  <mergeCells count="26"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</mergeCells>
  <pageMargins left="0.49" right="0.27" top="0.37" bottom="0.12" header="0.19" footer="0.3"/>
  <pageSetup paperSize="9" scale="75" orientation="landscape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zoomScaleSheetLayoutView="100" workbookViewId="0">
      <selection activeCell="O5" sqref="O5"/>
    </sheetView>
  </sheetViews>
  <sheetFormatPr defaultColWidth="9.125" defaultRowHeight="15"/>
  <cols>
    <col min="1" max="1" width="4" style="32" customWidth="1"/>
    <col min="2" max="2" width="4.375" style="32" customWidth="1"/>
    <col min="3" max="3" width="11.75" style="32" customWidth="1"/>
    <col min="4" max="4" width="16.25" style="32" customWidth="1"/>
    <col min="5" max="5" width="8.625" style="32" customWidth="1"/>
    <col min="6" max="6" width="3.125" style="32" customWidth="1"/>
    <col min="7" max="7" width="10.875" style="32" customWidth="1"/>
    <col min="8" max="8" width="4.625" style="32" customWidth="1"/>
    <col min="9" max="9" width="10" style="32" customWidth="1"/>
    <col min="10" max="10" width="13.125" style="32" customWidth="1"/>
    <col min="11" max="11" width="11.75" style="32" customWidth="1"/>
    <col min="12" max="12" width="3.375" style="32" customWidth="1"/>
    <col min="13" max="13" width="11" style="32" customWidth="1"/>
    <col min="14" max="14" width="3" style="32" customWidth="1"/>
    <col min="15" max="15" width="14.375" style="32" customWidth="1"/>
    <col min="16" max="16" width="9.125" style="32"/>
    <col min="17" max="17" width="5.125" style="32" customWidth="1"/>
    <col min="18" max="18" width="10.5" style="32" customWidth="1"/>
    <col min="19" max="19" width="10.625" style="32" customWidth="1"/>
    <col min="20" max="20" width="11.125" style="32" hidden="1" customWidth="1"/>
    <col min="21" max="21" width="11.625" style="32" customWidth="1"/>
    <col min="22" max="22" width="7.375" style="32" customWidth="1"/>
    <col min="23" max="23" width="7.375" style="32" hidden="1" customWidth="1"/>
    <col min="24" max="33" width="9.125" style="32" hidden="1" customWidth="1"/>
    <col min="34" max="34" width="10.875" style="32" customWidth="1"/>
    <col min="35" max="35" width="11" style="32" customWidth="1"/>
    <col min="36" max="36" width="12" style="32" customWidth="1"/>
    <col min="37" max="37" width="10.625" style="32" customWidth="1"/>
    <col min="38" max="16384" width="9.125" style="32"/>
  </cols>
  <sheetData>
    <row r="1" spans="1:23" ht="18.75">
      <c r="A1" s="714" t="str">
        <f>IF(AND('Master Data'!D4=""),"",CONCATENATE("Office Name :- ",PROPER('Master Data'!D4)))</f>
        <v>Office Name :- Mahatma Gandhi Govt. School (English Medium) Bar, Pali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T1" s="241">
        <v>2</v>
      </c>
    </row>
    <row r="2" spans="1:23" ht="19.5" thickBot="1">
      <c r="A2" s="78"/>
      <c r="B2" s="78"/>
      <c r="C2" s="720" t="s">
        <v>270</v>
      </c>
      <c r="D2" s="720"/>
      <c r="E2" s="720"/>
      <c r="F2" s="721" t="s">
        <v>549</v>
      </c>
      <c r="G2" s="721"/>
      <c r="H2" s="722" t="s">
        <v>271</v>
      </c>
      <c r="I2" s="722"/>
      <c r="J2" s="725" t="s">
        <v>550</v>
      </c>
      <c r="K2" s="725"/>
      <c r="L2" s="723" t="str">
        <f>IF(T13=T2,"Old Tax Regime","New Tax Regime")</f>
        <v>Old Tax Regime</v>
      </c>
      <c r="M2" s="724"/>
      <c r="N2" s="724"/>
      <c r="O2" s="724"/>
      <c r="T2" s="241">
        <v>1</v>
      </c>
    </row>
    <row r="3" spans="1:23" ht="17.25" thickTop="1" thickBot="1">
      <c r="A3" s="370">
        <v>1</v>
      </c>
      <c r="B3" s="715" t="s">
        <v>116</v>
      </c>
      <c r="C3" s="715"/>
      <c r="D3" s="716" t="str">
        <f>UPPER('Master Data'!D6)</f>
        <v>HEERALAL JAT</v>
      </c>
      <c r="E3" s="716"/>
      <c r="F3" s="716"/>
      <c r="G3" s="716"/>
      <c r="H3" s="716"/>
      <c r="I3" s="207" t="s">
        <v>117</v>
      </c>
      <c r="J3" s="717" t="str">
        <f>UPPER('Master Data'!H6)</f>
        <v>SR TEACHER</v>
      </c>
      <c r="K3" s="717"/>
      <c r="L3" s="717"/>
      <c r="M3" s="208" t="s">
        <v>118</v>
      </c>
      <c r="N3" s="718" t="str">
        <f>UPPER('Master Data'!D12)</f>
        <v>ABCDE1234H</v>
      </c>
      <c r="O3" s="719"/>
      <c r="P3" s="209"/>
      <c r="Q3" s="209"/>
      <c r="T3" s="242"/>
    </row>
    <row r="4" spans="1:23" ht="18.75" customHeight="1">
      <c r="A4" s="371">
        <v>2</v>
      </c>
      <c r="B4" s="606" t="s">
        <v>557</v>
      </c>
      <c r="C4" s="607"/>
      <c r="D4" s="607"/>
      <c r="E4" s="607"/>
      <c r="F4" s="607"/>
      <c r="G4" s="607"/>
      <c r="H4" s="607"/>
      <c r="I4" s="607"/>
      <c r="J4" s="608" t="str">
        <f>IF('Master Data'!H18="Yes","सरकार द्वारा देय NPS की राशि सहित कुल वेतन -","")</f>
        <v/>
      </c>
      <c r="K4" s="608"/>
      <c r="L4" s="608"/>
      <c r="M4" s="609"/>
      <c r="N4" s="210" t="s">
        <v>119</v>
      </c>
      <c r="O4" s="211">
        <f>'GA55 Only Print'!M27</f>
        <v>942932</v>
      </c>
      <c r="P4" s="212"/>
      <c r="Q4" s="79"/>
      <c r="R4" s="727" t="s">
        <v>556</v>
      </c>
      <c r="S4" s="728"/>
      <c r="T4" s="728"/>
      <c r="U4" s="728"/>
      <c r="V4" s="729"/>
      <c r="W4" s="170"/>
    </row>
    <row r="5" spans="1:23" ht="15.75" customHeight="1">
      <c r="A5" s="372">
        <v>3</v>
      </c>
      <c r="B5" s="616" t="s">
        <v>561</v>
      </c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210" t="s">
        <v>119</v>
      </c>
      <c r="O5" s="211">
        <f>IF(T13=T2,SUM('Extra Ded. '!I7+'Extra Ded. '!E6+'GA55 Only Print'!G27),"0")</f>
        <v>32148</v>
      </c>
      <c r="P5" s="213"/>
      <c r="Q5" s="79" t="s">
        <v>120</v>
      </c>
      <c r="R5" s="730"/>
      <c r="S5" s="731"/>
      <c r="T5" s="731"/>
      <c r="U5" s="731"/>
      <c r="V5" s="732"/>
      <c r="W5" s="170"/>
    </row>
    <row r="6" spans="1:23" ht="18.75">
      <c r="A6" s="372">
        <v>4</v>
      </c>
      <c r="B6" s="666" t="s">
        <v>121</v>
      </c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210" t="s">
        <v>119</v>
      </c>
      <c r="O6" s="211">
        <f>SUM(O4-O5)</f>
        <v>910784</v>
      </c>
      <c r="P6" s="213"/>
      <c r="Q6" s="213"/>
      <c r="R6" s="730"/>
      <c r="S6" s="731"/>
      <c r="T6" s="731"/>
      <c r="U6" s="731"/>
      <c r="V6" s="732"/>
      <c r="W6" s="170"/>
    </row>
    <row r="7" spans="1:23" ht="19.5" thickBot="1">
      <c r="A7" s="610">
        <v>5</v>
      </c>
      <c r="B7" s="671" t="s">
        <v>558</v>
      </c>
      <c r="C7" s="671"/>
      <c r="D7" s="671"/>
      <c r="E7" s="671"/>
      <c r="F7" s="671"/>
      <c r="G7" s="671"/>
      <c r="H7" s="671"/>
      <c r="I7" s="671"/>
      <c r="J7" s="671"/>
      <c r="K7" s="689">
        <f>IF(T13=T2,'Extra Ded. '!E8,"0")</f>
        <v>0</v>
      </c>
      <c r="L7" s="689"/>
      <c r="M7" s="689"/>
      <c r="N7" s="690"/>
      <c r="O7" s="691"/>
      <c r="P7" s="214"/>
      <c r="Q7" s="214"/>
      <c r="R7" s="733"/>
      <c r="S7" s="734"/>
      <c r="T7" s="734"/>
      <c r="U7" s="734"/>
      <c r="V7" s="735"/>
      <c r="W7" s="170"/>
    </row>
    <row r="8" spans="1:23" ht="18.75">
      <c r="A8" s="610"/>
      <c r="B8" s="671" t="s">
        <v>559</v>
      </c>
      <c r="C8" s="671"/>
      <c r="D8" s="671"/>
      <c r="E8" s="671"/>
      <c r="F8" s="671"/>
      <c r="G8" s="671"/>
      <c r="H8" s="671"/>
      <c r="I8" s="671"/>
      <c r="J8" s="671"/>
      <c r="K8" s="689">
        <f>IF(T13=T2,'Extra Ded. '!E9,"0")</f>
        <v>0</v>
      </c>
      <c r="L8" s="689"/>
      <c r="M8" s="689"/>
      <c r="N8" s="690"/>
      <c r="O8" s="691"/>
      <c r="P8" s="214"/>
      <c r="Q8" s="214"/>
      <c r="R8" s="80"/>
      <c r="S8" s="80"/>
      <c r="T8" s="80"/>
      <c r="U8" s="80"/>
      <c r="V8" s="80"/>
      <c r="W8" s="80"/>
    </row>
    <row r="9" spans="1:23" ht="20.25">
      <c r="A9" s="610"/>
      <c r="B9" s="671" t="s">
        <v>560</v>
      </c>
      <c r="C9" s="671"/>
      <c r="D9" s="671"/>
      <c r="E9" s="671"/>
      <c r="F9" s="671"/>
      <c r="G9" s="671"/>
      <c r="H9" s="671"/>
      <c r="I9" s="671"/>
      <c r="J9" s="671"/>
      <c r="K9" s="726">
        <f>IF(T13=T2,'Extra Ded. '!E7,"0")</f>
        <v>50000</v>
      </c>
      <c r="L9" s="726"/>
      <c r="M9" s="726"/>
      <c r="N9" s="210" t="s">
        <v>119</v>
      </c>
      <c r="O9" s="211">
        <f>SUM(K7:M9)</f>
        <v>50000</v>
      </c>
      <c r="P9" s="213"/>
      <c r="Q9" s="213"/>
      <c r="R9" s="160"/>
      <c r="S9" s="160"/>
      <c r="T9" s="160"/>
      <c r="U9" s="160"/>
      <c r="V9" s="160"/>
      <c r="W9" s="160"/>
    </row>
    <row r="10" spans="1:23" ht="17.25" customHeight="1">
      <c r="A10" s="372">
        <v>6</v>
      </c>
      <c r="B10" s="677" t="s">
        <v>122</v>
      </c>
      <c r="C10" s="677"/>
      <c r="D10" s="677"/>
      <c r="E10" s="677"/>
      <c r="F10" s="677"/>
      <c r="G10" s="677"/>
      <c r="H10" s="677"/>
      <c r="I10" s="677"/>
      <c r="J10" s="677"/>
      <c r="K10" s="677"/>
      <c r="L10" s="677"/>
      <c r="M10" s="677"/>
      <c r="N10" s="210" t="s">
        <v>119</v>
      </c>
      <c r="O10" s="211">
        <f>O6-O9</f>
        <v>860784</v>
      </c>
      <c r="P10" s="213"/>
      <c r="Q10" s="213"/>
      <c r="R10" s="161"/>
      <c r="S10" s="161"/>
      <c r="T10" s="243"/>
      <c r="U10" s="161"/>
      <c r="V10" s="161"/>
      <c r="W10" s="161"/>
    </row>
    <row r="11" spans="1:23" ht="16.5">
      <c r="A11" s="610">
        <v>7</v>
      </c>
      <c r="B11" s="671" t="s">
        <v>123</v>
      </c>
      <c r="C11" s="671"/>
      <c r="D11" s="671"/>
      <c r="E11" s="671"/>
      <c r="F11" s="671"/>
      <c r="G11" s="671"/>
      <c r="H11" s="671"/>
      <c r="I11" s="624" t="s">
        <v>124</v>
      </c>
      <c r="J11" s="624"/>
      <c r="K11" s="689">
        <f>'Extra Ded. '!E10</f>
        <v>0</v>
      </c>
      <c r="L11" s="689"/>
      <c r="M11" s="689"/>
      <c r="N11" s="695"/>
      <c r="O11" s="696"/>
      <c r="P11" s="215"/>
      <c r="Q11" s="215"/>
      <c r="T11" s="242"/>
    </row>
    <row r="12" spans="1:23" ht="17.25">
      <c r="A12" s="610"/>
      <c r="B12" s="697" t="s">
        <v>125</v>
      </c>
      <c r="C12" s="697"/>
      <c r="D12" s="698" t="s">
        <v>562</v>
      </c>
      <c r="E12" s="698"/>
      <c r="F12" s="698" t="s">
        <v>126</v>
      </c>
      <c r="G12" s="698"/>
      <c r="H12" s="698"/>
      <c r="I12" s="698" t="s">
        <v>127</v>
      </c>
      <c r="J12" s="698"/>
      <c r="K12" s="624" t="s">
        <v>128</v>
      </c>
      <c r="L12" s="624"/>
      <c r="M12" s="624"/>
      <c r="N12" s="695"/>
      <c r="O12" s="696"/>
      <c r="P12" s="215"/>
      <c r="Q12" s="215"/>
      <c r="T12" s="242"/>
    </row>
    <row r="13" spans="1:23" ht="15.75">
      <c r="A13" s="610"/>
      <c r="B13" s="697"/>
      <c r="C13" s="697"/>
      <c r="D13" s="689">
        <f>IF(T13=T2,ROUND(K11*0.3,0),"0")</f>
        <v>0</v>
      </c>
      <c r="E13" s="689"/>
      <c r="F13" s="689">
        <f>IF(T13=T2,'Extra Ded. '!E13,"0")</f>
        <v>0</v>
      </c>
      <c r="G13" s="689"/>
      <c r="H13" s="689"/>
      <c r="I13" s="689">
        <f>IF(T13=T2,'Extra Ded. '!E11,"0")</f>
        <v>0</v>
      </c>
      <c r="J13" s="689"/>
      <c r="K13" s="689">
        <f>D13+F13+I13</f>
        <v>0</v>
      </c>
      <c r="L13" s="689"/>
      <c r="M13" s="689"/>
      <c r="N13" s="695"/>
      <c r="O13" s="696"/>
      <c r="P13" s="215"/>
      <c r="Q13" s="215"/>
      <c r="T13" s="241">
        <v>1</v>
      </c>
    </row>
    <row r="14" spans="1:23" ht="16.5">
      <c r="A14" s="372"/>
      <c r="B14" s="666" t="s">
        <v>129</v>
      </c>
      <c r="C14" s="666"/>
      <c r="D14" s="666"/>
      <c r="E14" s="666"/>
      <c r="F14" s="666"/>
      <c r="G14" s="666"/>
      <c r="H14" s="666"/>
      <c r="I14" s="666"/>
      <c r="J14" s="666"/>
      <c r="K14" s="666"/>
      <c r="L14" s="666"/>
      <c r="M14" s="666"/>
      <c r="N14" s="210" t="s">
        <v>119</v>
      </c>
      <c r="O14" s="211">
        <f>K11-K13</f>
        <v>0</v>
      </c>
      <c r="P14" s="213"/>
      <c r="Q14" s="213"/>
      <c r="T14" s="242"/>
    </row>
    <row r="15" spans="1:23" ht="16.5">
      <c r="A15" s="372">
        <v>8</v>
      </c>
      <c r="B15" s="671" t="s">
        <v>130</v>
      </c>
      <c r="C15" s="671"/>
      <c r="D15" s="671"/>
      <c r="E15" s="699">
        <f>'Extra Ded. '!I21</f>
        <v>1500</v>
      </c>
      <c r="F15" s="699"/>
      <c r="G15" s="624" t="s">
        <v>620</v>
      </c>
      <c r="H15" s="624"/>
      <c r="I15" s="216">
        <f>'Extra Ded. '!E24</f>
        <v>0</v>
      </c>
      <c r="J15" s="666" t="s">
        <v>131</v>
      </c>
      <c r="K15" s="666"/>
      <c r="L15" s="666"/>
      <c r="M15" s="666"/>
      <c r="N15" s="210" t="s">
        <v>119</v>
      </c>
      <c r="O15" s="211">
        <f>O10+O14</f>
        <v>860784</v>
      </c>
      <c r="P15" s="213"/>
      <c r="Q15" s="213"/>
      <c r="T15" s="242"/>
    </row>
    <row r="16" spans="1:23" ht="17.25">
      <c r="A16" s="372">
        <v>9</v>
      </c>
      <c r="B16" s="692" t="s">
        <v>301</v>
      </c>
      <c r="C16" s="693"/>
      <c r="D16" s="694"/>
      <c r="E16" s="622">
        <f>'Extra Ded. '!I23</f>
        <v>0</v>
      </c>
      <c r="F16" s="623"/>
      <c r="G16" s="625" t="s">
        <v>563</v>
      </c>
      <c r="H16" s="626"/>
      <c r="I16" s="217">
        <f>'Extra Ded. '!E23</f>
        <v>0</v>
      </c>
      <c r="J16" s="627" t="s">
        <v>132</v>
      </c>
      <c r="K16" s="628"/>
      <c r="L16" s="628"/>
      <c r="M16" s="629"/>
      <c r="N16" s="210" t="s">
        <v>119</v>
      </c>
      <c r="O16" s="211">
        <f>E15+E16+I15+I16</f>
        <v>1500</v>
      </c>
      <c r="P16" s="213"/>
      <c r="Q16" s="213"/>
      <c r="T16" s="242"/>
    </row>
    <row r="17" spans="1:37" ht="16.5">
      <c r="A17" s="372">
        <v>10</v>
      </c>
      <c r="B17" s="630" t="s">
        <v>133</v>
      </c>
      <c r="C17" s="631"/>
      <c r="D17" s="631"/>
      <c r="E17" s="631"/>
      <c r="F17" s="631"/>
      <c r="G17" s="631"/>
      <c r="H17" s="631"/>
      <c r="I17" s="631"/>
      <c r="J17" s="631"/>
      <c r="K17" s="631"/>
      <c r="L17" s="631"/>
      <c r="M17" s="632"/>
      <c r="N17" s="210" t="s">
        <v>119</v>
      </c>
      <c r="O17" s="211">
        <f>O15+O16</f>
        <v>862284</v>
      </c>
      <c r="P17" s="212"/>
      <c r="Q17" s="212"/>
      <c r="T17" s="242"/>
    </row>
    <row r="18" spans="1:37" ht="17.25">
      <c r="A18" s="610">
        <v>11</v>
      </c>
      <c r="B18" s="700" t="s">
        <v>564</v>
      </c>
      <c r="C18" s="700"/>
      <c r="D18" s="700"/>
      <c r="E18" s="700"/>
      <c r="F18" s="700"/>
      <c r="G18" s="700"/>
      <c r="H18" s="700"/>
      <c r="I18" s="700"/>
      <c r="J18" s="700"/>
      <c r="K18" s="700"/>
      <c r="L18" s="700"/>
      <c r="M18" s="700"/>
      <c r="N18" s="700"/>
      <c r="O18" s="701"/>
      <c r="P18" s="218"/>
      <c r="Q18" s="218"/>
      <c r="R18" s="649" t="s">
        <v>475</v>
      </c>
      <c r="S18" s="649"/>
      <c r="T18" s="242"/>
    </row>
    <row r="19" spans="1:37">
      <c r="A19" s="610"/>
      <c r="B19" s="682" t="s">
        <v>565</v>
      </c>
      <c r="C19" s="682"/>
      <c r="D19" s="682"/>
      <c r="E19" s="682"/>
      <c r="F19" s="682"/>
      <c r="G19" s="682"/>
      <c r="H19" s="682"/>
      <c r="I19" s="682"/>
      <c r="J19" s="682"/>
      <c r="K19" s="682"/>
      <c r="L19" s="682"/>
      <c r="M19" s="682"/>
      <c r="N19" s="682"/>
      <c r="O19" s="683"/>
      <c r="P19" s="219"/>
      <c r="Q19" s="219"/>
      <c r="T19" s="242"/>
    </row>
    <row r="20" spans="1:37" ht="15.75">
      <c r="A20" s="610"/>
      <c r="B20" s="373" t="s">
        <v>134</v>
      </c>
      <c r="C20" s="664" t="s">
        <v>566</v>
      </c>
      <c r="D20" s="664"/>
      <c r="E20" s="664"/>
      <c r="F20" s="220" t="s">
        <v>119</v>
      </c>
      <c r="G20" s="221">
        <f>IF(T13=T2,SUM('GA55 Only Print'!N27),"0")</f>
        <v>84000</v>
      </c>
      <c r="H20" s="373" t="s">
        <v>135</v>
      </c>
      <c r="I20" s="684" t="s">
        <v>575</v>
      </c>
      <c r="J20" s="685"/>
      <c r="K20" s="686"/>
      <c r="L20" s="220" t="s">
        <v>119</v>
      </c>
      <c r="M20" s="312">
        <v>0</v>
      </c>
      <c r="N20" s="687"/>
      <c r="O20" s="688"/>
      <c r="P20" s="222"/>
      <c r="Q20" s="222"/>
      <c r="R20" s="303"/>
      <c r="S20" s="303"/>
      <c r="T20" s="304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</row>
    <row r="21" spans="1:37" ht="15.75" customHeight="1">
      <c r="A21" s="610"/>
      <c r="B21" s="373" t="s">
        <v>136</v>
      </c>
      <c r="C21" s="664" t="s">
        <v>567</v>
      </c>
      <c r="D21" s="664"/>
      <c r="E21" s="664"/>
      <c r="F21" s="220" t="s">
        <v>119</v>
      </c>
      <c r="G21" s="221">
        <f>IF(T13=T2,'GA55 Only Print'!P27,"0")</f>
        <v>22560</v>
      </c>
      <c r="H21" s="373" t="s">
        <v>137</v>
      </c>
      <c r="I21" s="665" t="s">
        <v>138</v>
      </c>
      <c r="J21" s="665"/>
      <c r="K21" s="665"/>
      <c r="L21" s="220" t="s">
        <v>119</v>
      </c>
      <c r="M21" s="221">
        <f>IF(T13=T2,'Extra Ded. '!I12,"0")</f>
        <v>0</v>
      </c>
      <c r="N21" s="687"/>
      <c r="O21" s="688"/>
      <c r="P21" s="222"/>
      <c r="Q21" s="703" t="s">
        <v>485</v>
      </c>
      <c r="R21" s="703"/>
      <c r="S21" s="703"/>
      <c r="T21" s="703"/>
      <c r="U21" s="7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</row>
    <row r="22" spans="1:37" ht="15.75" customHeight="1">
      <c r="A22" s="610"/>
      <c r="B22" s="373" t="s">
        <v>139</v>
      </c>
      <c r="C22" s="664" t="s">
        <v>568</v>
      </c>
      <c r="D22" s="664"/>
      <c r="E22" s="664"/>
      <c r="F22" s="220" t="s">
        <v>119</v>
      </c>
      <c r="G22" s="221">
        <f>IF(T13=T2,'Extra Ded. '!E18,"0")</f>
        <v>0</v>
      </c>
      <c r="H22" s="373" t="s">
        <v>140</v>
      </c>
      <c r="I22" s="665" t="s">
        <v>141</v>
      </c>
      <c r="J22" s="665"/>
      <c r="K22" s="665"/>
      <c r="L22" s="220" t="s">
        <v>119</v>
      </c>
      <c r="M22" s="223">
        <f>IF(T13=T2,'Extra Ded. '!E19,"0")</f>
        <v>0</v>
      </c>
      <c r="N22" s="687"/>
      <c r="O22" s="688"/>
      <c r="P22" s="222"/>
      <c r="Q22" s="703"/>
      <c r="R22" s="703"/>
      <c r="S22" s="703"/>
      <c r="T22" s="703"/>
      <c r="U22" s="703"/>
      <c r="V22" s="303"/>
      <c r="W22" s="303"/>
      <c r="X22" s="303"/>
      <c r="Y22" s="303"/>
      <c r="Z22" s="303">
        <f>IF(AA22&gt;AB22,AB22,AA22)</f>
        <v>52194</v>
      </c>
      <c r="AA22" s="303">
        <f>IF('Master Data'!I30='GA55 Check &amp; Edit'!AN5,0,ROUND(10%*'GA55 Only Print'!M27,0))</f>
        <v>94293</v>
      </c>
      <c r="AB22" s="303">
        <f>IF('Master Data'!I30='GA55 Check &amp; Edit'!AN6,'GA55 Only Print'!O27,0)</f>
        <v>52194</v>
      </c>
      <c r="AC22" s="303"/>
      <c r="AD22" s="303"/>
      <c r="AE22" s="303"/>
      <c r="AF22" s="303"/>
      <c r="AG22" s="303"/>
      <c r="AH22" s="704" t="s">
        <v>486</v>
      </c>
      <c r="AI22" s="704"/>
      <c r="AJ22" s="704"/>
      <c r="AK22" s="704"/>
    </row>
    <row r="23" spans="1:37" ht="15.75">
      <c r="A23" s="610"/>
      <c r="B23" s="373" t="s">
        <v>142</v>
      </c>
      <c r="C23" s="664" t="s">
        <v>569</v>
      </c>
      <c r="D23" s="664"/>
      <c r="E23" s="664"/>
      <c r="F23" s="220" t="s">
        <v>119</v>
      </c>
      <c r="G23" s="221">
        <f>IF(T13=T2,'Extra Ded. '!E20,"0")</f>
        <v>0</v>
      </c>
      <c r="H23" s="373" t="s">
        <v>143</v>
      </c>
      <c r="I23" s="665" t="s">
        <v>144</v>
      </c>
      <c r="J23" s="665"/>
      <c r="K23" s="665"/>
      <c r="L23" s="220" t="s">
        <v>119</v>
      </c>
      <c r="M23" s="223">
        <f>IF(T13=T2,'Extra Ded. '!E16,"0")</f>
        <v>0</v>
      </c>
      <c r="N23" s="687"/>
      <c r="O23" s="688"/>
      <c r="P23" s="222"/>
      <c r="Q23" s="703"/>
      <c r="R23" s="703"/>
      <c r="S23" s="703"/>
      <c r="T23" s="703"/>
      <c r="U23" s="703"/>
      <c r="V23" s="303"/>
      <c r="W23" s="303"/>
      <c r="X23" s="303"/>
      <c r="Y23" s="303"/>
      <c r="Z23" s="305">
        <f>SUM(G20:G30)+SUM(M21:M29)+O32</f>
        <v>158974</v>
      </c>
      <c r="AA23" s="303">
        <f>IF('Extra Ded. '!I14&gt;50000,50000,'Extra Ded. '!I14)</f>
        <v>50000</v>
      </c>
      <c r="AB23" s="303">
        <f>IF(Z23&gt;150000,Z23-150000,0)</f>
        <v>8974</v>
      </c>
      <c r="AC23" s="303"/>
      <c r="AD23" s="303"/>
      <c r="AE23" s="303"/>
      <c r="AF23" s="303"/>
      <c r="AG23" s="303"/>
      <c r="AH23" s="704"/>
      <c r="AI23" s="704"/>
      <c r="AJ23" s="704"/>
      <c r="AK23" s="704"/>
    </row>
    <row r="24" spans="1:37" ht="16.5" thickBot="1">
      <c r="A24" s="610"/>
      <c r="B24" s="373" t="s">
        <v>145</v>
      </c>
      <c r="C24" s="664" t="s">
        <v>570</v>
      </c>
      <c r="D24" s="664"/>
      <c r="E24" s="664"/>
      <c r="F24" s="220" t="s">
        <v>119</v>
      </c>
      <c r="G24" s="221">
        <f>IF(T13=T2,'Extra Ded. '!E21,"0")</f>
        <v>0</v>
      </c>
      <c r="H24" s="373" t="s">
        <v>146</v>
      </c>
      <c r="I24" s="665" t="s">
        <v>147</v>
      </c>
      <c r="J24" s="665"/>
      <c r="K24" s="665"/>
      <c r="L24" s="220" t="s">
        <v>119</v>
      </c>
      <c r="M24" s="221">
        <f>IF(T13=T2,'Extra Ded. '!I6,"0")</f>
        <v>0</v>
      </c>
      <c r="N24" s="687"/>
      <c r="O24" s="688"/>
      <c r="P24" s="214"/>
      <c r="Q24" s="214"/>
      <c r="S24" s="164"/>
    </row>
    <row r="25" spans="1:37" ht="15.75">
      <c r="A25" s="610"/>
      <c r="B25" s="373" t="s">
        <v>148</v>
      </c>
      <c r="C25" s="664" t="s">
        <v>571</v>
      </c>
      <c r="D25" s="664"/>
      <c r="E25" s="664"/>
      <c r="F25" s="220" t="s">
        <v>119</v>
      </c>
      <c r="G25" s="221" t="str">
        <f>IF(AND(T13=T2,'Master Data'!I30='GA55 Check &amp; Edit'!AN5),'GA55 Only Print'!O27,"0")</f>
        <v>0</v>
      </c>
      <c r="H25" s="373" t="s">
        <v>149</v>
      </c>
      <c r="I25" s="665" t="s">
        <v>150</v>
      </c>
      <c r="J25" s="665"/>
      <c r="K25" s="665"/>
      <c r="L25" s="220" t="s">
        <v>119</v>
      </c>
      <c r="M25" s="221">
        <f>IF(T13=T2,'Extra Ded. '!I8,"0")</f>
        <v>0</v>
      </c>
      <c r="N25" s="687"/>
      <c r="O25" s="688"/>
      <c r="P25" s="214"/>
      <c r="Q25" s="705" t="s">
        <v>317</v>
      </c>
      <c r="R25" s="706"/>
      <c r="S25" s="707"/>
    </row>
    <row r="26" spans="1:37" ht="15.75" customHeight="1">
      <c r="A26" s="610"/>
      <c r="B26" s="373" t="s">
        <v>151</v>
      </c>
      <c r="C26" s="664" t="s">
        <v>572</v>
      </c>
      <c r="D26" s="664"/>
      <c r="E26" s="664"/>
      <c r="F26" s="220" t="s">
        <v>119</v>
      </c>
      <c r="G26" s="223">
        <f>IF(T13=T2,'GA55 Only Print'!Y27,"0")</f>
        <v>220</v>
      </c>
      <c r="H26" s="373" t="s">
        <v>152</v>
      </c>
      <c r="I26" s="621" t="s">
        <v>576</v>
      </c>
      <c r="J26" s="621"/>
      <c r="K26" s="621"/>
      <c r="L26" s="220" t="s">
        <v>119</v>
      </c>
      <c r="M26" s="221">
        <f>IF(T13=T2,'Extra Ded. '!E15,"0")</f>
        <v>0</v>
      </c>
      <c r="N26" s="687"/>
      <c r="O26" s="688"/>
      <c r="P26" s="214"/>
      <c r="Q26" s="708"/>
      <c r="R26" s="709"/>
      <c r="S26" s="710"/>
      <c r="AA26" s="32">
        <f>IFERROR(SUM(Z22)-MIN(AA23,AB23),0)</f>
        <v>43220</v>
      </c>
      <c r="AC26" s="32">
        <f>MIN(AA23,AB23)</f>
        <v>8974</v>
      </c>
    </row>
    <row r="27" spans="1:37" ht="15.75" customHeight="1">
      <c r="A27" s="610"/>
      <c r="B27" s="373" t="s">
        <v>153</v>
      </c>
      <c r="C27" s="664" t="s">
        <v>154</v>
      </c>
      <c r="D27" s="664"/>
      <c r="E27" s="664"/>
      <c r="F27" s="220" t="s">
        <v>119</v>
      </c>
      <c r="G27" s="223">
        <f>IF(T13=T2,'Extra Ded. '!E17,"0")</f>
        <v>0</v>
      </c>
      <c r="H27" s="373" t="s">
        <v>155</v>
      </c>
      <c r="I27" s="621" t="s">
        <v>468</v>
      </c>
      <c r="J27" s="621"/>
      <c r="K27" s="621"/>
      <c r="L27" s="220" t="s">
        <v>119</v>
      </c>
      <c r="M27" s="221">
        <f>IF(T13=T2,'Extra Ded. '!I13,"0")</f>
        <v>0</v>
      </c>
      <c r="N27" s="687"/>
      <c r="O27" s="688"/>
      <c r="P27" s="214"/>
      <c r="Q27" s="708"/>
      <c r="R27" s="709"/>
      <c r="S27" s="710"/>
    </row>
    <row r="28" spans="1:37" ht="15.75">
      <c r="A28" s="610"/>
      <c r="B28" s="373" t="s">
        <v>156</v>
      </c>
      <c r="C28" s="664" t="s">
        <v>573</v>
      </c>
      <c r="D28" s="664"/>
      <c r="E28" s="664"/>
      <c r="F28" s="220" t="s">
        <v>119</v>
      </c>
      <c r="G28" s="223">
        <f>IF(T13=T2,'Extra Ded. '!E12,"0")</f>
        <v>0</v>
      </c>
      <c r="H28" s="373" t="s">
        <v>157</v>
      </c>
      <c r="I28" s="621" t="s">
        <v>158</v>
      </c>
      <c r="J28" s="621"/>
      <c r="K28" s="621"/>
      <c r="L28" s="220" t="s">
        <v>119</v>
      </c>
      <c r="M28" s="221">
        <f>IF(T13=T2,'Extra Ded. '!E22,"0")</f>
        <v>0</v>
      </c>
      <c r="N28" s="687"/>
      <c r="O28" s="688"/>
      <c r="P28" s="214"/>
      <c r="Q28" s="708"/>
      <c r="R28" s="709"/>
      <c r="S28" s="710"/>
      <c r="AA28" s="32">
        <f>IF(Z23&gt;=200000,50000,AC26)</f>
        <v>8974</v>
      </c>
    </row>
    <row r="29" spans="1:37" ht="15.75">
      <c r="A29" s="610"/>
      <c r="B29" s="373" t="s">
        <v>159</v>
      </c>
      <c r="C29" s="664" t="s">
        <v>574</v>
      </c>
      <c r="D29" s="664"/>
      <c r="E29" s="664"/>
      <c r="F29" s="220" t="s">
        <v>119</v>
      </c>
      <c r="G29" s="221">
        <f>IF(T13=T2,'Extra Ded. '!E14,"0")</f>
        <v>0</v>
      </c>
      <c r="H29" s="373" t="s">
        <v>160</v>
      </c>
      <c r="I29" s="621" t="s">
        <v>470</v>
      </c>
      <c r="J29" s="621"/>
      <c r="K29" s="621"/>
      <c r="L29" s="220" t="s">
        <v>119</v>
      </c>
      <c r="M29" s="221">
        <f>IF(T13=T2,'Extra Ded. '!I10,"0")</f>
        <v>0</v>
      </c>
      <c r="N29" s="687"/>
      <c r="O29" s="688"/>
      <c r="P29" s="214"/>
      <c r="Q29" s="708"/>
      <c r="R29" s="709"/>
      <c r="S29" s="710"/>
    </row>
    <row r="30" spans="1:37" ht="16.5" thickBot="1">
      <c r="A30" s="610"/>
      <c r="B30" s="373" t="s">
        <v>487</v>
      </c>
      <c r="C30" s="679" t="s">
        <v>602</v>
      </c>
      <c r="D30" s="680"/>
      <c r="E30" s="681"/>
      <c r="F30" s="220" t="s">
        <v>119</v>
      </c>
      <c r="G30" s="221">
        <f>IF(AND(T13=T2,'Master Data'!I30='GA55 Check &amp; Edit'!AN6),'GA55 Only Print'!O27,"0")</f>
        <v>52194</v>
      </c>
      <c r="H30" s="613" t="s">
        <v>626</v>
      </c>
      <c r="I30" s="614"/>
      <c r="J30" s="614"/>
      <c r="K30" s="615"/>
      <c r="L30" s="220" t="s">
        <v>119</v>
      </c>
      <c r="M30" s="224">
        <f>SUM(G20:G30)+SUM(M20:M29)</f>
        <v>158974</v>
      </c>
      <c r="N30" s="687"/>
      <c r="O30" s="688"/>
      <c r="P30" s="214"/>
      <c r="Q30" s="711"/>
      <c r="R30" s="712"/>
      <c r="S30" s="713"/>
      <c r="AA30" s="32">
        <f>('Extra Ded. '!I23+'Extra Ded. '!I21)</f>
        <v>1500</v>
      </c>
    </row>
    <row r="31" spans="1:37" ht="15.75" customHeight="1">
      <c r="A31" s="610"/>
      <c r="B31" s="677" t="s">
        <v>161</v>
      </c>
      <c r="C31" s="677"/>
      <c r="D31" s="677"/>
      <c r="E31" s="677"/>
      <c r="F31" s="677"/>
      <c r="G31" s="677"/>
      <c r="H31" s="677"/>
      <c r="I31" s="677"/>
      <c r="J31" s="677"/>
      <c r="K31" s="677"/>
      <c r="L31" s="677"/>
      <c r="M31" s="677"/>
      <c r="N31" s="225" t="s">
        <v>119</v>
      </c>
      <c r="O31" s="211">
        <f>IF(M30&lt;150001,ROUND(M30,0),150000)</f>
        <v>150000</v>
      </c>
      <c r="P31" s="212"/>
      <c r="Q31" s="79"/>
      <c r="R31" s="172" t="s">
        <v>316</v>
      </c>
      <c r="S31" s="650" t="s">
        <v>479</v>
      </c>
      <c r="T31" s="244"/>
      <c r="U31" s="167"/>
      <c r="V31" s="167"/>
      <c r="W31" s="167"/>
      <c r="AA31" s="32">
        <f>IF(AA30&gt;10000,10000,AA30)</f>
        <v>1500</v>
      </c>
      <c r="AB31" s="32">
        <f>IF(AA30&gt;50000,50000,AA30)</f>
        <v>1500</v>
      </c>
    </row>
    <row r="32" spans="1:37" ht="15.75" customHeight="1">
      <c r="A32" s="610"/>
      <c r="B32" s="620" t="s">
        <v>577</v>
      </c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225"/>
      <c r="O32" s="396">
        <v>0</v>
      </c>
      <c r="P32" s="213"/>
      <c r="Q32" s="79"/>
      <c r="R32" s="167"/>
      <c r="S32" s="651"/>
      <c r="T32" s="244"/>
      <c r="U32" s="167"/>
      <c r="V32" s="167"/>
      <c r="W32" s="167"/>
      <c r="AA32" s="32">
        <f>IF('Master Data'!E24="Under 60",AA31,IF('Master Data'!E24="Above 60",AB31,IF('Master Data'!E24="Above 80",AB31,0)))</f>
        <v>1500</v>
      </c>
    </row>
    <row r="33" spans="1:28" ht="15.75" customHeight="1">
      <c r="A33" s="610"/>
      <c r="B33" s="678" t="s">
        <v>578</v>
      </c>
      <c r="C33" s="678"/>
      <c r="D33" s="678"/>
      <c r="E33" s="678"/>
      <c r="F33" s="678"/>
      <c r="G33" s="678"/>
      <c r="H33" s="678"/>
      <c r="I33" s="678"/>
      <c r="J33" s="678"/>
      <c r="K33" s="678"/>
      <c r="L33" s="678"/>
      <c r="M33" s="678"/>
      <c r="N33" s="225" t="s">
        <v>119</v>
      </c>
      <c r="O33" s="226">
        <f>IF(T13=T1,0,IF(T33=T35,AB34,0))</f>
        <v>0</v>
      </c>
      <c r="P33" s="213"/>
      <c r="Q33" s="213"/>
      <c r="R33" s="167"/>
      <c r="S33" s="651"/>
      <c r="T33" s="245" t="b">
        <v>0</v>
      </c>
      <c r="U33" s="167"/>
      <c r="V33" s="167"/>
      <c r="W33" s="167"/>
    </row>
    <row r="34" spans="1:28" ht="17.25" customHeight="1">
      <c r="A34" s="610"/>
      <c r="B34" s="666" t="s">
        <v>162</v>
      </c>
      <c r="C34" s="666"/>
      <c r="D34" s="666"/>
      <c r="E34" s="666"/>
      <c r="F34" s="666"/>
      <c r="G34" s="666"/>
      <c r="H34" s="666"/>
      <c r="I34" s="666"/>
      <c r="J34" s="666"/>
      <c r="K34" s="666"/>
      <c r="L34" s="666"/>
      <c r="M34" s="666"/>
      <c r="N34" s="225" t="s">
        <v>119</v>
      </c>
      <c r="O34" s="211">
        <f>SUM(O31:O33)</f>
        <v>150000</v>
      </c>
      <c r="P34" s="212"/>
      <c r="Q34" s="212"/>
      <c r="R34" s="167"/>
      <c r="S34" s="167"/>
      <c r="T34" s="244"/>
      <c r="U34" s="167"/>
      <c r="V34" s="167"/>
      <c r="W34" s="167"/>
      <c r="AB34" s="32">
        <f>IF('Extra Ded. '!I14&gt;50000,50000,'Extra Ded. '!I14)</f>
        <v>50000</v>
      </c>
    </row>
    <row r="35" spans="1:28" ht="15.75" customHeight="1">
      <c r="A35" s="610">
        <v>12</v>
      </c>
      <c r="B35" s="618" t="s">
        <v>163</v>
      </c>
      <c r="C35" s="618"/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9"/>
      <c r="P35" s="218"/>
      <c r="Q35" s="218"/>
      <c r="R35" s="167"/>
      <c r="S35" s="167"/>
      <c r="T35" s="245" t="b">
        <v>1</v>
      </c>
      <c r="U35" s="167"/>
      <c r="V35" s="167"/>
      <c r="W35" s="167"/>
    </row>
    <row r="36" spans="1:28" s="81" customFormat="1" ht="15.75" customHeight="1">
      <c r="A36" s="610"/>
      <c r="B36" s="616" t="s">
        <v>579</v>
      </c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225" t="s">
        <v>119</v>
      </c>
      <c r="O36" s="227">
        <f>IF(T13=T2,'Extra Ded. '!I15,"0")</f>
        <v>0</v>
      </c>
      <c r="P36" s="213"/>
      <c r="Q36" s="213"/>
      <c r="R36" s="167"/>
      <c r="S36" s="167"/>
      <c r="T36" s="167"/>
      <c r="U36" s="167"/>
      <c r="V36" s="167"/>
      <c r="W36" s="167"/>
    </row>
    <row r="37" spans="1:28" s="81" customFormat="1" ht="17.25">
      <c r="A37" s="610"/>
      <c r="B37" s="616" t="s">
        <v>580</v>
      </c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225" t="s">
        <v>119</v>
      </c>
      <c r="O37" s="227">
        <f>IF(T13=T2,'Extra Ded. '!I16,"0")</f>
        <v>0</v>
      </c>
      <c r="P37" s="213"/>
      <c r="Q37" s="213"/>
      <c r="AB37" s="165">
        <f>'GA55 Only Print'!N27+'GA55 Only Print'!P27+'Extra Ded. '!E18+'Extra Ded. '!E20+'Extra Ded. '!E21+'GA55 Only Print'!O27+'GA55 Only Print'!Y27+'Extra Ded. '!E17+'Extra Ded. '!E12+'Extra Ded. '!E14+'Extra Ded. '!I12+'Extra Ded. '!E19+'Extra Ded. '!E16+'Extra Ded. '!I6+'Extra Ded. '!I8+'Extra Ded. '!E15+'Extra Ded. '!I10+'Extra Ded. '!E22+'Extra Ded. '!E24</f>
        <v>158974</v>
      </c>
    </row>
    <row r="38" spans="1:28" s="81" customFormat="1" ht="17.25">
      <c r="A38" s="610"/>
      <c r="B38" s="616" t="s">
        <v>581</v>
      </c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225" t="s">
        <v>119</v>
      </c>
      <c r="O38" s="227">
        <f>IF(T13=T2,'Extra Ded. '!I17,"0")</f>
        <v>0</v>
      </c>
      <c r="P38" s="213"/>
      <c r="Q38" s="213"/>
    </row>
    <row r="39" spans="1:28" s="81" customFormat="1" ht="18" thickBot="1">
      <c r="A39" s="610"/>
      <c r="B39" s="616" t="s">
        <v>582</v>
      </c>
      <c r="C39" s="616"/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225" t="s">
        <v>119</v>
      </c>
      <c r="O39" s="227">
        <f>IF(T13=T2,'Extra Ded. '!I18,"0")</f>
        <v>0</v>
      </c>
      <c r="P39" s="213"/>
      <c r="Q39" s="213"/>
      <c r="AB39" s="166">
        <f>'Extra Ded. '!I15+'Extra Ded. '!I16+'Extra Ded. '!I17+'Extra Ded. '!I18+('Extra Ded. '!I19+'GA55 Only Print'!U27)+'Extra Ded. '!I20+AA32+'Extra Ded. '!I22</f>
        <v>1500</v>
      </c>
    </row>
    <row r="40" spans="1:28" s="81" customFormat="1" ht="18" thickTop="1">
      <c r="A40" s="610"/>
      <c r="B40" s="616" t="s">
        <v>583</v>
      </c>
      <c r="C40" s="616"/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225" t="s">
        <v>119</v>
      </c>
      <c r="O40" s="227">
        <f>IF(T13=T2,('Extra Ded. '!I19),"0")</f>
        <v>0</v>
      </c>
      <c r="P40" s="213"/>
      <c r="Q40" s="213"/>
      <c r="R40" s="652" t="s">
        <v>484</v>
      </c>
      <c r="S40" s="653"/>
      <c r="T40" s="653"/>
      <c r="U40" s="653"/>
      <c r="V40" s="654"/>
    </row>
    <row r="41" spans="1:28" s="81" customFormat="1" ht="17.25">
      <c r="A41" s="610"/>
      <c r="B41" s="616" t="s">
        <v>584</v>
      </c>
      <c r="C41" s="616"/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225" t="s">
        <v>119</v>
      </c>
      <c r="O41" s="227">
        <f>IF(T13=T2,'Extra Ded. '!I20,"0")</f>
        <v>0</v>
      </c>
      <c r="P41" s="213"/>
      <c r="Q41" s="213"/>
      <c r="R41" s="655"/>
      <c r="S41" s="656"/>
      <c r="T41" s="656"/>
      <c r="U41" s="656"/>
      <c r="V41" s="657"/>
    </row>
    <row r="42" spans="1:28" s="81" customFormat="1" ht="18" thickBot="1">
      <c r="A42" s="610"/>
      <c r="B42" s="616" t="s">
        <v>585</v>
      </c>
      <c r="C42" s="616"/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225" t="s">
        <v>119</v>
      </c>
      <c r="O42" s="227">
        <f>IF(T13=T2,AA32,"0")</f>
        <v>1500</v>
      </c>
      <c r="P42" s="213"/>
      <c r="Q42" s="213"/>
      <c r="R42" s="655"/>
      <c r="S42" s="656"/>
      <c r="T42" s="656"/>
      <c r="U42" s="658"/>
      <c r="V42" s="659"/>
    </row>
    <row r="43" spans="1:28" s="81" customFormat="1" ht="18.75" thickTop="1" thickBot="1">
      <c r="A43" s="610"/>
      <c r="B43" s="702" t="s">
        <v>623</v>
      </c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225" t="s">
        <v>119</v>
      </c>
      <c r="O43" s="397"/>
      <c r="P43" s="213"/>
      <c r="Q43" s="213"/>
      <c r="R43" s="391"/>
      <c r="S43" s="392"/>
      <c r="T43" s="392"/>
      <c r="U43" s="392"/>
      <c r="V43" s="392"/>
    </row>
    <row r="44" spans="1:28" ht="18" thickTop="1">
      <c r="A44" s="610"/>
      <c r="B44" s="616" t="s">
        <v>586</v>
      </c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225" t="s">
        <v>119</v>
      </c>
      <c r="O44" s="227">
        <f>IF(T13=T2,'Extra Ded. '!I22,"0")</f>
        <v>0</v>
      </c>
      <c r="P44" s="213"/>
      <c r="Q44" s="213"/>
      <c r="R44" s="660" t="s">
        <v>475</v>
      </c>
      <c r="S44" s="661"/>
      <c r="T44" s="294"/>
    </row>
    <row r="45" spans="1:28" ht="17.25" thickBot="1">
      <c r="A45" s="610"/>
      <c r="B45" s="666" t="s">
        <v>164</v>
      </c>
      <c r="C45" s="666"/>
      <c r="D45" s="666"/>
      <c r="E45" s="666"/>
      <c r="F45" s="666"/>
      <c r="G45" s="666"/>
      <c r="H45" s="666"/>
      <c r="I45" s="666"/>
      <c r="J45" s="666"/>
      <c r="K45" s="666"/>
      <c r="L45" s="666"/>
      <c r="M45" s="666"/>
      <c r="N45" s="225" t="s">
        <v>119</v>
      </c>
      <c r="O45" s="211">
        <f>SUM(O36:O44)</f>
        <v>1500</v>
      </c>
      <c r="P45" s="228"/>
      <c r="Q45" s="228"/>
      <c r="R45" s="662"/>
      <c r="S45" s="663"/>
      <c r="T45" s="295"/>
    </row>
    <row r="46" spans="1:28" ht="18" thickTop="1">
      <c r="A46" s="372">
        <v>13</v>
      </c>
      <c r="B46" s="617" t="s">
        <v>587</v>
      </c>
      <c r="C46" s="617"/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225" t="s">
        <v>119</v>
      </c>
      <c r="O46" s="211">
        <f>O34+O45</f>
        <v>151500</v>
      </c>
      <c r="P46" s="213"/>
      <c r="Q46" s="213"/>
    </row>
    <row r="47" spans="1:28" ht="17.25">
      <c r="A47" s="372">
        <v>14</v>
      </c>
      <c r="B47" s="616" t="s">
        <v>588</v>
      </c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225" t="s">
        <v>119</v>
      </c>
      <c r="O47" s="211">
        <f>(O17-O46)</f>
        <v>710784</v>
      </c>
      <c r="P47" s="213"/>
      <c r="Q47" s="213"/>
    </row>
    <row r="48" spans="1:28" s="81" customFormat="1" ht="17.25">
      <c r="A48" s="372">
        <v>15</v>
      </c>
      <c r="B48" s="617" t="s">
        <v>589</v>
      </c>
      <c r="C48" s="617"/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225" t="s">
        <v>119</v>
      </c>
      <c r="O48" s="211">
        <f>ROUND(O47,-1)</f>
        <v>710780</v>
      </c>
      <c r="P48" s="212"/>
      <c r="Q48" s="212"/>
    </row>
    <row r="49" spans="1:31" s="81" customFormat="1" ht="16.5">
      <c r="A49" s="610">
        <v>16</v>
      </c>
      <c r="B49" s="616" t="s">
        <v>165</v>
      </c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74"/>
      <c r="P49" s="229"/>
      <c r="Q49" s="229"/>
      <c r="X49" s="436" t="s">
        <v>303</v>
      </c>
      <c r="Y49" s="436"/>
      <c r="Z49" s="436"/>
      <c r="AB49" s="436" t="s">
        <v>304</v>
      </c>
      <c r="AC49" s="436"/>
      <c r="AD49" s="436"/>
    </row>
    <row r="50" spans="1:31" s="81" customFormat="1" ht="15.75">
      <c r="A50" s="610"/>
      <c r="B50" s="675" t="s">
        <v>166</v>
      </c>
      <c r="C50" s="675"/>
      <c r="D50" s="675"/>
      <c r="E50" s="675"/>
      <c r="F50" s="675" t="s">
        <v>167</v>
      </c>
      <c r="G50" s="675"/>
      <c r="H50" s="675"/>
      <c r="I50" s="675"/>
      <c r="J50" s="675" t="s">
        <v>168</v>
      </c>
      <c r="K50" s="675"/>
      <c r="L50" s="675"/>
      <c r="M50" s="675"/>
      <c r="N50" s="230"/>
      <c r="O50" s="231"/>
      <c r="P50" s="232"/>
      <c r="Q50" s="232"/>
      <c r="X50" s="81">
        <v>0</v>
      </c>
      <c r="Y50" s="81">
        <v>0</v>
      </c>
      <c r="Z50" s="81">
        <v>0</v>
      </c>
      <c r="AA50" s="162">
        <v>0</v>
      </c>
      <c r="AB50" s="81">
        <v>0</v>
      </c>
      <c r="AC50" s="81">
        <v>0</v>
      </c>
      <c r="AD50" s="81">
        <v>0</v>
      </c>
      <c r="AE50" s="163">
        <v>0</v>
      </c>
    </row>
    <row r="51" spans="1:31" s="81" customFormat="1" ht="15.75">
      <c r="A51" s="610"/>
      <c r="B51" s="611" t="s">
        <v>297</v>
      </c>
      <c r="C51" s="611"/>
      <c r="D51" s="611"/>
      <c r="E51" s="374">
        <v>0</v>
      </c>
      <c r="F51" s="611" t="str">
        <f>IF(T13=T2,"Up to Rs. 3,00,000","Up to Rs. 2,50,000")</f>
        <v>Up to Rs. 3,00,000</v>
      </c>
      <c r="G51" s="611"/>
      <c r="H51" s="611"/>
      <c r="I51" s="374">
        <v>0</v>
      </c>
      <c r="J51" s="611" t="str">
        <f>IF(T13=T2,"","Up to Rs. 2,50,000")</f>
        <v/>
      </c>
      <c r="K51" s="611"/>
      <c r="L51" s="611"/>
      <c r="M51" s="374">
        <v>0</v>
      </c>
      <c r="N51" s="225" t="s">
        <v>119</v>
      </c>
      <c r="O51" s="233">
        <v>0</v>
      </c>
      <c r="P51" s="234"/>
      <c r="Q51" s="234"/>
      <c r="X51" s="81">
        <f>ROUND(IF(O48&lt;=250000,0,IF(O48&gt;=500000,12500,IF(O48&lt;=500000,0+(O48-250000)*0.05))),0)</f>
        <v>12500</v>
      </c>
      <c r="Y51" s="81">
        <f>ROUND(IF(O48&lt;=300000,0,IF(O48&gt;=500000,10000,IF(O48&lt;=500000,(O48-300000)*0.05))),0)</f>
        <v>10000</v>
      </c>
      <c r="Z51" s="81">
        <v>0</v>
      </c>
      <c r="AA51" s="162">
        <f>IF('Master Data'!$E$24="Under 60",X51,IF('Master Data'!$E$24="Above 60",Y51,Z51))</f>
        <v>12500</v>
      </c>
      <c r="AB51" s="81">
        <f>ROUND(IF(O48&lt;250001,0,IF(O48&gt;500000,12500,((O48-250000)*0.05))),0)</f>
        <v>12500</v>
      </c>
      <c r="AC51" s="81">
        <f>ROUND(IF(O48&lt;250001,0,IF(O48&gt;500000,12500,((O48-250000)*0.05))),0)</f>
        <v>12500</v>
      </c>
      <c r="AD51" s="81">
        <f>ROUND(IF(O48&lt;250001,0,IF(O48&gt;500000,12500,((O48-250000)*0.05))),0)</f>
        <v>12500</v>
      </c>
      <c r="AE51" s="163">
        <f>IF('Master Data'!$E$24="Under 60",AB51,IF('Master Data'!$E$24="Above 60",AC51,AD51))</f>
        <v>12500</v>
      </c>
    </row>
    <row r="52" spans="1:31" s="81" customFormat="1" ht="15.75">
      <c r="A52" s="610"/>
      <c r="B52" s="611" t="s">
        <v>302</v>
      </c>
      <c r="C52" s="611"/>
      <c r="D52" s="611"/>
      <c r="E52" s="374">
        <v>0.05</v>
      </c>
      <c r="F52" s="611" t="str">
        <f>IF(T13=T2,"3,00,001 to 5,00,000"," 2,50,001 to  5,00,000")</f>
        <v>3,00,001 to 5,00,000</v>
      </c>
      <c r="G52" s="611"/>
      <c r="H52" s="611"/>
      <c r="I52" s="374">
        <v>0.05</v>
      </c>
      <c r="J52" s="611" t="str">
        <f>IF(T13=T2,"Up to Rs. 5,00,000","2,50,001 to  5,00,000")</f>
        <v>Up to Rs. 5,00,000</v>
      </c>
      <c r="K52" s="611"/>
      <c r="L52" s="611"/>
      <c r="M52" s="375" t="str">
        <f>IF(T13=T2,"0%","5%")</f>
        <v>0%</v>
      </c>
      <c r="N52" s="225" t="s">
        <v>119</v>
      </c>
      <c r="O52" s="233">
        <f t="shared" ref="O52:O57" si="0">IF($T$13=$T$2,AA51,AE51)</f>
        <v>12500</v>
      </c>
      <c r="P52" s="234"/>
      <c r="Q52" s="234"/>
      <c r="X52" s="81">
        <f>ROUND(IF(O48&lt;=500000,0,IF(O48&gt;=1000000,100000,IF(O48&lt;=1000000,(O48-500000)*0.2,"0"))),0)</f>
        <v>42156</v>
      </c>
      <c r="Y52" s="81">
        <f>ROUND(IF(O48&lt;=500000,0,IF(O48&gt;=1000000,100000,IF(O48&lt;=1000000,(O48-500000)*0.2,"0"))),0)</f>
        <v>42156</v>
      </c>
      <c r="Z52" s="81">
        <f>ROUND(IF(O48&lt;=500000,0,IF(O48&gt;=1000000,100000,IF(O48&lt;=1000000,(O48-500000)*0.2,"0"))),0)</f>
        <v>42156</v>
      </c>
      <c r="AA52" s="162">
        <f>IF('Master Data'!$E$24="Under 60",X52,IF('Master Data'!$E$24="Above 60",Y52,Z52))</f>
        <v>42156</v>
      </c>
      <c r="AB52" s="81">
        <f>ROUND(IF(O48&lt;500001,0,IF(O48&gt;750000,25000,((O48-500000)*0.1))),0)</f>
        <v>21078</v>
      </c>
      <c r="AC52" s="81">
        <f>ROUND(IF(O48&lt;500001,0,IF(O48&gt;750000,25000,((O48-500000)*0.1))),0)</f>
        <v>21078</v>
      </c>
      <c r="AD52" s="81">
        <f>ROUND(IF(O48&lt;500001,0,IF(O48&gt;750000,25000,((O48-500000)*0.1))),0)</f>
        <v>21078</v>
      </c>
      <c r="AE52" s="163">
        <f>IF('Master Data'!$E$24="Under 60",AB52,IF('Master Data'!$E$24="Above 60",AC52,AD52))</f>
        <v>21078</v>
      </c>
    </row>
    <row r="53" spans="1:31" s="81" customFormat="1" ht="15.75">
      <c r="A53" s="610"/>
      <c r="B53" s="611" t="str">
        <f>IF(T13=T2,"5,00,001 to 10,00,000","5,00,001  to  7,50,000")</f>
        <v>5,00,001 to 10,00,000</v>
      </c>
      <c r="C53" s="611"/>
      <c r="D53" s="611"/>
      <c r="E53" s="374" t="str">
        <f>IF(T13=T2,"20%","10%")</f>
        <v>20%</v>
      </c>
      <c r="F53" s="611" t="str">
        <f>IF(T13=T2,"5,00,001 to 10,00,000","5,00,001  to  7,50,000")</f>
        <v>5,00,001 to 10,00,000</v>
      </c>
      <c r="G53" s="611"/>
      <c r="H53" s="611"/>
      <c r="I53" s="374" t="str">
        <f>IF(T13=T2,"20%","10%")</f>
        <v>20%</v>
      </c>
      <c r="J53" s="611" t="str">
        <f>IF(T13=T2,"5,00,001 to 10,00,000","5,00,001  to  7,50,000")</f>
        <v>5,00,001 to 10,00,000</v>
      </c>
      <c r="K53" s="611"/>
      <c r="L53" s="611"/>
      <c r="M53" s="374" t="str">
        <f>IF(T13=T2,"20%","10%")</f>
        <v>20%</v>
      </c>
      <c r="N53" s="225" t="s">
        <v>119</v>
      </c>
      <c r="O53" s="233">
        <f t="shared" si="0"/>
        <v>42156</v>
      </c>
      <c r="P53" s="234"/>
      <c r="Q53" s="234"/>
      <c r="X53" s="81">
        <f>ROUND(IF(O48&gt;1000000,(O48-1000000)*0.3,"0"),0)</f>
        <v>0</v>
      </c>
      <c r="Y53" s="81">
        <f>ROUND(IF(O48&gt;1000000,(O48-1000000)*0.3,"0"),0)</f>
        <v>0</v>
      </c>
      <c r="Z53" s="81">
        <f>ROUND(IF(O48&gt;1000000,(O48-1000000)*0.3,"0"),0)</f>
        <v>0</v>
      </c>
      <c r="AA53" s="162">
        <f>IF('Master Data'!$E$24="Under 60",X53,IF('Master Data'!$E$24="Above 60",Y53,Z53))</f>
        <v>0</v>
      </c>
      <c r="AB53" s="81">
        <f>ROUND(IF(O48&lt;750001,0,IF(O48&gt;1000000,37500,((O48-750000)*0.15))),0)</f>
        <v>0</v>
      </c>
      <c r="AC53" s="81">
        <f>ROUND(IF(O48&lt;750001,0,IF(O48&gt;1000000,37500,((O48-750000)*0.15))),0)</f>
        <v>0</v>
      </c>
      <c r="AD53" s="81">
        <f>ROUND(IF(O48&lt;750001,0,IF(O48&gt;1000000,37500,((O48-750000)*0.15))),0)</f>
        <v>0</v>
      </c>
      <c r="AE53" s="163">
        <f>IF('Master Data'!$E$24="Under 60",AB53,IF('Master Data'!$E$24="Above 60",AC53,AD53))</f>
        <v>0</v>
      </c>
    </row>
    <row r="54" spans="1:31" s="81" customFormat="1" ht="16.5" thickBot="1">
      <c r="A54" s="610"/>
      <c r="B54" s="611" t="str">
        <f>IF(T13=T2,"Above  10,00,000"," 7,50,001 to  10,00,000")</f>
        <v>Above  10,00,000</v>
      </c>
      <c r="C54" s="648"/>
      <c r="D54" s="648"/>
      <c r="E54" s="374" t="str">
        <f>IF(T13=T2,"30%","15%")</f>
        <v>30%</v>
      </c>
      <c r="F54" s="611" t="str">
        <f>IF(T13=T2,"Above  10,00,000"," 7,50,001 to  10,00,000")</f>
        <v>Above  10,00,000</v>
      </c>
      <c r="G54" s="611"/>
      <c r="H54" s="611"/>
      <c r="I54" s="374" t="str">
        <f>IF(T13=T2,"30%","15%")</f>
        <v>30%</v>
      </c>
      <c r="J54" s="611" t="str">
        <f>IF(T13=T2,"Above  10,00,000"," 7,50,001 to  10,00,000")</f>
        <v>Above  10,00,000</v>
      </c>
      <c r="K54" s="611"/>
      <c r="L54" s="611"/>
      <c r="M54" s="374" t="str">
        <f>IF(T13=T2,"30%","15%")</f>
        <v>30%</v>
      </c>
      <c r="N54" s="225" t="s">
        <v>119</v>
      </c>
      <c r="O54" s="233">
        <f t="shared" si="0"/>
        <v>0</v>
      </c>
      <c r="P54" s="234"/>
      <c r="Q54" s="234"/>
      <c r="AA54" s="162">
        <f>IF('Master Data'!$E$24="Under 60",X54,IF('Master Data'!$E$24="Above 60",Y54,Z54))</f>
        <v>0</v>
      </c>
      <c r="AB54" s="81">
        <f>ROUND(IF(O48&lt;1000001,0,IF(O48&gt;1250000,50000,((O48-1000000)*0.2))),0)</f>
        <v>0</v>
      </c>
      <c r="AC54" s="81">
        <f>ROUND(IF(O48&lt;1000001,0,IF(O48&gt;1250000,50000,((O48-1000000)*0.2))),0)</f>
        <v>0</v>
      </c>
      <c r="AD54" s="81">
        <f>ROUND(IF(O48&lt;1000001,0,IF(O48&gt;1250000,50000,((O48-1000000)*0.2))),0)</f>
        <v>0</v>
      </c>
      <c r="AE54" s="163">
        <f>IF('Master Data'!$E$24="Under 60",AB54,IF('Master Data'!$E$24="Above 60",AC54,AD54))</f>
        <v>0</v>
      </c>
    </row>
    <row r="55" spans="1:31" s="81" customFormat="1" ht="16.5" thickTop="1">
      <c r="A55" s="610"/>
      <c r="B55" s="676" t="str">
        <f>IF(T13=T2," ","10,00,001 to  12,50,000")</f>
        <v xml:space="preserve"> </v>
      </c>
      <c r="C55" s="648"/>
      <c r="D55" s="648"/>
      <c r="E55" s="374" t="str">
        <f>IF(T13=T2," ","20%")</f>
        <v xml:space="preserve"> </v>
      </c>
      <c r="F55" s="611" t="str">
        <f>IF(T13=T2," ","10,00,001 to  12,50,000")</f>
        <v xml:space="preserve"> </v>
      </c>
      <c r="G55" s="611"/>
      <c r="H55" s="611"/>
      <c r="I55" s="374" t="str">
        <f>IF(T13=T2," ","20%")</f>
        <v xml:space="preserve"> </v>
      </c>
      <c r="J55" s="611" t="str">
        <f>IF(T13=T2," ","10,00,001 to  12,50,000")</f>
        <v xml:space="preserve"> </v>
      </c>
      <c r="K55" s="611"/>
      <c r="L55" s="611"/>
      <c r="M55" s="374" t="str">
        <f>IF(T13=T2," ","20%")</f>
        <v xml:space="preserve"> </v>
      </c>
      <c r="N55" s="225" t="str">
        <f>IF(T13=T2," ","#-")</f>
        <v xml:space="preserve"> </v>
      </c>
      <c r="O55" s="233">
        <f t="shared" si="0"/>
        <v>0</v>
      </c>
      <c r="P55" s="234"/>
      <c r="Q55" s="234"/>
      <c r="R55" s="638" t="s">
        <v>476</v>
      </c>
      <c r="S55" s="639"/>
      <c r="T55" s="639"/>
      <c r="U55" s="639"/>
      <c r="V55" s="640"/>
      <c r="AA55" s="162">
        <f>IF('Master Data'!$E$24="Under 60",X55,IF('Master Data'!$E$24="Above 60",Y55,Z55))</f>
        <v>0</v>
      </c>
      <c r="AB55" s="81">
        <f>ROUND(IF(O48&lt;1250001,0,IF(O48&gt;1500000,62500,((O48-1250000)*0.25))),0)</f>
        <v>0</v>
      </c>
      <c r="AC55" s="81">
        <f>ROUND(IF(O48&lt;1250001,0,IF(O48&gt;1500000,62500,((O48-1250000)*0.25))),0)</f>
        <v>0</v>
      </c>
      <c r="AD55" s="81">
        <f>ROUND(IF(O48&lt;1250001,0,IF(O48&gt;1500000,62500,((O48-1250000)*0.25))),0)</f>
        <v>0</v>
      </c>
      <c r="AE55" s="163">
        <f>IF('Master Data'!$E$24="Under 60",AB55,IF('Master Data'!$E$24="Above 60",AC55,AD55))</f>
        <v>0</v>
      </c>
    </row>
    <row r="56" spans="1:31" s="81" customFormat="1" ht="16.5" customHeight="1">
      <c r="A56" s="610"/>
      <c r="B56" s="676" t="str">
        <f>IF(T13=T2," ","12,50,001 to  15,00,000")</f>
        <v xml:space="preserve"> </v>
      </c>
      <c r="C56" s="648"/>
      <c r="D56" s="648"/>
      <c r="E56" s="374" t="str">
        <f>IF(T13=T2," ","25%")</f>
        <v xml:space="preserve"> </v>
      </c>
      <c r="F56" s="611" t="str">
        <f>IF(T13=T2," ","12,50,001 to  15,00,000")</f>
        <v xml:space="preserve"> </v>
      </c>
      <c r="G56" s="611"/>
      <c r="H56" s="611"/>
      <c r="I56" s="374" t="str">
        <f>IF(T13=T2," ","25%")</f>
        <v xml:space="preserve"> </v>
      </c>
      <c r="J56" s="611" t="str">
        <f>IF(T13=T2," ","12,50,001 to  15,00,000")</f>
        <v xml:space="preserve"> </v>
      </c>
      <c r="K56" s="611"/>
      <c r="L56" s="611"/>
      <c r="M56" s="374" t="str">
        <f>IF(T13=T2," ","25%")</f>
        <v xml:space="preserve"> </v>
      </c>
      <c r="N56" s="225" t="str">
        <f>IF(T13=T2," ","#-")</f>
        <v xml:space="preserve"> </v>
      </c>
      <c r="O56" s="233">
        <f t="shared" si="0"/>
        <v>0</v>
      </c>
      <c r="P56" s="234"/>
      <c r="Q56" s="234"/>
      <c r="R56" s="641"/>
      <c r="S56" s="642"/>
      <c r="T56" s="642"/>
      <c r="U56" s="642"/>
      <c r="V56" s="643"/>
      <c r="AA56" s="162">
        <f>IF('Master Data'!$E$24="Under 60",X56,IF('Master Data'!$E$24="Above 60",Y56,Z56))</f>
        <v>0</v>
      </c>
      <c r="AB56" s="81">
        <f>ROUND(IF(O48&lt;1500001,0,(O48-1500000)*0.3),0)</f>
        <v>0</v>
      </c>
      <c r="AC56" s="81">
        <f>ROUND(IF(O48&lt;1500001,0,(O48-1500000)*0.3),0)</f>
        <v>0</v>
      </c>
      <c r="AD56" s="81">
        <f>ROUND(IF(O48&lt;1500001,0,(O48-1500000)*0.3),0)</f>
        <v>0</v>
      </c>
      <c r="AE56" s="163">
        <f>IF('Master Data'!$E$24="Under 60",AB56,IF('Master Data'!$E$24="Above 60",AC56,AD56))</f>
        <v>0</v>
      </c>
    </row>
    <row r="57" spans="1:31" s="81" customFormat="1" ht="16.5" thickBot="1">
      <c r="A57" s="610"/>
      <c r="B57" s="676" t="str">
        <f>IF(T13=T2," ","Above Rs. 15,00,000")</f>
        <v xml:space="preserve"> </v>
      </c>
      <c r="C57" s="648"/>
      <c r="D57" s="648"/>
      <c r="E57" s="374" t="str">
        <f>IF(T13=T2," ","30%")</f>
        <v xml:space="preserve"> </v>
      </c>
      <c r="F57" s="611" t="str">
        <f>IF(T13=T2," ","Above Rs. 15,00,000")</f>
        <v xml:space="preserve"> </v>
      </c>
      <c r="G57" s="611"/>
      <c r="H57" s="611"/>
      <c r="I57" s="374" t="str">
        <f>IF(T13=T2," ","30%")</f>
        <v xml:space="preserve"> </v>
      </c>
      <c r="J57" s="611" t="str">
        <f>IF(T13=T2," ","Above Rs. 15,00,000")</f>
        <v xml:space="preserve"> </v>
      </c>
      <c r="K57" s="611"/>
      <c r="L57" s="611"/>
      <c r="M57" s="374" t="str">
        <f>IF(T13=T2," ","30%")</f>
        <v xml:space="preserve"> </v>
      </c>
      <c r="N57" s="225" t="str">
        <f>IF(T13=T2," ","#-")</f>
        <v xml:space="preserve"> </v>
      </c>
      <c r="O57" s="233">
        <f t="shared" si="0"/>
        <v>0</v>
      </c>
      <c r="P57" s="234"/>
      <c r="Q57" s="234"/>
      <c r="R57" s="644"/>
      <c r="S57" s="645"/>
      <c r="T57" s="645"/>
      <c r="U57" s="645"/>
      <c r="V57" s="646"/>
      <c r="X57" s="81">
        <f>SUM(X50:X53)</f>
        <v>54656</v>
      </c>
      <c r="Y57" s="81">
        <f t="shared" ref="Y57:Z57" si="1">SUM(Y50:Y53)</f>
        <v>52156</v>
      </c>
      <c r="Z57" s="81">
        <f t="shared" si="1"/>
        <v>42156</v>
      </c>
      <c r="AA57" s="162">
        <f>IF('Master Data'!$E$24="Under 60",X57,IF('Master Data'!$E$24="Above 60",Y57,Z57))</f>
        <v>54656</v>
      </c>
      <c r="AB57" s="81">
        <f>SUM(AB50:AB56)</f>
        <v>33578</v>
      </c>
      <c r="AC57" s="81">
        <f t="shared" ref="AC57:AD57" si="2">SUM(AC50:AC56)</f>
        <v>33578</v>
      </c>
      <c r="AD57" s="81">
        <f t="shared" si="2"/>
        <v>33578</v>
      </c>
      <c r="AE57" s="163">
        <f>IF('Master Data'!$E$24="Under 60",AB57,IF('Master Data'!$E$24="Above 60",AC57,AD57))</f>
        <v>33578</v>
      </c>
    </row>
    <row r="58" spans="1:31" s="81" customFormat="1" ht="17.25" thickTop="1">
      <c r="A58" s="610"/>
      <c r="B58" s="612" t="s">
        <v>169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225" t="s">
        <v>119</v>
      </c>
      <c r="O58" s="211">
        <f>SUM(O51:O57)</f>
        <v>54656</v>
      </c>
      <c r="P58" s="212"/>
      <c r="Q58" s="212"/>
    </row>
    <row r="59" spans="1:31" s="81" customFormat="1" ht="17.25">
      <c r="A59" s="610"/>
      <c r="B59" s="647" t="s">
        <v>590</v>
      </c>
      <c r="C59" s="647"/>
      <c r="D59" s="647"/>
      <c r="E59" s="647"/>
      <c r="F59" s="647"/>
      <c r="G59" s="647"/>
      <c r="H59" s="647"/>
      <c r="I59" s="647"/>
      <c r="J59" s="647"/>
      <c r="K59" s="647"/>
      <c r="L59" s="647"/>
      <c r="M59" s="647"/>
      <c r="N59" s="225" t="s">
        <v>119</v>
      </c>
      <c r="O59" s="211">
        <f>IF(O48&gt;500000,0,IF(O58&lt;12500,O58,12500))</f>
        <v>0</v>
      </c>
      <c r="P59" s="213"/>
      <c r="Q59" s="637"/>
      <c r="R59" s="637"/>
      <c r="S59" s="637"/>
      <c r="X59" s="81">
        <f>ROUND(IF(O48&lt;=250000,0,IF(O48&lt;=500000,(O48-250000)*0.05,IF(O48&lt;=1000000,12500+(O48-500000)*0.2,IF(O48&gt;1000000,112500+(O48-1000000)*0.3,"0")))),0)</f>
        <v>54656</v>
      </c>
      <c r="Y59" s="81">
        <f>ROUND(IF(O48&lt;=300000,0,IF(O48&lt;=500000,(O48-300000)*0.05,IF(O48&lt;=1000000,10000+(O48-500000)*0.2,IF(O48&gt;1000000,110000+(O48-1000000)*0.3,"0")))),0)</f>
        <v>52156</v>
      </c>
      <c r="Z59" s="81">
        <f>ROUND(IF(O48&lt;=250000,0,IF(O48&lt;=500000,(O48-250000)*0.05,IF(O48&lt;=1000000,0+(O48-500000)*0.2,IF(O48&gt;1000000,100000+(O48-1000000)*0.3,"0")))),0)</f>
        <v>42156</v>
      </c>
    </row>
    <row r="60" spans="1:31" s="81" customFormat="1" ht="16.5">
      <c r="A60" s="610"/>
      <c r="B60" s="612" t="s">
        <v>170</v>
      </c>
      <c r="C60" s="612"/>
      <c r="D60" s="612"/>
      <c r="E60" s="612"/>
      <c r="F60" s="612"/>
      <c r="G60" s="612"/>
      <c r="H60" s="612"/>
      <c r="I60" s="612"/>
      <c r="J60" s="612"/>
      <c r="K60" s="612"/>
      <c r="L60" s="612"/>
      <c r="M60" s="612"/>
      <c r="N60" s="225" t="s">
        <v>119</v>
      </c>
      <c r="O60" s="211">
        <f>O58-O59</f>
        <v>54656</v>
      </c>
      <c r="P60" s="212"/>
      <c r="Q60" s="637"/>
      <c r="R60" s="637"/>
      <c r="S60" s="637"/>
      <c r="Y60" s="81">
        <f>IF(T63&gt;350000,0,IF(T63&lt;2501,T63,2500))</f>
        <v>0</v>
      </c>
    </row>
    <row r="61" spans="1:31" ht="17.25">
      <c r="A61" s="610"/>
      <c r="B61" s="376" t="s">
        <v>171</v>
      </c>
      <c r="C61" s="647" t="s">
        <v>591</v>
      </c>
      <c r="D61" s="647"/>
      <c r="E61" s="647"/>
      <c r="F61" s="647"/>
      <c r="G61" s="647"/>
      <c r="H61" s="647"/>
      <c r="I61" s="647"/>
      <c r="J61" s="647"/>
      <c r="K61" s="647"/>
      <c r="L61" s="647"/>
      <c r="M61" s="647"/>
      <c r="N61" s="225" t="s">
        <v>119</v>
      </c>
      <c r="O61" s="211">
        <f>ROUND((O60*0.04),0)</f>
        <v>2186</v>
      </c>
      <c r="P61" s="213"/>
      <c r="Q61" s="213"/>
    </row>
    <row r="62" spans="1:31" ht="16.5">
      <c r="A62" s="610"/>
      <c r="B62" s="668" t="s">
        <v>172</v>
      </c>
      <c r="C62" s="669"/>
      <c r="D62" s="669"/>
      <c r="E62" s="669"/>
      <c r="F62" s="669"/>
      <c r="G62" s="669"/>
      <c r="H62" s="669"/>
      <c r="I62" s="669"/>
      <c r="J62" s="669"/>
      <c r="K62" s="669"/>
      <c r="L62" s="669"/>
      <c r="M62" s="670"/>
      <c r="N62" s="225" t="s">
        <v>119</v>
      </c>
      <c r="O62" s="211">
        <f>SUM(O60:O61)</f>
        <v>56842</v>
      </c>
      <c r="P62" s="212"/>
      <c r="Q62" s="212"/>
    </row>
    <row r="63" spans="1:31" ht="16.5">
      <c r="A63" s="372">
        <v>17</v>
      </c>
      <c r="B63" s="671" t="s">
        <v>173</v>
      </c>
      <c r="C63" s="671"/>
      <c r="D63" s="671"/>
      <c r="E63" s="671"/>
      <c r="F63" s="671"/>
      <c r="G63" s="671"/>
      <c r="H63" s="671"/>
      <c r="I63" s="671"/>
      <c r="J63" s="671"/>
      <c r="K63" s="671"/>
      <c r="L63" s="671"/>
      <c r="M63" s="671"/>
      <c r="N63" s="225" t="s">
        <v>119</v>
      </c>
      <c r="O63" s="211">
        <f>'Extra Ded. '!I24</f>
        <v>0</v>
      </c>
      <c r="P63" s="213"/>
      <c r="Q63" s="213"/>
    </row>
    <row r="64" spans="1:31" ht="16.5">
      <c r="A64" s="372">
        <v>18</v>
      </c>
      <c r="B64" s="618" t="s">
        <v>174</v>
      </c>
      <c r="C64" s="618"/>
      <c r="D64" s="618"/>
      <c r="E64" s="618"/>
      <c r="F64" s="618"/>
      <c r="G64" s="618"/>
      <c r="H64" s="618"/>
      <c r="I64" s="618"/>
      <c r="J64" s="618"/>
      <c r="K64" s="618"/>
      <c r="L64" s="618"/>
      <c r="M64" s="618"/>
      <c r="N64" s="225" t="s">
        <v>119</v>
      </c>
      <c r="O64" s="211">
        <f>O62-O63</f>
        <v>56842</v>
      </c>
      <c r="P64" s="212"/>
      <c r="Q64" s="212"/>
    </row>
    <row r="65" spans="1:26" ht="33" customHeight="1">
      <c r="A65" s="610">
        <v>19</v>
      </c>
      <c r="B65" s="633" t="s">
        <v>175</v>
      </c>
      <c r="C65" s="633"/>
      <c r="D65" s="633"/>
      <c r="E65" s="634" t="s">
        <v>551</v>
      </c>
      <c r="F65" s="634"/>
      <c r="G65" s="634"/>
      <c r="H65" s="634" t="s">
        <v>552</v>
      </c>
      <c r="I65" s="634"/>
      <c r="J65" s="368" t="s">
        <v>553</v>
      </c>
      <c r="K65" s="634" t="s">
        <v>554</v>
      </c>
      <c r="L65" s="634"/>
      <c r="M65" s="635" t="s">
        <v>494</v>
      </c>
      <c r="N65" s="635"/>
      <c r="O65" s="235" t="s">
        <v>176</v>
      </c>
      <c r="P65" s="236"/>
      <c r="Q65" s="236"/>
    </row>
    <row r="66" spans="1:26" s="249" customFormat="1" ht="20.25" customHeight="1">
      <c r="A66" s="610"/>
      <c r="B66" s="633"/>
      <c r="C66" s="633"/>
      <c r="D66" s="633"/>
      <c r="E66" s="636">
        <f>SUM('GA55 Check &amp; Edit'!BX12:BX18)</f>
        <v>20000</v>
      </c>
      <c r="F66" s="636"/>
      <c r="G66" s="636"/>
      <c r="H66" s="636">
        <f>SUM('GA55 Check &amp; Edit'!BX19:BX21)</f>
        <v>15000</v>
      </c>
      <c r="I66" s="636"/>
      <c r="J66" s="377">
        <f>'GA55 Check &amp; Edit'!BX22</f>
        <v>5000</v>
      </c>
      <c r="K66" s="636">
        <f>'GA55 Check &amp; Edit'!BX23</f>
        <v>5000</v>
      </c>
      <c r="L66" s="636"/>
      <c r="M66" s="636">
        <f>SUM('GA55 Only Print'!X27-(E66+H66+J66+K66))+'Extra Ded. '!I9</f>
        <v>0</v>
      </c>
      <c r="N66" s="636"/>
      <c r="O66" s="378">
        <f>SUM(E66,H66,J66,K66,M66)</f>
        <v>45000</v>
      </c>
      <c r="P66" s="237"/>
      <c r="Q66" s="237"/>
    </row>
    <row r="67" spans="1:26" ht="19.5" thickBot="1">
      <c r="A67" s="672" t="str">
        <f>IF(O64&gt;O66,"Income Tax Payable",IF(O64&lt;O66,"Income Tax Refundable","Income Tax Payble/Refundable"))</f>
        <v>Income Tax Payable</v>
      </c>
      <c r="B67" s="673"/>
      <c r="C67" s="673"/>
      <c r="D67" s="673"/>
      <c r="E67" s="673"/>
      <c r="F67" s="673"/>
      <c r="G67" s="673"/>
      <c r="H67" s="673"/>
      <c r="I67" s="673"/>
      <c r="J67" s="673"/>
      <c r="K67" s="673"/>
      <c r="L67" s="673"/>
      <c r="M67" s="673"/>
      <c r="N67" s="238" t="s">
        <v>119</v>
      </c>
      <c r="O67" s="327">
        <f>IF(O64&gt;O66,O64-O66,O66-O64)</f>
        <v>11842</v>
      </c>
      <c r="P67" s="213"/>
      <c r="Q67" s="213"/>
    </row>
    <row r="68" spans="1:26" ht="16.5" thickTop="1">
      <c r="A68" s="239"/>
      <c r="B68" s="239"/>
      <c r="C68" s="239"/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40"/>
      <c r="O68" s="213"/>
      <c r="P68" s="213"/>
      <c r="Q68" s="213"/>
    </row>
    <row r="69" spans="1:26" ht="16.5">
      <c r="A69" s="82"/>
      <c r="B69" s="83"/>
      <c r="C69" s="83"/>
      <c r="D69" s="84"/>
      <c r="E69" s="83"/>
      <c r="F69" s="83"/>
      <c r="G69" s="83"/>
      <c r="H69" s="83"/>
      <c r="I69" s="83"/>
      <c r="J69" s="83"/>
      <c r="K69" s="83"/>
      <c r="L69" s="667" t="s">
        <v>177</v>
      </c>
      <c r="M69" s="667"/>
      <c r="N69" s="667"/>
      <c r="O69" s="85"/>
      <c r="P69" s="85"/>
      <c r="Q69" s="85"/>
    </row>
    <row r="70" spans="1:26" ht="16.5">
      <c r="A70" s="82"/>
      <c r="B70" s="83"/>
      <c r="C70" s="83"/>
      <c r="D70" s="84"/>
      <c r="E70" s="83"/>
      <c r="F70" s="83"/>
      <c r="G70" s="83"/>
      <c r="H70" s="83"/>
      <c r="I70" s="83"/>
      <c r="J70" s="83"/>
      <c r="K70" s="83"/>
      <c r="L70" s="86"/>
      <c r="M70" s="87"/>
      <c r="N70" s="88"/>
      <c r="O70" s="85"/>
      <c r="P70" s="85"/>
      <c r="Q70" s="85"/>
    </row>
    <row r="71" spans="1:26" ht="15.75">
      <c r="A71" s="89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1"/>
      <c r="P71" s="91"/>
      <c r="Q71" s="91"/>
      <c r="R71" s="81"/>
      <c r="S71" s="81"/>
      <c r="T71" s="81"/>
      <c r="U71" s="81"/>
      <c r="V71" s="81"/>
      <c r="W71" s="81"/>
      <c r="X71" s="81"/>
      <c r="Y71" s="81"/>
      <c r="Z71" s="81"/>
    </row>
    <row r="72" spans="1:26" ht="15.75">
      <c r="A72" s="92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1"/>
      <c r="P72" s="91"/>
      <c r="Q72" s="91"/>
      <c r="R72" s="81"/>
      <c r="S72" s="81"/>
      <c r="T72" s="81"/>
      <c r="U72" s="81"/>
      <c r="V72" s="81"/>
      <c r="W72" s="81"/>
      <c r="X72" s="81"/>
      <c r="Y72" s="81"/>
      <c r="Z72" s="81"/>
    </row>
    <row r="73" spans="1:26" ht="15.75">
      <c r="A73" s="89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1"/>
      <c r="P73" s="91"/>
      <c r="Q73" s="91"/>
      <c r="R73" s="81"/>
      <c r="S73" s="81"/>
      <c r="T73" s="81"/>
      <c r="U73" s="81"/>
      <c r="V73" s="81"/>
      <c r="W73" s="81"/>
      <c r="X73" s="81"/>
      <c r="Y73" s="81"/>
      <c r="Z73" s="81"/>
    </row>
    <row r="74" spans="1:26" ht="15.75">
      <c r="A74" s="89"/>
      <c r="B74" s="93"/>
      <c r="C74" s="93"/>
      <c r="D74" s="93"/>
      <c r="E74" s="93"/>
      <c r="F74" s="93"/>
      <c r="G74" s="93"/>
      <c r="H74" s="93"/>
      <c r="I74" s="94"/>
      <c r="J74" s="94"/>
      <c r="K74" s="94"/>
      <c r="L74" s="94"/>
      <c r="M74" s="94"/>
      <c r="N74" s="94"/>
      <c r="O74" s="91"/>
      <c r="P74" s="91"/>
      <c r="Q74" s="91"/>
      <c r="R74" s="81"/>
      <c r="S74" s="81"/>
      <c r="T74" s="81"/>
      <c r="U74" s="81"/>
      <c r="V74" s="81"/>
      <c r="W74" s="81"/>
      <c r="X74" s="81"/>
      <c r="Y74" s="81"/>
      <c r="Z74" s="81"/>
    </row>
    <row r="75" spans="1:26" ht="15.75">
      <c r="A75" s="89"/>
      <c r="B75" s="93"/>
      <c r="C75" s="93"/>
      <c r="D75" s="93"/>
      <c r="E75" s="93"/>
      <c r="F75" s="93"/>
      <c r="G75" s="93"/>
      <c r="H75" s="93"/>
      <c r="I75" s="94"/>
      <c r="J75" s="94"/>
      <c r="K75" s="94"/>
      <c r="L75" s="94"/>
      <c r="M75" s="94"/>
      <c r="N75" s="94"/>
      <c r="O75" s="91"/>
      <c r="P75" s="91"/>
      <c r="Q75" s="91"/>
      <c r="R75" s="81"/>
      <c r="S75" s="81"/>
      <c r="T75" s="81"/>
      <c r="U75" s="81"/>
      <c r="V75" s="81"/>
      <c r="W75" s="81"/>
      <c r="X75" s="81"/>
      <c r="Y75" s="81"/>
      <c r="Z75" s="81"/>
    </row>
    <row r="76" spans="1:26" ht="15.75">
      <c r="A76" s="89"/>
      <c r="B76" s="93"/>
      <c r="C76" s="93"/>
      <c r="D76" s="93"/>
      <c r="E76" s="93"/>
      <c r="F76" s="93"/>
      <c r="G76" s="93"/>
      <c r="H76" s="93"/>
      <c r="I76" s="94"/>
      <c r="J76" s="94"/>
      <c r="K76" s="94"/>
      <c r="L76" s="94"/>
      <c r="M76" s="94"/>
      <c r="N76" s="94"/>
      <c r="O76" s="91"/>
      <c r="P76" s="91"/>
      <c r="Q76" s="91"/>
      <c r="R76" s="81"/>
      <c r="S76" s="81"/>
      <c r="T76" s="81"/>
      <c r="U76" s="81"/>
      <c r="V76" s="81"/>
      <c r="W76" s="81"/>
      <c r="X76" s="81"/>
      <c r="Y76" s="81"/>
      <c r="Z76" s="81"/>
    </row>
    <row r="77" spans="1:26" ht="15.75">
      <c r="A77" s="89"/>
      <c r="B77" s="93"/>
      <c r="C77" s="93"/>
      <c r="D77" s="93"/>
      <c r="E77" s="93"/>
      <c r="F77" s="93"/>
      <c r="G77" s="93"/>
      <c r="H77" s="93"/>
      <c r="I77" s="94"/>
      <c r="J77" s="94"/>
      <c r="K77" s="94"/>
      <c r="L77" s="94"/>
      <c r="M77" s="94"/>
      <c r="N77" s="94"/>
      <c r="O77" s="91"/>
      <c r="P77" s="91"/>
      <c r="Q77" s="91"/>
      <c r="R77" s="81"/>
      <c r="S77" s="81"/>
      <c r="T77" s="81"/>
      <c r="U77" s="81"/>
      <c r="V77" s="81"/>
      <c r="W77" s="81"/>
      <c r="X77" s="81"/>
      <c r="Y77" s="81"/>
      <c r="Z77" s="81"/>
    </row>
    <row r="78" spans="1:26" ht="15.75">
      <c r="A78" s="89"/>
      <c r="B78" s="93"/>
      <c r="C78" s="93"/>
      <c r="D78" s="93"/>
      <c r="E78" s="93"/>
      <c r="F78" s="93"/>
      <c r="G78" s="93"/>
      <c r="H78" s="93"/>
      <c r="I78" s="94"/>
      <c r="J78" s="94"/>
      <c r="K78" s="94"/>
      <c r="L78" s="94"/>
      <c r="M78" s="94"/>
      <c r="N78" s="94"/>
      <c r="O78" s="91"/>
      <c r="P78" s="91"/>
      <c r="Q78" s="91"/>
      <c r="R78" s="81"/>
      <c r="S78" s="81"/>
      <c r="T78" s="81"/>
      <c r="U78" s="81"/>
      <c r="V78" s="81"/>
      <c r="W78" s="81"/>
      <c r="X78" s="81"/>
      <c r="Y78" s="81"/>
      <c r="Z78" s="81"/>
    </row>
    <row r="79" spans="1:26" ht="15.75">
      <c r="A79" s="92"/>
      <c r="B79" s="95"/>
      <c r="C79" s="96"/>
      <c r="D79" s="96"/>
      <c r="E79" s="96"/>
      <c r="F79" s="96"/>
      <c r="G79" s="96"/>
      <c r="H79" s="95"/>
      <c r="I79" s="94"/>
      <c r="J79" s="94"/>
      <c r="K79" s="94"/>
      <c r="L79" s="94"/>
      <c r="M79" s="94"/>
      <c r="N79" s="94"/>
      <c r="O79" s="91"/>
      <c r="P79" s="91"/>
      <c r="Q79" s="91"/>
      <c r="R79" s="81"/>
      <c r="S79" s="81"/>
      <c r="T79" s="81"/>
      <c r="U79" s="81"/>
      <c r="V79" s="81"/>
      <c r="W79" s="81"/>
      <c r="X79" s="81"/>
      <c r="Y79" s="81"/>
      <c r="Z79" s="81"/>
    </row>
    <row r="80" spans="1:26" s="101" customFormat="1" ht="15.75">
      <c r="A80" s="97"/>
      <c r="B80" s="98"/>
      <c r="C80" s="98"/>
      <c r="D80" s="98"/>
      <c r="E80" s="98"/>
      <c r="F80" s="98"/>
      <c r="G80" s="98"/>
      <c r="H80" s="98"/>
      <c r="I80" s="94"/>
      <c r="J80" s="94"/>
      <c r="K80" s="94"/>
      <c r="L80" s="94"/>
      <c r="M80" s="94"/>
      <c r="N80" s="94"/>
      <c r="O80" s="99"/>
      <c r="P80" s="99"/>
      <c r="Q80" s="99"/>
      <c r="R80" s="100"/>
      <c r="S80" s="100"/>
      <c r="T80" s="100"/>
      <c r="U80" s="100"/>
      <c r="V80" s="100"/>
      <c r="W80" s="100"/>
      <c r="X80" s="100"/>
      <c r="Y80" s="100"/>
      <c r="Z80" s="100"/>
    </row>
    <row r="81" spans="1:26" s="101" customFormat="1" ht="15.75">
      <c r="A81" s="97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102"/>
      <c r="N81" s="103"/>
      <c r="O81" s="99"/>
      <c r="P81" s="99"/>
      <c r="Q81" s="99"/>
      <c r="R81" s="100"/>
      <c r="S81" s="100"/>
      <c r="T81" s="100"/>
      <c r="U81" s="100"/>
      <c r="V81" s="100"/>
      <c r="W81" s="100"/>
      <c r="X81" s="100"/>
      <c r="Y81" s="100"/>
      <c r="Z81" s="100"/>
    </row>
    <row r="82" spans="1:26" s="101" customFormat="1" ht="15.75">
      <c r="A82" s="97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102"/>
      <c r="N82" s="103"/>
      <c r="O82" s="99"/>
      <c r="P82" s="99"/>
      <c r="Q82" s="99"/>
      <c r="R82" s="100"/>
      <c r="S82" s="100"/>
      <c r="T82" s="100"/>
      <c r="U82" s="100"/>
      <c r="V82" s="100"/>
      <c r="W82" s="100"/>
      <c r="X82" s="100"/>
      <c r="Y82" s="100"/>
      <c r="Z82" s="100"/>
    </row>
    <row r="83" spans="1:26" s="101" customFormat="1" ht="15.75">
      <c r="A83" s="97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102"/>
      <c r="N83" s="103"/>
      <c r="O83" s="99"/>
      <c r="P83" s="99"/>
      <c r="Q83" s="99"/>
      <c r="R83" s="100"/>
      <c r="S83" s="100"/>
      <c r="T83" s="100"/>
      <c r="U83" s="100"/>
      <c r="V83" s="100"/>
      <c r="W83" s="100"/>
      <c r="X83" s="100"/>
      <c r="Y83" s="100"/>
      <c r="Z83" s="100"/>
    </row>
    <row r="84" spans="1:26" s="101" customFormat="1" ht="15.75">
      <c r="A84" s="97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104"/>
      <c r="M84" s="102"/>
      <c r="N84" s="105"/>
      <c r="O84" s="99"/>
      <c r="P84" s="99"/>
      <c r="Q84" s="99"/>
      <c r="R84" s="100"/>
      <c r="S84" s="100"/>
      <c r="T84" s="100"/>
      <c r="U84" s="100"/>
      <c r="V84" s="100"/>
      <c r="W84" s="100"/>
      <c r="X84" s="100"/>
      <c r="Y84" s="100"/>
      <c r="Z84" s="100"/>
    </row>
    <row r="85" spans="1:26" ht="15.75">
      <c r="A85" s="106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8"/>
      <c r="N85" s="109"/>
      <c r="O85" s="85"/>
      <c r="P85" s="85"/>
      <c r="Q85" s="85"/>
      <c r="R85" s="81"/>
      <c r="S85" s="81"/>
      <c r="T85" s="81"/>
      <c r="U85" s="81"/>
      <c r="V85" s="81"/>
      <c r="W85" s="81"/>
      <c r="X85" s="81"/>
      <c r="Y85" s="81"/>
      <c r="Z85" s="81"/>
    </row>
    <row r="86" spans="1:26">
      <c r="A86" s="110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81"/>
      <c r="S86" s="81"/>
      <c r="T86" s="81"/>
      <c r="U86" s="81"/>
      <c r="V86" s="81"/>
      <c r="W86" s="81"/>
      <c r="X86" s="81"/>
      <c r="Y86" s="81"/>
      <c r="Z86" s="81"/>
    </row>
    <row r="87" spans="1:26">
      <c r="A87" s="110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81"/>
      <c r="S87" s="81"/>
      <c r="T87" s="81"/>
      <c r="U87" s="81"/>
      <c r="V87" s="81"/>
      <c r="W87" s="81"/>
      <c r="X87" s="81"/>
      <c r="Y87" s="81"/>
      <c r="Z87" s="81"/>
    </row>
    <row r="88" spans="1:26">
      <c r="A88" s="110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81"/>
      <c r="S88" s="81"/>
      <c r="T88" s="81"/>
      <c r="U88" s="81"/>
      <c r="V88" s="81"/>
      <c r="W88" s="81"/>
      <c r="X88" s="81"/>
      <c r="Y88" s="81"/>
      <c r="Z88" s="81"/>
    </row>
    <row r="89" spans="1:26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</sheetData>
  <sheetProtection password="C1FB" sheet="1" objects="1" scenarios="1" formatColumns="0" formatRows="0"/>
  <mergeCells count="149">
    <mergeCell ref="B43:M43"/>
    <mergeCell ref="Q21:U23"/>
    <mergeCell ref="AH22:AK23"/>
    <mergeCell ref="Q25:S30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9:J9"/>
    <mergeCell ref="K9:M9"/>
    <mergeCell ref="B10:M10"/>
    <mergeCell ref="A11:A13"/>
    <mergeCell ref="B11:H11"/>
    <mergeCell ref="I11:J11"/>
    <mergeCell ref="K11:M11"/>
    <mergeCell ref="R4:V7"/>
    <mergeCell ref="B5:M5"/>
    <mergeCell ref="B6:M6"/>
    <mergeCell ref="A7:A9"/>
    <mergeCell ref="B7:J7"/>
    <mergeCell ref="K7:M7"/>
    <mergeCell ref="N7:O8"/>
    <mergeCell ref="B8:J8"/>
    <mergeCell ref="K8:M8"/>
    <mergeCell ref="I23:K23"/>
    <mergeCell ref="B14:M14"/>
    <mergeCell ref="B15:D15"/>
    <mergeCell ref="J15:M15"/>
    <mergeCell ref="B16:D16"/>
    <mergeCell ref="N11:O13"/>
    <mergeCell ref="B12:C13"/>
    <mergeCell ref="D12:E12"/>
    <mergeCell ref="F12:H12"/>
    <mergeCell ref="I12:J12"/>
    <mergeCell ref="K12:M12"/>
    <mergeCell ref="D13:E13"/>
    <mergeCell ref="F13:H13"/>
    <mergeCell ref="I13:J13"/>
    <mergeCell ref="K13:M13"/>
    <mergeCell ref="E15:F15"/>
    <mergeCell ref="A18:A34"/>
    <mergeCell ref="B18:O18"/>
    <mergeCell ref="B19:O19"/>
    <mergeCell ref="C20:E20"/>
    <mergeCell ref="I20:K20"/>
    <mergeCell ref="N20:O30"/>
    <mergeCell ref="C21:E21"/>
    <mergeCell ref="I21:K21"/>
    <mergeCell ref="C22:E22"/>
    <mergeCell ref="C29:E29"/>
    <mergeCell ref="I29:K29"/>
    <mergeCell ref="B31:M31"/>
    <mergeCell ref="C26:E26"/>
    <mergeCell ref="I26:K26"/>
    <mergeCell ref="C27:E27"/>
    <mergeCell ref="I27:K27"/>
    <mergeCell ref="C28:E28"/>
    <mergeCell ref="I22:K22"/>
    <mergeCell ref="B33:M33"/>
    <mergeCell ref="B34:M34"/>
    <mergeCell ref="C30:E30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Q59:S60"/>
    <mergeCell ref="R55:V57"/>
    <mergeCell ref="F57:H57"/>
    <mergeCell ref="J57:L57"/>
    <mergeCell ref="B59:M59"/>
    <mergeCell ref="B60:M60"/>
    <mergeCell ref="B54:D54"/>
    <mergeCell ref="R18:S18"/>
    <mergeCell ref="S31:S33"/>
    <mergeCell ref="R40:V42"/>
    <mergeCell ref="R44:S45"/>
    <mergeCell ref="B46:M46"/>
    <mergeCell ref="B47:M47"/>
    <mergeCell ref="B53:D53"/>
    <mergeCell ref="F53:H53"/>
    <mergeCell ref="J53:L53"/>
    <mergeCell ref="B39:M39"/>
    <mergeCell ref="B40:M40"/>
    <mergeCell ref="C23:E23"/>
    <mergeCell ref="C24:E24"/>
    <mergeCell ref="I24:K24"/>
    <mergeCell ref="C25:E25"/>
    <mergeCell ref="I25:K25"/>
    <mergeCell ref="B45:M45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B4:I4"/>
    <mergeCell ref="J4:M4"/>
    <mergeCell ref="A35:A45"/>
    <mergeCell ref="F54:H54"/>
    <mergeCell ref="J54:L54"/>
    <mergeCell ref="B58:M58"/>
    <mergeCell ref="H30:K30"/>
    <mergeCell ref="X49:Z49"/>
    <mergeCell ref="AB49:AD49"/>
    <mergeCell ref="B41:M41"/>
    <mergeCell ref="B42:M42"/>
    <mergeCell ref="B44:M44"/>
    <mergeCell ref="B48:M48"/>
    <mergeCell ref="B35:O35"/>
    <mergeCell ref="B32:M32"/>
    <mergeCell ref="B36:M36"/>
    <mergeCell ref="B37:M37"/>
    <mergeCell ref="B38:M38"/>
    <mergeCell ref="I28:K28"/>
    <mergeCell ref="E16:F16"/>
    <mergeCell ref="G15:H15"/>
    <mergeCell ref="G16:H16"/>
    <mergeCell ref="J16:M16"/>
    <mergeCell ref="B17:M17"/>
  </mergeCells>
  <conditionalFormatting sqref="J70"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8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L2:O2">
    <cfRule type="cellIs" dxfId="5" priority="5" operator="equal">
      <formula>"Old Tax Regime"</formula>
    </cfRule>
  </conditionalFormatting>
  <conditionalFormatting sqref="A67:O67">
    <cfRule type="expression" dxfId="4" priority="2">
      <formula>$A67="Income Tax Refundable"</formula>
    </cfRule>
    <cfRule type="expression" dxfId="3" priority="1">
      <formula>$A67="Income Tax Payable"</formula>
    </cfRule>
  </conditionalFormatting>
  <hyperlinks>
    <hyperlink ref="Q21" r:id="rId1"/>
  </hyperlinks>
  <printOptions horizontalCentered="1" verticalCentered="1"/>
  <pageMargins left="0.4" right="0.3" top="0.25" bottom="0.25" header="0.3" footer="0.3"/>
  <pageSetup paperSize="9" scale="70" orientation="portrait" blackAndWhite="1" horizontalDpi="720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AA49"/>
  <sheetViews>
    <sheetView showGridLines="0" showRowColHeaders="0" workbookViewId="0">
      <selection activeCell="M30" sqref="M30:O30"/>
    </sheetView>
  </sheetViews>
  <sheetFormatPr defaultColWidth="0" defaultRowHeight="15" customHeight="1" zeroHeight="1"/>
  <cols>
    <col min="1" max="1" width="7.375" style="32" customWidth="1"/>
    <col min="2" max="12" width="8.75" style="32" customWidth="1"/>
    <col min="13" max="14" width="6.75" style="32" customWidth="1"/>
    <col min="15" max="27" width="8.875" style="32" customWidth="1"/>
    <col min="28" max="16384" width="8.875" style="32" hidden="1"/>
  </cols>
  <sheetData>
    <row r="1" spans="1:17" ht="25.5" customHeight="1">
      <c r="A1" s="112"/>
      <c r="B1" s="763" t="s">
        <v>178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112"/>
      <c r="Q1" s="112"/>
    </row>
    <row r="2" spans="1:17" ht="24.75" customHeight="1" thickBot="1">
      <c r="A2" s="112"/>
      <c r="B2" s="764"/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112"/>
      <c r="Q2" s="112"/>
    </row>
    <row r="3" spans="1:17" ht="19.5" thickTop="1">
      <c r="A3" s="112"/>
      <c r="B3" s="765" t="s">
        <v>179</v>
      </c>
      <c r="C3" s="766"/>
      <c r="D3" s="767" t="str">
        <f>UPPER(IF('Master Data'!D6="","",'Master Data'!D6))</f>
        <v>HEERALAL JAT</v>
      </c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8"/>
      <c r="P3" s="112"/>
      <c r="Q3" s="112"/>
    </row>
    <row r="4" spans="1:17" ht="18.75">
      <c r="A4" s="112"/>
      <c r="B4" s="769" t="s">
        <v>180</v>
      </c>
      <c r="C4" s="770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2"/>
      <c r="P4" s="112"/>
      <c r="Q4" s="112"/>
    </row>
    <row r="5" spans="1:17" ht="19.5" thickBot="1">
      <c r="A5" s="112"/>
      <c r="B5" s="773" t="s">
        <v>118</v>
      </c>
      <c r="C5" s="774"/>
      <c r="D5" s="775" t="str">
        <f>IF(AND('Master Data'!D12=""),"",UPPER('Master Data'!D12))</f>
        <v>ABCDE1234H</v>
      </c>
      <c r="E5" s="775"/>
      <c r="F5" s="775"/>
      <c r="G5" s="775"/>
      <c r="H5" s="775"/>
      <c r="I5" s="776" t="s">
        <v>181</v>
      </c>
      <c r="J5" s="776"/>
      <c r="K5" s="777" t="s">
        <v>182</v>
      </c>
      <c r="L5" s="777"/>
      <c r="M5" s="777"/>
      <c r="N5" s="777"/>
      <c r="O5" s="778"/>
      <c r="P5" s="112"/>
      <c r="Q5" s="112"/>
    </row>
    <row r="6" spans="1:17" ht="20.25" thickTop="1" thickBot="1">
      <c r="A6" s="112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2"/>
      <c r="Q6" s="112"/>
    </row>
    <row r="7" spans="1:17" ht="19.5" thickTop="1">
      <c r="A7" s="112"/>
      <c r="B7" s="779" t="s">
        <v>234</v>
      </c>
      <c r="C7" s="780"/>
      <c r="D7" s="780"/>
      <c r="E7" s="780"/>
      <c r="F7" s="780"/>
      <c r="G7" s="780"/>
      <c r="H7" s="780"/>
      <c r="I7" s="780"/>
      <c r="J7" s="780"/>
      <c r="K7" s="780"/>
      <c r="L7" s="781"/>
      <c r="M7" s="782" t="s">
        <v>183</v>
      </c>
      <c r="N7" s="782"/>
      <c r="O7" s="783"/>
      <c r="P7" s="112"/>
      <c r="Q7" s="112"/>
    </row>
    <row r="8" spans="1:17" ht="18.75">
      <c r="A8" s="112"/>
      <c r="B8" s="784" t="s">
        <v>235</v>
      </c>
      <c r="C8" s="785"/>
      <c r="D8" s="785"/>
      <c r="E8" s="785"/>
      <c r="F8" s="785"/>
      <c r="G8" s="785"/>
      <c r="H8" s="785"/>
      <c r="I8" s="785"/>
      <c r="J8" s="785"/>
      <c r="K8" s="785"/>
      <c r="L8" s="785"/>
      <c r="M8" s="744">
        <v>0</v>
      </c>
      <c r="N8" s="745"/>
      <c r="O8" s="746"/>
      <c r="P8" s="112"/>
      <c r="Q8" s="112"/>
    </row>
    <row r="9" spans="1:17" ht="18.75">
      <c r="A9" s="112"/>
      <c r="B9" s="784" t="s">
        <v>236</v>
      </c>
      <c r="C9" s="785"/>
      <c r="D9" s="785"/>
      <c r="E9" s="785"/>
      <c r="F9" s="785"/>
      <c r="G9" s="785"/>
      <c r="H9" s="785"/>
      <c r="I9" s="785"/>
      <c r="J9" s="785"/>
      <c r="K9" s="785"/>
      <c r="L9" s="785"/>
      <c r="M9" s="750">
        <v>0</v>
      </c>
      <c r="N9" s="751"/>
      <c r="O9" s="752"/>
      <c r="P9" s="112"/>
      <c r="Q9" s="112"/>
    </row>
    <row r="10" spans="1:17" ht="18.75">
      <c r="A10" s="112"/>
      <c r="B10" s="736" t="s">
        <v>237</v>
      </c>
      <c r="C10" s="737"/>
      <c r="D10" s="737"/>
      <c r="E10" s="737"/>
      <c r="F10" s="737"/>
      <c r="G10" s="737"/>
      <c r="H10" s="737"/>
      <c r="I10" s="737"/>
      <c r="J10" s="737"/>
      <c r="K10" s="737"/>
      <c r="L10" s="762"/>
      <c r="M10" s="739" t="s">
        <v>183</v>
      </c>
      <c r="N10" s="739"/>
      <c r="O10" s="740"/>
      <c r="P10" s="112"/>
      <c r="Q10" s="112"/>
    </row>
    <row r="11" spans="1:17" ht="18.75">
      <c r="A11" s="112"/>
      <c r="B11" s="741" t="s">
        <v>238</v>
      </c>
      <c r="C11" s="742"/>
      <c r="D11" s="742"/>
      <c r="E11" s="742"/>
      <c r="F11" s="742"/>
      <c r="G11" s="742"/>
      <c r="H11" s="742"/>
      <c r="I11" s="742"/>
      <c r="J11" s="742"/>
      <c r="K11" s="742"/>
      <c r="L11" s="743"/>
      <c r="M11" s="744">
        <v>0</v>
      </c>
      <c r="N11" s="745"/>
      <c r="O11" s="746"/>
      <c r="P11" s="112"/>
      <c r="Q11" s="112"/>
    </row>
    <row r="12" spans="1:17" ht="18.75">
      <c r="A12" s="112"/>
      <c r="B12" s="747" t="s">
        <v>239</v>
      </c>
      <c r="C12" s="748"/>
      <c r="D12" s="748"/>
      <c r="E12" s="748"/>
      <c r="F12" s="748"/>
      <c r="G12" s="748"/>
      <c r="H12" s="748"/>
      <c r="I12" s="748"/>
      <c r="J12" s="748"/>
      <c r="K12" s="748"/>
      <c r="L12" s="749"/>
      <c r="M12" s="750">
        <v>0</v>
      </c>
      <c r="N12" s="751"/>
      <c r="O12" s="752"/>
      <c r="P12" s="112"/>
      <c r="Q12" s="112"/>
    </row>
    <row r="13" spans="1:17" ht="18.75">
      <c r="A13" s="112"/>
      <c r="B13" s="736" t="s">
        <v>278</v>
      </c>
      <c r="C13" s="737"/>
      <c r="D13" s="737"/>
      <c r="E13" s="737"/>
      <c r="F13" s="737"/>
      <c r="G13" s="737"/>
      <c r="H13" s="737"/>
      <c r="I13" s="737"/>
      <c r="J13" s="737"/>
      <c r="K13" s="737"/>
      <c r="L13" s="762"/>
      <c r="M13" s="739" t="s">
        <v>183</v>
      </c>
      <c r="N13" s="739"/>
      <c r="O13" s="740"/>
      <c r="P13" s="112"/>
      <c r="Q13" s="112"/>
    </row>
    <row r="14" spans="1:17" ht="18.75">
      <c r="A14" s="112"/>
      <c r="B14" s="741" t="s">
        <v>279</v>
      </c>
      <c r="C14" s="742"/>
      <c r="D14" s="742"/>
      <c r="E14" s="742"/>
      <c r="F14" s="742"/>
      <c r="G14" s="742"/>
      <c r="H14" s="742"/>
      <c r="I14" s="742"/>
      <c r="J14" s="742"/>
      <c r="K14" s="742"/>
      <c r="L14" s="743"/>
      <c r="M14" s="744">
        <v>0</v>
      </c>
      <c r="N14" s="745"/>
      <c r="O14" s="746"/>
      <c r="P14" s="112"/>
      <c r="Q14" s="112"/>
    </row>
    <row r="15" spans="1:17" ht="18.75">
      <c r="A15" s="112"/>
      <c r="B15" s="747" t="s">
        <v>280</v>
      </c>
      <c r="C15" s="748"/>
      <c r="D15" s="748"/>
      <c r="E15" s="748"/>
      <c r="F15" s="748"/>
      <c r="G15" s="748"/>
      <c r="H15" s="748"/>
      <c r="I15" s="748"/>
      <c r="J15" s="748"/>
      <c r="K15" s="748"/>
      <c r="L15" s="749"/>
      <c r="M15" s="750">
        <v>0</v>
      </c>
      <c r="N15" s="751"/>
      <c r="O15" s="752"/>
      <c r="P15" s="112"/>
      <c r="Q15" s="112"/>
    </row>
    <row r="16" spans="1:17" ht="18.75">
      <c r="A16" s="112"/>
      <c r="B16" s="736" t="s">
        <v>184</v>
      </c>
      <c r="C16" s="737"/>
      <c r="D16" s="737"/>
      <c r="E16" s="737"/>
      <c r="F16" s="737"/>
      <c r="G16" s="737"/>
      <c r="H16" s="737"/>
      <c r="I16" s="737"/>
      <c r="J16" s="737"/>
      <c r="K16" s="737"/>
      <c r="L16" s="762"/>
      <c r="M16" s="739" t="s">
        <v>183</v>
      </c>
      <c r="N16" s="739"/>
      <c r="O16" s="740"/>
      <c r="P16" s="112"/>
      <c r="Q16" s="112"/>
    </row>
    <row r="17" spans="1:26" ht="18.75">
      <c r="A17" s="112"/>
      <c r="B17" s="741" t="s">
        <v>185</v>
      </c>
      <c r="C17" s="742"/>
      <c r="D17" s="742"/>
      <c r="E17" s="742"/>
      <c r="F17" s="742"/>
      <c r="G17" s="742"/>
      <c r="H17" s="742"/>
      <c r="I17" s="742"/>
      <c r="J17" s="742"/>
      <c r="K17" s="742"/>
      <c r="L17" s="743"/>
      <c r="M17" s="744">
        <v>0</v>
      </c>
      <c r="N17" s="745"/>
      <c r="O17" s="746"/>
      <c r="P17" s="112"/>
      <c r="Q17" s="112"/>
    </row>
    <row r="18" spans="1:26" ht="18.75">
      <c r="A18" s="112"/>
      <c r="B18" s="747" t="s">
        <v>186</v>
      </c>
      <c r="C18" s="748"/>
      <c r="D18" s="748"/>
      <c r="E18" s="748"/>
      <c r="F18" s="748"/>
      <c r="G18" s="748"/>
      <c r="H18" s="748"/>
      <c r="I18" s="748"/>
      <c r="J18" s="748"/>
      <c r="K18" s="748"/>
      <c r="L18" s="749"/>
      <c r="M18" s="750">
        <v>0</v>
      </c>
      <c r="N18" s="751"/>
      <c r="O18" s="752"/>
      <c r="P18" s="112"/>
      <c r="Q18" s="112"/>
    </row>
    <row r="19" spans="1:26" ht="19.5" thickBot="1">
      <c r="A19" s="112"/>
      <c r="B19" s="736" t="s">
        <v>187</v>
      </c>
      <c r="C19" s="737"/>
      <c r="D19" s="737"/>
      <c r="E19" s="737"/>
      <c r="F19" s="737"/>
      <c r="G19" s="737"/>
      <c r="H19" s="737"/>
      <c r="I19" s="737"/>
      <c r="J19" s="737"/>
      <c r="K19" s="737"/>
      <c r="L19" s="738"/>
      <c r="M19" s="739" t="s">
        <v>183</v>
      </c>
      <c r="N19" s="739"/>
      <c r="O19" s="740"/>
      <c r="P19" s="112"/>
      <c r="Q19" s="112"/>
    </row>
    <row r="20" spans="1:26" ht="21" thickBot="1">
      <c r="A20" s="112"/>
      <c r="B20" s="741" t="s">
        <v>188</v>
      </c>
      <c r="C20" s="742"/>
      <c r="D20" s="742"/>
      <c r="E20" s="742"/>
      <c r="F20" s="742"/>
      <c r="G20" s="742"/>
      <c r="H20" s="742"/>
      <c r="I20" s="742"/>
      <c r="J20" s="742"/>
      <c r="K20" s="742"/>
      <c r="L20" s="743"/>
      <c r="M20" s="744">
        <v>0</v>
      </c>
      <c r="N20" s="745"/>
      <c r="O20" s="746"/>
      <c r="P20" s="112"/>
      <c r="Q20" s="112"/>
      <c r="T20" s="759" t="s">
        <v>499</v>
      </c>
      <c r="U20" s="760"/>
      <c r="V20" s="760"/>
      <c r="W20" s="760"/>
      <c r="X20" s="760"/>
      <c r="Y20" s="760"/>
      <c r="Z20" s="761"/>
    </row>
    <row r="21" spans="1:26" ht="18.75">
      <c r="A21" s="112"/>
      <c r="B21" s="747" t="s">
        <v>189</v>
      </c>
      <c r="C21" s="748"/>
      <c r="D21" s="748"/>
      <c r="E21" s="748"/>
      <c r="F21" s="748"/>
      <c r="G21" s="748"/>
      <c r="H21" s="748"/>
      <c r="I21" s="748"/>
      <c r="J21" s="748"/>
      <c r="K21" s="748"/>
      <c r="L21" s="749"/>
      <c r="M21" s="750">
        <v>0</v>
      </c>
      <c r="N21" s="751"/>
      <c r="O21" s="752"/>
      <c r="P21" s="112"/>
      <c r="Q21" s="112"/>
    </row>
    <row r="22" spans="1:26" ht="18.75">
      <c r="A22" s="112"/>
      <c r="B22" s="736" t="s">
        <v>190</v>
      </c>
      <c r="C22" s="737"/>
      <c r="D22" s="737"/>
      <c r="E22" s="737"/>
      <c r="F22" s="737"/>
      <c r="G22" s="737"/>
      <c r="H22" s="737"/>
      <c r="I22" s="737"/>
      <c r="J22" s="737"/>
      <c r="K22" s="737"/>
      <c r="L22" s="738"/>
      <c r="M22" s="739" t="s">
        <v>183</v>
      </c>
      <c r="N22" s="739"/>
      <c r="O22" s="740"/>
      <c r="P22" s="112"/>
      <c r="Q22" s="112"/>
    </row>
    <row r="23" spans="1:26" ht="18.75">
      <c r="A23" s="112"/>
      <c r="B23" s="741" t="s">
        <v>191</v>
      </c>
      <c r="C23" s="742"/>
      <c r="D23" s="742"/>
      <c r="E23" s="742"/>
      <c r="F23" s="742"/>
      <c r="G23" s="742"/>
      <c r="H23" s="742"/>
      <c r="I23" s="742"/>
      <c r="J23" s="742"/>
      <c r="K23" s="742"/>
      <c r="L23" s="743"/>
      <c r="M23" s="744">
        <v>0</v>
      </c>
      <c r="N23" s="745"/>
      <c r="O23" s="746"/>
      <c r="P23" s="112"/>
      <c r="Q23" s="112"/>
    </row>
    <row r="24" spans="1:26" ht="18.75">
      <c r="A24" s="112"/>
      <c r="B24" s="747" t="s">
        <v>192</v>
      </c>
      <c r="C24" s="748"/>
      <c r="D24" s="748"/>
      <c r="E24" s="748"/>
      <c r="F24" s="748"/>
      <c r="G24" s="748"/>
      <c r="H24" s="748"/>
      <c r="I24" s="748"/>
      <c r="J24" s="748"/>
      <c r="K24" s="748"/>
      <c r="L24" s="749"/>
      <c r="M24" s="750">
        <v>0</v>
      </c>
      <c r="N24" s="751"/>
      <c r="O24" s="752"/>
      <c r="P24" s="112"/>
      <c r="Q24" s="112"/>
    </row>
    <row r="25" spans="1:26" ht="18.75">
      <c r="A25" s="112"/>
      <c r="B25" s="736" t="s">
        <v>193</v>
      </c>
      <c r="C25" s="737"/>
      <c r="D25" s="737"/>
      <c r="E25" s="737"/>
      <c r="F25" s="737"/>
      <c r="G25" s="737"/>
      <c r="H25" s="737"/>
      <c r="I25" s="737"/>
      <c r="J25" s="737"/>
      <c r="K25" s="737"/>
      <c r="L25" s="738"/>
      <c r="M25" s="739" t="s">
        <v>183</v>
      </c>
      <c r="N25" s="739"/>
      <c r="O25" s="740"/>
      <c r="P25" s="112"/>
      <c r="Q25" s="112"/>
    </row>
    <row r="26" spans="1:26" ht="18.75">
      <c r="A26" s="112"/>
      <c r="B26" s="741" t="s">
        <v>194</v>
      </c>
      <c r="C26" s="742"/>
      <c r="D26" s="742"/>
      <c r="E26" s="742"/>
      <c r="F26" s="742"/>
      <c r="G26" s="742"/>
      <c r="H26" s="742"/>
      <c r="I26" s="742"/>
      <c r="J26" s="742"/>
      <c r="K26" s="742"/>
      <c r="L26" s="743"/>
      <c r="M26" s="744">
        <v>0</v>
      </c>
      <c r="N26" s="745"/>
      <c r="O26" s="746"/>
      <c r="P26" s="112"/>
      <c r="Q26" s="112"/>
    </row>
    <row r="27" spans="1:26" ht="18.75">
      <c r="A27" s="112"/>
      <c r="B27" s="747" t="s">
        <v>195</v>
      </c>
      <c r="C27" s="748"/>
      <c r="D27" s="748"/>
      <c r="E27" s="748"/>
      <c r="F27" s="748"/>
      <c r="G27" s="748"/>
      <c r="H27" s="748"/>
      <c r="I27" s="748"/>
      <c r="J27" s="748"/>
      <c r="K27" s="748"/>
      <c r="L27" s="749"/>
      <c r="M27" s="750">
        <v>0</v>
      </c>
      <c r="N27" s="751"/>
      <c r="O27" s="752"/>
      <c r="P27" s="112"/>
      <c r="Q27" s="112"/>
    </row>
    <row r="28" spans="1:26" ht="18.75">
      <c r="A28" s="112"/>
      <c r="B28" s="736" t="s">
        <v>196</v>
      </c>
      <c r="C28" s="737"/>
      <c r="D28" s="737"/>
      <c r="E28" s="737"/>
      <c r="F28" s="737"/>
      <c r="G28" s="737"/>
      <c r="H28" s="737"/>
      <c r="I28" s="737"/>
      <c r="J28" s="737"/>
      <c r="K28" s="737"/>
      <c r="L28" s="738"/>
      <c r="M28" s="739" t="s">
        <v>183</v>
      </c>
      <c r="N28" s="739"/>
      <c r="O28" s="740"/>
      <c r="P28" s="112"/>
      <c r="Q28" s="112"/>
    </row>
    <row r="29" spans="1:26" ht="18.75">
      <c r="A29" s="112"/>
      <c r="B29" s="741" t="s">
        <v>281</v>
      </c>
      <c r="C29" s="742"/>
      <c r="D29" s="742"/>
      <c r="E29" s="742"/>
      <c r="F29" s="742"/>
      <c r="G29" s="742"/>
      <c r="H29" s="742"/>
      <c r="I29" s="742"/>
      <c r="J29" s="742"/>
      <c r="K29" s="742"/>
      <c r="L29" s="743"/>
      <c r="M29" s="744">
        <v>450000</v>
      </c>
      <c r="N29" s="745"/>
      <c r="O29" s="746"/>
      <c r="P29" s="112"/>
      <c r="Q29" s="112"/>
    </row>
    <row r="30" spans="1:26" ht="18.75">
      <c r="A30" s="112"/>
      <c r="B30" s="747" t="s">
        <v>282</v>
      </c>
      <c r="C30" s="748"/>
      <c r="D30" s="748"/>
      <c r="E30" s="748"/>
      <c r="F30" s="748"/>
      <c r="G30" s="748"/>
      <c r="H30" s="748"/>
      <c r="I30" s="748"/>
      <c r="J30" s="748"/>
      <c r="K30" s="748"/>
      <c r="L30" s="749"/>
      <c r="M30" s="750">
        <v>27000</v>
      </c>
      <c r="N30" s="751"/>
      <c r="O30" s="752"/>
      <c r="P30" s="112"/>
      <c r="Q30" s="112"/>
    </row>
    <row r="31" spans="1:26" ht="18.75">
      <c r="A31" s="112"/>
      <c r="B31" s="736" t="s">
        <v>283</v>
      </c>
      <c r="C31" s="737"/>
      <c r="D31" s="737"/>
      <c r="E31" s="737"/>
      <c r="F31" s="737"/>
      <c r="G31" s="737"/>
      <c r="H31" s="737"/>
      <c r="I31" s="737"/>
      <c r="J31" s="737"/>
      <c r="K31" s="737"/>
      <c r="L31" s="738"/>
      <c r="M31" s="739" t="s">
        <v>183</v>
      </c>
      <c r="N31" s="739"/>
      <c r="O31" s="740"/>
      <c r="P31" s="112"/>
      <c r="Q31" s="112"/>
    </row>
    <row r="32" spans="1:26" ht="18.75">
      <c r="A32" s="112"/>
      <c r="B32" s="741" t="s">
        <v>496</v>
      </c>
      <c r="C32" s="742"/>
      <c r="D32" s="742"/>
      <c r="E32" s="742"/>
      <c r="F32" s="742"/>
      <c r="G32" s="742"/>
      <c r="H32" s="742"/>
      <c r="I32" s="742"/>
      <c r="J32" s="742"/>
      <c r="K32" s="742"/>
      <c r="L32" s="743"/>
      <c r="M32" s="744">
        <v>550000</v>
      </c>
      <c r="N32" s="745"/>
      <c r="O32" s="746"/>
      <c r="P32" s="112"/>
      <c r="Q32" s="112"/>
    </row>
    <row r="33" spans="1:26" ht="18.75">
      <c r="A33" s="112"/>
      <c r="B33" s="747" t="s">
        <v>497</v>
      </c>
      <c r="C33" s="748"/>
      <c r="D33" s="748"/>
      <c r="E33" s="748"/>
      <c r="F33" s="748"/>
      <c r="G33" s="748"/>
      <c r="H33" s="748"/>
      <c r="I33" s="748"/>
      <c r="J33" s="748"/>
      <c r="K33" s="748"/>
      <c r="L33" s="749"/>
      <c r="M33" s="750">
        <v>25000</v>
      </c>
      <c r="N33" s="751"/>
      <c r="O33" s="752"/>
      <c r="P33" s="112"/>
      <c r="Q33" s="112"/>
    </row>
    <row r="34" spans="1:26" ht="18.75">
      <c r="A34" s="112"/>
      <c r="B34" s="736" t="s">
        <v>495</v>
      </c>
      <c r="C34" s="737"/>
      <c r="D34" s="737"/>
      <c r="E34" s="737"/>
      <c r="F34" s="737"/>
      <c r="G34" s="737"/>
      <c r="H34" s="737"/>
      <c r="I34" s="737"/>
      <c r="J34" s="737"/>
      <c r="K34" s="737"/>
      <c r="L34" s="738"/>
      <c r="M34" s="739" t="s">
        <v>183</v>
      </c>
      <c r="N34" s="739"/>
      <c r="O34" s="740"/>
      <c r="P34" s="112"/>
      <c r="Q34" s="112"/>
    </row>
    <row r="35" spans="1:26" ht="18.75">
      <c r="A35" s="112"/>
      <c r="B35" s="741" t="s">
        <v>496</v>
      </c>
      <c r="C35" s="742"/>
      <c r="D35" s="742"/>
      <c r="E35" s="742"/>
      <c r="F35" s="742"/>
      <c r="G35" s="742"/>
      <c r="H35" s="742"/>
      <c r="I35" s="742"/>
      <c r="J35" s="742"/>
      <c r="K35" s="742"/>
      <c r="L35" s="743"/>
      <c r="M35" s="744">
        <v>600000</v>
      </c>
      <c r="N35" s="745"/>
      <c r="O35" s="746"/>
      <c r="P35" s="112"/>
      <c r="Q35" s="112"/>
    </row>
    <row r="36" spans="1:26" ht="18.75">
      <c r="A36" s="112"/>
      <c r="B36" s="747" t="s">
        <v>497</v>
      </c>
      <c r="C36" s="748"/>
      <c r="D36" s="748"/>
      <c r="E36" s="748"/>
      <c r="F36" s="748"/>
      <c r="G36" s="748"/>
      <c r="H36" s="748"/>
      <c r="I36" s="748"/>
      <c r="J36" s="748"/>
      <c r="K36" s="748"/>
      <c r="L36" s="749"/>
      <c r="M36" s="750">
        <v>47000</v>
      </c>
      <c r="N36" s="751"/>
      <c r="O36" s="752"/>
      <c r="P36" s="112"/>
      <c r="Q36" s="112"/>
    </row>
    <row r="37" spans="1:26" ht="18.75">
      <c r="A37" s="112"/>
      <c r="B37" s="736" t="s">
        <v>592</v>
      </c>
      <c r="C37" s="737"/>
      <c r="D37" s="737"/>
      <c r="E37" s="737"/>
      <c r="F37" s="737"/>
      <c r="G37" s="737"/>
      <c r="H37" s="737"/>
      <c r="I37" s="737"/>
      <c r="J37" s="737"/>
      <c r="K37" s="737"/>
      <c r="L37" s="738"/>
      <c r="M37" s="739" t="s">
        <v>183</v>
      </c>
      <c r="N37" s="739"/>
      <c r="O37" s="740"/>
      <c r="P37" s="112"/>
      <c r="Q37" s="112"/>
    </row>
    <row r="38" spans="1:26" ht="33" customHeight="1" thickBot="1">
      <c r="A38" s="112"/>
      <c r="B38" s="753" t="s">
        <v>498</v>
      </c>
      <c r="C38" s="754"/>
      <c r="D38" s="754"/>
      <c r="E38" s="754"/>
      <c r="F38" s="754"/>
      <c r="G38" s="754"/>
      <c r="H38" s="754"/>
      <c r="I38" s="754"/>
      <c r="J38" s="754"/>
      <c r="K38" s="754"/>
      <c r="L38" s="755"/>
      <c r="M38" s="756">
        <f>COMPUTATION!O48</f>
        <v>710780</v>
      </c>
      <c r="N38" s="757"/>
      <c r="O38" s="758"/>
      <c r="P38" s="112"/>
      <c r="Q38" s="112"/>
      <c r="R38" s="114"/>
      <c r="S38" s="114"/>
      <c r="T38" s="114"/>
      <c r="U38" s="114"/>
      <c r="V38" s="114"/>
      <c r="W38" s="114"/>
      <c r="X38" s="114"/>
      <c r="Y38" s="114"/>
      <c r="Z38" s="114"/>
    </row>
    <row r="39" spans="1:26" ht="15.75" thickTop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26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</row>
    <row r="41" spans="1:26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26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</row>
    <row r="43" spans="1:26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26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26" hidden="1"/>
    <row r="46" spans="1:26" hidden="1"/>
    <row r="47" spans="1:26" hidden="1"/>
    <row r="48" spans="1:26" ht="15" hidden="1" customHeight="1"/>
    <row r="49" ht="15" hidden="1" customHeight="1"/>
  </sheetData>
  <sheetProtection password="C1FB" sheet="1" objects="1" scenarios="1" formatColumns="0" formatRows="0" selectLockedCells="1"/>
  <mergeCells count="74"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:O2"/>
    <mergeCell ref="B3:C3"/>
    <mergeCell ref="D3:O3"/>
    <mergeCell ref="B4:C4"/>
    <mergeCell ref="D4:O4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T20:Z20"/>
    <mergeCell ref="B22:L22"/>
    <mergeCell ref="M22:O22"/>
    <mergeCell ref="B23:L23"/>
    <mergeCell ref="M23:O23"/>
    <mergeCell ref="B21:L21"/>
    <mergeCell ref="M21:O21"/>
    <mergeCell ref="B37:L37"/>
    <mergeCell ref="M37:O37"/>
    <mergeCell ref="B38:L38"/>
    <mergeCell ref="M38:O38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B31:L31"/>
    <mergeCell ref="M31:O31"/>
    <mergeCell ref="B32:L32"/>
    <mergeCell ref="M32:O32"/>
    <mergeCell ref="B33:L33"/>
    <mergeCell ref="M33:O33"/>
    <mergeCell ref="B34:L34"/>
    <mergeCell ref="M34:O34"/>
    <mergeCell ref="B35:L35"/>
    <mergeCell ref="M35:O35"/>
    <mergeCell ref="B36:L36"/>
    <mergeCell ref="M36:O3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Q44"/>
  <sheetViews>
    <sheetView showGridLines="0" workbookViewId="0"/>
  </sheetViews>
  <sheetFormatPr defaultColWidth="0" defaultRowHeight="15" customHeight="1" zeroHeight="1"/>
  <cols>
    <col min="1" max="1" width="5.125" style="32" customWidth="1"/>
    <col min="2" max="2" width="6" style="32" customWidth="1"/>
    <col min="3" max="3" width="5.875" style="32" customWidth="1"/>
    <col min="4" max="7" width="6.75" style="32" customWidth="1"/>
    <col min="8" max="8" width="7.375" style="32" customWidth="1"/>
    <col min="9" max="9" width="8.25" style="32" customWidth="1"/>
    <col min="10" max="11" width="7.375" style="32" customWidth="1"/>
    <col min="12" max="12" width="7" style="32" customWidth="1"/>
    <col min="13" max="13" width="7.625" style="32" customWidth="1"/>
    <col min="14" max="14" width="6.25" style="32" customWidth="1"/>
    <col min="15" max="15" width="6.125" style="32" customWidth="1"/>
    <col min="16" max="18" width="8.875" style="32" customWidth="1"/>
    <col min="19" max="19" width="10.375" style="32" customWidth="1"/>
    <col min="20" max="25" width="8.875" style="32" hidden="1" customWidth="1"/>
    <col min="26" max="26" width="9.125" style="32" hidden="1" customWidth="1"/>
    <col min="27" max="16384" width="8.875" style="32" hidden="1"/>
  </cols>
  <sheetData>
    <row r="1" spans="2:15" ht="19.5" customHeight="1">
      <c r="B1" s="823" t="s">
        <v>197</v>
      </c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</row>
    <row r="2" spans="2:15" ht="30.75" customHeight="1">
      <c r="B2" s="824" t="s">
        <v>597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</row>
    <row r="3" spans="2:15" ht="15.75">
      <c r="B3" s="817" t="s">
        <v>179</v>
      </c>
      <c r="C3" s="817"/>
      <c r="D3" s="818" t="str">
        <f>UPPER(IF('Master Data'!D6="","",'Master Data'!D6))</f>
        <v>HEERALAL JAT</v>
      </c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</row>
    <row r="4" spans="2:15" ht="15.75">
      <c r="B4" s="817" t="s">
        <v>180</v>
      </c>
      <c r="C4" s="817"/>
      <c r="D4" s="818" t="str">
        <f>UPPER(IF('89 (1) Form'!D4="","",'89 (1) Form'!D4))</f>
        <v/>
      </c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</row>
    <row r="5" spans="2:15" ht="15.75">
      <c r="B5" s="817" t="s">
        <v>118</v>
      </c>
      <c r="C5" s="817"/>
      <c r="D5" s="818" t="str">
        <f>IF(AND('Master Data'!D12=""),"",UPPER('Master Data'!D12))</f>
        <v>ABCDE1234H</v>
      </c>
      <c r="E5" s="818"/>
      <c r="F5" s="818"/>
      <c r="G5" s="818"/>
      <c r="H5" s="818"/>
      <c r="I5" s="794" t="s">
        <v>181</v>
      </c>
      <c r="J5" s="794"/>
      <c r="K5" s="818" t="str">
        <f>IF(AND('89 (1) Form'!K5=""),"",UPPER('89 (1) Form'!K5))</f>
        <v xml:space="preserve">INDIAN RESIDENT </v>
      </c>
      <c r="L5" s="818"/>
      <c r="M5" s="818"/>
      <c r="N5" s="818"/>
      <c r="O5" s="818"/>
    </row>
    <row r="6" spans="2:15">
      <c r="B6" s="819" t="s">
        <v>595</v>
      </c>
      <c r="C6" s="819"/>
      <c r="D6" s="819"/>
      <c r="E6" s="819"/>
      <c r="F6" s="819"/>
      <c r="G6" s="819"/>
      <c r="H6" s="819"/>
      <c r="I6" s="819"/>
      <c r="J6" s="819"/>
      <c r="K6" s="819"/>
      <c r="L6" s="819"/>
      <c r="M6" s="819"/>
      <c r="N6" s="819"/>
      <c r="O6" s="819"/>
    </row>
    <row r="7" spans="2:15" ht="15.75">
      <c r="B7" s="810" t="s">
        <v>596</v>
      </c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20">
        <f>'89 (1) Form'!M9+'89 (1) Form'!M12+'89 (1) Form'!M15+'89 (1) Form'!M18+'89 (1) Form'!M21+'89 (1) Form'!M24+'89 (1) Form'!M27+'89 (1) Form'!M30+'89 (1) Form'!M33+'89 (1) Form'!M36</f>
        <v>99000</v>
      </c>
      <c r="N7" s="821"/>
      <c r="O7" s="822"/>
    </row>
    <row r="8" spans="2:15">
      <c r="B8" s="810" t="s">
        <v>198</v>
      </c>
      <c r="C8" s="810"/>
      <c r="D8" s="810"/>
      <c r="E8" s="810"/>
      <c r="F8" s="810"/>
      <c r="G8" s="810"/>
      <c r="H8" s="810"/>
      <c r="I8" s="810"/>
      <c r="J8" s="810"/>
      <c r="K8" s="810"/>
      <c r="L8" s="810"/>
      <c r="M8" s="811" t="s">
        <v>199</v>
      </c>
      <c r="N8" s="812"/>
      <c r="O8" s="813"/>
    </row>
    <row r="9" spans="2:15">
      <c r="B9" s="810" t="s">
        <v>200</v>
      </c>
      <c r="C9" s="810"/>
      <c r="D9" s="810"/>
      <c r="E9" s="810"/>
      <c r="F9" s="810"/>
      <c r="G9" s="810"/>
      <c r="H9" s="810"/>
      <c r="I9" s="810"/>
      <c r="J9" s="810"/>
      <c r="K9" s="810"/>
      <c r="L9" s="810"/>
      <c r="M9" s="811" t="s">
        <v>199</v>
      </c>
      <c r="N9" s="812"/>
      <c r="O9" s="813"/>
    </row>
    <row r="10" spans="2:15">
      <c r="B10" s="810" t="s">
        <v>201</v>
      </c>
      <c r="C10" s="810"/>
      <c r="D10" s="810"/>
      <c r="E10" s="810"/>
      <c r="F10" s="810"/>
      <c r="G10" s="810"/>
      <c r="H10" s="810"/>
      <c r="I10" s="810"/>
      <c r="J10" s="810"/>
      <c r="K10" s="810"/>
      <c r="L10" s="810"/>
      <c r="M10" s="811" t="s">
        <v>199</v>
      </c>
      <c r="N10" s="812"/>
      <c r="O10" s="813"/>
    </row>
    <row r="11" spans="2:15">
      <c r="B11" s="810" t="s">
        <v>202</v>
      </c>
      <c r="C11" s="810"/>
      <c r="D11" s="810"/>
      <c r="E11" s="810"/>
      <c r="F11" s="810"/>
      <c r="G11" s="810"/>
      <c r="H11" s="810"/>
      <c r="I11" s="810"/>
      <c r="J11" s="810"/>
      <c r="K11" s="810"/>
      <c r="L11" s="810"/>
      <c r="M11" s="811" t="s">
        <v>203</v>
      </c>
      <c r="N11" s="812"/>
      <c r="O11" s="813"/>
    </row>
    <row r="12" spans="2:15" ht="18.75">
      <c r="B12" s="814" t="s">
        <v>204</v>
      </c>
      <c r="C12" s="814"/>
      <c r="D12" s="814"/>
      <c r="E12" s="814"/>
      <c r="F12" s="814"/>
      <c r="G12" s="814"/>
      <c r="H12" s="814"/>
      <c r="I12" s="814"/>
      <c r="J12" s="814"/>
      <c r="K12" s="814"/>
      <c r="L12" s="814"/>
      <c r="M12" s="814"/>
      <c r="N12" s="814"/>
      <c r="O12" s="814"/>
    </row>
    <row r="13" spans="2:15">
      <c r="B13" s="246" t="s">
        <v>205</v>
      </c>
      <c r="C13" s="815" t="str">
        <f>UPPER(IF('Master Data'!D6="","",'Master Data'!D6))</f>
        <v>HEERALAL JAT</v>
      </c>
      <c r="D13" s="815"/>
      <c r="E13" s="815"/>
      <c r="F13" s="815"/>
      <c r="G13" s="816" t="s">
        <v>206</v>
      </c>
      <c r="H13" s="816"/>
      <c r="I13" s="816"/>
      <c r="J13" s="816"/>
      <c r="K13" s="816"/>
      <c r="L13" s="816"/>
      <c r="M13" s="816"/>
      <c r="N13" s="816"/>
      <c r="O13" s="816"/>
    </row>
    <row r="14" spans="2:15">
      <c r="B14" s="816" t="s">
        <v>207</v>
      </c>
      <c r="C14" s="816"/>
      <c r="D14" s="816"/>
      <c r="E14" s="816"/>
    </row>
    <row r="15" spans="2:15">
      <c r="B15" s="805" t="s">
        <v>208</v>
      </c>
      <c r="C15" s="805"/>
      <c r="D15" s="805"/>
      <c r="E15" s="806">
        <f ca="1">TODAY()</f>
        <v>44907</v>
      </c>
      <c r="F15" s="805"/>
    </row>
    <row r="16" spans="2:15">
      <c r="B16" s="32" t="s">
        <v>209</v>
      </c>
      <c r="C16" s="436"/>
      <c r="D16" s="436"/>
    </row>
    <row r="17" spans="2:30">
      <c r="B17" s="32" t="s">
        <v>210</v>
      </c>
      <c r="C17" s="807"/>
      <c r="D17" s="436"/>
      <c r="L17" s="808" t="s">
        <v>211</v>
      </c>
      <c r="M17" s="808"/>
      <c r="N17" s="808"/>
      <c r="O17" s="808"/>
    </row>
    <row r="18" spans="2:30"/>
    <row r="19" spans="2:30" ht="15.75">
      <c r="B19" s="809" t="s">
        <v>212</v>
      </c>
      <c r="C19" s="809"/>
      <c r="D19" s="809"/>
      <c r="E19" s="809"/>
      <c r="F19" s="809"/>
      <c r="G19" s="809"/>
      <c r="H19" s="809"/>
      <c r="I19" s="809"/>
      <c r="J19" s="809"/>
      <c r="K19" s="809"/>
      <c r="L19" s="809"/>
      <c r="M19" s="809"/>
      <c r="N19" s="809"/>
      <c r="O19" s="809"/>
    </row>
    <row r="20" spans="2:30">
      <c r="B20" s="247"/>
      <c r="C20" s="247"/>
      <c r="D20" s="247"/>
      <c r="E20" s="247"/>
      <c r="F20" s="802" t="s">
        <v>213</v>
      </c>
      <c r="G20" s="802"/>
      <c r="H20" s="802"/>
      <c r="I20" s="802"/>
      <c r="J20" s="802"/>
      <c r="K20" s="802"/>
      <c r="L20" s="247"/>
      <c r="M20" s="247"/>
      <c r="N20" s="247"/>
      <c r="O20" s="247"/>
    </row>
    <row r="21" spans="2:30" ht="15.75">
      <c r="B21" s="795" t="s">
        <v>214</v>
      </c>
      <c r="C21" s="795"/>
      <c r="D21" s="795"/>
      <c r="E21" s="795"/>
      <c r="F21" s="795"/>
      <c r="G21" s="795"/>
      <c r="H21" s="795"/>
      <c r="I21" s="795"/>
      <c r="J21" s="795"/>
      <c r="K21" s="795"/>
      <c r="L21" s="795"/>
      <c r="M21" s="803">
        <f>M23-M22</f>
        <v>611780</v>
      </c>
      <c r="N21" s="803"/>
      <c r="O21" s="803"/>
    </row>
    <row r="22" spans="2:30" ht="15.75">
      <c r="B22" s="795" t="s">
        <v>215</v>
      </c>
      <c r="C22" s="795"/>
      <c r="D22" s="795"/>
      <c r="E22" s="795"/>
      <c r="F22" s="795"/>
      <c r="G22" s="795"/>
      <c r="H22" s="795"/>
      <c r="I22" s="795"/>
      <c r="J22" s="795"/>
      <c r="K22" s="795"/>
      <c r="L22" s="795"/>
      <c r="M22" s="804">
        <f>M7</f>
        <v>99000</v>
      </c>
      <c r="N22" s="804"/>
      <c r="O22" s="804"/>
    </row>
    <row r="23" spans="2:30" ht="15.75">
      <c r="B23" s="797" t="s">
        <v>216</v>
      </c>
      <c r="C23" s="797"/>
      <c r="D23" s="797"/>
      <c r="E23" s="797"/>
      <c r="F23" s="797"/>
      <c r="G23" s="797"/>
      <c r="H23" s="797"/>
      <c r="I23" s="797"/>
      <c r="J23" s="797"/>
      <c r="K23" s="797"/>
      <c r="L23" s="797"/>
      <c r="M23" s="803">
        <f>'89 (1) Form'!M38</f>
        <v>710780</v>
      </c>
      <c r="N23" s="801"/>
      <c r="O23" s="801"/>
      <c r="AA23" s="32">
        <f>ROUND(IF(M23&lt;=250000,0,IF(M23&lt;=500000,(M23-250000)*0.05,IF(M23&lt;=1000000,12500+(M23-500000)*0.2,IF(M23&gt;1000000,112500+(M23-1000000)*0.3,"0")))),0)</f>
        <v>54656</v>
      </c>
      <c r="AB23" s="32">
        <f>IF(AND(M23=0),0,ROUND(IF(AND(M23&lt;=500000),AA23-12500,AA23),0))</f>
        <v>54656</v>
      </c>
      <c r="AC23" s="32">
        <f>ROUND(IF(AND(AB23&lt;=0),0,AB23),0)</f>
        <v>54656</v>
      </c>
      <c r="AD23" s="32">
        <f>ROUND(AC23*4%,0)</f>
        <v>2186</v>
      </c>
    </row>
    <row r="24" spans="2:30" ht="15.75">
      <c r="B24" s="795" t="s">
        <v>217</v>
      </c>
      <c r="C24" s="795"/>
      <c r="D24" s="795"/>
      <c r="E24" s="795"/>
      <c r="F24" s="795"/>
      <c r="G24" s="795"/>
      <c r="H24" s="795"/>
      <c r="I24" s="795"/>
      <c r="J24" s="795"/>
      <c r="K24" s="795"/>
      <c r="L24" s="795"/>
      <c r="M24" s="800">
        <f>AC23+AD23</f>
        <v>56842</v>
      </c>
      <c r="N24" s="800"/>
      <c r="O24" s="800"/>
      <c r="AA24" s="32">
        <f>ROUND(IF(M21&lt;=250000,0,IF(M21&lt;=500000,(M21-250000)*0.05,IF(M21&lt;=1000000,12500+(M21-500000)*0.2,IF(M21&gt;1000000,112500+(M21-1000000)*0.3,"0")))),0)</f>
        <v>34856</v>
      </c>
      <c r="AB24" s="32">
        <f>IF(M21&lt;500001,AA24-MIN(AA24,12500),AA24)</f>
        <v>34856</v>
      </c>
      <c r="AC24" s="32">
        <f>ROUND(IF(AND(AB24&lt;=0),0,AB24),0)</f>
        <v>34856</v>
      </c>
      <c r="AD24" s="32">
        <f>ROUND(AC24*4%,0)</f>
        <v>1394</v>
      </c>
    </row>
    <row r="25" spans="2:30" ht="15.75">
      <c r="B25" s="795" t="s">
        <v>218</v>
      </c>
      <c r="C25" s="795"/>
      <c r="D25" s="795"/>
      <c r="E25" s="795"/>
      <c r="F25" s="795"/>
      <c r="G25" s="795"/>
      <c r="H25" s="795"/>
      <c r="I25" s="795"/>
      <c r="J25" s="795"/>
      <c r="K25" s="795"/>
      <c r="L25" s="795"/>
      <c r="M25" s="801">
        <f>AC24+AD24</f>
        <v>36250</v>
      </c>
      <c r="N25" s="801"/>
      <c r="O25" s="801"/>
    </row>
    <row r="26" spans="2:30" ht="15.75">
      <c r="B26" s="795" t="s">
        <v>219</v>
      </c>
      <c r="C26" s="795"/>
      <c r="D26" s="795"/>
      <c r="E26" s="795"/>
      <c r="F26" s="795"/>
      <c r="G26" s="795"/>
      <c r="H26" s="795"/>
      <c r="I26" s="795"/>
      <c r="J26" s="795"/>
      <c r="K26" s="795"/>
      <c r="L26" s="795"/>
      <c r="M26" s="801">
        <f>M24-M25</f>
        <v>20592</v>
      </c>
      <c r="N26" s="801"/>
      <c r="O26" s="801"/>
    </row>
    <row r="27" spans="2:30" ht="15.75">
      <c r="B27" s="795" t="s">
        <v>220</v>
      </c>
      <c r="C27" s="795"/>
      <c r="D27" s="795"/>
      <c r="E27" s="795"/>
      <c r="F27" s="795"/>
      <c r="G27" s="795"/>
      <c r="H27" s="795"/>
      <c r="I27" s="795"/>
      <c r="J27" s="795"/>
      <c r="K27" s="795"/>
      <c r="L27" s="795"/>
      <c r="M27" s="796">
        <f>N43</f>
        <v>14976</v>
      </c>
      <c r="N27" s="796"/>
      <c r="O27" s="796"/>
    </row>
    <row r="28" spans="2:30" ht="18.75">
      <c r="B28" s="797" t="s">
        <v>221</v>
      </c>
      <c r="C28" s="797"/>
      <c r="D28" s="797"/>
      <c r="E28" s="797"/>
      <c r="F28" s="797"/>
      <c r="G28" s="797"/>
      <c r="H28" s="797"/>
      <c r="I28" s="797"/>
      <c r="J28" s="797"/>
      <c r="K28" s="797"/>
      <c r="L28" s="797"/>
      <c r="M28" s="798">
        <f>M26-M27</f>
        <v>5616</v>
      </c>
      <c r="N28" s="798"/>
      <c r="O28" s="798"/>
    </row>
    <row r="29" spans="2:30"/>
    <row r="30" spans="2:30">
      <c r="B30" s="590" t="s">
        <v>222</v>
      </c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</row>
    <row r="31" spans="2:30" s="248" customFormat="1" ht="93.75" customHeight="1">
      <c r="B31" s="799" t="s">
        <v>223</v>
      </c>
      <c r="C31" s="799"/>
      <c r="D31" s="799" t="s">
        <v>224</v>
      </c>
      <c r="E31" s="799"/>
      <c r="F31" s="799" t="s">
        <v>225</v>
      </c>
      <c r="G31" s="799"/>
      <c r="H31" s="799" t="s">
        <v>226</v>
      </c>
      <c r="I31" s="799"/>
      <c r="J31" s="799" t="s">
        <v>227</v>
      </c>
      <c r="K31" s="799"/>
      <c r="L31" s="799" t="s">
        <v>228</v>
      </c>
      <c r="M31" s="799"/>
      <c r="N31" s="799" t="s">
        <v>229</v>
      </c>
      <c r="O31" s="799"/>
    </row>
    <row r="32" spans="2:30">
      <c r="B32" s="794">
        <v>1</v>
      </c>
      <c r="C32" s="794"/>
      <c r="D32" s="794">
        <v>2</v>
      </c>
      <c r="E32" s="794"/>
      <c r="F32" s="794">
        <v>3</v>
      </c>
      <c r="G32" s="794"/>
      <c r="H32" s="794">
        <v>4</v>
      </c>
      <c r="I32" s="794"/>
      <c r="J32" s="794">
        <v>5</v>
      </c>
      <c r="K32" s="794"/>
      <c r="L32" s="794">
        <v>6</v>
      </c>
      <c r="M32" s="794"/>
      <c r="N32" s="794">
        <v>7</v>
      </c>
      <c r="O32" s="794"/>
    </row>
    <row r="33" spans="2:43">
      <c r="B33" s="786" t="s">
        <v>305</v>
      </c>
      <c r="C33" s="786"/>
      <c r="D33" s="787">
        <f>ROUND('89 (1) Form'!M8, -1)</f>
        <v>0</v>
      </c>
      <c r="E33" s="590"/>
      <c r="F33" s="787">
        <f>('89 (1) Form'!M9)</f>
        <v>0</v>
      </c>
      <c r="G33" s="590"/>
      <c r="H33" s="787">
        <f>D33+F33</f>
        <v>0</v>
      </c>
      <c r="I33" s="590"/>
      <c r="J33" s="590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0</v>
      </c>
      <c r="K33" s="590"/>
      <c r="L33" s="590">
        <f>IF($H33&gt;1000000, 130000+($H33-1000000)*0.3, IF($H33&gt;500000, 30000+($H33-500000)*0.2, IF($H33&gt;200000, ($H33-200000)*0.1, 0)))+ROUND(IF($H33&gt;1000000, 130000+($H33-1000000)*0.3, IF($H33&gt;500000, 30000+($H33-500000)*0.2, IF($H33&gt;200000, ($H33-200000)*0.1, 0)))*0.03,0)</f>
        <v>0</v>
      </c>
      <c r="M33" s="590"/>
      <c r="N33" s="590">
        <f>L33-J33</f>
        <v>0</v>
      </c>
      <c r="O33" s="590"/>
      <c r="AF33" s="249"/>
    </row>
    <row r="34" spans="2:43" s="249" customFormat="1">
      <c r="B34" s="786" t="s">
        <v>306</v>
      </c>
      <c r="C34" s="786"/>
      <c r="D34" s="787">
        <f>ROUND('89 (1) Form'!M11, -1)</f>
        <v>0</v>
      </c>
      <c r="E34" s="590"/>
      <c r="F34" s="787">
        <f>'89 (1) Form'!M12</f>
        <v>0</v>
      </c>
      <c r="G34" s="590"/>
      <c r="H34" s="787">
        <f t="shared" ref="H34:H37" si="0">D34+F34</f>
        <v>0</v>
      </c>
      <c r="I34" s="590"/>
      <c r="J34" s="590">
        <f>AL34</f>
        <v>0</v>
      </c>
      <c r="K34" s="590"/>
      <c r="L34" s="590">
        <f>AQ34</f>
        <v>0</v>
      </c>
      <c r="M34" s="590"/>
      <c r="N34" s="590">
        <f>L34-J34</f>
        <v>0</v>
      </c>
      <c r="O34" s="590"/>
      <c r="AH34" s="249" t="s">
        <v>309</v>
      </c>
      <c r="AI34" s="249">
        <f>IF($D34&gt;1000000, 130000+($D34-1000000)*0.3, IF($D34&gt;500000, 30000+($D34-500000)*0.2, IF($D34&gt;200000, ($D34-200000)*0.1, 0)))</f>
        <v>0</v>
      </c>
      <c r="AJ34" s="249">
        <f>IF(D34&lt;350001,AI34-MIN(AI34,2000),AI34)</f>
        <v>0</v>
      </c>
      <c r="AK34" s="249">
        <f>ROUND(AJ34*0.03, 0)</f>
        <v>0</v>
      </c>
      <c r="AL34" s="249">
        <f t="shared" ref="AL34:AL40" si="1">AJ34+AK34</f>
        <v>0</v>
      </c>
      <c r="AN34" s="249">
        <f>IF($H34&gt;1000000, 130000+($H34-1000000)*0.3, IF($H34&gt;500000, 30000+($H34-500000)*0.2, IF($H34&gt;200000, ($H34-200000)*0.1, 0)))</f>
        <v>0</v>
      </c>
      <c r="AO34" s="249">
        <f>IF(H34&lt;500001,AN34-MIN(AN34,2000),AN34)</f>
        <v>0</v>
      </c>
      <c r="AP34" s="249">
        <f>ROUND(AO34*0.03, 0)</f>
        <v>0</v>
      </c>
      <c r="AQ34" s="249">
        <f t="shared" ref="AQ34:AQ41" si="2">AO34+AP34</f>
        <v>0</v>
      </c>
    </row>
    <row r="35" spans="2:43" s="249" customFormat="1">
      <c r="B35" s="786" t="s">
        <v>307</v>
      </c>
      <c r="C35" s="786"/>
      <c r="D35" s="787">
        <f>ROUND('89 (1) Form'!M14, -1)</f>
        <v>0</v>
      </c>
      <c r="E35" s="590"/>
      <c r="F35" s="787">
        <f>'89 (1) Form'!M15</f>
        <v>0</v>
      </c>
      <c r="G35" s="590"/>
      <c r="H35" s="787">
        <f t="shared" si="0"/>
        <v>0</v>
      </c>
      <c r="I35" s="590"/>
      <c r="J35" s="590">
        <f t="shared" ref="J35:J40" si="3">AL35</f>
        <v>0</v>
      </c>
      <c r="K35" s="590"/>
      <c r="L35" s="590">
        <f t="shared" ref="L35:L40" si="4">AQ35</f>
        <v>0</v>
      </c>
      <c r="M35" s="590"/>
      <c r="N35" s="590">
        <f t="shared" ref="N35:N40" si="5">L35-J35</f>
        <v>0</v>
      </c>
      <c r="O35" s="590"/>
      <c r="AH35" s="249" t="s">
        <v>310</v>
      </c>
      <c r="AI35" s="249">
        <f>IF($D35&gt;1000000, 125000+($D35-1000000)*0.3, IF($D35&gt;500000, 25000+($D35-500000)*0.2, IF($D35&gt;250000, ($D35-250000)*0.1, 0)))</f>
        <v>0</v>
      </c>
      <c r="AJ35" s="249">
        <f>IF(D35&lt;350001,AI35-MIN(AI35,2000),AI35)</f>
        <v>0</v>
      </c>
      <c r="AK35" s="249">
        <f>ROUND(AJ35*0.03, 0)</f>
        <v>0</v>
      </c>
      <c r="AL35" s="249">
        <f t="shared" si="1"/>
        <v>0</v>
      </c>
      <c r="AN35" s="249">
        <f>IF(H35&gt;1000000, 125000+(H35-1000000)*0.3, IF(H35&gt;500000, 25000+(H35-500000)*0.2, IF(H35&gt;250000, (H35-250000)*0.1, 0)))</f>
        <v>0</v>
      </c>
      <c r="AO35" s="249">
        <f>IF(H35&lt;500001,AN35-MIN(AN35,2000),AN35)</f>
        <v>0</v>
      </c>
      <c r="AP35" s="249">
        <f>ROUND(AO35*0.03, 0)</f>
        <v>0</v>
      </c>
      <c r="AQ35" s="249">
        <f t="shared" si="2"/>
        <v>0</v>
      </c>
    </row>
    <row r="36" spans="2:43" s="249" customFormat="1">
      <c r="B36" s="786" t="s">
        <v>230</v>
      </c>
      <c r="C36" s="786"/>
      <c r="D36" s="787">
        <f>ROUND('89 (1) Form'!M17, -1)</f>
        <v>0</v>
      </c>
      <c r="E36" s="590"/>
      <c r="F36" s="787">
        <f>'89 (1) Form'!M18</f>
        <v>0</v>
      </c>
      <c r="G36" s="787"/>
      <c r="H36" s="787">
        <f t="shared" si="0"/>
        <v>0</v>
      </c>
      <c r="I36" s="590"/>
      <c r="J36" s="590">
        <f t="shared" si="3"/>
        <v>0</v>
      </c>
      <c r="K36" s="590"/>
      <c r="L36" s="590">
        <f t="shared" si="4"/>
        <v>0</v>
      </c>
      <c r="M36" s="590"/>
      <c r="N36" s="590">
        <f t="shared" si="5"/>
        <v>0</v>
      </c>
      <c r="O36" s="590"/>
      <c r="AA36" s="32"/>
      <c r="AB36" s="32"/>
      <c r="AC36" s="32"/>
      <c r="AD36" s="32"/>
      <c r="AH36" s="249" t="s">
        <v>311</v>
      </c>
      <c r="AI36" s="249">
        <f>IF($D36&gt;1000000, 125000+($D36-1000000)*0.3, IF($D36&gt;500000, 25000+($D36-500000)*0.2, IF($D36&gt;250000, ($D36-250000)*0.1, 0)))</f>
        <v>0</v>
      </c>
      <c r="AJ36" s="249">
        <f>IF(D36&lt;500001,AI36-MIN(AI36,2000),AI36)</f>
        <v>0</v>
      </c>
      <c r="AK36" s="249">
        <f>ROUND(AJ36*0.03, 0)</f>
        <v>0</v>
      </c>
      <c r="AL36" s="249">
        <f t="shared" si="1"/>
        <v>0</v>
      </c>
      <c r="AN36" s="249">
        <f>IF(H36&gt;1000000, 125000+(H36-1000000)*0.3, IF(H36&gt;500000, 25000+(H36-500000)*0.2, IF(H36&gt;250000, (H36-250000)*0.1, 0)))</f>
        <v>0</v>
      </c>
      <c r="AO36" s="249">
        <f>IF(H36&lt;500001,AN36-MIN(AN36,2000),AN36)</f>
        <v>0</v>
      </c>
      <c r="AP36" s="249">
        <f>ROUND(AO36*0.03, 0)</f>
        <v>0</v>
      </c>
      <c r="AQ36" s="249">
        <f t="shared" si="2"/>
        <v>0</v>
      </c>
    </row>
    <row r="37" spans="2:43" s="249" customFormat="1">
      <c r="B37" s="786" t="s">
        <v>231</v>
      </c>
      <c r="C37" s="786"/>
      <c r="D37" s="787">
        <f>ROUND('89 (1) Form'!M20, -1)</f>
        <v>0</v>
      </c>
      <c r="E37" s="590"/>
      <c r="F37" s="787">
        <f>'89 (1) Form'!M21</f>
        <v>0</v>
      </c>
      <c r="G37" s="787"/>
      <c r="H37" s="787">
        <f t="shared" si="0"/>
        <v>0</v>
      </c>
      <c r="I37" s="590"/>
      <c r="J37" s="590">
        <f t="shared" si="3"/>
        <v>0</v>
      </c>
      <c r="K37" s="590"/>
      <c r="L37" s="590">
        <f t="shared" si="4"/>
        <v>0</v>
      </c>
      <c r="M37" s="590"/>
      <c r="N37" s="590">
        <f t="shared" si="5"/>
        <v>0</v>
      </c>
      <c r="O37" s="590"/>
      <c r="AA37" s="32"/>
      <c r="AB37" s="32"/>
      <c r="AC37" s="32"/>
      <c r="AD37" s="32"/>
      <c r="AH37" s="249" t="s">
        <v>312</v>
      </c>
      <c r="AI37" s="249">
        <f>IF($D37&gt;1000000, 125000+($D37-1000000)*0.3, IF($D37&gt;500000, 25000+($D37-500000)*0.2, IF($D37&gt;250000, ($D37-250000)*0.1, 0)))</f>
        <v>0</v>
      </c>
      <c r="AJ37" s="249">
        <f>IF(D37&lt;500001,AI37-MIN(AI37,5000),AI37)</f>
        <v>0</v>
      </c>
      <c r="AK37" s="249">
        <f>ROUND(AJ37*0.03, 0)</f>
        <v>0</v>
      </c>
      <c r="AL37" s="249">
        <f t="shared" si="1"/>
        <v>0</v>
      </c>
      <c r="AN37" s="249">
        <f>IF(H37&gt;1000000, 125000+(H37-1000000)*0.3, IF(H37&gt;500000, 25000+(H37-500000)*0.2, IF(H37&gt;250000, (H37-250000)*0.1, 0)))</f>
        <v>0</v>
      </c>
      <c r="AO37" s="249">
        <f>IF(H37&lt;500001,AN37-MIN(AN37,5000),AN37)</f>
        <v>0</v>
      </c>
      <c r="AP37" s="249">
        <f>ROUND(AO37*0.03, 0)</f>
        <v>0</v>
      </c>
      <c r="AQ37" s="249">
        <f t="shared" si="2"/>
        <v>0</v>
      </c>
    </row>
    <row r="38" spans="2:43" s="249" customFormat="1">
      <c r="B38" s="786" t="s">
        <v>232</v>
      </c>
      <c r="C38" s="786"/>
      <c r="D38" s="787">
        <f>ROUND('89 (1) Form'!M23, -1)</f>
        <v>0</v>
      </c>
      <c r="E38" s="590"/>
      <c r="F38" s="787">
        <f>'89 (1) Form'!M24</f>
        <v>0</v>
      </c>
      <c r="G38" s="787"/>
      <c r="H38" s="787">
        <f t="shared" ref="H38:H40" si="6">D38+F38</f>
        <v>0</v>
      </c>
      <c r="I38" s="590"/>
      <c r="J38" s="590">
        <f t="shared" si="3"/>
        <v>0</v>
      </c>
      <c r="K38" s="590"/>
      <c r="L38" s="590">
        <f t="shared" si="4"/>
        <v>0</v>
      </c>
      <c r="M38" s="590"/>
      <c r="N38" s="590">
        <f t="shared" si="5"/>
        <v>0</v>
      </c>
      <c r="O38" s="590"/>
      <c r="AA38" s="32"/>
      <c r="AB38" s="32"/>
      <c r="AC38" s="32"/>
      <c r="AD38" s="32"/>
      <c r="AH38" s="249" t="s">
        <v>313</v>
      </c>
      <c r="AI38" s="249">
        <f>IF($D38&gt;1000000, 112500+($D38-1000000)*0.3, IF($D38&gt;500000, 12500+($D38-500000)*0.2, IF($D38&gt;250000, ($D38-250000)*0.05, 0)))</f>
        <v>0</v>
      </c>
      <c r="AJ38" s="249">
        <f>IF(D38&lt;350001,AI38-MIN(AI38,2500),AI38)</f>
        <v>0</v>
      </c>
      <c r="AK38" s="249">
        <f>ROUND(AJ38*0.03, 0)</f>
        <v>0</v>
      </c>
      <c r="AL38" s="249">
        <f t="shared" si="1"/>
        <v>0</v>
      </c>
      <c r="AN38" s="249">
        <f>IF(H38&gt;1000000, 112500+(H38-1000000)*0.3, IF(H38&gt;500000, 12500+(H38-500000)*0.2, IF(H38&gt;250000, (H38-250000)*0.05, 0)))</f>
        <v>0</v>
      </c>
      <c r="AO38" s="249">
        <f>IF(H38&lt;350001,AN38-MIN(AN38,2500),AN38)</f>
        <v>0</v>
      </c>
      <c r="AP38" s="249">
        <f>ROUND(AO38*0.03, 0)</f>
        <v>0</v>
      </c>
      <c r="AQ38" s="249">
        <f t="shared" si="2"/>
        <v>0</v>
      </c>
    </row>
    <row r="39" spans="2:43" s="249" customFormat="1">
      <c r="B39" s="786" t="s">
        <v>233</v>
      </c>
      <c r="C39" s="786"/>
      <c r="D39" s="787">
        <f>ROUND('89 (1) Form'!M26, -1)</f>
        <v>0</v>
      </c>
      <c r="E39" s="590"/>
      <c r="F39" s="787">
        <f>'89 (1) Form'!M27</f>
        <v>0</v>
      </c>
      <c r="G39" s="787"/>
      <c r="H39" s="787">
        <f t="shared" si="6"/>
        <v>0</v>
      </c>
      <c r="I39" s="590"/>
      <c r="J39" s="590">
        <f>AL39</f>
        <v>0</v>
      </c>
      <c r="K39" s="590"/>
      <c r="L39" s="590">
        <f t="shared" si="4"/>
        <v>0</v>
      </c>
      <c r="M39" s="590"/>
      <c r="N39" s="590">
        <f t="shared" si="5"/>
        <v>0</v>
      </c>
      <c r="O39" s="590"/>
      <c r="AA39" s="32"/>
      <c r="AB39" s="32"/>
      <c r="AC39" s="32"/>
      <c r="AD39" s="32"/>
      <c r="AH39" s="249" t="s">
        <v>314</v>
      </c>
      <c r="AI39" s="249">
        <f>IF($D39&gt;1000000, 112500+($D39-1000000)*0.3, IF($D39&gt;500000, 12500+($D39-500000)*0.2, IF($D39&gt;250000, ($D39-250000)*0.05, 0)))</f>
        <v>0</v>
      </c>
      <c r="AJ39" s="249">
        <f>IF(D39&lt;350001,AI39-MIN(AI39,2500),AI39)</f>
        <v>0</v>
      </c>
      <c r="AK39" s="249">
        <f>ROUND(AJ39*0.04, 0)</f>
        <v>0</v>
      </c>
      <c r="AL39" s="249">
        <f t="shared" si="1"/>
        <v>0</v>
      </c>
      <c r="AN39" s="249">
        <f>IF(H39&gt;1000000, 112500+(H39-1000000)*0.3, IF(H39&gt;500000, 12500+(H39-500000)*0.2, IF(H39&gt;250000, (H39-250000)*0.05, 0)))</f>
        <v>0</v>
      </c>
      <c r="AO39" s="249">
        <f>IF(H39&lt;350001,AN39-MIN(AN39,2500),AN39)</f>
        <v>0</v>
      </c>
      <c r="AP39" s="249">
        <f>ROUND(AO39*0.04, 0)</f>
        <v>0</v>
      </c>
      <c r="AQ39" s="249">
        <f t="shared" si="2"/>
        <v>0</v>
      </c>
    </row>
    <row r="40" spans="2:43" s="249" customFormat="1">
      <c r="B40" s="786" t="s">
        <v>308</v>
      </c>
      <c r="C40" s="786"/>
      <c r="D40" s="787">
        <f>ROUND('89 (1) Form'!M29, -1)</f>
        <v>450000</v>
      </c>
      <c r="E40" s="590"/>
      <c r="F40" s="787">
        <f>'89 (1) Form'!M30</f>
        <v>27000</v>
      </c>
      <c r="G40" s="787"/>
      <c r="H40" s="787">
        <f t="shared" si="6"/>
        <v>477000</v>
      </c>
      <c r="I40" s="590"/>
      <c r="J40" s="590">
        <f t="shared" si="3"/>
        <v>0</v>
      </c>
      <c r="K40" s="590"/>
      <c r="L40" s="590">
        <f t="shared" si="4"/>
        <v>0</v>
      </c>
      <c r="M40" s="590"/>
      <c r="N40" s="590">
        <f t="shared" si="5"/>
        <v>0</v>
      </c>
      <c r="O40" s="590"/>
      <c r="AA40" s="32"/>
      <c r="AB40" s="32"/>
      <c r="AC40" s="32"/>
      <c r="AD40" s="32"/>
      <c r="AH40" s="249" t="s">
        <v>315</v>
      </c>
      <c r="AI40" s="249">
        <f>IF($D40&gt;1000000, 112500+($D40-1000000)*0.3, IF($D40&gt;500000, 12500+($D40-500000)*0.2, IF($D40&gt;250000, ($D40-250000)*0.05, 0)))</f>
        <v>10000</v>
      </c>
      <c r="AJ40" s="249">
        <f>IF(D40&lt;500001,AI40-MIN(AI40,12500),AI40)</f>
        <v>0</v>
      </c>
      <c r="AK40" s="249">
        <f>ROUND(AJ40*0.04, 0)</f>
        <v>0</v>
      </c>
      <c r="AL40" s="249">
        <f t="shared" si="1"/>
        <v>0</v>
      </c>
      <c r="AN40" s="249">
        <f>IF(H40&gt;1000000, 112500+(H40-1000000)*0.3, IF(H40&gt;500000, 12500+(H40-500000)*0.2, IF(H40&gt;250000, (H40-250000)*0.05, 0)))</f>
        <v>11350</v>
      </c>
      <c r="AO40" s="249">
        <f>IF(H40&lt;500001,AN40-MIN(AN40,12500),AN40)</f>
        <v>0</v>
      </c>
      <c r="AP40" s="249">
        <f>ROUND(AO40*0.04, 0)</f>
        <v>0</v>
      </c>
      <c r="AQ40" s="249">
        <f t="shared" si="2"/>
        <v>0</v>
      </c>
    </row>
    <row r="41" spans="2:43" s="249" customFormat="1">
      <c r="B41" s="786" t="s">
        <v>501</v>
      </c>
      <c r="C41" s="786"/>
      <c r="D41" s="787">
        <f>ROUND('89 (1) Form'!M32, -1)</f>
        <v>550000</v>
      </c>
      <c r="E41" s="590"/>
      <c r="F41" s="787">
        <f>'89 (1) Form'!M33</f>
        <v>25000</v>
      </c>
      <c r="G41" s="787"/>
      <c r="H41" s="787">
        <f t="shared" ref="H41" si="7">D41+F41</f>
        <v>575000</v>
      </c>
      <c r="I41" s="590"/>
      <c r="J41" s="590">
        <f t="shared" ref="J41" si="8">AL41</f>
        <v>23400</v>
      </c>
      <c r="K41" s="590"/>
      <c r="L41" s="590">
        <f t="shared" ref="L41" si="9">AQ41</f>
        <v>28600</v>
      </c>
      <c r="M41" s="590"/>
      <c r="N41" s="590">
        <f t="shared" ref="N41" si="10">L41-J41</f>
        <v>5200</v>
      </c>
      <c r="O41" s="590"/>
      <c r="AA41" s="32"/>
      <c r="AB41" s="32"/>
      <c r="AC41" s="32"/>
      <c r="AD41" s="32"/>
      <c r="AH41" s="249" t="s">
        <v>500</v>
      </c>
      <c r="AI41" s="249">
        <f>IF($D41&gt;1000000, 112500+($D41-1000000)*0.3, IF($D41&gt;500000, 12500+($D41-500000)*0.2, IF($D41&gt;250000, ($D41-250000)*0.05, 0)))</f>
        <v>22500</v>
      </c>
      <c r="AJ41" s="249">
        <f>IF(D41&lt;500001,AI41-MIN(AI41,12500),AI41)</f>
        <v>22500</v>
      </c>
      <c r="AK41" s="249">
        <f>ROUND(AJ41*0.04, 0)</f>
        <v>900</v>
      </c>
      <c r="AL41" s="249">
        <f t="shared" ref="AL41" si="11">AJ41+AK41</f>
        <v>23400</v>
      </c>
      <c r="AN41" s="249">
        <f>IF(H41&gt;1000000, 112500+(H41-1000000)*0.3, IF(H41&gt;500000, 12500+(H41-500000)*0.2, IF(H41&gt;250000, (H41-250000)*0.05, 0)))</f>
        <v>27500</v>
      </c>
      <c r="AO41" s="249">
        <f>IF(H41&lt;500001,AN41-MIN(AN41,12500),AN41)</f>
        <v>27500</v>
      </c>
      <c r="AP41" s="249">
        <f>ROUND(AO41*0.04, 0)</f>
        <v>1100</v>
      </c>
      <c r="AQ41" s="249">
        <f t="shared" si="2"/>
        <v>28600</v>
      </c>
    </row>
    <row r="42" spans="2:43" s="249" customFormat="1">
      <c r="B42" s="786" t="s">
        <v>593</v>
      </c>
      <c r="C42" s="786"/>
      <c r="D42" s="787">
        <f>ROUND('89 (1) Form'!M35, -1)</f>
        <v>600000</v>
      </c>
      <c r="E42" s="590"/>
      <c r="F42" s="787">
        <f>'89 (1) Form'!M36</f>
        <v>47000</v>
      </c>
      <c r="G42" s="787"/>
      <c r="H42" s="787">
        <f t="shared" ref="H42" si="12">D42+F42</f>
        <v>647000</v>
      </c>
      <c r="I42" s="590"/>
      <c r="J42" s="590">
        <f t="shared" ref="J42" si="13">AL42</f>
        <v>33800</v>
      </c>
      <c r="K42" s="590"/>
      <c r="L42" s="590">
        <f t="shared" ref="L42" si="14">AQ42</f>
        <v>43576</v>
      </c>
      <c r="M42" s="590"/>
      <c r="N42" s="590">
        <f t="shared" ref="N42" si="15">L42-J42</f>
        <v>9776</v>
      </c>
      <c r="O42" s="590"/>
      <c r="AA42" s="32"/>
      <c r="AB42" s="32"/>
      <c r="AC42" s="32"/>
      <c r="AD42" s="32"/>
      <c r="AH42" s="249" t="s">
        <v>594</v>
      </c>
      <c r="AI42" s="249">
        <f>IF($D42&gt;1000000, 112500+($D42-1000000)*0.3, IF($D42&gt;500000, 12500+($D42-500000)*0.2, IF($D42&gt;250000, ($D42-250000)*0.05, 0)))</f>
        <v>32500</v>
      </c>
      <c r="AJ42" s="249">
        <f>IF(D42&lt;500001,AI42-MIN(AI42,12500),AI42)</f>
        <v>32500</v>
      </c>
      <c r="AK42" s="249">
        <f>ROUND(AJ42*0.04, 0)</f>
        <v>1300</v>
      </c>
      <c r="AL42" s="249">
        <f t="shared" ref="AL42" si="16">AJ42+AK42</f>
        <v>33800</v>
      </c>
      <c r="AN42" s="249">
        <f>IF(H42&gt;1000000, 112500+(H42-1000000)*0.3, IF(H42&gt;500000, 12500+(H42-500000)*0.2, IF(H42&gt;250000, (H42-250000)*0.05, 0)))</f>
        <v>41900</v>
      </c>
      <c r="AO42" s="249">
        <f>IF(H42&lt;500001,AN42-MIN(AN42,12500),AN42)</f>
        <v>41900</v>
      </c>
      <c r="AP42" s="249">
        <f>ROUND(AO42*0.04, 0)</f>
        <v>1676</v>
      </c>
      <c r="AQ42" s="249">
        <f t="shared" ref="AQ42" si="17">AO42+AP42</f>
        <v>43576</v>
      </c>
    </row>
    <row r="43" spans="2:43" ht="18.75">
      <c r="B43" s="788" t="s">
        <v>68</v>
      </c>
      <c r="C43" s="789"/>
      <c r="D43" s="790"/>
      <c r="E43" s="791"/>
      <c r="F43" s="790"/>
      <c r="G43" s="791"/>
      <c r="H43" s="790"/>
      <c r="I43" s="791"/>
      <c r="J43" s="790"/>
      <c r="K43" s="791"/>
      <c r="L43" s="790"/>
      <c r="M43" s="791"/>
      <c r="N43" s="792">
        <f>SUM(N33:O42)</f>
        <v>14976</v>
      </c>
      <c r="O43" s="793"/>
      <c r="AH43" s="249"/>
    </row>
    <row r="44" spans="2:43"/>
  </sheetData>
  <sheetProtection password="C1FB" sheet="1" objects="1" scenarios="1" formatColumns="0" formatRows="0"/>
  <mergeCells count="140">
    <mergeCell ref="B1:O1"/>
    <mergeCell ref="B2:O2"/>
    <mergeCell ref="B3:C3"/>
    <mergeCell ref="D3:O3"/>
    <mergeCell ref="B4:C4"/>
    <mergeCell ref="D4:O4"/>
    <mergeCell ref="B8:L8"/>
    <mergeCell ref="M8:O8"/>
    <mergeCell ref="B9:L9"/>
    <mergeCell ref="M9:O9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5:D15"/>
    <mergeCell ref="E15:F15"/>
    <mergeCell ref="C16:D16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N37:O37"/>
    <mergeCell ref="B43:C43"/>
    <mergeCell ref="D43:E43"/>
    <mergeCell ref="F43:G43"/>
    <mergeCell ref="H43:I43"/>
    <mergeCell ref="J43:K43"/>
    <mergeCell ref="L43:M43"/>
    <mergeCell ref="N43:O43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H39:I39"/>
    <mergeCell ref="H40:I40"/>
    <mergeCell ref="J38:K38"/>
    <mergeCell ref="J39:K39"/>
    <mergeCell ref="J40:K40"/>
    <mergeCell ref="L38:M38"/>
    <mergeCell ref="L39:M39"/>
    <mergeCell ref="L40:M40"/>
    <mergeCell ref="N38:O38"/>
    <mergeCell ref="N39:O39"/>
    <mergeCell ref="N40:O40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N41:O41"/>
  </mergeCells>
  <pageMargins left="0.65" right="0.34" top="0.5" bottom="0.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</vt:lpstr>
      <vt:lpstr>Master Data</vt:lpstr>
      <vt:lpstr>GA55 Check &amp; Edit</vt:lpstr>
      <vt:lpstr>Extra Ded. </vt:lpstr>
      <vt:lpstr>HRA Calculation</vt:lpstr>
      <vt:lpstr>GA55 Only Print</vt:lpstr>
      <vt:lpstr>COMPUTATION</vt:lpstr>
      <vt:lpstr>89 (1) Form</vt:lpstr>
      <vt:lpstr>form10E</vt:lpstr>
      <vt:lpstr>Form No. 16</vt:lpstr>
      <vt:lpstr>CCA</vt:lpstr>
      <vt:lpstr>gp</vt:lpstr>
      <vt:lpstr>level</vt:lpstr>
      <vt:lpstr>Month</vt:lpstr>
      <vt:lpstr>Month1</vt:lpstr>
      <vt:lpstr>pay</vt:lpstr>
      <vt:lpstr>COMPUTATION!Print_Area</vt:lpstr>
      <vt:lpstr>'Form No. 16'!Print_Area</vt:lpstr>
      <vt:lpstr>form10E!Print_Area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2022-11-20T06:09:57Z</cp:lastPrinted>
  <dcterms:created xsi:type="dcterms:W3CDTF">2020-09-27T00:42:28Z</dcterms:created>
  <dcterms:modified xsi:type="dcterms:W3CDTF">2022-12-12T02:40:06Z</dcterms:modified>
</cp:coreProperties>
</file>