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aster Data" sheetId="4" r:id="rId1"/>
    <sheet name="Extra Ded. " sheetId="5" r:id="rId2"/>
    <sheet name="GA55" sheetId="9" r:id="rId3"/>
    <sheet name="COMPUTATION" sheetId="2" r:id="rId4"/>
    <sheet name="Form No. 16" sheetId="8" r:id="rId5"/>
  </sheets>
  <externalReferences>
    <externalReference r:id="rId6"/>
    <externalReference r:id="rId7"/>
  </externalReferences>
  <definedNames>
    <definedName name="city">'GA55'!$AT$8:$AT$12</definedName>
    <definedName name="month">'GA55'!$AU$8:$AU$20</definedName>
    <definedName name="month1">'GA55'!$AZ$12:$AZ$23</definedName>
    <definedName name="om">'GA55'!$AZ$12:$BL$32</definedName>
    <definedName name="pay">'GA55'!$AR$5:$AR$6</definedName>
    <definedName name="_xlnm.Print_Area" localSheetId="3">COMPUTATION!$A$1:$O$68</definedName>
    <definedName name="_xlnm.Print_Area" localSheetId="4">'Form No. 16'!$B$1:$L$140</definedName>
    <definedName name="_xlnm.Print_Area" localSheetId="2">'GA55'!$A$1:$AE$30</definedName>
  </definedNames>
  <calcPr calcId="124519"/>
</workbook>
</file>

<file path=xl/calcChain.xml><?xml version="1.0" encoding="utf-8"?>
<calcChain xmlns="http://schemas.openxmlformats.org/spreadsheetml/2006/main">
  <c r="O42" i="2"/>
  <c r="O31"/>
  <c r="A1"/>
  <c r="AA24" i="9"/>
  <c r="AA25"/>
  <c r="AA26"/>
  <c r="Y6"/>
  <c r="Y5"/>
  <c r="W6"/>
  <c r="W7" s="1"/>
  <c r="L6"/>
  <c r="F24"/>
  <c r="F25"/>
  <c r="F2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6"/>
  <c r="J8"/>
  <c r="J9" s="1"/>
  <c r="J10" s="1"/>
  <c r="J11" s="1"/>
  <c r="J12" s="1"/>
  <c r="J13" s="1"/>
  <c r="J14" s="1"/>
  <c r="J15" s="1"/>
  <c r="J16" s="1"/>
  <c r="J17" s="1"/>
  <c r="J18"/>
  <c r="J19"/>
  <c r="J20"/>
  <c r="J21"/>
  <c r="J22"/>
  <c r="J23"/>
  <c r="J24"/>
  <c r="J25"/>
  <c r="J26"/>
  <c r="J6"/>
  <c r="G6"/>
  <c r="K6"/>
  <c r="H6"/>
  <c r="L5"/>
  <c r="Q24" l="1"/>
  <c r="Q25"/>
  <c r="Q26"/>
  <c r="C24"/>
  <c r="C25"/>
  <c r="C26"/>
  <c r="K128" i="8"/>
  <c r="G102"/>
  <c r="E95"/>
  <c r="F89"/>
  <c r="F88"/>
  <c r="D86"/>
  <c r="D64"/>
  <c r="C54"/>
  <c r="J24"/>
  <c r="J9"/>
  <c r="G9"/>
  <c r="G7"/>
  <c r="G6"/>
  <c r="B6"/>
  <c r="C57" s="1"/>
  <c r="D138" l="1"/>
  <c r="D134"/>
  <c r="D139" s="1"/>
  <c r="G133"/>
  <c r="D63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F19"/>
  <c r="D62"/>
  <c r="D137" s="1"/>
  <c r="G64"/>
  <c r="C133" l="1"/>
  <c r="G139"/>
  <c r="N56" i="2" l="1"/>
  <c r="M56"/>
  <c r="J56"/>
  <c r="I56"/>
  <c r="F56"/>
  <c r="E56"/>
  <c r="B56"/>
  <c r="N55"/>
  <c r="M55"/>
  <c r="J55"/>
  <c r="I55"/>
  <c r="F55"/>
  <c r="E55"/>
  <c r="B55"/>
  <c r="N54"/>
  <c r="M54"/>
  <c r="J54"/>
  <c r="I54"/>
  <c r="F54"/>
  <c r="E54"/>
  <c r="B54"/>
  <c r="M53"/>
  <c r="J53"/>
  <c r="I53"/>
  <c r="F53"/>
  <c r="E53"/>
  <c r="M52"/>
  <c r="J52"/>
  <c r="I52"/>
  <c r="F52"/>
  <c r="E52"/>
  <c r="M51"/>
  <c r="J51"/>
  <c r="F51"/>
  <c r="B53"/>
  <c r="B52"/>
  <c r="J50"/>
  <c r="F50"/>
  <c r="N3" l="1"/>
  <c r="U29" i="9"/>
  <c r="C29"/>
  <c r="Q5"/>
  <c r="AC3"/>
  <c r="T3"/>
  <c r="M3"/>
  <c r="H3"/>
  <c r="C3"/>
  <c r="W2"/>
  <c r="O2"/>
  <c r="D2"/>
  <c r="B1"/>
  <c r="BS30"/>
  <c r="BS31"/>
  <c r="BS32"/>
  <c r="BK16"/>
  <c r="BK17"/>
  <c r="BK18"/>
  <c r="BK19"/>
  <c r="BK20"/>
  <c r="BK21"/>
  <c r="BK22"/>
  <c r="BK23"/>
  <c r="BK15"/>
  <c r="BK14"/>
  <c r="BK13"/>
  <c r="BK12"/>
  <c r="BJ13"/>
  <c r="BJ14"/>
  <c r="BJ15"/>
  <c r="BJ16"/>
  <c r="BJ17"/>
  <c r="BJ18"/>
  <c r="BJ19"/>
  <c r="BJ20"/>
  <c r="BJ21"/>
  <c r="BJ22"/>
  <c r="BJ23"/>
  <c r="BJ12"/>
  <c r="BJ11"/>
  <c r="BJ10"/>
  <c r="U27" l="1"/>
  <c r="R27"/>
  <c r="N27"/>
  <c r="K27"/>
  <c r="V27"/>
  <c r="J27"/>
  <c r="BC24"/>
  <c r="BK24" s="1"/>
  <c r="BH13"/>
  <c r="BH14"/>
  <c r="BH15"/>
  <c r="BH16"/>
  <c r="BH17"/>
  <c r="BH18"/>
  <c r="BH19"/>
  <c r="BH20"/>
  <c r="BH21"/>
  <c r="BH22"/>
  <c r="BH23"/>
  <c r="BH12"/>
  <c r="BW13"/>
  <c r="BC13" s="1"/>
  <c r="BE13" s="1"/>
  <c r="BW12"/>
  <c r="BC12" s="1"/>
  <c r="BP24"/>
  <c r="BP25"/>
  <c r="BP26"/>
  <c r="BP27"/>
  <c r="BP28"/>
  <c r="BP29"/>
  <c r="BW14" l="1"/>
  <c r="BW15" s="1"/>
  <c r="BE26"/>
  <c r="BE12"/>
  <c r="BC11" l="1"/>
  <c r="BE11" s="1"/>
  <c r="BC10"/>
  <c r="BE10" s="1"/>
  <c r="BB15"/>
  <c r="BB17" l="1"/>
  <c r="BN10" s="1"/>
  <c r="BB16"/>
  <c r="BD10" s="1"/>
  <c r="BF10" s="1"/>
  <c r="BB18"/>
  <c r="BW16" s="1"/>
  <c r="AO5"/>
  <c r="AZ29"/>
  <c r="BF28"/>
  <c r="AZ28"/>
  <c r="AZ27"/>
  <c r="AZ26"/>
  <c r="AZ25"/>
  <c r="BF24"/>
  <c r="AZ24"/>
  <c r="BC14"/>
  <c r="BE14" s="1"/>
  <c r="BL12"/>
  <c r="BB3"/>
  <c r="O43" i="2"/>
  <c r="G120" i="8"/>
  <c r="I120" s="1"/>
  <c r="O41" i="2"/>
  <c r="G119" i="8" s="1"/>
  <c r="I119" s="1"/>
  <c r="O39" i="2"/>
  <c r="G115" i="8" s="1"/>
  <c r="I115" s="1"/>
  <c r="O38" i="2"/>
  <c r="G114" i="8" s="1"/>
  <c r="I114" s="1"/>
  <c r="O37" i="2"/>
  <c r="G113" i="8" s="1"/>
  <c r="I113" s="1"/>
  <c r="O36" i="2"/>
  <c r="G112" i="8" s="1"/>
  <c r="I112" s="1"/>
  <c r="M29" i="2"/>
  <c r="G106" i="8" s="1"/>
  <c r="M28" i="2"/>
  <c r="G105" i="8" s="1"/>
  <c r="M27" i="2"/>
  <c r="G107" i="8" s="1"/>
  <c r="M26" i="2"/>
  <c r="M25"/>
  <c r="M24"/>
  <c r="M23"/>
  <c r="G103" i="8" s="1"/>
  <c r="M22" i="2"/>
  <c r="G30"/>
  <c r="G108" i="8" s="1"/>
  <c r="G29" i="2"/>
  <c r="G28"/>
  <c r="G100" i="8" s="1"/>
  <c r="G27" i="2"/>
  <c r="G24"/>
  <c r="G23"/>
  <c r="G99" i="8" s="1"/>
  <c r="G22" i="2"/>
  <c r="I13"/>
  <c r="F85" i="8" s="1"/>
  <c r="F13" i="2"/>
  <c r="D85" i="8" s="1"/>
  <c r="K11" i="2"/>
  <c r="D13" s="1"/>
  <c r="B85" i="8" s="1"/>
  <c r="K9" i="2"/>
  <c r="G78" i="8" s="1"/>
  <c r="K8" i="2"/>
  <c r="G80" i="8" s="1"/>
  <c r="K7" i="2"/>
  <c r="G79" i="8" s="1"/>
  <c r="O33" i="2"/>
  <c r="G85" i="8" l="1"/>
  <c r="G86" s="1"/>
  <c r="G101"/>
  <c r="G117"/>
  <c r="I117" s="1"/>
  <c r="G118"/>
  <c r="I118" s="1"/>
  <c r="I81"/>
  <c r="G104"/>
  <c r="O9" i="2"/>
  <c r="K13"/>
  <c r="O14" s="1"/>
  <c r="BN12" i="9"/>
  <c r="BN13" s="1"/>
  <c r="BN14" s="1"/>
  <c r="BN15" s="1"/>
  <c r="BN16" s="1"/>
  <c r="BN17" s="1"/>
  <c r="BN18" s="1"/>
  <c r="BN19" s="1"/>
  <c r="BN20" s="1"/>
  <c r="BN21" s="1"/>
  <c r="BN22" s="1"/>
  <c r="BN23" s="1"/>
  <c r="BN24" s="1"/>
  <c r="BO12"/>
  <c r="BD11"/>
  <c r="BF11" s="1"/>
  <c r="BD12"/>
  <c r="BC16"/>
  <c r="BW17"/>
  <c r="BW18" s="1"/>
  <c r="BW19" s="1"/>
  <c r="BW20" s="1"/>
  <c r="BW21" s="1"/>
  <c r="BW22" s="1"/>
  <c r="BW23" s="1"/>
  <c r="B25"/>
  <c r="B24"/>
  <c r="BC15"/>
  <c r="BE15" s="1"/>
  <c r="BD13"/>
  <c r="B26"/>
  <c r="BL10"/>
  <c r="BL11"/>
  <c r="BZ32" l="1"/>
  <c r="V26"/>
  <c r="AB26"/>
  <c r="X26"/>
  <c r="Z26"/>
  <c r="Y26"/>
  <c r="W26"/>
  <c r="BZ31"/>
  <c r="Z25"/>
  <c r="Y25"/>
  <c r="W25"/>
  <c r="V25"/>
  <c r="AB25"/>
  <c r="X25"/>
  <c r="BZ30"/>
  <c r="AB24"/>
  <c r="X24"/>
  <c r="V24"/>
  <c r="Z24"/>
  <c r="Y24"/>
  <c r="W24"/>
  <c r="BN25"/>
  <c r="BQ24"/>
  <c r="BI13"/>
  <c r="BG13"/>
  <c r="R24"/>
  <c r="O24"/>
  <c r="K24"/>
  <c r="H24"/>
  <c r="T24"/>
  <c r="P24"/>
  <c r="M24"/>
  <c r="G24"/>
  <c r="E24"/>
  <c r="S24"/>
  <c r="N24"/>
  <c r="U24"/>
  <c r="D24"/>
  <c r="L24"/>
  <c r="BE16"/>
  <c r="BE27"/>
  <c r="BF27" s="1"/>
  <c r="BK27" s="1"/>
  <c r="BP12"/>
  <c r="BQ12" s="1"/>
  <c r="B6" s="1"/>
  <c r="BO13"/>
  <c r="K26"/>
  <c r="H26"/>
  <c r="T26"/>
  <c r="P26"/>
  <c r="L26"/>
  <c r="S26"/>
  <c r="N26"/>
  <c r="G26"/>
  <c r="E26"/>
  <c r="M26"/>
  <c r="U26"/>
  <c r="R26"/>
  <c r="O26"/>
  <c r="AC26" s="1"/>
  <c r="D26"/>
  <c r="U25"/>
  <c r="S25"/>
  <c r="M25"/>
  <c r="D25"/>
  <c r="G25"/>
  <c r="T25"/>
  <c r="R25"/>
  <c r="L25"/>
  <c r="P25"/>
  <c r="N25"/>
  <c r="K25"/>
  <c r="H25"/>
  <c r="O25"/>
  <c r="E25"/>
  <c r="BI12"/>
  <c r="BG12"/>
  <c r="BL13"/>
  <c r="BF13"/>
  <c r="B18"/>
  <c r="BL15"/>
  <c r="BD15"/>
  <c r="BF12"/>
  <c r="BL14"/>
  <c r="BD14"/>
  <c r="I19" i="5"/>
  <c r="O40" i="2" s="1"/>
  <c r="O62"/>
  <c r="I16"/>
  <c r="I15"/>
  <c r="E16"/>
  <c r="E15"/>
  <c r="F90" i="8" s="1"/>
  <c r="I90" l="1"/>
  <c r="G90"/>
  <c r="AC25" i="9"/>
  <c r="O44" i="2"/>
  <c r="G116" i="8"/>
  <c r="I116" s="1"/>
  <c r="K120" s="1"/>
  <c r="AC24" i="9"/>
  <c r="BI14"/>
  <c r="BG14"/>
  <c r="BN26"/>
  <c r="BQ25"/>
  <c r="B19" s="1"/>
  <c r="M6"/>
  <c r="BU10"/>
  <c r="BI15"/>
  <c r="BG15"/>
  <c r="BP13"/>
  <c r="BQ13" s="1"/>
  <c r="B7" s="1"/>
  <c r="BO14"/>
  <c r="BS24"/>
  <c r="D18" s="1"/>
  <c r="M18"/>
  <c r="BS12"/>
  <c r="C6" s="1"/>
  <c r="AA6" s="1"/>
  <c r="BF14"/>
  <c r="BF15"/>
  <c r="BC17"/>
  <c r="BE17" s="1"/>
  <c r="O16" i="2"/>
  <c r="S6" i="9" l="1"/>
  <c r="Q6"/>
  <c r="Q18"/>
  <c r="C18"/>
  <c r="E6"/>
  <c r="BS13"/>
  <c r="Z18"/>
  <c r="BZ24" s="1"/>
  <c r="P6"/>
  <c r="N18"/>
  <c r="L18"/>
  <c r="G18"/>
  <c r="Y18"/>
  <c r="T18"/>
  <c r="W18"/>
  <c r="Z6"/>
  <c r="V18"/>
  <c r="M19"/>
  <c r="BS25"/>
  <c r="E18"/>
  <c r="R18"/>
  <c r="P18"/>
  <c r="K18"/>
  <c r="R6"/>
  <c r="H18"/>
  <c r="M7"/>
  <c r="BN27"/>
  <c r="BQ26"/>
  <c r="B20" s="1"/>
  <c r="U18"/>
  <c r="S18"/>
  <c r="D6"/>
  <c r="F6" s="1"/>
  <c r="BO15"/>
  <c r="BP14"/>
  <c r="BQ14" s="1"/>
  <c r="B8" s="1"/>
  <c r="BF26"/>
  <c r="BK26" s="1"/>
  <c r="BL16"/>
  <c r="BL17" s="1"/>
  <c r="BL18" s="1"/>
  <c r="BL19" s="1"/>
  <c r="BL20" s="1"/>
  <c r="BL21" s="1"/>
  <c r="BL22" s="1"/>
  <c r="BL23" s="1"/>
  <c r="BD16"/>
  <c r="BC18"/>
  <c r="BE18" s="1"/>
  <c r="F18" l="1"/>
  <c r="O18" s="1"/>
  <c r="AA18"/>
  <c r="X18"/>
  <c r="O6"/>
  <c r="Q19"/>
  <c r="C7"/>
  <c r="AA7" s="1"/>
  <c r="Q7"/>
  <c r="N7"/>
  <c r="K7"/>
  <c r="Y7"/>
  <c r="BZ12"/>
  <c r="S19"/>
  <c r="Y19"/>
  <c r="R7"/>
  <c r="P19"/>
  <c r="V19"/>
  <c r="V7"/>
  <c r="L7"/>
  <c r="T7"/>
  <c r="K19"/>
  <c r="W19"/>
  <c r="U7"/>
  <c r="G7"/>
  <c r="H7"/>
  <c r="P7"/>
  <c r="E19"/>
  <c r="R19"/>
  <c r="Z19"/>
  <c r="BZ25" s="1"/>
  <c r="Z7"/>
  <c r="BZ13" s="1"/>
  <c r="C25" i="8" s="1"/>
  <c r="X6" i="9"/>
  <c r="AB18"/>
  <c r="M8"/>
  <c r="BS14"/>
  <c r="BI16"/>
  <c r="S7" s="1"/>
  <c r="BG16"/>
  <c r="E7" s="1"/>
  <c r="BN28"/>
  <c r="BQ27"/>
  <c r="B21" s="1"/>
  <c r="M20"/>
  <c r="BS26"/>
  <c r="L19"/>
  <c r="N19"/>
  <c r="BO16"/>
  <c r="BP15"/>
  <c r="BQ15" s="1"/>
  <c r="B9" s="1"/>
  <c r="H19"/>
  <c r="G19"/>
  <c r="T19"/>
  <c r="U19"/>
  <c r="BC19"/>
  <c r="BE19" s="1"/>
  <c r="BD17"/>
  <c r="BF16"/>
  <c r="D7" s="1"/>
  <c r="J3" i="2"/>
  <c r="D3"/>
  <c r="X7" i="9" l="1"/>
  <c r="AB7" s="1"/>
  <c r="F7"/>
  <c r="C8"/>
  <c r="AA8" s="1"/>
  <c r="Q20"/>
  <c r="Q8"/>
  <c r="C20"/>
  <c r="AA20" s="1"/>
  <c r="V20"/>
  <c r="T8"/>
  <c r="AC18"/>
  <c r="Z20"/>
  <c r="BZ26" s="1"/>
  <c r="V8"/>
  <c r="C24" i="8"/>
  <c r="W8" i="9"/>
  <c r="Y20"/>
  <c r="Z8"/>
  <c r="BZ14" s="1"/>
  <c r="C26" i="8" s="1"/>
  <c r="L8" i="9"/>
  <c r="H8"/>
  <c r="N8"/>
  <c r="W20"/>
  <c r="Y8"/>
  <c r="AB6"/>
  <c r="M9"/>
  <c r="BS15"/>
  <c r="BN29"/>
  <c r="BQ28"/>
  <c r="B22" s="1"/>
  <c r="P20"/>
  <c r="S20"/>
  <c r="K20"/>
  <c r="P8"/>
  <c r="U8"/>
  <c r="BO17"/>
  <c r="BP16"/>
  <c r="BQ16" s="1"/>
  <c r="B10" s="1"/>
  <c r="G20"/>
  <c r="N20"/>
  <c r="H20"/>
  <c r="U20"/>
  <c r="L20"/>
  <c r="E20"/>
  <c r="G8"/>
  <c r="G9" s="1"/>
  <c r="K8"/>
  <c r="R8"/>
  <c r="BI17"/>
  <c r="S8" s="1"/>
  <c r="BG17"/>
  <c r="E8" s="1"/>
  <c r="M21"/>
  <c r="BS27"/>
  <c r="T20"/>
  <c r="R20"/>
  <c r="BF17"/>
  <c r="D8" s="1"/>
  <c r="BD18"/>
  <c r="BC20"/>
  <c r="BE20" s="1"/>
  <c r="F8" l="1"/>
  <c r="O7"/>
  <c r="AC7" s="1"/>
  <c r="X8"/>
  <c r="T9"/>
  <c r="N9"/>
  <c r="U9"/>
  <c r="C9"/>
  <c r="AA9" s="1"/>
  <c r="Q9"/>
  <c r="Q21"/>
  <c r="C21"/>
  <c r="AA21" s="1"/>
  <c r="L9"/>
  <c r="D21"/>
  <c r="H9"/>
  <c r="V9"/>
  <c r="V21"/>
  <c r="H21"/>
  <c r="K9"/>
  <c r="Y9"/>
  <c r="P21"/>
  <c r="G15" i="8"/>
  <c r="Z21" i="9"/>
  <c r="BZ27" s="1"/>
  <c r="Z9"/>
  <c r="BZ15" s="1"/>
  <c r="W9"/>
  <c r="Y21"/>
  <c r="W21"/>
  <c r="X20"/>
  <c r="AC6"/>
  <c r="M10"/>
  <c r="BS16"/>
  <c r="BO18"/>
  <c r="BP17"/>
  <c r="BQ17" s="1"/>
  <c r="B11" s="1"/>
  <c r="E21"/>
  <c r="N21"/>
  <c r="T21"/>
  <c r="U21"/>
  <c r="R9"/>
  <c r="M22"/>
  <c r="BS28"/>
  <c r="K21"/>
  <c r="R21"/>
  <c r="S21"/>
  <c r="BI18"/>
  <c r="S9" s="1"/>
  <c r="BG18"/>
  <c r="E9" s="1"/>
  <c r="L21"/>
  <c r="G21"/>
  <c r="P9"/>
  <c r="BQ29"/>
  <c r="B23" s="1"/>
  <c r="BC21"/>
  <c r="BE21" s="1"/>
  <c r="BF18"/>
  <c r="D9" s="1"/>
  <c r="BD19"/>
  <c r="F9" l="1"/>
  <c r="O9" s="1"/>
  <c r="F21"/>
  <c r="O21" s="1"/>
  <c r="AB8"/>
  <c r="O8"/>
  <c r="G10"/>
  <c r="Q22"/>
  <c r="C22"/>
  <c r="AA22" s="1"/>
  <c r="Q10"/>
  <c r="C10"/>
  <c r="AA10" s="1"/>
  <c r="X9"/>
  <c r="AB9" s="1"/>
  <c r="H10"/>
  <c r="U10"/>
  <c r="V10"/>
  <c r="K10"/>
  <c r="BS17"/>
  <c r="J15" i="8"/>
  <c r="R22" i="9"/>
  <c r="Z22"/>
  <c r="BZ28" s="1"/>
  <c r="W10"/>
  <c r="C27" i="8"/>
  <c r="N10" i="9"/>
  <c r="N11" s="1"/>
  <c r="Y22"/>
  <c r="V22"/>
  <c r="L10"/>
  <c r="L11" s="1"/>
  <c r="W22"/>
  <c r="Z10"/>
  <c r="BZ16" s="1"/>
  <c r="C28" i="8" s="1"/>
  <c r="Y10" i="9"/>
  <c r="X21"/>
  <c r="M23"/>
  <c r="BS29"/>
  <c r="L22"/>
  <c r="N22"/>
  <c r="E22"/>
  <c r="T10"/>
  <c r="P10"/>
  <c r="P11"/>
  <c r="R11"/>
  <c r="M11"/>
  <c r="T22"/>
  <c r="P22"/>
  <c r="G22"/>
  <c r="K22"/>
  <c r="R10"/>
  <c r="BI19"/>
  <c r="S10" s="1"/>
  <c r="BG19"/>
  <c r="E10" s="1"/>
  <c r="BO19"/>
  <c r="BP18"/>
  <c r="BQ18" s="1"/>
  <c r="B12" s="1"/>
  <c r="U11"/>
  <c r="U22"/>
  <c r="D22"/>
  <c r="S22"/>
  <c r="H22"/>
  <c r="BF19"/>
  <c r="D10" s="1"/>
  <c r="BC22"/>
  <c r="BE22" s="1"/>
  <c r="BD20"/>
  <c r="X10" l="1"/>
  <c r="AB10" s="1"/>
  <c r="F10"/>
  <c r="O10" s="1"/>
  <c r="F22"/>
  <c r="O22" s="1"/>
  <c r="AC8"/>
  <c r="G11"/>
  <c r="K11"/>
  <c r="C11"/>
  <c r="AA11" s="1"/>
  <c r="C23"/>
  <c r="AA23" s="1"/>
  <c r="AC9"/>
  <c r="Q11"/>
  <c r="H11"/>
  <c r="Z11"/>
  <c r="BZ17" s="1"/>
  <c r="C29" i="8" s="1"/>
  <c r="V11" i="9"/>
  <c r="L23"/>
  <c r="U23"/>
  <c r="Y23"/>
  <c r="T11"/>
  <c r="E23"/>
  <c r="N23"/>
  <c r="V23"/>
  <c r="W23"/>
  <c r="Y11"/>
  <c r="W11"/>
  <c r="H23"/>
  <c r="R23"/>
  <c r="Z23"/>
  <c r="AB21"/>
  <c r="AC21" s="1"/>
  <c r="X22"/>
  <c r="M12"/>
  <c r="BO20"/>
  <c r="BP19"/>
  <c r="BQ19" s="1"/>
  <c r="B13" s="1"/>
  <c r="K23"/>
  <c r="G23"/>
  <c r="BI20"/>
  <c r="S11" s="1"/>
  <c r="BG20"/>
  <c r="E11" s="1"/>
  <c r="BS18"/>
  <c r="S23"/>
  <c r="T23"/>
  <c r="P23"/>
  <c r="BC23"/>
  <c r="BE23" s="1"/>
  <c r="BF20"/>
  <c r="D11" s="1"/>
  <c r="BD21"/>
  <c r="X11" l="1"/>
  <c r="F11"/>
  <c r="O11" s="1"/>
  <c r="BZ29"/>
  <c r="BZ33" s="1"/>
  <c r="C36" i="8" s="1"/>
  <c r="X23" i="9"/>
  <c r="Q12"/>
  <c r="C12"/>
  <c r="AA12" s="1"/>
  <c r="AC10"/>
  <c r="G16" i="8"/>
  <c r="J16" s="1"/>
  <c r="BS19" i="9"/>
  <c r="V12"/>
  <c r="Z12"/>
  <c r="BZ18" s="1"/>
  <c r="Y12"/>
  <c r="AB11"/>
  <c r="W12"/>
  <c r="AB22"/>
  <c r="AC22" s="1"/>
  <c r="BI21"/>
  <c r="S12" s="1"/>
  <c r="BG21"/>
  <c r="N12"/>
  <c r="H12"/>
  <c r="E12"/>
  <c r="L12"/>
  <c r="K12"/>
  <c r="P12"/>
  <c r="M13"/>
  <c r="BO21"/>
  <c r="BP20"/>
  <c r="BQ20" s="1"/>
  <c r="B14" s="1"/>
  <c r="R12"/>
  <c r="T12"/>
  <c r="G12"/>
  <c r="U12"/>
  <c r="BF21"/>
  <c r="D12" s="1"/>
  <c r="BD22"/>
  <c r="BD23"/>
  <c r="M65" i="2" l="1"/>
  <c r="F12" i="9"/>
  <c r="AC11"/>
  <c r="C13"/>
  <c r="AA13" s="1"/>
  <c r="Q13"/>
  <c r="N13"/>
  <c r="W13"/>
  <c r="G13"/>
  <c r="P13"/>
  <c r="T13"/>
  <c r="R13"/>
  <c r="U13"/>
  <c r="K13"/>
  <c r="Y13"/>
  <c r="L13"/>
  <c r="V13"/>
  <c r="Z13"/>
  <c r="C30" i="8"/>
  <c r="E65" i="2"/>
  <c r="X12" i="9"/>
  <c r="H13"/>
  <c r="M14"/>
  <c r="BS20"/>
  <c r="BI23"/>
  <c r="BG23"/>
  <c r="BO22"/>
  <c r="BP21"/>
  <c r="BQ21" s="1"/>
  <c r="B15" s="1"/>
  <c r="BI22"/>
  <c r="S13" s="1"/>
  <c r="BG22"/>
  <c r="E13" s="1"/>
  <c r="BF23"/>
  <c r="BF22"/>
  <c r="D13" s="1"/>
  <c r="BC25" l="1"/>
  <c r="C19" s="1"/>
  <c r="AA19" s="1"/>
  <c r="F13"/>
  <c r="O13" s="1"/>
  <c r="O12"/>
  <c r="Q14"/>
  <c r="C14"/>
  <c r="AA14" s="1"/>
  <c r="X13"/>
  <c r="P14"/>
  <c r="L14"/>
  <c r="N14"/>
  <c r="H14"/>
  <c r="E14"/>
  <c r="BZ19"/>
  <c r="V14"/>
  <c r="BS21"/>
  <c r="U14"/>
  <c r="T14"/>
  <c r="Z14"/>
  <c r="BZ20" s="1"/>
  <c r="C32" i="8" s="1"/>
  <c r="Y14" i="9"/>
  <c r="K14"/>
  <c r="G14"/>
  <c r="W14"/>
  <c r="AB12"/>
  <c r="K15"/>
  <c r="D14"/>
  <c r="BO23"/>
  <c r="BP22"/>
  <c r="BQ22" s="1"/>
  <c r="B16" s="1"/>
  <c r="N15"/>
  <c r="R14"/>
  <c r="S14"/>
  <c r="R15"/>
  <c r="S15"/>
  <c r="M15"/>
  <c r="D15"/>
  <c r="BE29" l="1"/>
  <c r="BF29" s="1"/>
  <c r="D20" s="1"/>
  <c r="F20" s="1"/>
  <c r="F14"/>
  <c r="O14" s="1"/>
  <c r="BE25"/>
  <c r="BF25" s="1"/>
  <c r="D19" s="1"/>
  <c r="F19" s="1"/>
  <c r="O19" s="1"/>
  <c r="AC12"/>
  <c r="AB13"/>
  <c r="AC13" s="1"/>
  <c r="C15"/>
  <c r="Q15"/>
  <c r="E15"/>
  <c r="T15"/>
  <c r="P15"/>
  <c r="U15"/>
  <c r="W15"/>
  <c r="Y15"/>
  <c r="H15"/>
  <c r="L15"/>
  <c r="X14"/>
  <c r="AB14" s="1"/>
  <c r="G15"/>
  <c r="Z15"/>
  <c r="BZ21" s="1"/>
  <c r="H65" i="2" s="1"/>
  <c r="V15" i="9"/>
  <c r="C31" i="8"/>
  <c r="G17"/>
  <c r="X19" i="9"/>
  <c r="M16"/>
  <c r="BS22"/>
  <c r="BP23"/>
  <c r="BQ23" s="1"/>
  <c r="B17" s="1"/>
  <c r="F15" l="1"/>
  <c r="O15" s="1"/>
  <c r="AA15"/>
  <c r="D23"/>
  <c r="F23" s="1"/>
  <c r="BK29"/>
  <c r="Q23" s="1"/>
  <c r="AB23" s="1"/>
  <c r="O20"/>
  <c r="C16"/>
  <c r="AA16" s="1"/>
  <c r="Q16"/>
  <c r="X15"/>
  <c r="AB15" s="1"/>
  <c r="AB20"/>
  <c r="T16"/>
  <c r="K16"/>
  <c r="G16"/>
  <c r="S16"/>
  <c r="C33" i="8"/>
  <c r="H16" i="9"/>
  <c r="U16"/>
  <c r="P16"/>
  <c r="W16"/>
  <c r="AC14"/>
  <c r="Z16"/>
  <c r="BZ22" s="1"/>
  <c r="J65" i="2" s="1"/>
  <c r="J17" i="8"/>
  <c r="D16" i="9"/>
  <c r="Y16"/>
  <c r="V16"/>
  <c r="AB19"/>
  <c r="AC19" s="1"/>
  <c r="AZ41"/>
  <c r="M17"/>
  <c r="M27" s="1"/>
  <c r="BS23"/>
  <c r="N16"/>
  <c r="L16"/>
  <c r="E16"/>
  <c r="R16"/>
  <c r="AC20" l="1"/>
  <c r="O23"/>
  <c r="AC23" s="1"/>
  <c r="F16"/>
  <c r="C17"/>
  <c r="AA17" s="1"/>
  <c r="Q17"/>
  <c r="Q27" s="1"/>
  <c r="G25" i="2" s="1"/>
  <c r="G95" i="8" s="1"/>
  <c r="AC15" i="9"/>
  <c r="T17"/>
  <c r="T27" s="1"/>
  <c r="L17"/>
  <c r="L27" s="1"/>
  <c r="U17"/>
  <c r="C34" i="8"/>
  <c r="K17" i="9"/>
  <c r="E17"/>
  <c r="E27" s="1"/>
  <c r="Z17"/>
  <c r="Z27" s="1"/>
  <c r="W17"/>
  <c r="W27" s="1"/>
  <c r="V17"/>
  <c r="Y17"/>
  <c r="Y27" s="1"/>
  <c r="X16"/>
  <c r="N17"/>
  <c r="H17"/>
  <c r="G17"/>
  <c r="G27" s="1"/>
  <c r="D17"/>
  <c r="D27" s="1"/>
  <c r="R17"/>
  <c r="G21" i="2" s="1"/>
  <c r="G98" i="8" s="1"/>
  <c r="S17" i="9"/>
  <c r="S27" s="1"/>
  <c r="O16"/>
  <c r="P17"/>
  <c r="P27" s="1"/>
  <c r="AA27" l="1"/>
  <c r="G26" i="2" s="1"/>
  <c r="G97" i="8" s="1"/>
  <c r="F17" i="9"/>
  <c r="F27" s="1"/>
  <c r="H27"/>
  <c r="O5" i="2" s="1"/>
  <c r="E74" i="8" s="1"/>
  <c r="F74" s="1"/>
  <c r="G75" s="1"/>
  <c r="I27" i="9"/>
  <c r="C27"/>
  <c r="X17"/>
  <c r="BZ23"/>
  <c r="AB16"/>
  <c r="G20" i="2"/>
  <c r="AB17" i="9" l="1"/>
  <c r="AB27" s="1"/>
  <c r="X27"/>
  <c r="O17"/>
  <c r="K65" i="2"/>
  <c r="O65" s="1"/>
  <c r="K130" i="8" s="1"/>
  <c r="C135" s="1"/>
  <c r="C35"/>
  <c r="C37" s="1"/>
  <c r="G18"/>
  <c r="AC16" i="9"/>
  <c r="G96" i="8"/>
  <c r="I107" s="1"/>
  <c r="K107" s="1"/>
  <c r="K108" s="1"/>
  <c r="K121" s="1"/>
  <c r="M30" i="2"/>
  <c r="O34" s="1"/>
  <c r="O45" s="1"/>
  <c r="AC17" i="9" l="1"/>
  <c r="AC27" s="1"/>
  <c r="O27"/>
  <c r="O4" i="2" s="1"/>
  <c r="G68" i="8" s="1"/>
  <c r="I71" s="1"/>
  <c r="I76" s="1"/>
  <c r="K82" s="1"/>
  <c r="K86" s="1"/>
  <c r="K91" s="1"/>
  <c r="K122" s="1"/>
  <c r="J18"/>
  <c r="J19" s="1"/>
  <c r="C59" s="1"/>
  <c r="D59" s="1"/>
  <c r="D135" s="1"/>
  <c r="G19"/>
  <c r="O6" i="2" l="1"/>
  <c r="O10" s="1"/>
  <c r="O15" s="1"/>
  <c r="O17" s="1"/>
  <c r="O46" s="1"/>
  <c r="O47" s="1"/>
  <c r="AH57" s="1"/>
  <c r="O54" l="1"/>
  <c r="O55"/>
  <c r="O56"/>
  <c r="O51"/>
  <c r="O52"/>
  <c r="O53"/>
  <c r="O57" l="1"/>
  <c r="O58" s="1"/>
  <c r="K124" i="8" s="1"/>
  <c r="O59" i="2" l="1"/>
  <c r="O60" s="1"/>
  <c r="O61" s="1"/>
  <c r="O63" s="1"/>
  <c r="A66" s="1"/>
  <c r="K123" i="8"/>
  <c r="K125" s="1"/>
  <c r="K126" s="1"/>
  <c r="K127" s="1"/>
  <c r="K129" s="1"/>
  <c r="O66" i="2" l="1"/>
  <c r="K131" i="8"/>
  <c r="B131"/>
</calcChain>
</file>

<file path=xl/sharedStrings.xml><?xml version="1.0" encoding="utf-8"?>
<sst xmlns="http://schemas.openxmlformats.org/spreadsheetml/2006/main" count="615" uniqueCount="490">
  <si>
    <t>आयकर गणना प्रपत्र वर्ष -</t>
  </si>
  <si>
    <t xml:space="preserve">( कर निर्धारण वर्ष - </t>
  </si>
  <si>
    <t>Old Tax Regime</t>
  </si>
  <si>
    <t>नाम कर्मचारी :-</t>
  </si>
  <si>
    <t>पद :-</t>
  </si>
  <si>
    <t>PAN :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</si>
  <si>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</si>
  <si>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</si>
  <si>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</si>
  <si>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</si>
  <si>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</si>
  <si>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</si>
  <si>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</si>
  <si>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</si>
  <si>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</si>
  <si>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</si>
  <si>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</si>
  <si>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शेष -/+  (7 (अ)  एवं योग 7 (ब) का ) :- </t>
  </si>
  <si>
    <t xml:space="preserve">बचत खाते पर ब्याज : </t>
  </si>
  <si>
    <t xml:space="preserve">कुल शेष - / + (6 एवं 7) :- </t>
  </si>
  <si>
    <t xml:space="preserve">एफडी व अन्य आय पर प्राप्त ब्याज राशि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</si>
  <si>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</si>
  <si>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</si>
  <si>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</si>
  <si>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</si>
  <si>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</si>
  <si>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</si>
  <si>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</si>
  <si>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</si>
  <si>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</si>
  <si>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पेंशन प्लान हेतु योगदान  (धारा 80ccc)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</si>
  <si>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</si>
  <si>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</si>
  <si>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</si>
  <si>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</si>
  <si>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</si>
  <si>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</si>
  <si>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</si>
  <si>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</si>
  <si>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</si>
  <si>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</si>
  <si>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</si>
  <si>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</si>
  <si>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</si>
  <si>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</si>
  <si>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</si>
  <si>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</si>
  <si>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</si>
  <si>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</si>
  <si>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</si>
  <si>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</si>
  <si>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</si>
  <si>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</si>
  <si>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</si>
  <si>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</si>
  <si>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</si>
  <si>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</si>
  <si>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</si>
  <si>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</si>
  <si>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</si>
  <si>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</si>
  <si>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>(xxi)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</si>
  <si>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</si>
  <si>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</si>
  <si>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</si>
  <si>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</si>
  <si>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</si>
  <si>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</si>
  <si>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</si>
  <si>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</si>
  <si>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</si>
  <si>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</si>
  <si>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योग 12 ( 1 से 8 तक 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</si>
  <si>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</si>
  <si>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</si>
  <si>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</si>
  <si>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</si>
  <si>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</si>
  <si>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</si>
  <si>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</si>
  <si>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>Up to Rs. 2,50,000</t>
  </si>
  <si>
    <t>2,50,001  to  5,00,000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</si>
  <si>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</si>
  <si>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</si>
  <si>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</si>
  <si>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</si>
  <si>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</si>
  <si>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</si>
  <si>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</si>
  <si>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</si>
  <si>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</si>
  <si>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</si>
  <si>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</si>
  <si>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 xml:space="preserve">Bonds से प्राप्त ब्याज </t>
  </si>
  <si>
    <t>योग  ( i से xxi )</t>
  </si>
  <si>
    <t xml:space="preserve"> (ii) व्यवसाय कर  धारा  16  (iii) के अंतर्गत </t>
  </si>
  <si>
    <t xml:space="preserve"> (iii) स्टैण्डर्ड डीडेक्सन (Standard Deduction)  50,000  (अधिकतम )</t>
  </si>
  <si>
    <t>L-13</t>
  </si>
  <si>
    <t>51XXXXXXXXX96</t>
  </si>
  <si>
    <t>SI Number :</t>
  </si>
  <si>
    <t>74XXX7</t>
  </si>
  <si>
    <t xml:space="preserve">Rate of HRA : </t>
  </si>
  <si>
    <t>बैंक खाता संख्या :</t>
  </si>
  <si>
    <t>HEERALAL JAT</t>
  </si>
  <si>
    <t xml:space="preserve">अधिक जानकारी के लिए ऊपर Youtube video का लिंक दिया गया है। 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</si>
  <si>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</si>
  <si>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</si>
  <si>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</si>
  <si>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</si>
  <si>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t xml:space="preserve">3. मनोरंजन भत्ता धारा  16  (ii) के अंतर्गत </t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</si>
  <si>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</si>
  <si>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t xml:space="preserve">4. व्यवसाय कर  धारा  16  (iii) के अंतर्गत  </t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</si>
  <si>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</si>
  <si>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t xml:space="preserve">5. गृह सम्पति से प्राप्त किराया  - आय </t>
  </si>
  <si>
    <r>
      <t xml:space="preserve">24.  </t>
    </r>
    <r>
      <rPr>
        <b/>
        <sz val="10"/>
        <rFont val="Calibri"/>
        <family val="2"/>
        <scheme val="minor"/>
      </rPr>
      <t>अन्य व फिक्स डिपोजिट  (5 वर्ष हेतु )  (धारा 80 सी के अंतर्गत )</t>
    </r>
  </si>
  <si>
    <t xml:space="preserve">6. गृहकर 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</si>
  <si>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</si>
  <si>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</si>
  <si>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</si>
  <si>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</si>
  <si>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t>10. पी.एल.आई. (PLI)</t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</si>
  <si>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</si>
  <si>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t>11. टियुशन फ़ीस (Tution Fees)</t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</si>
  <si>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</si>
  <si>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t>12.  यू एल आई पी / वार्षिक प्लान</t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</si>
  <si>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</si>
  <si>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t>13.  राष्ट्रीय बचत पत्र (NSC)</t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</si>
  <si>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</si>
  <si>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t xml:space="preserve">14.  राष्ट्रीय बचत पत्र पर अदत ब्याज </t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</si>
  <si>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</si>
  <si>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t>15.  लोक भविष्य निधि (PPF)</t>
  </si>
  <si>
    <r>
      <rPr>
        <b/>
        <sz val="11"/>
        <rFont val="Calibri"/>
        <family val="2"/>
        <scheme val="minor"/>
      </rPr>
      <t xml:space="preserve">34.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80U</t>
    </r>
    <r>
      <rPr>
        <b/>
        <sz val="10"/>
        <rFont val="Calibri"/>
        <family val="2"/>
        <scheme val="minor"/>
      </rPr>
      <t xml:space="preserve"> स्थाई रूप से शारीरिक असमर्थता की दशा में </t>
    </r>
  </si>
  <si>
    <t xml:space="preserve">16.  राष्ट्रीय बचत पत्र स्कीम (NSS) </t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</si>
  <si>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</si>
  <si>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r>
      <rPr>
        <b/>
        <sz val="11"/>
        <rFont val="Calibri"/>
        <family val="2"/>
        <scheme val="minor"/>
      </rPr>
      <t xml:space="preserve">36.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 GGA</t>
    </r>
    <r>
      <rPr>
        <b/>
        <sz val="10"/>
        <rFont val="Calibri"/>
        <family val="2"/>
        <scheme val="minor"/>
      </rPr>
      <t xml:space="preserve"> अनुमोदित वैज्ञानिक, सामाजिक, ग्रामीण विकास आदि हेतु दिया गया दान </t>
    </r>
  </si>
  <si>
    <t xml:space="preserve">18.   Bonds से ब्याज </t>
  </si>
  <si>
    <r>
      <rPr>
        <b/>
        <sz val="11"/>
        <rFont val="Calibri"/>
        <family val="2"/>
        <scheme val="minor"/>
      </rPr>
      <t>37.</t>
    </r>
    <r>
      <rPr>
        <b/>
        <sz val="10"/>
        <rFont val="Calibri"/>
        <family val="2"/>
        <scheme val="minor"/>
      </rPr>
      <t xml:space="preserve">  एफडी आदि अन्य जमा पर प्राप्त कुल ब्याज (पीपीएफ को छोड़कर)</t>
    </r>
  </si>
  <si>
    <t>38. राहत धारा  89 के तहत  (अगर छुट लेनी है तो राशि लिखे )</t>
  </si>
  <si>
    <t xml:space="preserve"> धारा 80G धर्मार्थ संस्थाओ आदि को दिए दान ( क श्रेणी में  100 प्रतिशत)</t>
  </si>
  <si>
    <t xml:space="preserve"> धारा 80G धर्मार्थ संस्थाओ आदि को दिए दान ( ख श्रेणी में  50 प्रतिशत)</t>
  </si>
  <si>
    <r>
      <t xml:space="preserve">2.  स्टैण्डर्ड डीडेक्सन </t>
    </r>
    <r>
      <rPr>
        <b/>
        <sz val="12"/>
        <color theme="1"/>
        <rFont val="Calibri"/>
        <family val="2"/>
        <scheme val="minor"/>
      </rPr>
      <t>(Standard Deduction</t>
    </r>
    <r>
      <rPr>
        <b/>
        <sz val="11"/>
        <color theme="1"/>
        <rFont val="Calibri"/>
        <family val="2"/>
        <scheme val="minor"/>
      </rPr>
      <t>)  50,000 (अधिकतम )</t>
    </r>
  </si>
  <si>
    <t>9. जीवन बीमा प्रीमियम  (जो वेतन से नहीं काटा गया है ) LIC</t>
  </si>
  <si>
    <t>H</t>
  </si>
  <si>
    <t>Section US 80CCD (1B)
Yes/No</t>
  </si>
  <si>
    <t>No</t>
  </si>
  <si>
    <t>शिक्षा एवं चिकित्सा उपकर  4% (आयकर पर )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</si>
  <si>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</si>
  <si>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</si>
  <si>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</si>
  <si>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</si>
  <si>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</si>
  <si>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</si>
  <si>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</si>
  <si>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</si>
  <si>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</si>
  <si>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</si>
  <si>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</si>
  <si>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</si>
  <si>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</si>
  <si>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</si>
  <si>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</si>
  <si>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</si>
  <si>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</si>
  <si>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</si>
  <si>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</si>
  <si>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</si>
  <si>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</si>
  <si>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</si>
  <si>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</si>
  <si>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</si>
  <si>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</si>
  <si>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</si>
  <si>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</si>
  <si>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</si>
  <si>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</si>
  <si>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</si>
  <si>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</si>
  <si>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</si>
  <si>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</si>
  <si>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</si>
  <si>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</si>
  <si>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</si>
  <si>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</si>
  <si>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</si>
  <si>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</si>
  <si>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</si>
  <si>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</si>
  <si>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</si>
  <si>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</si>
  <si>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</si>
  <si>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</si>
  <si>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</si>
  <si>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</si>
  <si>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</si>
  <si>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</si>
  <si>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>Employee ID :</t>
  </si>
  <si>
    <t>कार्मिक का नाम  :</t>
  </si>
  <si>
    <t>DDO Name  :</t>
  </si>
  <si>
    <t>Usha Paliya</t>
  </si>
  <si>
    <t>GPF / GPF - 2004  :</t>
  </si>
  <si>
    <t>ABCDE5555H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</si>
  <si>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 :</t>
    </r>
  </si>
  <si>
    <t>SI Deducation Per Month  :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</si>
  <si>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</si>
  <si>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Income Tax Ded. @ Per Month :</t>
  </si>
  <si>
    <t>L.I.C.</t>
  </si>
  <si>
    <t>2022-2023</t>
  </si>
  <si>
    <t>2023-2024)</t>
  </si>
  <si>
    <t xml:space="preserve">आय : वर्ष  2022-23  में प्राप्त कुल आय ( कर योग्य मूल्यों सहित ) </t>
  </si>
  <si>
    <t>Bonus :</t>
  </si>
  <si>
    <t xml:space="preserve">यदि आप  Section US 80CCD (1B) के अंतर्गत अधिकतम 50,000 की छूट लेना चाहते है तो यहाँ नीचे बॉक्स में YES क्लिक करे। </t>
  </si>
  <si>
    <t>(B) घटाइये - धारा  80CCD (1B) नवीन पेंशन योजना में अतिरिक्त अंशदान  (अधिकतम 50,000 रु. )</t>
  </si>
  <si>
    <t xml:space="preserve">योग 11(A+B)      </t>
  </si>
  <si>
    <t>Present By :</t>
  </si>
  <si>
    <t>Chandawal Nagar, Sojat, Dist.- PALI</t>
  </si>
  <si>
    <t>heeralaljatchandawal@gmail.com</t>
  </si>
  <si>
    <t>GPF</t>
  </si>
  <si>
    <r>
      <t xml:space="preserve">अगर आपने </t>
    </r>
    <r>
      <rPr>
        <b/>
        <sz val="14"/>
        <rFont val="Calibri"/>
        <family val="2"/>
        <scheme val="minor"/>
      </rPr>
      <t xml:space="preserve"> Surrender </t>
    </r>
    <r>
      <rPr>
        <b/>
        <sz val="11"/>
        <rFont val="Calibri"/>
        <family val="2"/>
        <scheme val="minor"/>
      </rPr>
      <t>उठाया है तो माह सलेक्ट करें :</t>
    </r>
  </si>
  <si>
    <t>Regular Pay</t>
  </si>
  <si>
    <t xml:space="preserve">जिस माह से आयकर गणना प्रपत्र बनाना है </t>
  </si>
  <si>
    <t xml:space="preserve">जिस माह तक आयकर गणना प्रपत्र बनाना है </t>
  </si>
  <si>
    <r>
      <t xml:space="preserve"> CCA </t>
    </r>
    <r>
      <rPr>
        <b/>
        <sz val="12"/>
        <rFont val="Calibri"/>
        <family val="2"/>
        <scheme val="minor"/>
      </rPr>
      <t xml:space="preserve">लागू हो तो </t>
    </r>
    <r>
      <rPr>
        <b/>
        <sz val="14"/>
        <rFont val="Calibri"/>
        <family val="2"/>
        <scheme val="minor"/>
      </rPr>
      <t xml:space="preserve">CITY </t>
    </r>
    <r>
      <rPr>
        <b/>
        <sz val="12"/>
        <rFont val="Calibri"/>
        <family val="2"/>
        <scheme val="minor"/>
      </rPr>
      <t>सलेक्ट करे</t>
    </r>
    <r>
      <rPr>
        <b/>
        <sz val="14"/>
        <rFont val="Calibri"/>
        <family val="2"/>
        <scheme val="minor"/>
      </rPr>
      <t xml:space="preserve"> :</t>
    </r>
  </si>
  <si>
    <t xml:space="preserve"> क्या आपने समर्पित वेतन उठाया है ?</t>
  </si>
  <si>
    <t>NO</t>
  </si>
  <si>
    <t>YES</t>
  </si>
  <si>
    <t xml:space="preserve">आपको अभी कोनसा वेतन मिल रहा है :- </t>
  </si>
  <si>
    <r>
      <rPr>
        <b/>
        <sz val="13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लागु हो तो</t>
    </r>
    <r>
      <rPr>
        <b/>
        <sz val="14"/>
        <rFont val="Calibri"/>
        <family val="2"/>
        <scheme val="minor"/>
      </rPr>
      <t xml:space="preserve">  </t>
    </r>
    <r>
      <rPr>
        <b/>
        <sz val="13"/>
        <rFont val="Calibri"/>
        <family val="2"/>
        <scheme val="minor"/>
      </rPr>
      <t>Select Yes / No</t>
    </r>
    <r>
      <rPr>
        <b/>
        <sz val="14"/>
        <rFont val="Calibri"/>
        <family val="2"/>
        <scheme val="minor"/>
      </rPr>
      <t xml:space="preserve">  :</t>
    </r>
  </si>
  <si>
    <r>
      <rPr>
        <b/>
        <sz val="12"/>
        <rFont val="Calibri"/>
        <family val="2"/>
        <scheme val="minor"/>
      </rPr>
      <t>विकलांग भत्ता</t>
    </r>
    <r>
      <rPr>
        <b/>
        <sz val="14"/>
        <rFont val="Calibri"/>
        <family val="2"/>
        <scheme val="minor"/>
      </rPr>
      <t xml:space="preserve">  : </t>
    </r>
  </si>
  <si>
    <r>
      <rPr>
        <b/>
        <u val="double"/>
        <sz val="14"/>
        <color rgb="FFFF0000"/>
        <rFont val="Calibri"/>
        <family val="2"/>
        <scheme val="minor"/>
      </rPr>
      <t>01 March 2022 Basic Pay</t>
    </r>
    <r>
      <rPr>
        <b/>
        <u val="double"/>
        <sz val="13"/>
        <color rgb="FFFF0000"/>
        <rFont val="Calibri"/>
        <family val="2"/>
        <scheme val="minor"/>
      </rPr>
      <t xml:space="preserve">  (मूल वेतन) :</t>
    </r>
  </si>
  <si>
    <t>Group Insurance Rate @ :</t>
  </si>
  <si>
    <t>L.I.C. (Per Month) :</t>
  </si>
  <si>
    <t xml:space="preserve">Gazetted / Non-Gazetted : </t>
  </si>
  <si>
    <t>Non-Gazetted</t>
  </si>
  <si>
    <t xml:space="preserve">35.   धारा 80 TTA बचत खाते पर अधिकतम ब्याज पर 10,000 तक छुट  194(IA) </t>
  </si>
  <si>
    <t>Employee Name :-</t>
  </si>
  <si>
    <t>Designation :-</t>
  </si>
  <si>
    <t>Posting Place :-</t>
  </si>
  <si>
    <t xml:space="preserve">वेतन ड्रा मानचित्र </t>
  </si>
  <si>
    <t>PAN No. :-</t>
  </si>
  <si>
    <t>SI No.</t>
  </si>
  <si>
    <t>PRAN No. :-</t>
  </si>
  <si>
    <t>Bank A/C.</t>
  </si>
  <si>
    <t>Pay received</t>
  </si>
  <si>
    <t>Deducations</t>
  </si>
  <si>
    <t>NET PAY</t>
  </si>
  <si>
    <t>T.V. NO.</t>
  </si>
  <si>
    <t>Enc.  DATE</t>
  </si>
  <si>
    <t>S.N.</t>
  </si>
  <si>
    <t>Month</t>
  </si>
  <si>
    <t>Basic With Grade Pay</t>
  </si>
  <si>
    <t>DA</t>
  </si>
  <si>
    <t>HRA</t>
  </si>
  <si>
    <t>Bonus</t>
  </si>
  <si>
    <t>TOTAL</t>
  </si>
  <si>
    <t>HITKARI NIDHI</t>
  </si>
  <si>
    <t>Income Tax</t>
  </si>
  <si>
    <t>Group Ins.</t>
  </si>
  <si>
    <t>Total Ded.</t>
  </si>
  <si>
    <t>Yes</t>
  </si>
  <si>
    <t>Under 60</t>
  </si>
  <si>
    <t>Fix Pay</t>
  </si>
  <si>
    <t>Above 60</t>
  </si>
  <si>
    <t>Above 80</t>
  </si>
  <si>
    <t>Jaipur (U.A.)</t>
  </si>
  <si>
    <t>JAN</t>
  </si>
  <si>
    <t>Ajmer</t>
  </si>
  <si>
    <t>FEB</t>
  </si>
  <si>
    <t>Bikaner</t>
  </si>
  <si>
    <t>MAR</t>
  </si>
  <si>
    <t>Jodhpur</t>
  </si>
  <si>
    <t>APR</t>
  </si>
  <si>
    <t>Kota</t>
  </si>
  <si>
    <t>MAY</t>
  </si>
  <si>
    <t>JUN</t>
  </si>
  <si>
    <t>JUL</t>
  </si>
  <si>
    <t>AUG</t>
  </si>
  <si>
    <t>SEP</t>
  </si>
  <si>
    <t>OCT</t>
  </si>
  <si>
    <t>NOV</t>
  </si>
  <si>
    <t>DEC</t>
  </si>
  <si>
    <t>PL Surrender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</si>
  <si>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</si>
  <si>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Fixation arear</t>
  </si>
  <si>
    <t>PL Surrender Arrear</t>
  </si>
  <si>
    <t>Signature of Employee</t>
  </si>
  <si>
    <t>Signature of DDO</t>
  </si>
  <si>
    <t>GPF-2004</t>
  </si>
  <si>
    <t xml:space="preserve"> इन्क्रीमेंट के अतिरिक्त वेतन परिवर्तित होने पर माह सलेक्ट करे :</t>
  </si>
  <si>
    <t>DA Arrear 31% to 34%</t>
  </si>
  <si>
    <t>DA Arrear 34% to 38%</t>
  </si>
  <si>
    <t>ROP</t>
  </si>
  <si>
    <t>SI Int.</t>
  </si>
  <si>
    <t>GPF Number :</t>
  </si>
  <si>
    <t>74XXX8</t>
  </si>
  <si>
    <t>PRAN No. / GPF-2004 Number :</t>
  </si>
  <si>
    <t>71XXX10</t>
  </si>
  <si>
    <t>Wash All.</t>
  </si>
  <si>
    <t>Handi. All.</t>
  </si>
  <si>
    <t>CCA</t>
  </si>
  <si>
    <t>SI</t>
  </si>
  <si>
    <t>RGHS</t>
  </si>
  <si>
    <t>SI Loan</t>
  </si>
  <si>
    <t>GPF Loan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</si>
  <si>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</si>
  <si>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>अन्य स्रोत से आय :</t>
  </si>
  <si>
    <t>19.   अन्य स्रोत से आय (शेयर मार्केट सहित सभी आय) :</t>
  </si>
  <si>
    <t>उपरोक्त के अलावा अन्य कटोती (Other Ded.)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</si>
  <si>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इन सभी के अतिरिक्त अन्य सभी प्रकार की कटोती जो धारा 80 सी के अंतर्गत आती है  (Other)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</si>
  <si>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  म्यूच्यूअल फण्ड और अन्य कोई राशि  (जो धारा 80 सी के अंतर्गत छुट प्राप्त हो)</t>
    </r>
  </si>
  <si>
    <t xml:space="preserve">म्यूच्यूअल फण्ड व अन्य राशि जो धारा 80 C के अंतर्गत छुट  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</si>
  <si>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</si>
  <si>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</si>
  <si>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</si>
  <si>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 xml:space="preserve">सितम्बर  2022
तक कुल राशि </t>
  </si>
  <si>
    <t xml:space="preserve">अक्टूम्बर 22 से दिसम्बर 22
तक कुल राशि </t>
  </si>
  <si>
    <t xml:space="preserve">जनवरी 2023
राशि </t>
  </si>
  <si>
    <t xml:space="preserve">फरवरी 2023
राशि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</si>
  <si>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</si>
  <si>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</si>
  <si>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</si>
  <si>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</si>
  <si>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</si>
  <si>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</si>
  <si>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</si>
  <si>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</si>
  <si>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</si>
  <si>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</si>
  <si>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</si>
  <si>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</si>
  <si>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</si>
  <si>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</si>
  <si>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</si>
  <si>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</si>
  <si>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</si>
  <si>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</si>
  <si>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</si>
  <si>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</si>
  <si>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</si>
  <si>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</si>
  <si>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</si>
  <si>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</si>
  <si>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</si>
  <si>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</si>
  <si>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</si>
  <si>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</si>
  <si>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</si>
  <si>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</si>
  <si>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</si>
  <si>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</si>
  <si>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</si>
  <si>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</si>
  <si>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</si>
  <si>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</si>
  <si>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</si>
  <si>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</si>
  <si>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</si>
  <si>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</si>
  <si>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</si>
  <si>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</si>
  <si>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</si>
  <si>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</si>
  <si>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</si>
  <si>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</si>
  <si>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</si>
  <si>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</si>
  <si>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</si>
  <si>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</si>
  <si>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</si>
  <si>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</si>
  <si>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</si>
  <si>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</si>
  <si>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</si>
  <si>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</si>
  <si>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</si>
  <si>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</si>
  <si>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</si>
  <si>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</si>
  <si>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</si>
  <si>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</si>
  <si>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</si>
  <si>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</si>
  <si>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</si>
  <si>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</si>
  <si>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</si>
  <si>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</si>
  <si>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</si>
  <si>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</si>
  <si>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</si>
  <si>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</si>
  <si>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</si>
  <si>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</si>
  <si>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</si>
  <si>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</si>
  <si>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</si>
  <si>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</si>
  <si>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</si>
  <si>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</si>
  <si>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</si>
  <si>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</si>
  <si>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</si>
  <si>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</si>
  <si>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</si>
  <si>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</si>
  <si>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</si>
  <si>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</si>
  <si>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</si>
  <si>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</si>
  <si>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</si>
  <si>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</si>
  <si>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</si>
  <si>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</si>
  <si>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</si>
  <si>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</si>
  <si>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</si>
  <si>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</si>
  <si>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</si>
  <si>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</si>
  <si>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</si>
  <si>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</si>
  <si>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>US 80TTA [Exempt Saving Bank Int. Max. RS. 10,000/-]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</si>
  <si>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</si>
  <si>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</si>
  <si>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</si>
  <si>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</si>
  <si>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</si>
  <si>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</si>
  <si>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</si>
  <si>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</si>
  <si>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</si>
  <si>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</si>
  <si>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</si>
  <si>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</si>
  <si>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</si>
  <si>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2023-24</t>
  </si>
  <si>
    <t>01-4-2022</t>
  </si>
  <si>
    <t>31-03-2023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</si>
  <si>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</si>
  <si>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</si>
  <si>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</si>
  <si>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</si>
  <si>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</si>
  <si>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</si>
  <si>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</si>
  <si>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</si>
  <si>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</si>
  <si>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</si>
  <si>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</si>
  <si>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</si>
  <si>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</si>
  <si>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</si>
  <si>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</si>
  <si>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</si>
  <si>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</si>
  <si>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</si>
  <si>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</si>
  <si>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</si>
  <si>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</si>
  <si>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Equity link saving schame + Defferred Annuty</t>
  </si>
  <si>
    <t>Total Deducation :</t>
  </si>
  <si>
    <t>………………… 3</t>
  </si>
  <si>
    <t>:: 3 ::</t>
  </si>
  <si>
    <t>Rs. -</t>
  </si>
  <si>
    <t>उपरोक्त के अलावा अन्य कटोती 80 C के अंतर्गत  (Other Ded.)</t>
  </si>
  <si>
    <t>SHEET PASSWORD</t>
  </si>
  <si>
    <t>IT#M$2023</t>
  </si>
  <si>
    <t>You Tube Video Link</t>
  </si>
  <si>
    <t>https://youtu.be/V585dbXugiI</t>
  </si>
  <si>
    <t xml:space="preserve">परम पूज्य गुरुदेव वासुदेव जी महाराज </t>
  </si>
  <si>
    <t>Wash All.  :</t>
  </si>
  <si>
    <t>Mess All.</t>
  </si>
  <si>
    <t>Mess All.  :</t>
  </si>
  <si>
    <t>Spl All.   :</t>
  </si>
  <si>
    <t>Other  :</t>
  </si>
  <si>
    <t>H.D.A.</t>
  </si>
  <si>
    <t>Spl All.</t>
  </si>
  <si>
    <t>Other Ded. :</t>
  </si>
  <si>
    <t>Roadwayas Pass :</t>
  </si>
  <si>
    <t>Roadways Pass</t>
  </si>
  <si>
    <t>COMDT. X Bn. RAC BIKANER</t>
  </si>
  <si>
    <t>RJJO200312345678</t>
  </si>
  <si>
    <t>Head Consitable</t>
  </si>
  <si>
    <t xml:space="preserve">कार्यालय का नाम ( DDO OFFICE NAME )  : </t>
  </si>
  <si>
    <t>Posting Place  Name  :</t>
  </si>
  <si>
    <t>PS Kotwali</t>
  </si>
  <si>
    <r>
      <t xml:space="preserve">यदि वितीय वर्ष  </t>
    </r>
    <r>
      <rPr>
        <b/>
        <u/>
        <sz val="11"/>
        <color rgb="FFFF0000"/>
        <rFont val="Calibri"/>
        <family val="2"/>
        <scheme val="minor"/>
      </rPr>
      <t>2022-23</t>
    </r>
    <r>
      <rPr>
        <b/>
        <sz val="10"/>
        <color rgb="FF000099"/>
        <rFont val="Calibri"/>
        <family val="2"/>
        <scheme val="minor"/>
      </rPr>
      <t xml:space="preserve"> में मूल वेतन में परिवर्तन हुआ है तो लिखे :</t>
    </r>
  </si>
  <si>
    <t>MASTER DATA ENTRY</t>
  </si>
  <si>
    <r>
      <t xml:space="preserve">At Present :-  </t>
    </r>
    <r>
      <rPr>
        <b/>
        <sz val="14"/>
        <color rgb="FFCC00FF"/>
        <rFont val="Calibri"/>
        <family val="2"/>
        <scheme val="minor"/>
      </rPr>
      <t>MGGS   BAR (PALI)</t>
    </r>
  </si>
  <si>
    <r>
      <t xml:space="preserve">HEERALAL JAT  </t>
    </r>
    <r>
      <rPr>
        <b/>
        <sz val="14"/>
        <color rgb="FF000066"/>
        <rFont val="Calibri"/>
        <family val="2"/>
        <scheme val="minor"/>
      </rPr>
      <t>(Sr. Teacher &amp; X Consitable Raj. Police)</t>
    </r>
  </si>
  <si>
    <t>Superintendent of Police</t>
  </si>
  <si>
    <t>https://youtu.be/QbMU0NZOuIU</t>
  </si>
</sst>
</file>

<file path=xl/styles.xml><?xml version="1.0" encoding="utf-8"?>
<styleSheet xmlns="http://schemas.openxmlformats.org/spreadsheetml/2006/main">
  <numFmts count="5">
    <numFmt numFmtId="164" formatCode="0\ &quot;%&quot;"/>
    <numFmt numFmtId="165" formatCode="[$-409]mmm/yy;@"/>
    <numFmt numFmtId="166" formatCode="dd/mm/yyyy"/>
    <numFmt numFmtId="167" formatCode="&quot;Rs.&quot;\ #,##0;&quot;Rs.&quot;\ \-#,##0"/>
    <numFmt numFmtId="168" formatCode="_ &quot;Rs.&quot;\ * #,##0.00_ ;_ &quot;Rs.&quot;\ * \-#,##0.00_ ;_ &quot;Rs.&quot;\ * &quot;-&quot;??_ ;_ @_ "/>
  </numFmts>
  <fonts count="1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name val="Kruti Dev 010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4"/>
      <color rgb="FF7030A0"/>
      <name val="Wingdings"/>
      <charset val="2"/>
    </font>
    <font>
      <b/>
      <sz val="16"/>
      <color rgb="FF990033"/>
      <name val="Wingdings"/>
      <charset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DevLys 010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9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0000"/>
      <name val="Calibri"/>
      <family val="2"/>
      <scheme val="minor"/>
    </font>
    <font>
      <b/>
      <u val="double"/>
      <sz val="13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rgb="FF0000FF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Wingdings"/>
      <charset val="2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6"/>
      <color rgb="FFFF0000"/>
      <name val="Calibri"/>
      <family val="2"/>
      <scheme val="minor"/>
    </font>
    <font>
      <sz val="16"/>
      <color rgb="FFFF0000"/>
      <name val="Kruti Dev 010"/>
    </font>
    <font>
      <b/>
      <u/>
      <sz val="11"/>
      <color rgb="FFFF0000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b/>
      <i/>
      <u val="double"/>
      <sz val="14"/>
      <color rgb="FFFF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4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8"/>
      <color indexed="8"/>
      <name val="Rupee Foradian"/>
      <family val="2"/>
    </font>
    <font>
      <i/>
      <sz val="9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rgb="FF00009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6"/>
      <color theme="0" tint="-0.249977111117893"/>
      <name val="Kruti Dev 010"/>
    </font>
    <font>
      <sz val="11"/>
      <color theme="0" tint="-0.249977111117893"/>
      <name val="Kruti Dev 010"/>
    </font>
    <font>
      <b/>
      <sz val="16"/>
      <color theme="1"/>
      <name val="Calibri"/>
      <family val="2"/>
      <scheme val="minor"/>
    </font>
    <font>
      <b/>
      <u/>
      <sz val="14"/>
      <color rgb="FFFFFF00"/>
      <name val="Calibri"/>
      <family val="2"/>
    </font>
    <font>
      <b/>
      <sz val="14"/>
      <color rgb="FFFFFF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u val="double"/>
      <sz val="22"/>
      <color rgb="FF002060"/>
      <name val="Cambria"/>
      <family val="1"/>
      <scheme val="major"/>
    </font>
    <font>
      <b/>
      <sz val="14"/>
      <color rgb="FFCC00FF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400E3C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rgb="FF00B0F0"/>
        </stop>
        <stop position="1">
          <color theme="6" tint="-0.25098422193060094"/>
        </stop>
      </gradientFill>
    </fill>
  </fills>
  <borders count="82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/>
      <bottom style="dashed">
        <color rgb="FFCC0099"/>
      </bottom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 style="dashed">
        <color rgb="FFCC0099"/>
      </left>
      <right style="dashed">
        <color rgb="FFCC0099"/>
      </right>
      <top style="medium">
        <color rgb="FFCC0099"/>
      </top>
      <bottom style="dashed">
        <color rgb="FFCC0099"/>
      </bottom>
      <diagonal/>
    </border>
    <border>
      <left style="dashed">
        <color rgb="FFCC0099"/>
      </left>
      <right style="medium">
        <color rgb="FFCC0099"/>
      </right>
      <top style="medium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/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medium">
        <color rgb="FFCC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</borders>
  <cellStyleXfs count="9">
    <xf numFmtId="0" fontId="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5" fillId="3" borderId="19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582">
    <xf numFmtId="0" fontId="0" fillId="0" borderId="0" xfId="0"/>
    <xf numFmtId="0" fontId="7" fillId="0" borderId="0" xfId="1" applyFont="1" applyBorder="1" applyAlignment="1" applyProtection="1">
      <alignment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right" vertical="center"/>
      <protection hidden="1"/>
    </xf>
    <xf numFmtId="1" fontId="9" fillId="0" borderId="6" xfId="2" applyNumberFormat="1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1" fontId="18" fillId="0" borderId="7" xfId="2" applyNumberFormat="1" applyFont="1" applyBorder="1" applyAlignment="1" applyProtection="1">
      <alignment horizontal="right" vertical="center"/>
      <protection locked="0"/>
    </xf>
    <xf numFmtId="1" fontId="10" fillId="0" borderId="7" xfId="2" applyNumberFormat="1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2" fillId="0" borderId="7" xfId="2" applyFont="1" applyBorder="1" applyAlignment="1" applyProtection="1">
      <alignment vertical="center"/>
      <protection hidden="1"/>
    </xf>
    <xf numFmtId="9" fontId="9" fillId="0" borderId="6" xfId="2" applyNumberFormat="1" applyFont="1" applyBorder="1" applyAlignment="1" applyProtection="1">
      <alignment horizontal="center" vertical="center"/>
      <protection hidden="1"/>
    </xf>
    <xf numFmtId="1" fontId="14" fillId="0" borderId="6" xfId="4" applyNumberFormat="1" applyFont="1" applyBorder="1" applyAlignment="1" applyProtection="1">
      <alignment horizontal="left" vertical="center"/>
      <protection hidden="1"/>
    </xf>
    <xf numFmtId="0" fontId="21" fillId="0" borderId="0" xfId="2" applyFont="1" applyBorder="1" applyAlignment="1" applyProtection="1">
      <alignment horizontal="right" vertical="center"/>
      <protection hidden="1"/>
    </xf>
    <xf numFmtId="0" fontId="20" fillId="0" borderId="0" xfId="2" applyFont="1" applyBorder="1" applyAlignment="1" applyProtection="1">
      <alignment horizontal="right" vertical="center"/>
      <protection hidden="1"/>
    </xf>
    <xf numFmtId="0" fontId="13" fillId="0" borderId="0" xfId="2" applyFont="1" applyBorder="1" applyAlignment="1" applyProtection="1">
      <alignment horizontal="right" vertical="center"/>
      <protection hidden="1"/>
    </xf>
    <xf numFmtId="2" fontId="13" fillId="0" borderId="0" xfId="2" applyNumberFormat="1" applyFont="1" applyBorder="1" applyAlignment="1" applyProtection="1">
      <alignment horizontal="right" vertical="center"/>
      <protection hidden="1"/>
    </xf>
    <xf numFmtId="0" fontId="22" fillId="0" borderId="0" xfId="1" applyFont="1" applyBorder="1" applyAlignment="1" applyProtection="1">
      <protection hidden="1"/>
    </xf>
    <xf numFmtId="0" fontId="2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protection hidden="1"/>
    </xf>
    <xf numFmtId="1" fontId="16" fillId="0" borderId="6" xfId="2" applyNumberFormat="1" applyFont="1" applyBorder="1" applyAlignment="1" applyProtection="1">
      <alignment horizontal="right" vertical="center"/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0" fontId="27" fillId="0" borderId="6" xfId="2" applyFont="1" applyBorder="1" applyAlignment="1" applyProtection="1">
      <alignment horizontal="center"/>
      <protection hidden="1"/>
    </xf>
    <xf numFmtId="1" fontId="27" fillId="0" borderId="6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5" fillId="0" borderId="7" xfId="2" applyNumberFormat="1" applyFont="1" applyBorder="1" applyAlignment="1" applyProtection="1">
      <alignment vertical="center"/>
      <protection hidden="1"/>
    </xf>
    <xf numFmtId="0" fontId="16" fillId="0" borderId="11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Alignment="1" applyProtection="1"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" fontId="26" fillId="0" borderId="6" xfId="2" applyNumberFormat="1" applyFont="1" applyBorder="1" applyAlignment="1" applyProtection="1">
      <alignment horizontal="right"/>
      <protection hidden="1"/>
    </xf>
    <xf numFmtId="1" fontId="26" fillId="2" borderId="6" xfId="2" applyNumberFormat="1" applyFont="1" applyFill="1" applyBorder="1" applyAlignment="1" applyProtection="1">
      <alignment horizontal="right"/>
      <protection hidden="1"/>
    </xf>
    <xf numFmtId="1" fontId="26" fillId="0" borderId="6" xfId="2" applyNumberFormat="1" applyFont="1" applyBorder="1" applyAlignment="1" applyProtection="1">
      <alignment horizontal="right"/>
      <protection locked="0"/>
    </xf>
    <xf numFmtId="1" fontId="0" fillId="0" borderId="0" xfId="0" applyNumberFormat="1"/>
    <xf numFmtId="0" fontId="40" fillId="0" borderId="0" xfId="0" applyFont="1" applyAlignment="1" applyProtection="1">
      <alignment horizontal="right" vertical="center"/>
      <protection hidden="1"/>
    </xf>
    <xf numFmtId="0" fontId="41" fillId="0" borderId="0" xfId="0" applyFont="1" applyBorder="1" applyAlignment="1" applyProtection="1">
      <alignment horizontal="center" vertical="top" wrapText="1"/>
      <protection hidden="1"/>
    </xf>
    <xf numFmtId="1" fontId="17" fillId="0" borderId="6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9" fillId="0" borderId="5" xfId="2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48" fillId="3" borderId="33" xfId="5" applyFont="1" applyBorder="1" applyAlignment="1" applyProtection="1">
      <alignment horizontal="left" vertical="center" indent="1"/>
      <protection locked="0"/>
    </xf>
    <xf numFmtId="0" fontId="46" fillId="3" borderId="33" xfId="5" applyFont="1" applyBorder="1" applyAlignment="1" applyProtection="1">
      <alignment horizontal="left" vertical="center" indent="1"/>
      <protection locked="0"/>
    </xf>
    <xf numFmtId="3" fontId="46" fillId="3" borderId="33" xfId="5" applyNumberFormat="1" applyFont="1" applyBorder="1" applyAlignment="1" applyProtection="1">
      <alignment horizontal="left" vertical="center" indent="1"/>
      <protection locked="0"/>
    </xf>
    <xf numFmtId="0" fontId="28" fillId="3" borderId="34" xfId="5" applyFont="1" applyBorder="1" applyAlignment="1" applyProtection="1">
      <alignment vertical="center"/>
      <protection locked="0"/>
    </xf>
    <xf numFmtId="0" fontId="46" fillId="3" borderId="33" xfId="5" applyNumberFormat="1" applyFont="1" applyBorder="1" applyAlignment="1" applyProtection="1">
      <alignment horizontal="left" vertical="center" indent="1"/>
      <protection locked="0"/>
    </xf>
    <xf numFmtId="0" fontId="46" fillId="3" borderId="39" xfId="5" applyFont="1" applyBorder="1" applyAlignment="1" applyProtection="1">
      <alignment horizontal="left" vertical="center" indent="1"/>
      <protection locked="0"/>
    </xf>
    <xf numFmtId="0" fontId="48" fillId="3" borderId="39" xfId="5" applyNumberFormat="1" applyFont="1" applyBorder="1" applyAlignment="1" applyProtection="1">
      <alignment horizontal="left" vertical="center" indent="1"/>
      <protection locked="0"/>
    </xf>
    <xf numFmtId="0" fontId="46" fillId="3" borderId="39" xfId="5" applyNumberFormat="1" applyFont="1" applyBorder="1" applyAlignment="1" applyProtection="1">
      <alignment horizontal="left" vertical="center" indent="1"/>
      <protection locked="0"/>
    </xf>
    <xf numFmtId="164" fontId="46" fillId="3" borderId="39" xfId="5" applyNumberFormat="1" applyFont="1" applyBorder="1" applyAlignment="1" applyProtection="1">
      <alignment horizontal="left" vertical="center" indent="1"/>
      <protection locked="0"/>
    </xf>
    <xf numFmtId="3" fontId="54" fillId="3" borderId="33" xfId="5" applyNumberFormat="1" applyFont="1" applyBorder="1" applyAlignment="1" applyProtection="1">
      <alignment horizontal="left" vertical="center" indent="1"/>
      <protection locked="0"/>
    </xf>
    <xf numFmtId="0" fontId="33" fillId="9" borderId="44" xfId="0" applyFont="1" applyFill="1" applyBorder="1" applyAlignment="1" applyProtection="1">
      <alignment horizontal="center" vertical="center"/>
      <protection locked="0"/>
    </xf>
    <xf numFmtId="0" fontId="33" fillId="12" borderId="44" xfId="0" applyFont="1" applyFill="1" applyBorder="1" applyAlignment="1" applyProtection="1">
      <alignment horizontal="center" vertical="center"/>
      <protection locked="0"/>
    </xf>
    <xf numFmtId="0" fontId="33" fillId="11" borderId="44" xfId="0" applyFont="1" applyFill="1" applyBorder="1" applyAlignment="1" applyProtection="1">
      <alignment horizontal="center" vertical="center"/>
      <protection hidden="1"/>
    </xf>
    <xf numFmtId="165" fontId="46" fillId="13" borderId="33" xfId="5" applyNumberFormat="1" applyFont="1" applyFill="1" applyBorder="1" applyAlignment="1" applyProtection="1">
      <alignment horizontal="left" vertical="center" indent="1"/>
      <protection locked="0"/>
    </xf>
    <xf numFmtId="165" fontId="46" fillId="13" borderId="41" xfId="5" applyNumberFormat="1" applyFont="1" applyFill="1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7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7" fillId="0" borderId="0" xfId="0" applyFont="1" applyAlignment="1" applyProtection="1">
      <alignment wrapText="1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60" fillId="0" borderId="0" xfId="0" applyNumberFormat="1" applyFont="1" applyBorder="1" applyAlignment="1" applyProtection="1">
      <alignment horizontal="center" vertical="center" wrapText="1"/>
      <protection hidden="1"/>
    </xf>
    <xf numFmtId="0" fontId="60" fillId="0" borderId="0" xfId="0" applyFont="1" applyProtection="1">
      <protection hidden="1"/>
    </xf>
    <xf numFmtId="0" fontId="60" fillId="0" borderId="0" xfId="0" applyFont="1" applyAlignment="1" applyProtection="1">
      <alignment horizontal="center" vertical="center"/>
      <protection hidden="1"/>
    </xf>
    <xf numFmtId="0" fontId="64" fillId="0" borderId="0" xfId="0" applyFont="1" applyProtection="1">
      <protection hidden="1"/>
    </xf>
    <xf numFmtId="0" fontId="65" fillId="0" borderId="54" xfId="0" applyFont="1" applyBorder="1" applyAlignment="1" applyProtection="1">
      <alignment horizontal="center" vertical="center" wrapText="1"/>
      <protection hidden="1"/>
    </xf>
    <xf numFmtId="0" fontId="65" fillId="0" borderId="52" xfId="0" applyFont="1" applyBorder="1" applyAlignment="1" applyProtection="1">
      <alignment horizontal="center" vertical="center" wrapText="1"/>
      <protection hidden="1"/>
    </xf>
    <xf numFmtId="0" fontId="66" fillId="0" borderId="52" xfId="0" applyFont="1" applyBorder="1" applyAlignment="1" applyProtection="1">
      <alignment horizontal="center" vertical="center" wrapText="1"/>
      <protection hidden="1"/>
    </xf>
    <xf numFmtId="0" fontId="65" fillId="0" borderId="5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68" fillId="0" borderId="0" xfId="0" applyFont="1" applyAlignment="1" applyProtection="1">
      <alignment wrapText="1"/>
      <protection hidden="1"/>
    </xf>
    <xf numFmtId="0" fontId="69" fillId="0" borderId="54" xfId="0" applyFont="1" applyBorder="1" applyAlignment="1" applyProtection="1">
      <alignment horizontal="center" vertical="center"/>
      <protection hidden="1"/>
    </xf>
    <xf numFmtId="165" fontId="65" fillId="0" borderId="52" xfId="0" applyNumberFormat="1" applyFont="1" applyBorder="1" applyAlignment="1" applyProtection="1">
      <alignment horizontal="center" vertical="center" wrapText="1"/>
      <protection locked="0"/>
    </xf>
    <xf numFmtId="1" fontId="2" fillId="0" borderId="52" xfId="0" applyNumberFormat="1" applyFont="1" applyBorder="1" applyAlignment="1" applyProtection="1">
      <alignment horizontal="center" vertical="center" wrapText="1"/>
      <protection locked="0"/>
    </xf>
    <xf numFmtId="166" fontId="70" fillId="0" borderId="53" xfId="0" applyNumberFormat="1" applyFont="1" applyBorder="1" applyAlignment="1" applyProtection="1">
      <alignment horizontal="center" vertical="center" wrapText="1"/>
      <protection locked="0"/>
    </xf>
    <xf numFmtId="0" fontId="58" fillId="0" borderId="0" xfId="0" applyFont="1" applyProtection="1">
      <protection hidden="1"/>
    </xf>
    <xf numFmtId="0" fontId="62" fillId="0" borderId="54" xfId="0" applyFont="1" applyBorder="1" applyAlignment="1" applyProtection="1">
      <alignment horizontal="center" vertical="center"/>
      <protection hidden="1"/>
    </xf>
    <xf numFmtId="0" fontId="69" fillId="0" borderId="55" xfId="0" applyFont="1" applyBorder="1" applyAlignment="1" applyProtection="1">
      <alignment horizontal="right" vertical="center"/>
      <protection hidden="1"/>
    </xf>
    <xf numFmtId="1" fontId="69" fillId="0" borderId="55" xfId="0" applyNumberFormat="1" applyFont="1" applyBorder="1" applyAlignment="1" applyProtection="1">
      <alignment horizontal="center" vertical="center"/>
      <protection hidden="1"/>
    </xf>
    <xf numFmtId="166" fontId="70" fillId="0" borderId="53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2" fillId="0" borderId="0" xfId="0" applyFont="1" applyBorder="1" applyAlignment="1" applyProtection="1">
      <alignment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5" fillId="0" borderId="0" xfId="0" applyFont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72" fillId="0" borderId="24" xfId="0" applyFont="1" applyBorder="1" applyAlignment="1" applyProtection="1">
      <alignment vertical="center"/>
      <protection hidden="1"/>
    </xf>
    <xf numFmtId="0" fontId="72" fillId="0" borderId="24" xfId="0" applyFont="1" applyBorder="1" applyAlignment="1" applyProtection="1">
      <alignment vertical="center" wrapText="1"/>
      <protection hidden="1"/>
    </xf>
    <xf numFmtId="0" fontId="72" fillId="0" borderId="24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0" fontId="76" fillId="0" borderId="0" xfId="0" applyFont="1" applyAlignment="1" applyProtection="1">
      <alignment wrapText="1"/>
      <protection hidden="1"/>
    </xf>
    <xf numFmtId="0" fontId="64" fillId="0" borderId="0" xfId="0" applyFont="1" applyAlignment="1" applyProtection="1">
      <alignment wrapText="1"/>
      <protection hidden="1"/>
    </xf>
    <xf numFmtId="0" fontId="64" fillId="0" borderId="0" xfId="0" applyFont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wrapText="1"/>
      <protection hidden="1"/>
    </xf>
    <xf numFmtId="165" fontId="46" fillId="13" borderId="43" xfId="5" applyNumberFormat="1" applyFont="1" applyFill="1" applyBorder="1" applyAlignment="1" applyProtection="1">
      <alignment horizontal="left" vertical="center" indent="1"/>
      <protection locked="0"/>
    </xf>
    <xf numFmtId="0" fontId="33" fillId="0" borderId="27" xfId="0" applyFont="1" applyBorder="1" applyAlignment="1" applyProtection="1">
      <alignment vertical="center"/>
      <protection hidden="1"/>
    </xf>
    <xf numFmtId="1" fontId="69" fillId="0" borderId="52" xfId="0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 wrapText="1"/>
      <protection hidden="1"/>
    </xf>
    <xf numFmtId="1" fontId="79" fillId="0" borderId="18" xfId="2" applyNumberFormat="1" applyFont="1" applyBorder="1" applyAlignment="1" applyProtection="1">
      <alignment horizontal="right" vertical="center"/>
      <protection hidden="1"/>
    </xf>
    <xf numFmtId="1" fontId="9" fillId="0" borderId="56" xfId="2" applyNumberFormat="1" applyFont="1" applyBorder="1" applyAlignment="1" applyProtection="1">
      <alignment horizontal="right" vertical="center"/>
      <protection hidden="1"/>
    </xf>
    <xf numFmtId="0" fontId="88" fillId="0" borderId="57" xfId="0" applyFont="1" applyFill="1" applyBorder="1" applyAlignment="1" applyProtection="1">
      <alignment horizontal="center" vertical="center" wrapText="1"/>
      <protection hidden="1"/>
    </xf>
    <xf numFmtId="167" fontId="88" fillId="19" borderId="57" xfId="0" applyNumberFormat="1" applyFont="1" applyFill="1" applyBorder="1" applyAlignment="1" applyProtection="1">
      <alignment horizontal="center" vertical="center" wrapText="1"/>
      <protection locked="0"/>
    </xf>
    <xf numFmtId="167" fontId="86" fillId="0" borderId="57" xfId="0" applyNumberFormat="1" applyFont="1" applyBorder="1" applyAlignment="1" applyProtection="1">
      <alignment horizontal="center" vertical="center" wrapText="1"/>
      <protection hidden="1"/>
    </xf>
    <xf numFmtId="0" fontId="86" fillId="17" borderId="66" xfId="0" applyFont="1" applyFill="1" applyBorder="1" applyAlignment="1" applyProtection="1">
      <alignment horizontal="center" vertical="center" wrapText="1"/>
      <protection hidden="1"/>
    </xf>
    <xf numFmtId="0" fontId="92" fillId="0" borderId="66" xfId="0" applyFont="1" applyBorder="1" applyAlignment="1" applyProtection="1">
      <alignment horizontal="center" vertical="center" wrapText="1"/>
      <protection hidden="1"/>
    </xf>
    <xf numFmtId="49" fontId="92" fillId="0" borderId="66" xfId="0" applyNumberFormat="1" applyFont="1" applyBorder="1" applyAlignment="1" applyProtection="1">
      <alignment horizontal="center" vertical="center" wrapText="1"/>
      <protection locked="0"/>
    </xf>
    <xf numFmtId="0" fontId="87" fillId="0" borderId="66" xfId="0" applyFont="1" applyBorder="1" applyAlignment="1" applyProtection="1">
      <alignment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center" vertical="center" wrapText="1"/>
      <protection hidden="1"/>
    </xf>
    <xf numFmtId="0" fontId="97" fillId="0" borderId="0" xfId="0" applyFont="1" applyBorder="1" applyAlignment="1" applyProtection="1">
      <alignment horizontal="right" vertical="center" wrapText="1"/>
      <protection hidden="1"/>
    </xf>
    <xf numFmtId="0" fontId="86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8" fontId="92" fillId="0" borderId="67" xfId="0" applyNumberFormat="1" applyFont="1" applyBorder="1" applyAlignment="1" applyProtection="1">
      <alignment horizontal="right" vertical="center" wrapText="1"/>
      <protection hidden="1"/>
    </xf>
    <xf numFmtId="0" fontId="92" fillId="0" borderId="67" xfId="0" applyFont="1" applyBorder="1" applyAlignment="1" applyProtection="1">
      <alignment horizontal="right" vertical="center" wrapText="1"/>
      <protection hidden="1"/>
    </xf>
    <xf numFmtId="168" fontId="92" fillId="0" borderId="67" xfId="0" applyNumberFormat="1" applyFont="1" applyBorder="1" applyAlignment="1" applyProtection="1">
      <alignment horizontal="right" vertical="center" wrapText="1"/>
      <protection locked="0"/>
    </xf>
    <xf numFmtId="168" fontId="89" fillId="21" borderId="71" xfId="0" applyNumberFormat="1" applyFont="1" applyFill="1" applyBorder="1" applyAlignment="1" applyProtection="1">
      <alignment vertical="center" wrapText="1"/>
      <protection hidden="1"/>
    </xf>
    <xf numFmtId="168" fontId="89" fillId="21" borderId="72" xfId="0" applyNumberFormat="1" applyFont="1" applyFill="1" applyBorder="1" applyAlignment="1" applyProtection="1">
      <alignment vertical="center" wrapText="1"/>
      <protection hidden="1"/>
    </xf>
    <xf numFmtId="168" fontId="89" fillId="21" borderId="73" xfId="0" applyNumberFormat="1" applyFont="1" applyFill="1" applyBorder="1" applyAlignment="1" applyProtection="1">
      <alignment vertical="center" wrapText="1"/>
      <protection hidden="1"/>
    </xf>
    <xf numFmtId="168" fontId="89" fillId="21" borderId="74" xfId="0" applyNumberFormat="1" applyFont="1" applyFill="1" applyBorder="1" applyAlignment="1" applyProtection="1">
      <alignment vertical="center" wrapText="1"/>
      <protection hidden="1"/>
    </xf>
    <xf numFmtId="0" fontId="92" fillId="0" borderId="67" xfId="0" applyFont="1" applyBorder="1" applyAlignment="1" applyProtection="1">
      <alignment horizontal="center" vertical="center" wrapText="1"/>
      <protection hidden="1"/>
    </xf>
    <xf numFmtId="0" fontId="89" fillId="0" borderId="67" xfId="0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89" fillId="0" borderId="0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center" wrapText="1"/>
      <protection hidden="1"/>
    </xf>
    <xf numFmtId="1" fontId="91" fillId="0" borderId="0" xfId="0" applyNumberFormat="1" applyFont="1" applyBorder="1" applyAlignment="1" applyProtection="1">
      <alignment horizontal="center" vertical="center" wrapText="1"/>
      <protection hidden="1"/>
    </xf>
    <xf numFmtId="0" fontId="86" fillId="0" borderId="57" xfId="0" applyFont="1" applyFill="1" applyBorder="1" applyAlignment="1" applyProtection="1">
      <alignment horizontal="center" vertical="center" wrapText="1"/>
      <protection hidden="1"/>
    </xf>
    <xf numFmtId="0" fontId="86" fillId="15" borderId="57" xfId="0" applyFont="1" applyFill="1" applyBorder="1" applyAlignment="1" applyProtection="1">
      <alignment horizontal="center" vertical="center" wrapText="1"/>
      <protection locked="0"/>
    </xf>
    <xf numFmtId="0" fontId="63" fillId="0" borderId="57" xfId="0" applyFont="1" applyBorder="1" applyAlignment="1" applyProtection="1">
      <alignment horizontal="center" vertical="center"/>
      <protection hidden="1"/>
    </xf>
    <xf numFmtId="0" fontId="92" fillId="0" borderId="81" xfId="0" applyFont="1" applyBorder="1" applyAlignment="1" applyProtection="1">
      <alignment horizontal="center" vertical="center" wrapText="1"/>
      <protection hidden="1"/>
    </xf>
    <xf numFmtId="0" fontId="87" fillId="0" borderId="81" xfId="0" applyFont="1" applyBorder="1" applyAlignment="1" applyProtection="1">
      <alignment horizontal="center" vertical="center" wrapText="1"/>
      <protection hidden="1"/>
    </xf>
    <xf numFmtId="0" fontId="103" fillId="0" borderId="67" xfId="0" applyFont="1" applyBorder="1" applyAlignment="1" applyProtection="1">
      <alignment horizontal="center" vertical="center" wrapText="1"/>
      <protection hidden="1"/>
    </xf>
    <xf numFmtId="0" fontId="111" fillId="0" borderId="68" xfId="0" applyFont="1" applyBorder="1" applyAlignment="1" applyProtection="1">
      <alignment horizontal="right" vertical="center" wrapText="1"/>
      <protection hidden="1"/>
    </xf>
    <xf numFmtId="168" fontId="86" fillId="0" borderId="73" xfId="0" applyNumberFormat="1" applyFont="1" applyFill="1" applyBorder="1" applyAlignment="1" applyProtection="1">
      <alignment vertical="center" wrapText="1"/>
      <protection hidden="1"/>
    </xf>
    <xf numFmtId="168" fontId="86" fillId="0" borderId="74" xfId="0" applyNumberFormat="1" applyFont="1" applyFill="1" applyBorder="1" applyAlignment="1" applyProtection="1">
      <alignment vertical="center" wrapText="1"/>
      <protection hidden="1"/>
    </xf>
    <xf numFmtId="1" fontId="92" fillId="0" borderId="67" xfId="0" applyNumberFormat="1" applyFont="1" applyBorder="1" applyAlignment="1" applyProtection="1">
      <alignment horizontal="center" vertical="center" wrapText="1"/>
      <protection hidden="1"/>
    </xf>
    <xf numFmtId="168" fontId="86" fillId="0" borderId="75" xfId="0" applyNumberFormat="1" applyFont="1" applyFill="1" applyBorder="1" applyAlignment="1" applyProtection="1">
      <alignment vertical="center" wrapText="1"/>
      <protection hidden="1"/>
    </xf>
    <xf numFmtId="168" fontId="86" fillId="0" borderId="76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" fontId="90" fillId="0" borderId="0" xfId="0" applyNumberFormat="1" applyFont="1" applyBorder="1" applyAlignment="1" applyProtection="1">
      <alignment horizontal="center" vertical="center" wrapText="1"/>
      <protection hidden="1"/>
    </xf>
    <xf numFmtId="0" fontId="115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16" fillId="0" borderId="0" xfId="0" applyFont="1" applyProtection="1">
      <protection hidden="1"/>
    </xf>
    <xf numFmtId="0" fontId="117" fillId="0" borderId="0" xfId="0" applyFont="1" applyAlignment="1" applyProtection="1">
      <alignment wrapText="1"/>
      <protection hidden="1"/>
    </xf>
    <xf numFmtId="0" fontId="116" fillId="0" borderId="0" xfId="0" applyFont="1" applyFill="1" applyProtection="1">
      <protection hidden="1"/>
    </xf>
    <xf numFmtId="0" fontId="116" fillId="0" borderId="0" xfId="0" applyFont="1" applyAlignment="1" applyProtection="1">
      <alignment wrapText="1"/>
      <protection hidden="1"/>
    </xf>
    <xf numFmtId="0" fontId="118" fillId="0" borderId="0" xfId="0" applyFont="1" applyAlignment="1" applyProtection="1">
      <alignment wrapText="1"/>
      <protection hidden="1"/>
    </xf>
    <xf numFmtId="0" fontId="118" fillId="0" borderId="0" xfId="0" applyFont="1" applyProtection="1">
      <protection hidden="1"/>
    </xf>
    <xf numFmtId="0" fontId="119" fillId="0" borderId="0" xfId="0" applyFont="1" applyAlignment="1" applyProtection="1">
      <alignment wrapText="1"/>
      <protection hidden="1"/>
    </xf>
    <xf numFmtId="0" fontId="120" fillId="0" borderId="0" xfId="0" applyFont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/>
      <protection hidden="1"/>
    </xf>
    <xf numFmtId="0" fontId="121" fillId="0" borderId="0" xfId="0" applyFont="1" applyFill="1" applyAlignment="1" applyProtection="1">
      <alignment wrapText="1"/>
      <protection hidden="1"/>
    </xf>
    <xf numFmtId="17" fontId="116" fillId="0" borderId="0" xfId="0" applyNumberFormat="1" applyFont="1" applyProtection="1">
      <protection hidden="1"/>
    </xf>
    <xf numFmtId="17" fontId="116" fillId="0" borderId="0" xfId="0" applyNumberFormat="1" applyFont="1" applyFill="1" applyBorder="1" applyProtection="1">
      <protection hidden="1"/>
    </xf>
    <xf numFmtId="0" fontId="116" fillId="0" borderId="25" xfId="0" applyFont="1" applyFill="1" applyBorder="1" applyProtection="1">
      <protection hidden="1"/>
    </xf>
    <xf numFmtId="0" fontId="116" fillId="0" borderId="26" xfId="0" applyFont="1" applyFill="1" applyBorder="1" applyProtection="1">
      <protection hidden="1"/>
    </xf>
    <xf numFmtId="14" fontId="116" fillId="0" borderId="26" xfId="0" applyNumberFormat="1" applyFont="1" applyFill="1" applyBorder="1" applyProtection="1">
      <protection hidden="1"/>
    </xf>
    <xf numFmtId="0" fontId="116" fillId="0" borderId="27" xfId="0" applyFont="1" applyFill="1" applyBorder="1" applyProtection="1">
      <protection hidden="1"/>
    </xf>
    <xf numFmtId="0" fontId="116" fillId="0" borderId="0" xfId="0" applyFont="1" applyFill="1" applyBorder="1" applyProtection="1">
      <protection hidden="1"/>
    </xf>
    <xf numFmtId="0" fontId="116" fillId="0" borderId="28" xfId="0" applyFont="1" applyFill="1" applyBorder="1" applyProtection="1">
      <protection hidden="1"/>
    </xf>
    <xf numFmtId="1" fontId="116" fillId="0" borderId="0" xfId="0" applyNumberFormat="1" applyFont="1" applyFill="1" applyBorder="1" applyProtection="1">
      <protection hidden="1"/>
    </xf>
    <xf numFmtId="0" fontId="116" fillId="0" borderId="29" xfId="0" applyFont="1" applyFill="1" applyBorder="1" applyProtection="1">
      <protection hidden="1"/>
    </xf>
    <xf numFmtId="165" fontId="116" fillId="0" borderId="0" xfId="0" applyNumberFormat="1" applyFont="1" applyProtection="1">
      <protection hidden="1"/>
    </xf>
    <xf numFmtId="0" fontId="122" fillId="0" borderId="0" xfId="0" applyFont="1" applyFill="1" applyBorder="1" applyProtection="1">
      <protection hidden="1"/>
    </xf>
    <xf numFmtId="0" fontId="116" fillId="12" borderId="0" xfId="0" applyFont="1" applyFill="1" applyProtection="1">
      <protection hidden="1"/>
    </xf>
    <xf numFmtId="0" fontId="116" fillId="0" borderId="0" xfId="0" applyFont="1" applyFill="1" applyBorder="1" applyAlignment="1" applyProtection="1">
      <alignment horizontal="center" vertical="center"/>
      <protection hidden="1"/>
    </xf>
    <xf numFmtId="1" fontId="116" fillId="0" borderId="29" xfId="0" applyNumberFormat="1" applyFont="1" applyFill="1" applyBorder="1" applyProtection="1">
      <protection hidden="1"/>
    </xf>
    <xf numFmtId="14" fontId="116" fillId="0" borderId="0" xfId="0" applyNumberFormat="1" applyFont="1" applyFill="1" applyBorder="1" applyProtection="1">
      <protection hidden="1"/>
    </xf>
    <xf numFmtId="14" fontId="116" fillId="0" borderId="0" xfId="0" applyNumberFormat="1" applyFont="1" applyProtection="1">
      <protection hidden="1"/>
    </xf>
    <xf numFmtId="1" fontId="116" fillId="0" borderId="0" xfId="0" applyNumberFormat="1" applyFont="1" applyProtection="1">
      <protection hidden="1"/>
    </xf>
    <xf numFmtId="165" fontId="116" fillId="0" borderId="0" xfId="0" applyNumberFormat="1" applyFont="1" applyFill="1" applyBorder="1" applyProtection="1">
      <protection hidden="1"/>
    </xf>
    <xf numFmtId="0" fontId="116" fillId="0" borderId="0" xfId="0" applyFont="1" applyBorder="1" applyProtection="1">
      <protection hidden="1"/>
    </xf>
    <xf numFmtId="3" fontId="116" fillId="0" borderId="0" xfId="0" applyNumberFormat="1" applyFont="1" applyFill="1" applyBorder="1" applyProtection="1">
      <protection hidden="1"/>
    </xf>
    <xf numFmtId="0" fontId="123" fillId="0" borderId="0" xfId="0" applyFont="1" applyAlignment="1" applyProtection="1">
      <alignment wrapText="1"/>
      <protection hidden="1"/>
    </xf>
    <xf numFmtId="0" fontId="124" fillId="0" borderId="28" xfId="0" applyFont="1" applyFill="1" applyBorder="1" applyProtection="1">
      <protection hidden="1"/>
    </xf>
    <xf numFmtId="0" fontId="124" fillId="0" borderId="0" xfId="0" applyFont="1" applyFill="1" applyBorder="1" applyProtection="1">
      <protection hidden="1"/>
    </xf>
    <xf numFmtId="0" fontId="124" fillId="0" borderId="29" xfId="0" applyFont="1" applyFill="1" applyBorder="1" applyProtection="1">
      <protection hidden="1"/>
    </xf>
    <xf numFmtId="0" fontId="124" fillId="0" borderId="0" xfId="0" applyFont="1" applyFill="1" applyProtection="1">
      <protection hidden="1"/>
    </xf>
    <xf numFmtId="1" fontId="124" fillId="0" borderId="0" xfId="0" applyNumberFormat="1" applyFont="1" applyProtection="1">
      <protection hidden="1"/>
    </xf>
    <xf numFmtId="14" fontId="124" fillId="0" borderId="0" xfId="0" applyNumberFormat="1" applyFont="1" applyProtection="1">
      <protection hidden="1"/>
    </xf>
    <xf numFmtId="0" fontId="120" fillId="0" borderId="0" xfId="0" applyFont="1" applyAlignment="1" applyProtection="1">
      <protection hidden="1"/>
    </xf>
    <xf numFmtId="1" fontId="117" fillId="0" borderId="0" xfId="0" applyNumberFormat="1" applyFont="1" applyAlignment="1" applyProtection="1">
      <alignment wrapText="1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73" fillId="0" borderId="0" xfId="0" applyFont="1" applyBorder="1" applyAlignment="1" applyProtection="1">
      <alignment horizontal="center" vertical="center"/>
      <protection hidden="1"/>
    </xf>
    <xf numFmtId="0" fontId="60" fillId="0" borderId="24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8" fillId="16" borderId="0" xfId="0" applyFont="1" applyFill="1" applyBorder="1" applyAlignment="1" applyProtection="1">
      <alignment horizontal="right" vertical="center" indent="1"/>
      <protection hidden="1"/>
    </xf>
    <xf numFmtId="0" fontId="28" fillId="24" borderId="0" xfId="0" applyFont="1" applyFill="1" applyBorder="1" applyAlignment="1" applyProtection="1">
      <alignment horizontal="right" vertical="center" indent="1"/>
      <protection locked="0"/>
    </xf>
    <xf numFmtId="0" fontId="33" fillId="0" borderId="0" xfId="0" applyFont="1" applyBorder="1" applyAlignment="1" applyProtection="1">
      <alignment horizontal="left" vertical="center" wrapText="1"/>
      <protection hidden="1"/>
    </xf>
    <xf numFmtId="0" fontId="28" fillId="26" borderId="0" xfId="0" applyFont="1" applyFill="1" applyBorder="1" applyAlignment="1" applyProtection="1">
      <alignment horizontal="right" vertical="center" indent="1"/>
      <protection locked="0"/>
    </xf>
    <xf numFmtId="1" fontId="2" fillId="26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textRotation="90" wrapText="1"/>
      <protection locked="0"/>
    </xf>
    <xf numFmtId="0" fontId="19" fillId="16" borderId="35" xfId="0" applyFont="1" applyFill="1" applyBorder="1" applyAlignment="1" applyProtection="1">
      <alignment horizontal="right" vertical="center" indent="1"/>
      <protection hidden="1"/>
    </xf>
    <xf numFmtId="0" fontId="19" fillId="16" borderId="38" xfId="0" applyFont="1" applyFill="1" applyBorder="1" applyAlignment="1" applyProtection="1">
      <alignment horizontal="right" vertical="center" indent="1"/>
      <protection hidden="1"/>
    </xf>
    <xf numFmtId="0" fontId="46" fillId="16" borderId="38" xfId="0" applyFont="1" applyFill="1" applyBorder="1" applyAlignment="1" applyProtection="1">
      <alignment horizontal="right" vertical="center" indent="1"/>
      <protection hidden="1"/>
    </xf>
    <xf numFmtId="0" fontId="55" fillId="16" borderId="38" xfId="0" applyFont="1" applyFill="1" applyBorder="1" applyAlignment="1" applyProtection="1">
      <alignment horizontal="right" vertical="center" indent="1"/>
      <protection hidden="1"/>
    </xf>
    <xf numFmtId="0" fontId="28" fillId="16" borderId="38" xfId="0" applyFont="1" applyFill="1" applyBorder="1" applyAlignment="1" applyProtection="1">
      <alignment horizontal="right" vertical="center" indent="1"/>
      <protection hidden="1"/>
    </xf>
    <xf numFmtId="0" fontId="46" fillId="16" borderId="40" xfId="0" applyFont="1" applyFill="1" applyBorder="1" applyAlignment="1" applyProtection="1">
      <alignment horizontal="right" vertical="center" indent="1"/>
      <protection hidden="1"/>
    </xf>
    <xf numFmtId="0" fontId="19" fillId="16" borderId="0" xfId="0" applyFont="1" applyFill="1" applyBorder="1" applyAlignment="1" applyProtection="1">
      <alignment horizontal="right" vertical="center" indent="1"/>
      <protection hidden="1"/>
    </xf>
    <xf numFmtId="0" fontId="46" fillId="16" borderId="0" xfId="0" applyFont="1" applyFill="1" applyBorder="1" applyAlignment="1" applyProtection="1">
      <alignment horizontal="right" vertical="center" indent="1"/>
      <protection hidden="1"/>
    </xf>
    <xf numFmtId="0" fontId="129" fillId="16" borderId="42" xfId="0" applyFont="1" applyFill="1" applyBorder="1" applyAlignment="1" applyProtection="1">
      <alignment horizontal="right" vertical="center" indent="1"/>
      <protection hidden="1"/>
    </xf>
    <xf numFmtId="0" fontId="0" fillId="25" borderId="0" xfId="0" applyFill="1" applyProtection="1">
      <protection hidden="1"/>
    </xf>
    <xf numFmtId="0" fontId="33" fillId="25" borderId="0" xfId="0" applyFont="1" applyFill="1" applyAlignment="1" applyProtection="1">
      <alignment horizontal="right" vertical="center"/>
      <protection hidden="1"/>
    </xf>
    <xf numFmtId="0" fontId="44" fillId="25" borderId="0" xfId="0" applyFont="1" applyFill="1" applyAlignment="1" applyProtection="1">
      <alignment horizontal="left" vertical="center"/>
      <protection hidden="1"/>
    </xf>
    <xf numFmtId="0" fontId="125" fillId="25" borderId="0" xfId="0" applyFont="1" applyFill="1" applyAlignment="1" applyProtection="1">
      <alignment horizontal="center" vertical="center"/>
      <protection hidden="1"/>
    </xf>
    <xf numFmtId="0" fontId="0" fillId="25" borderId="0" xfId="0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0" fontId="130" fillId="16" borderId="0" xfId="0" applyFont="1" applyFill="1" applyBorder="1" applyAlignment="1" applyProtection="1">
      <alignment horizontal="right" vertical="center" indent="1"/>
      <protection hidden="1"/>
    </xf>
    <xf numFmtId="0" fontId="0" fillId="23" borderId="0" xfId="0" applyFill="1" applyProtection="1">
      <protection hidden="1"/>
    </xf>
    <xf numFmtId="0" fontId="128" fillId="25" borderId="38" xfId="0" applyFont="1" applyFill="1" applyBorder="1" applyAlignment="1" applyProtection="1">
      <alignment horizontal="center" vertical="center" wrapText="1"/>
      <protection hidden="1"/>
    </xf>
    <xf numFmtId="0" fontId="128" fillId="25" borderId="0" xfId="0" applyFont="1" applyFill="1" applyBorder="1" applyAlignment="1" applyProtection="1">
      <alignment horizontal="center" vertical="center" wrapText="1"/>
      <protection hidden="1"/>
    </xf>
    <xf numFmtId="0" fontId="52" fillId="15" borderId="0" xfId="0" applyFont="1" applyFill="1" applyAlignment="1" applyProtection="1">
      <alignment horizontal="center"/>
      <protection hidden="1"/>
    </xf>
    <xf numFmtId="0" fontId="53" fillId="15" borderId="0" xfId="6" applyFont="1" applyFill="1" applyAlignment="1" applyProtection="1">
      <alignment horizontal="center"/>
      <protection hidden="1"/>
    </xf>
    <xf numFmtId="0" fontId="33" fillId="15" borderId="0" xfId="0" applyFont="1" applyFill="1" applyAlignment="1" applyProtection="1">
      <alignment horizontal="center"/>
      <protection hidden="1"/>
    </xf>
    <xf numFmtId="0" fontId="131" fillId="27" borderId="20" xfId="0" applyFont="1" applyFill="1" applyBorder="1" applyAlignment="1" applyProtection="1">
      <alignment horizontal="center" vertical="center"/>
      <protection hidden="1"/>
    </xf>
    <xf numFmtId="0" fontId="131" fillId="27" borderId="21" xfId="0" applyFont="1" applyFill="1" applyBorder="1" applyAlignment="1" applyProtection="1">
      <alignment horizontal="center" vertical="center"/>
      <protection hidden="1"/>
    </xf>
    <xf numFmtId="0" fontId="131" fillId="27" borderId="22" xfId="0" applyFont="1" applyFill="1" applyBorder="1" applyAlignment="1" applyProtection="1">
      <alignment horizontal="center" vertical="center"/>
      <protection hidden="1"/>
    </xf>
    <xf numFmtId="0" fontId="49" fillId="3" borderId="36" xfId="5" applyFont="1" applyBorder="1" applyAlignment="1" applyProtection="1">
      <alignment horizontal="left" vertical="center" indent="1"/>
      <protection locked="0"/>
    </xf>
    <xf numFmtId="0" fontId="49" fillId="3" borderId="37" xfId="5" applyFont="1" applyBorder="1" applyAlignment="1" applyProtection="1">
      <alignment horizontal="left" vertical="center" indent="1"/>
      <protection locked="0"/>
    </xf>
    <xf numFmtId="0" fontId="50" fillId="15" borderId="0" xfId="0" applyFont="1" applyFill="1" applyAlignment="1" applyProtection="1">
      <alignment horizontal="center"/>
      <protection hidden="1"/>
    </xf>
    <xf numFmtId="0" fontId="51" fillId="15" borderId="0" xfId="0" applyFont="1" applyFill="1" applyAlignment="1" applyProtection="1">
      <alignment horizontal="center"/>
      <protection hidden="1"/>
    </xf>
    <xf numFmtId="0" fontId="134" fillId="15" borderId="0" xfId="0" applyFont="1" applyFill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2" fontId="19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14" fillId="13" borderId="44" xfId="8" applyNumberFormat="1" applyFont="1" applyFill="1" applyBorder="1" applyAlignment="1" applyProtection="1">
      <alignment horizontal="left" vertical="center"/>
      <protection hidden="1"/>
    </xf>
    <xf numFmtId="2" fontId="36" fillId="13" borderId="44" xfId="8" applyNumberFormat="1" applyFont="1" applyFill="1" applyBorder="1" applyAlignment="1" applyProtection="1">
      <alignment horizontal="left" vertical="center"/>
      <protection hidden="1"/>
    </xf>
    <xf numFmtId="2" fontId="19" fillId="14" borderId="45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6" xfId="7" applyNumberFormat="1" applyFont="1" applyFill="1" applyBorder="1" applyAlignment="1" applyProtection="1">
      <alignment horizontal="left" vertical="center" wrapText="1"/>
      <protection hidden="1"/>
    </xf>
    <xf numFmtId="2" fontId="36" fillId="13" borderId="45" xfId="8" applyNumberFormat="1" applyFont="1" applyFill="1" applyBorder="1" applyAlignment="1" applyProtection="1">
      <alignment horizontal="left" vertical="center"/>
      <protection hidden="1"/>
    </xf>
    <xf numFmtId="2" fontId="36" fillId="13" borderId="46" xfId="8" applyNumberFormat="1" applyFont="1" applyFill="1" applyBorder="1" applyAlignment="1" applyProtection="1">
      <alignment horizontal="left" vertical="center"/>
      <protection hidden="1"/>
    </xf>
    <xf numFmtId="2" fontId="34" fillId="13" borderId="44" xfId="8" applyNumberFormat="1" applyFont="1" applyFill="1" applyBorder="1" applyAlignment="1" applyProtection="1">
      <alignment horizontal="left"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2" fontId="1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19" fillId="13" borderId="44" xfId="8" applyNumberFormat="1" applyFont="1" applyFill="1" applyBorder="1" applyAlignment="1" applyProtection="1">
      <alignment horizontal="left" vertical="center"/>
      <protection hidden="1"/>
    </xf>
    <xf numFmtId="2" fontId="36" fillId="14" borderId="44" xfId="8" applyNumberFormat="1" applyFont="1" applyFill="1" applyBorder="1" applyAlignment="1" applyProtection="1">
      <alignment horizontal="left" vertical="center"/>
      <protection hidden="1"/>
    </xf>
    <xf numFmtId="2" fontId="14" fillId="13" borderId="44" xfId="8" applyNumberFormat="1" applyFont="1" applyFill="1" applyBorder="1" applyAlignment="1" applyProtection="1">
      <alignment horizontal="left" vertical="center" wrapText="1"/>
      <protection hidden="1"/>
    </xf>
    <xf numFmtId="0" fontId="126" fillId="4" borderId="0" xfId="6" applyFont="1" applyFill="1" applyAlignment="1" applyProtection="1">
      <alignment horizontal="center" vertical="center"/>
      <protection hidden="1"/>
    </xf>
    <xf numFmtId="0" fontId="127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top"/>
      <protection hidden="1"/>
    </xf>
    <xf numFmtId="0" fontId="32" fillId="5" borderId="0" xfId="0" applyFont="1" applyFill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2" fontId="34" fillId="14" borderId="44" xfId="7" applyNumberFormat="1" applyFont="1" applyFill="1" applyBorder="1" applyAlignment="1" applyProtection="1">
      <alignment horizontal="left" vertical="center" wrapText="1"/>
      <protection hidden="1"/>
    </xf>
    <xf numFmtId="2" fontId="37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67" fillId="0" borderId="0" xfId="6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73" fillId="0" borderId="0" xfId="0" applyFont="1" applyBorder="1" applyAlignment="1" applyProtection="1">
      <alignment horizontal="center" vertical="center"/>
      <protection hidden="1"/>
    </xf>
    <xf numFmtId="0" fontId="74" fillId="0" borderId="0" xfId="0" applyFont="1" applyBorder="1" applyAlignment="1" applyProtection="1">
      <alignment horizontal="center" vertical="center" wrapText="1"/>
      <protection hidden="1"/>
    </xf>
    <xf numFmtId="0" fontId="60" fillId="0" borderId="24" xfId="0" applyFont="1" applyBorder="1" applyAlignment="1" applyProtection="1">
      <alignment horizontal="center" vertical="center"/>
      <protection hidden="1"/>
    </xf>
    <xf numFmtId="0" fontId="60" fillId="0" borderId="24" xfId="0" applyFont="1" applyBorder="1" applyAlignment="1" applyProtection="1">
      <alignment horizontal="center" vertical="center" wrapText="1"/>
      <protection hidden="1"/>
    </xf>
    <xf numFmtId="0" fontId="60" fillId="0" borderId="50" xfId="0" applyFont="1" applyBorder="1" applyAlignment="1" applyProtection="1">
      <alignment horizontal="center" vertical="center"/>
      <protection hidden="1"/>
    </xf>
    <xf numFmtId="0" fontId="60" fillId="0" borderId="51" xfId="0" applyFont="1" applyBorder="1" applyAlignment="1" applyProtection="1">
      <alignment horizontal="center" vertical="center"/>
      <protection hidden="1"/>
    </xf>
    <xf numFmtId="0" fontId="60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 textRotation="90"/>
      <protection hidden="1"/>
    </xf>
    <xf numFmtId="0" fontId="1" fillId="0" borderId="53" xfId="0" applyFont="1" applyBorder="1" applyAlignment="1" applyProtection="1">
      <alignment horizontal="center" vertical="center" textRotation="90"/>
      <protection hidden="1"/>
    </xf>
    <xf numFmtId="0" fontId="29" fillId="0" borderId="0" xfId="0" applyFont="1" applyBorder="1" applyAlignment="1" applyProtection="1">
      <alignment horizontal="left" vertical="center" wrapText="1"/>
      <protection hidden="1"/>
    </xf>
    <xf numFmtId="0" fontId="62" fillId="0" borderId="0" xfId="0" applyFont="1" applyBorder="1" applyAlignment="1" applyProtection="1">
      <alignment horizontal="center" vertical="center" wrapText="1"/>
      <protection hidden="1"/>
    </xf>
    <xf numFmtId="0" fontId="62" fillId="0" borderId="29" xfId="0" applyFont="1" applyBorder="1" applyAlignment="1" applyProtection="1">
      <alignment horizontal="center" vertical="center" wrapText="1"/>
      <protection hidden="1"/>
    </xf>
    <xf numFmtId="0" fontId="59" fillId="0" borderId="26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 wrapText="1"/>
      <protection hidden="1"/>
    </xf>
    <xf numFmtId="1" fontId="29" fillId="0" borderId="48" xfId="0" applyNumberFormat="1" applyFont="1" applyBorder="1" applyAlignment="1" applyProtection="1">
      <alignment horizontal="left" vertical="center" wrapText="1"/>
      <protection hidden="1"/>
    </xf>
    <xf numFmtId="1" fontId="29" fillId="0" borderId="49" xfId="0" applyNumberFormat="1" applyFont="1" applyBorder="1" applyAlignment="1" applyProtection="1">
      <alignment horizontal="left" vertical="center" wrapText="1"/>
      <protection hidden="1"/>
    </xf>
    <xf numFmtId="0" fontId="60" fillId="0" borderId="47" xfId="0" applyFont="1" applyBorder="1" applyAlignment="1" applyProtection="1">
      <alignment horizontal="right" vertical="center" wrapText="1"/>
      <protection hidden="1"/>
    </xf>
    <xf numFmtId="0" fontId="60" fillId="0" borderId="48" xfId="0" applyFont="1" applyBorder="1" applyAlignment="1" applyProtection="1">
      <alignment horizontal="right" vertical="center" wrapText="1"/>
      <protection hidden="1"/>
    </xf>
    <xf numFmtId="0" fontId="33" fillId="0" borderId="48" xfId="0" applyFont="1" applyBorder="1" applyAlignment="1" applyProtection="1">
      <alignment horizontal="left" vertical="center" wrapText="1"/>
      <protection hidden="1"/>
    </xf>
    <xf numFmtId="1" fontId="33" fillId="0" borderId="48" xfId="0" applyNumberFormat="1" applyFont="1" applyBorder="1" applyAlignment="1" applyProtection="1">
      <alignment horizontal="left" vertical="center" wrapText="1"/>
      <protection hidden="1"/>
    </xf>
    <xf numFmtId="0" fontId="60" fillId="0" borderId="48" xfId="0" applyFont="1" applyBorder="1" applyAlignment="1" applyProtection="1">
      <alignment horizontal="center" vertical="center" wrapText="1"/>
      <protection hidden="1"/>
    </xf>
    <xf numFmtId="0" fontId="60" fillId="0" borderId="28" xfId="0" applyFont="1" applyBorder="1" applyAlignment="1" applyProtection="1">
      <alignment horizontal="right" vertical="center" wrapText="1"/>
      <protection hidden="1"/>
    </xf>
    <xf numFmtId="0" fontId="60" fillId="0" borderId="0" xfId="0" applyFont="1" applyBorder="1" applyAlignment="1" applyProtection="1">
      <alignment horizontal="right" vertical="center" wrapText="1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39" fillId="0" borderId="25" xfId="2" applyFont="1" applyBorder="1" applyAlignment="1" applyProtection="1">
      <alignment horizontal="justify" vertical="center" wrapText="1"/>
      <protection hidden="1"/>
    </xf>
    <xf numFmtId="0" fontId="39" fillId="0" borderId="26" xfId="2" applyFont="1" applyBorder="1" applyAlignment="1" applyProtection="1">
      <alignment horizontal="justify" vertical="center" wrapText="1"/>
      <protection hidden="1"/>
    </xf>
    <xf numFmtId="0" fontId="39" fillId="0" borderId="27" xfId="2" applyFont="1" applyBorder="1" applyAlignment="1" applyProtection="1">
      <alignment horizontal="justify" vertical="center" wrapText="1"/>
      <protection hidden="1"/>
    </xf>
    <xf numFmtId="0" fontId="39" fillId="0" borderId="28" xfId="2" applyFont="1" applyBorder="1" applyAlignment="1" applyProtection="1">
      <alignment horizontal="justify" vertical="center" wrapText="1"/>
      <protection hidden="1"/>
    </xf>
    <xf numFmtId="0" fontId="39" fillId="0" borderId="0" xfId="2" applyFont="1" applyBorder="1" applyAlignment="1" applyProtection="1">
      <alignment horizontal="justify" vertical="center" wrapText="1"/>
      <protection hidden="1"/>
    </xf>
    <xf numFmtId="0" fontId="39" fillId="0" borderId="29" xfId="2" applyFont="1" applyBorder="1" applyAlignment="1" applyProtection="1">
      <alignment horizontal="justify" vertical="center" wrapText="1"/>
      <protection hidden="1"/>
    </xf>
    <xf numFmtId="0" fontId="39" fillId="0" borderId="30" xfId="2" applyFont="1" applyBorder="1" applyAlignment="1" applyProtection="1">
      <alignment horizontal="justify" vertical="center" wrapText="1"/>
      <protection hidden="1"/>
    </xf>
    <xf numFmtId="0" fontId="39" fillId="0" borderId="24" xfId="2" applyFont="1" applyBorder="1" applyAlignment="1" applyProtection="1">
      <alignment horizontal="justify" vertical="center" wrapText="1"/>
      <protection hidden="1"/>
    </xf>
    <xf numFmtId="0" fontId="39" fillId="0" borderId="31" xfId="2" applyFont="1" applyBorder="1" applyAlignment="1" applyProtection="1">
      <alignment horizontal="justify" vertical="center" wrapText="1"/>
      <protection hidden="1"/>
    </xf>
    <xf numFmtId="0" fontId="42" fillId="0" borderId="32" xfId="0" applyFont="1" applyBorder="1" applyAlignment="1" applyProtection="1">
      <alignment horizontal="center" vertical="center" wrapText="1"/>
      <protection hidden="1"/>
    </xf>
    <xf numFmtId="0" fontId="42" fillId="0" borderId="23" xfId="0" applyFont="1" applyBorder="1" applyAlignment="1" applyProtection="1">
      <alignment horizontal="center" vertical="center" wrapText="1"/>
      <protection hidden="1"/>
    </xf>
    <xf numFmtId="0" fontId="43" fillId="12" borderId="25" xfId="0" applyFont="1" applyFill="1" applyBorder="1" applyAlignment="1" applyProtection="1">
      <alignment horizontal="center" vertical="center" wrapText="1"/>
      <protection locked="0"/>
    </xf>
    <xf numFmtId="0" fontId="43" fillId="12" borderId="30" xfId="0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 vertical="center"/>
      <protection hidden="1"/>
    </xf>
    <xf numFmtId="0" fontId="10" fillId="0" borderId="3" xfId="3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center" vertical="center"/>
      <protection hidden="1"/>
    </xf>
    <xf numFmtId="0" fontId="17" fillId="0" borderId="4" xfId="2" applyFont="1" applyFill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0" fontId="11" fillId="0" borderId="6" xfId="2" applyFont="1" applyBorder="1" applyAlignment="1" applyProtection="1">
      <alignment horizontal="right" vertical="center"/>
      <protection hidden="1"/>
    </xf>
    <xf numFmtId="0" fontId="9" fillId="0" borderId="8" xfId="2" applyFont="1" applyBorder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horizontal="left" vertical="center"/>
      <protection hidden="1"/>
    </xf>
    <xf numFmtId="0" fontId="9" fillId="0" borderId="1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27" fillId="0" borderId="8" xfId="2" applyFont="1" applyBorder="1" applyAlignment="1" applyProtection="1">
      <alignment horizontal="left" vertical="center"/>
      <protection hidden="1"/>
    </xf>
    <xf numFmtId="0" fontId="27" fillId="0" borderId="9" xfId="2" applyFont="1" applyBorder="1" applyAlignment="1" applyProtection="1">
      <alignment horizontal="left" vertical="center"/>
      <protection hidden="1"/>
    </xf>
    <xf numFmtId="0" fontId="27" fillId="0" borderId="10" xfId="2" applyFont="1" applyBorder="1" applyAlignment="1" applyProtection="1">
      <alignment horizontal="left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0" fontId="10" fillId="0" borderId="10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0" fontId="16" fillId="0" borderId="10" xfId="2" applyFont="1" applyBorder="1" applyAlignment="1" applyProtection="1">
      <alignment horizontal="center" vertical="center"/>
      <protection hidden="1"/>
    </xf>
    <xf numFmtId="0" fontId="9" fillId="0" borderId="8" xfId="2" applyFont="1" applyBorder="1" applyAlignment="1" applyProtection="1">
      <alignment horizontal="right" vertical="center"/>
      <protection hidden="1"/>
    </xf>
    <xf numFmtId="0" fontId="9" fillId="0" borderId="9" xfId="2" applyFont="1" applyBorder="1" applyAlignment="1" applyProtection="1">
      <alignment horizontal="right" vertical="center"/>
      <protection hidden="1"/>
    </xf>
    <xf numFmtId="0" fontId="9" fillId="0" borderId="10" xfId="2" applyFont="1" applyBorder="1" applyAlignment="1" applyProtection="1">
      <alignment horizontal="right" vertical="center"/>
      <protection hidden="1"/>
    </xf>
    <xf numFmtId="0" fontId="27" fillId="0" borderId="6" xfId="2" applyFont="1" applyFill="1" applyBorder="1" applyAlignment="1" applyProtection="1">
      <protection hidden="1"/>
    </xf>
    <xf numFmtId="0" fontId="27" fillId="0" borderId="6" xfId="2" applyFont="1" applyBorder="1" applyAlignment="1" applyProtection="1">
      <alignment horizontal="left"/>
      <protection hidden="1"/>
    </xf>
    <xf numFmtId="0" fontId="9" fillId="0" borderId="11" xfId="2" applyFont="1" applyBorder="1" applyAlignment="1" applyProtection="1">
      <alignment horizontal="center" vertical="top"/>
      <protection hidden="1"/>
    </xf>
    <xf numFmtId="0" fontId="16" fillId="0" borderId="6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center"/>
      <protection hidden="1"/>
    </xf>
    <xf numFmtId="1" fontId="12" fillId="0" borderId="6" xfId="2" applyNumberFormat="1" applyFont="1" applyBorder="1" applyAlignment="1" applyProtection="1">
      <alignment horizontal="center" vertical="center"/>
      <protection hidden="1"/>
    </xf>
    <xf numFmtId="1" fontId="9" fillId="0" borderId="6" xfId="2" applyNumberFormat="1" applyFont="1" applyBorder="1" applyAlignment="1" applyProtection="1">
      <alignment horizontal="center" vertical="center"/>
      <protection hidden="1"/>
    </xf>
    <xf numFmtId="1" fontId="9" fillId="0" borderId="7" xfId="2" applyNumberFormat="1" applyFont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  <protection hidden="1"/>
    </xf>
    <xf numFmtId="0" fontId="16" fillId="0" borderId="13" xfId="2" applyFont="1" applyBorder="1" applyAlignment="1" applyProtection="1">
      <alignment horizontal="center" vertical="center"/>
      <protection hidden="1"/>
    </xf>
    <xf numFmtId="0" fontId="16" fillId="0" borderId="14" xfId="2" applyFont="1" applyBorder="1" applyAlignment="1" applyProtection="1">
      <alignment horizontal="center" vertical="center"/>
      <protection hidden="1"/>
    </xf>
    <xf numFmtId="0" fontId="16" fillId="0" borderId="15" xfId="2" applyFont="1" applyBorder="1" applyAlignment="1" applyProtection="1">
      <alignment horizontal="center" vertical="center"/>
      <protection hidden="1"/>
    </xf>
    <xf numFmtId="0" fontId="16" fillId="0" borderId="9" xfId="2" applyFont="1" applyBorder="1" applyAlignment="1" applyProtection="1">
      <alignment horizontal="center" vertical="center"/>
      <protection hidden="1"/>
    </xf>
    <xf numFmtId="1" fontId="19" fillId="0" borderId="6" xfId="2" applyNumberFormat="1" applyFont="1" applyBorder="1" applyAlignment="1" applyProtection="1">
      <alignment horizontal="center" vertical="center"/>
      <protection hidden="1"/>
    </xf>
    <xf numFmtId="0" fontId="82" fillId="0" borderId="0" xfId="1" applyFont="1" applyAlignment="1" applyProtection="1">
      <alignment horizontal="center" vertical="center" wrapText="1"/>
      <protection hidden="1"/>
    </xf>
    <xf numFmtId="0" fontId="82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80" fillId="0" borderId="0" xfId="1" applyFont="1" applyBorder="1" applyAlignment="1" applyProtection="1">
      <alignment horizontal="center" vertical="center"/>
      <protection hidden="1"/>
    </xf>
    <xf numFmtId="0" fontId="80" fillId="0" borderId="1" xfId="1" applyFont="1" applyBorder="1" applyAlignment="1" applyProtection="1">
      <alignment horizontal="left" vertical="center"/>
      <protection hidden="1"/>
    </xf>
    <xf numFmtId="0" fontId="81" fillId="12" borderId="0" xfId="1" applyFont="1" applyFill="1" applyBorder="1" applyAlignment="1" applyProtection="1">
      <alignment horizontal="center" vertical="center" wrapText="1"/>
      <protection locked="0"/>
    </xf>
    <xf numFmtId="0" fontId="81" fillId="12" borderId="0" xfId="1" applyFont="1" applyFill="1" applyBorder="1" applyAlignment="1" applyProtection="1">
      <alignment horizontal="center" vertical="center"/>
      <protection locked="0"/>
    </xf>
    <xf numFmtId="0" fontId="16" fillId="0" borderId="6" xfId="2" applyFont="1" applyBorder="1" applyAlignment="1" applyProtection="1">
      <alignment horizontal="left"/>
      <protection hidden="1"/>
    </xf>
    <xf numFmtId="1" fontId="11" fillId="0" borderId="6" xfId="2" applyNumberFormat="1" applyFont="1" applyBorder="1" applyAlignment="1" applyProtection="1">
      <alignment horizontal="center" vertical="center"/>
      <protection hidden="1"/>
    </xf>
    <xf numFmtId="1" fontId="13" fillId="0" borderId="6" xfId="2" applyNumberFormat="1" applyFont="1" applyBorder="1" applyAlignment="1" applyProtection="1">
      <alignment horizontal="center" vertical="center"/>
      <protection hidden="1"/>
    </xf>
    <xf numFmtId="1" fontId="13" fillId="0" borderId="7" xfId="2" applyNumberFormat="1" applyFont="1" applyBorder="1" applyAlignment="1" applyProtection="1">
      <alignment horizontal="center" vertical="center"/>
      <protection hidden="1"/>
    </xf>
    <xf numFmtId="1" fontId="11" fillId="0" borderId="6" xfId="2" applyNumberFormat="1" applyFont="1" applyFill="1" applyBorder="1" applyAlignment="1" applyProtection="1">
      <alignment horizontal="center" vertical="center"/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horizontal="left" vertical="center"/>
      <protection hidden="1"/>
    </xf>
    <xf numFmtId="0" fontId="16" fillId="0" borderId="11" xfId="2" applyFont="1" applyBorder="1" applyAlignment="1" applyProtection="1">
      <alignment horizontal="center" vertical="top"/>
      <protection hidden="1"/>
    </xf>
    <xf numFmtId="0" fontId="20" fillId="0" borderId="6" xfId="2" applyFont="1" applyBorder="1" applyAlignment="1" applyProtection="1">
      <alignment horizontal="left" vertical="center"/>
      <protection hidden="1"/>
    </xf>
    <xf numFmtId="0" fontId="20" fillId="0" borderId="7" xfId="2" applyFont="1" applyBorder="1" applyAlignment="1" applyProtection="1">
      <alignment horizontal="left" vertical="center"/>
      <protection hidden="1"/>
    </xf>
    <xf numFmtId="0" fontId="27" fillId="0" borderId="7" xfId="2" applyFont="1" applyBorder="1" applyAlignment="1" applyProtection="1">
      <alignment horizontal="left"/>
      <protection hidden="1"/>
    </xf>
    <xf numFmtId="0" fontId="27" fillId="0" borderId="8" xfId="2" applyFont="1" applyFill="1" applyBorder="1" applyAlignment="1" applyProtection="1">
      <alignment horizontal="left" vertical="center" wrapText="1"/>
      <protection hidden="1"/>
    </xf>
    <xf numFmtId="0" fontId="27" fillId="0" borderId="9" xfId="2" applyFont="1" applyFill="1" applyBorder="1" applyAlignment="1" applyProtection="1">
      <alignment horizontal="left" vertical="center" wrapText="1"/>
      <protection hidden="1"/>
    </xf>
    <xf numFmtId="0" fontId="27" fillId="0" borderId="10" xfId="2" applyFont="1" applyFill="1" applyBorder="1" applyAlignment="1" applyProtection="1">
      <alignment horizontal="left" vertical="center" wrapText="1"/>
      <protection hidden="1"/>
    </xf>
    <xf numFmtId="0" fontId="27" fillId="0" borderId="6" xfId="2" applyFont="1" applyBorder="1" applyAlignment="1" applyProtection="1">
      <alignment horizontal="center"/>
      <protection hidden="1"/>
    </xf>
    <xf numFmtId="0" fontId="27" fillId="0" borderId="7" xfId="2" applyFont="1" applyBorder="1" applyAlignment="1" applyProtection="1">
      <alignment horizontal="center"/>
      <protection hidden="1"/>
    </xf>
    <xf numFmtId="0" fontId="27" fillId="0" borderId="6" xfId="2" applyFont="1" applyFill="1" applyBorder="1" applyAlignment="1" applyProtection="1">
      <alignment horizontal="left"/>
      <protection hidden="1"/>
    </xf>
    <xf numFmtId="0" fontId="27" fillId="0" borderId="6" xfId="2" applyFont="1" applyBorder="1" applyAlignment="1" applyProtection="1">
      <alignment horizontal="left"/>
      <protection locked="0"/>
    </xf>
    <xf numFmtId="0" fontId="25" fillId="0" borderId="8" xfId="2" applyFont="1" applyBorder="1" applyAlignment="1" applyProtection="1">
      <alignment horizontal="right"/>
      <protection hidden="1"/>
    </xf>
    <xf numFmtId="0" fontId="25" fillId="0" borderId="9" xfId="2" applyFont="1" applyBorder="1" applyAlignment="1" applyProtection="1">
      <alignment horizontal="right"/>
      <protection hidden="1"/>
    </xf>
    <xf numFmtId="0" fontId="25" fillId="0" borderId="10" xfId="2" applyFont="1" applyBorder="1" applyAlignment="1" applyProtection="1">
      <alignment horizontal="right"/>
      <protection hidden="1"/>
    </xf>
    <xf numFmtId="0" fontId="38" fillId="0" borderId="6" xfId="2" applyFont="1" applyFill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top" wrapText="1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center" wrapText="1"/>
      <protection hidden="1"/>
    </xf>
    <xf numFmtId="2" fontId="20" fillId="0" borderId="6" xfId="0" applyNumberFormat="1" applyFont="1" applyBorder="1" applyAlignment="1" applyProtection="1">
      <alignment horizontal="left"/>
      <protection hidden="1"/>
    </xf>
    <xf numFmtId="2" fontId="9" fillId="0" borderId="6" xfId="0" applyNumberFormat="1" applyFont="1" applyBorder="1" applyAlignment="1" applyProtection="1">
      <alignment horizontal="left"/>
      <protection hidden="1"/>
    </xf>
    <xf numFmtId="2" fontId="14" fillId="0" borderId="6" xfId="0" applyNumberFormat="1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right" vertical="center"/>
      <protection hidden="1"/>
    </xf>
    <xf numFmtId="0" fontId="12" fillId="0" borderId="17" xfId="2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2" fontId="14" fillId="0" borderId="8" xfId="0" applyNumberFormat="1" applyFont="1" applyBorder="1" applyAlignment="1" applyProtection="1">
      <alignment horizontal="right" vertical="center"/>
      <protection hidden="1"/>
    </xf>
    <xf numFmtId="2" fontId="14" fillId="0" borderId="9" xfId="0" applyNumberFormat="1" applyFont="1" applyBorder="1" applyAlignment="1" applyProtection="1">
      <alignment horizontal="right" vertical="center"/>
      <protection hidden="1"/>
    </xf>
    <xf numFmtId="2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16" fillId="0" borderId="7" xfId="2" applyFont="1" applyBorder="1" applyAlignment="1" applyProtection="1">
      <alignment horizontal="left"/>
      <protection hidden="1"/>
    </xf>
    <xf numFmtId="0" fontId="14" fillId="0" borderId="6" xfId="2" applyFont="1" applyBorder="1" applyAlignment="1" applyProtection="1">
      <alignment horizontal="center" vertical="center"/>
      <protection hidden="1"/>
    </xf>
    <xf numFmtId="0" fontId="25" fillId="0" borderId="6" xfId="2" applyFont="1" applyBorder="1" applyAlignment="1" applyProtection="1">
      <alignment horizontal="center" vertical="center"/>
      <protection hidden="1"/>
    </xf>
    <xf numFmtId="0" fontId="87" fillId="18" borderId="58" xfId="0" applyFont="1" applyFill="1" applyBorder="1" applyAlignment="1" applyProtection="1">
      <alignment horizontal="center" vertical="center" wrapText="1"/>
      <protection hidden="1"/>
    </xf>
    <xf numFmtId="0" fontId="87" fillId="18" borderId="59" xfId="0" applyFont="1" applyFill="1" applyBorder="1" applyAlignment="1" applyProtection="1">
      <alignment horizontal="center" vertical="center" wrapText="1"/>
      <protection hidden="1"/>
    </xf>
    <xf numFmtId="0" fontId="87" fillId="18" borderId="60" xfId="0" applyFont="1" applyFill="1" applyBorder="1" applyAlignment="1" applyProtection="1">
      <alignment horizontal="center" vertical="center" wrapText="1"/>
      <protection hidden="1"/>
    </xf>
    <xf numFmtId="0" fontId="85" fillId="0" borderId="57" xfId="0" applyFont="1" applyBorder="1" applyAlignment="1" applyProtection="1">
      <alignment horizontal="center" vertical="center" wrapText="1"/>
      <protection hidden="1"/>
    </xf>
    <xf numFmtId="0" fontId="87" fillId="18" borderId="61" xfId="0" applyFont="1" applyFill="1" applyBorder="1" applyAlignment="1" applyProtection="1">
      <alignment horizontal="center" vertical="center" wrapText="1"/>
      <protection locked="0"/>
    </xf>
    <xf numFmtId="0" fontId="87" fillId="18" borderId="62" xfId="0" applyFont="1" applyFill="1" applyBorder="1" applyAlignment="1" applyProtection="1">
      <alignment horizontal="center" vertical="center" wrapText="1"/>
      <protection locked="0"/>
    </xf>
    <xf numFmtId="0" fontId="87" fillId="18" borderId="63" xfId="0" applyFont="1" applyFill="1" applyBorder="1" applyAlignment="1" applyProtection="1">
      <alignment horizontal="center" vertical="center" wrapText="1"/>
      <protection locked="0"/>
    </xf>
    <xf numFmtId="0" fontId="88" fillId="0" borderId="57" xfId="0" applyFont="1" applyFill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90" fillId="17" borderId="57" xfId="0" applyFont="1" applyFill="1" applyBorder="1" applyAlignment="1" applyProtection="1">
      <alignment horizontal="center" vertical="center" wrapText="1"/>
      <protection hidden="1"/>
    </xf>
    <xf numFmtId="0" fontId="86" fillId="15" borderId="57" xfId="0" applyFont="1" applyFill="1" applyBorder="1" applyAlignment="1" applyProtection="1">
      <alignment horizontal="center" vertical="center" wrapText="1"/>
      <protection locked="0"/>
    </xf>
    <xf numFmtId="49" fontId="90" fillId="0" borderId="57" xfId="0" applyNumberFormat="1" applyFont="1" applyBorder="1" applyAlignment="1" applyProtection="1">
      <alignment horizontal="center" vertical="center" wrapText="1"/>
      <protection locked="0"/>
    </xf>
    <xf numFmtId="0" fontId="88" fillId="0" borderId="57" xfId="0" applyFont="1" applyBorder="1" applyAlignment="1" applyProtection="1">
      <alignment horizontal="center" vertical="center" wrapText="1"/>
      <protection hidden="1"/>
    </xf>
    <xf numFmtId="0" fontId="86" fillId="0" borderId="57" xfId="0" applyFont="1" applyBorder="1" applyAlignment="1" applyProtection="1">
      <alignment horizontal="center" vertical="center" wrapText="1"/>
      <protection hidden="1"/>
    </xf>
    <xf numFmtId="49" fontId="86" fillId="0" borderId="57" xfId="0" applyNumberFormat="1" applyFont="1" applyBorder="1" applyAlignment="1" applyProtection="1">
      <alignment horizontal="center" vertical="center" wrapText="1"/>
      <protection locked="0"/>
    </xf>
    <xf numFmtId="3" fontId="90" fillId="20" borderId="57" xfId="0" applyNumberFormat="1" applyFont="1" applyFill="1" applyBorder="1" applyAlignment="1" applyProtection="1">
      <alignment horizontal="center" vertical="center" wrapText="1"/>
      <protection locked="0"/>
    </xf>
    <xf numFmtId="0" fontId="90" fillId="20" borderId="57" xfId="0" applyFont="1" applyFill="1" applyBorder="1" applyAlignment="1" applyProtection="1">
      <alignment horizontal="center" vertical="center" wrapText="1"/>
      <protection locked="0"/>
    </xf>
    <xf numFmtId="0" fontId="86" fillId="20" borderId="57" xfId="0" applyFont="1" applyFill="1" applyBorder="1" applyAlignment="1" applyProtection="1">
      <alignment horizontal="center" vertical="center" wrapText="1"/>
      <protection hidden="1"/>
    </xf>
    <xf numFmtId="0" fontId="91" fillId="0" borderId="57" xfId="0" applyFont="1" applyBorder="1" applyAlignment="1" applyProtection="1">
      <alignment horizontal="center" vertical="center" wrapText="1"/>
      <protection hidden="1"/>
    </xf>
    <xf numFmtId="0" fontId="86" fillId="0" borderId="57" xfId="0" applyFont="1" applyFill="1" applyBorder="1" applyAlignment="1" applyProtection="1">
      <alignment horizontal="center" vertical="center" wrapText="1"/>
      <protection hidden="1"/>
    </xf>
    <xf numFmtId="49" fontId="92" fillId="0" borderId="57" xfId="0" applyNumberFormat="1" applyFont="1" applyFill="1" applyBorder="1" applyAlignment="1" applyProtection="1">
      <alignment horizontal="center" vertical="center" wrapText="1"/>
      <protection locked="0"/>
    </xf>
    <xf numFmtId="167" fontId="89" fillId="20" borderId="57" xfId="0" applyNumberFormat="1" applyFont="1" applyFill="1" applyBorder="1" applyAlignment="1" applyProtection="1">
      <alignment horizontal="center" vertical="center" wrapText="1"/>
      <protection locked="0"/>
    </xf>
    <xf numFmtId="167" fontId="88" fillId="0" borderId="57" xfId="0" applyNumberFormat="1" applyFont="1" applyBorder="1" applyAlignment="1" applyProtection="1">
      <alignment horizontal="center" vertical="center" wrapText="1"/>
      <protection hidden="1"/>
    </xf>
    <xf numFmtId="0" fontId="89" fillId="0" borderId="57" xfId="0" applyFont="1" applyFill="1" applyBorder="1" applyAlignment="1" applyProtection="1">
      <alignment horizontal="center" vertical="center" wrapText="1"/>
      <protection hidden="1"/>
    </xf>
    <xf numFmtId="0" fontId="86" fillId="0" borderId="58" xfId="0" applyFont="1" applyFill="1" applyBorder="1" applyAlignment="1" applyProtection="1">
      <alignment horizontal="center" vertical="center" wrapText="1"/>
      <protection hidden="1"/>
    </xf>
    <xf numFmtId="0" fontId="86" fillId="0" borderId="59" xfId="0" applyFont="1" applyFill="1" applyBorder="1" applyAlignment="1" applyProtection="1">
      <alignment horizontal="center" vertical="center" wrapText="1"/>
      <protection hidden="1"/>
    </xf>
    <xf numFmtId="0" fontId="86" fillId="0" borderId="60" xfId="0" applyFont="1" applyFill="1" applyBorder="1" applyAlignment="1" applyProtection="1">
      <alignment horizontal="center" vertical="center" wrapText="1"/>
      <protection hidden="1"/>
    </xf>
    <xf numFmtId="0" fontId="86" fillId="0" borderId="64" xfId="0" applyFont="1" applyFill="1" applyBorder="1" applyAlignment="1" applyProtection="1">
      <alignment horizontal="center" vertical="center" wrapText="1"/>
      <protection hidden="1"/>
    </xf>
    <xf numFmtId="0" fontId="86" fillId="0" borderId="0" xfId="0" applyFont="1" applyFill="1" applyBorder="1" applyAlignment="1" applyProtection="1">
      <alignment horizontal="center" vertical="center" wrapText="1"/>
      <protection hidden="1"/>
    </xf>
    <xf numFmtId="0" fontId="86" fillId="0" borderId="65" xfId="0" applyFont="1" applyFill="1" applyBorder="1" applyAlignment="1" applyProtection="1">
      <alignment horizontal="center" vertical="center" wrapText="1"/>
      <protection hidden="1"/>
    </xf>
    <xf numFmtId="0" fontId="87" fillId="17" borderId="66" xfId="0" applyFont="1" applyFill="1" applyBorder="1" applyAlignment="1" applyProtection="1">
      <alignment horizontal="center" vertical="center" wrapText="1"/>
      <protection hidden="1"/>
    </xf>
    <xf numFmtId="0" fontId="86" fillId="17" borderId="66" xfId="0" applyFont="1" applyFill="1" applyBorder="1" applyAlignment="1" applyProtection="1">
      <alignment horizontal="center" vertical="center" wrapText="1"/>
      <protection hidden="1"/>
    </xf>
    <xf numFmtId="167" fontId="86" fillId="0" borderId="57" xfId="0" applyNumberFormat="1" applyFont="1" applyBorder="1" applyAlignment="1" applyProtection="1">
      <alignment horizontal="center" vertical="center" wrapText="1"/>
      <protection hidden="1"/>
    </xf>
    <xf numFmtId="167" fontId="92" fillId="0" borderId="66" xfId="0" applyNumberFormat="1" applyFont="1" applyBorder="1" applyAlignment="1" applyProtection="1">
      <alignment horizontal="center" vertical="center" wrapText="1"/>
      <protection hidden="1"/>
    </xf>
    <xf numFmtId="49" fontId="92" fillId="0" borderId="66" xfId="0" applyNumberFormat="1" applyFont="1" applyBorder="1" applyAlignment="1" applyProtection="1">
      <alignment horizontal="center" vertical="center" wrapText="1"/>
      <protection locked="0"/>
    </xf>
    <xf numFmtId="0" fontId="92" fillId="0" borderId="66" xfId="0" applyNumberFormat="1" applyFont="1" applyBorder="1" applyAlignment="1" applyProtection="1">
      <alignment horizontal="center" vertical="center" wrapText="1"/>
      <protection hidden="1"/>
    </xf>
    <xf numFmtId="0" fontId="91" fillId="17" borderId="81" xfId="0" applyFont="1" applyFill="1" applyBorder="1" applyAlignment="1" applyProtection="1">
      <alignment horizontal="center" vertical="center" wrapText="1"/>
      <protection hidden="1"/>
    </xf>
    <xf numFmtId="0" fontId="87" fillId="17" borderId="81" xfId="0" applyFont="1" applyFill="1" applyBorder="1" applyAlignment="1" applyProtection="1">
      <alignment horizontal="center" vertical="center" wrapText="1"/>
      <protection hidden="1"/>
    </xf>
    <xf numFmtId="167" fontId="87" fillId="0" borderId="66" xfId="0" applyNumberFormat="1" applyFont="1" applyBorder="1" applyAlignment="1" applyProtection="1">
      <alignment horizontal="center" vertical="center" wrapText="1"/>
      <protection hidden="1"/>
    </xf>
    <xf numFmtId="0" fontId="87" fillId="0" borderId="66" xfId="0" applyFont="1" applyBorder="1" applyAlignment="1" applyProtection="1">
      <alignment horizontal="center" vertical="center" wrapText="1"/>
      <protection hidden="1"/>
    </xf>
    <xf numFmtId="0" fontId="86" fillId="0" borderId="66" xfId="0" applyFont="1" applyFill="1" applyBorder="1" applyAlignment="1" applyProtection="1">
      <alignment horizontal="center" vertical="center" wrapText="1"/>
      <protection hidden="1"/>
    </xf>
    <xf numFmtId="0" fontId="91" fillId="0" borderId="80" xfId="0" applyFont="1" applyFill="1" applyBorder="1" applyAlignment="1" applyProtection="1">
      <alignment horizontal="center" vertical="center" wrapText="1"/>
      <protection hidden="1"/>
    </xf>
    <xf numFmtId="0" fontId="111" fillId="0" borderId="67" xfId="0" applyFont="1" applyBorder="1" applyAlignment="1" applyProtection="1">
      <alignment horizontal="left" vertical="center" wrapText="1"/>
      <protection hidden="1"/>
    </xf>
    <xf numFmtId="168" fontId="89" fillId="0" borderId="67" xfId="0" applyNumberFormat="1" applyFont="1" applyFill="1" applyBorder="1" applyAlignment="1" applyProtection="1">
      <alignment horizontal="right" vertical="center" wrapText="1"/>
      <protection hidden="1"/>
    </xf>
    <xf numFmtId="168" fontId="89" fillId="22" borderId="67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68" xfId="0" applyFont="1" applyBorder="1" applyAlignment="1" applyProtection="1">
      <alignment horizontal="right" vertical="center" wrapText="1"/>
      <protection hidden="1"/>
    </xf>
    <xf numFmtId="0" fontId="111" fillId="0" borderId="69" xfId="0" applyFont="1" applyBorder="1" applyAlignment="1" applyProtection="1">
      <alignment horizontal="right" vertical="center" wrapText="1"/>
      <protection hidden="1"/>
    </xf>
    <xf numFmtId="0" fontId="111" fillId="0" borderId="70" xfId="0" applyFont="1" applyBorder="1" applyAlignment="1" applyProtection="1">
      <alignment horizontal="right" vertical="center" wrapText="1"/>
      <protection hidden="1"/>
    </xf>
    <xf numFmtId="168" fontId="89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101" fillId="0" borderId="67" xfId="0" applyFont="1" applyBorder="1" applyAlignment="1" applyProtection="1">
      <alignment horizontal="left" vertical="center" wrapText="1"/>
      <protection hidden="1"/>
    </xf>
    <xf numFmtId="168" fontId="91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90" fillId="0" borderId="67" xfId="0" applyFont="1" applyBorder="1" applyAlignment="1" applyProtection="1">
      <alignment horizontal="left" vertical="center" wrapText="1"/>
      <protection hidden="1"/>
    </xf>
    <xf numFmtId="0" fontId="102" fillId="0" borderId="67" xfId="0" applyFont="1" applyBorder="1" applyAlignment="1" applyProtection="1">
      <alignment horizontal="center" vertical="center" wrapText="1"/>
      <protection hidden="1"/>
    </xf>
    <xf numFmtId="0" fontId="86" fillId="0" borderId="67" xfId="0" applyFont="1" applyFill="1" applyBorder="1" applyAlignment="1" applyProtection="1">
      <alignment horizontal="center" vertical="center" wrapText="1"/>
      <protection hidden="1"/>
    </xf>
    <xf numFmtId="0" fontId="86" fillId="0" borderId="67" xfId="0" applyFont="1" applyBorder="1" applyAlignment="1" applyProtection="1">
      <alignment horizontal="left" vertical="center" wrapText="1"/>
      <protection hidden="1"/>
    </xf>
    <xf numFmtId="168" fontId="89" fillId="21" borderId="67" xfId="0" applyNumberFormat="1" applyFont="1" applyFill="1" applyBorder="1" applyAlignment="1" applyProtection="1">
      <alignment horizontal="right" vertical="center" wrapText="1"/>
      <protection hidden="1"/>
    </xf>
    <xf numFmtId="0" fontId="103" fillId="0" borderId="68" xfId="0" applyFont="1" applyBorder="1" applyAlignment="1" applyProtection="1">
      <alignment horizontal="center" vertical="center" wrapText="1"/>
      <protection hidden="1"/>
    </xf>
    <xf numFmtId="0" fontId="103" fillId="0" borderId="70" xfId="0" applyFont="1" applyBorder="1" applyAlignment="1" applyProtection="1">
      <alignment horizontal="center" vertical="center" wrapText="1"/>
      <protection hidden="1"/>
    </xf>
    <xf numFmtId="49" fontId="70" fillId="0" borderId="81" xfId="0" applyNumberFormat="1" applyFont="1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hidden="1"/>
    </xf>
    <xf numFmtId="0" fontId="92" fillId="0" borderId="81" xfId="0" applyFont="1" applyBorder="1" applyAlignment="1" applyProtection="1">
      <alignment horizontal="center" vertical="center" wrapText="1"/>
      <protection locked="0"/>
    </xf>
    <xf numFmtId="49" fontId="92" fillId="0" borderId="81" xfId="0" applyNumberFormat="1" applyFont="1" applyBorder="1" applyAlignment="1" applyProtection="1">
      <alignment horizontal="center" vertical="center" wrapText="1"/>
      <protection locked="0"/>
    </xf>
    <xf numFmtId="0" fontId="0" fillId="0" borderId="81" xfId="0" applyBorder="1" applyAlignment="1" applyProtection="1">
      <alignment horizontal="center"/>
      <protection locked="0"/>
    </xf>
    <xf numFmtId="0" fontId="87" fillId="0" borderId="81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left" vertical="center" wrapText="1"/>
      <protection hidden="1"/>
    </xf>
    <xf numFmtId="0" fontId="96" fillId="0" borderId="0" xfId="0" applyFont="1" applyBorder="1" applyAlignment="1" applyProtection="1">
      <alignment horizontal="justify" vertical="center" wrapText="1"/>
      <protection hidden="1"/>
    </xf>
    <xf numFmtId="0" fontId="88" fillId="0" borderId="0" xfId="0" applyFont="1" applyBorder="1" applyAlignment="1" applyProtection="1">
      <alignment horizontal="center" vertical="center" wrapText="1"/>
      <protection hidden="1"/>
    </xf>
    <xf numFmtId="0" fontId="98" fillId="0" borderId="0" xfId="0" applyFont="1" applyBorder="1" applyAlignment="1" applyProtection="1">
      <alignment horizontal="center" vertical="center" wrapText="1"/>
      <protection hidden="1"/>
    </xf>
    <xf numFmtId="14" fontId="86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86" fillId="15" borderId="0" xfId="0" applyFont="1" applyFill="1" applyBorder="1" applyAlignment="1" applyProtection="1">
      <alignment horizontal="center" vertical="center" wrapText="1"/>
      <protection locked="0"/>
    </xf>
    <xf numFmtId="0" fontId="96" fillId="0" borderId="0" xfId="0" applyFont="1" applyFill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86" fillId="0" borderId="0" xfId="0" applyFont="1" applyFill="1" applyBorder="1" applyAlignment="1" applyProtection="1">
      <alignment horizontal="center" vertical="center" wrapText="1"/>
      <protection locked="0"/>
    </xf>
    <xf numFmtId="0" fontId="99" fillId="0" borderId="0" xfId="0" applyFont="1" applyFill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center" vertical="center" wrapText="1"/>
      <protection hidden="1"/>
    </xf>
    <xf numFmtId="0" fontId="91" fillId="0" borderId="0" xfId="0" applyFont="1" applyBorder="1" applyAlignment="1" applyProtection="1">
      <alignment horizontal="center" vertical="center" wrapText="1"/>
      <protection hidden="1"/>
    </xf>
    <xf numFmtId="0" fontId="88" fillId="0" borderId="0" xfId="0" applyFont="1" applyBorder="1" applyAlignment="1" applyProtection="1">
      <alignment horizontal="left" vertical="center" wrapText="1"/>
      <protection hidden="1"/>
    </xf>
    <xf numFmtId="0" fontId="100" fillId="0" borderId="0" xfId="0" applyFont="1" applyBorder="1" applyAlignment="1" applyProtection="1">
      <alignment horizontal="center" vertical="center" wrapText="1"/>
      <protection hidden="1"/>
    </xf>
    <xf numFmtId="168" fontId="91" fillId="21" borderId="67" xfId="0" applyNumberFormat="1" applyFont="1" applyFill="1" applyBorder="1" applyAlignment="1" applyProtection="1">
      <alignment horizontal="right" vertical="center" wrapText="1"/>
      <protection hidden="1"/>
    </xf>
    <xf numFmtId="168" fontId="98" fillId="21" borderId="67" xfId="0" applyNumberFormat="1" applyFont="1" applyFill="1" applyBorder="1" applyAlignment="1" applyProtection="1">
      <alignment horizontal="right" vertical="center" wrapText="1"/>
      <protection hidden="1"/>
    </xf>
    <xf numFmtId="168" fontId="89" fillId="0" borderId="67" xfId="0" applyNumberFormat="1" applyFont="1" applyFill="1" applyBorder="1" applyAlignment="1" applyProtection="1">
      <alignment horizontal="right" vertical="center" wrapText="1"/>
      <protection locked="0"/>
    </xf>
    <xf numFmtId="0" fontId="110" fillId="0" borderId="67" xfId="0" applyFont="1" applyBorder="1" applyAlignment="1" applyProtection="1">
      <alignment horizontal="left" vertical="center" wrapText="1"/>
      <protection hidden="1"/>
    </xf>
    <xf numFmtId="168" fontId="89" fillId="22" borderId="67" xfId="0" applyNumberFormat="1" applyFont="1" applyFill="1" applyBorder="1" applyAlignment="1" applyProtection="1">
      <alignment horizontal="right" vertical="center" wrapText="1"/>
      <protection locked="0"/>
    </xf>
    <xf numFmtId="168" fontId="91" fillId="0" borderId="67" xfId="0" applyNumberFormat="1" applyFont="1" applyFill="1" applyBorder="1" applyAlignment="1" applyProtection="1">
      <alignment horizontal="right" vertical="center" wrapText="1"/>
      <protection hidden="1"/>
    </xf>
    <xf numFmtId="168" fontId="86" fillId="21" borderId="67" xfId="0" applyNumberFormat="1" applyFont="1" applyFill="1" applyBorder="1" applyAlignment="1" applyProtection="1">
      <alignment horizontal="center" vertical="center" wrapText="1"/>
      <protection hidden="1"/>
    </xf>
    <xf numFmtId="0" fontId="88" fillId="0" borderId="67" xfId="0" applyFont="1" applyBorder="1" applyAlignment="1" applyProtection="1">
      <alignment horizontal="right" vertical="center" wrapText="1"/>
      <protection hidden="1"/>
    </xf>
    <xf numFmtId="0" fontId="101" fillId="0" borderId="68" xfId="0" applyFont="1" applyBorder="1" applyAlignment="1" applyProtection="1">
      <alignment horizontal="left" vertical="center" wrapText="1"/>
      <protection hidden="1"/>
    </xf>
    <xf numFmtId="0" fontId="101" fillId="0" borderId="69" xfId="0" applyFont="1" applyBorder="1" applyAlignment="1" applyProtection="1">
      <alignment horizontal="left" vertical="center" wrapText="1"/>
      <protection hidden="1"/>
    </xf>
    <xf numFmtId="0" fontId="101" fillId="0" borderId="70" xfId="0" applyFont="1" applyBorder="1" applyAlignment="1" applyProtection="1">
      <alignment horizontal="left" vertical="center" wrapText="1"/>
      <protection hidden="1"/>
    </xf>
    <xf numFmtId="168" fontId="91" fillId="21" borderId="71" xfId="0" applyNumberFormat="1" applyFont="1" applyFill="1" applyBorder="1" applyAlignment="1" applyProtection="1">
      <alignment horizontal="center" vertical="center" wrapText="1"/>
      <protection hidden="1"/>
    </xf>
    <xf numFmtId="168" fontId="91" fillId="21" borderId="72" xfId="0" applyNumberFormat="1" applyFont="1" applyFill="1" applyBorder="1" applyAlignment="1" applyProtection="1">
      <alignment horizontal="center" vertical="center" wrapText="1"/>
      <protection hidden="1"/>
    </xf>
    <xf numFmtId="168" fontId="91" fillId="21" borderId="73" xfId="0" applyNumberFormat="1" applyFont="1" applyFill="1" applyBorder="1" applyAlignment="1" applyProtection="1">
      <alignment horizontal="center" vertical="center" wrapText="1"/>
      <protection hidden="1"/>
    </xf>
    <xf numFmtId="168" fontId="91" fillId="21" borderId="74" xfId="0" applyNumberFormat="1" applyFont="1" applyFill="1" applyBorder="1" applyAlignment="1" applyProtection="1">
      <alignment horizontal="center" vertical="center" wrapText="1"/>
      <protection hidden="1"/>
    </xf>
    <xf numFmtId="168" fontId="91" fillId="21" borderId="75" xfId="0" applyNumberFormat="1" applyFont="1" applyFill="1" applyBorder="1" applyAlignment="1" applyProtection="1">
      <alignment horizontal="center" vertical="center" wrapText="1"/>
      <protection hidden="1"/>
    </xf>
    <xf numFmtId="168" fontId="91" fillId="21" borderId="76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67" xfId="0" applyNumberFormat="1" applyFont="1" applyFill="1" applyBorder="1" applyAlignment="1" applyProtection="1">
      <alignment horizontal="right" vertical="center" wrapText="1"/>
      <protection hidden="1"/>
    </xf>
    <xf numFmtId="0" fontId="86" fillId="0" borderId="68" xfId="0" applyFont="1" applyBorder="1" applyAlignment="1" applyProtection="1">
      <alignment horizontal="left" vertical="center" wrapText="1"/>
      <protection hidden="1"/>
    </xf>
    <xf numFmtId="0" fontId="86" fillId="0" borderId="69" xfId="0" applyFont="1" applyBorder="1" applyAlignment="1" applyProtection="1">
      <alignment horizontal="left" vertical="center" wrapText="1"/>
      <protection hidden="1"/>
    </xf>
    <xf numFmtId="0" fontId="86" fillId="0" borderId="70" xfId="0" applyFont="1" applyBorder="1" applyAlignment="1" applyProtection="1">
      <alignment horizontal="left" vertical="center" wrapText="1"/>
      <protection hidden="1"/>
    </xf>
    <xf numFmtId="0" fontId="101" fillId="0" borderId="68" xfId="0" applyFont="1" applyFill="1" applyBorder="1" applyAlignment="1" applyProtection="1">
      <alignment horizontal="left" vertical="center" wrapText="1"/>
      <protection hidden="1"/>
    </xf>
    <xf numFmtId="0" fontId="101" fillId="0" borderId="69" xfId="0" applyFont="1" applyFill="1" applyBorder="1" applyAlignment="1" applyProtection="1">
      <alignment horizontal="left" vertical="center" wrapText="1"/>
      <protection hidden="1"/>
    </xf>
    <xf numFmtId="0" fontId="101" fillId="0" borderId="70" xfId="0" applyFont="1" applyFill="1" applyBorder="1" applyAlignment="1" applyProtection="1">
      <alignment horizontal="left" vertical="center" wrapText="1"/>
      <protection hidden="1"/>
    </xf>
    <xf numFmtId="0" fontId="94" fillId="17" borderId="67" xfId="0" applyFont="1" applyFill="1" applyBorder="1" applyAlignment="1" applyProtection="1">
      <alignment horizontal="left" vertical="center" wrapText="1"/>
      <protection hidden="1"/>
    </xf>
    <xf numFmtId="0" fontId="86" fillId="17" borderId="67" xfId="0" applyFont="1" applyFill="1" applyBorder="1" applyAlignment="1" applyProtection="1">
      <alignment horizontal="center" vertical="center" wrapText="1"/>
      <protection hidden="1"/>
    </xf>
    <xf numFmtId="168" fontId="89" fillId="21" borderId="71" xfId="0" applyNumberFormat="1" applyFont="1" applyFill="1" applyBorder="1" applyAlignment="1" applyProtection="1">
      <alignment horizontal="center" vertical="center" wrapText="1"/>
      <protection hidden="1"/>
    </xf>
    <xf numFmtId="168" fontId="89" fillId="21" borderId="72" xfId="0" applyNumberFormat="1" applyFont="1" applyFill="1" applyBorder="1" applyAlignment="1" applyProtection="1">
      <alignment horizontal="center" vertical="center" wrapText="1"/>
      <protection hidden="1"/>
    </xf>
    <xf numFmtId="168" fontId="89" fillId="21" borderId="73" xfId="0" applyNumberFormat="1" applyFont="1" applyFill="1" applyBorder="1" applyAlignment="1" applyProtection="1">
      <alignment horizontal="center" vertical="center" wrapText="1"/>
      <protection hidden="1"/>
    </xf>
    <xf numFmtId="168" fontId="89" fillId="21" borderId="74" xfId="0" applyNumberFormat="1" applyFont="1" applyFill="1" applyBorder="1" applyAlignment="1" applyProtection="1">
      <alignment horizontal="center" vertical="center" wrapText="1"/>
      <protection hidden="1"/>
    </xf>
    <xf numFmtId="168" fontId="89" fillId="21" borderId="75" xfId="0" applyNumberFormat="1" applyFont="1" applyFill="1" applyBorder="1" applyAlignment="1" applyProtection="1">
      <alignment horizontal="center" vertical="center" wrapText="1"/>
      <protection hidden="1"/>
    </xf>
    <xf numFmtId="168" fontId="89" fillId="21" borderId="76" xfId="0" applyNumberFormat="1" applyFont="1" applyFill="1" applyBorder="1" applyAlignment="1" applyProtection="1">
      <alignment horizontal="center" vertical="center" wrapText="1"/>
      <protection hidden="1"/>
    </xf>
    <xf numFmtId="0" fontId="92" fillId="0" borderId="67" xfId="0" applyFont="1" applyBorder="1" applyAlignment="1" applyProtection="1">
      <alignment horizontal="center" vertical="center" wrapText="1"/>
      <protection hidden="1"/>
    </xf>
    <xf numFmtId="0" fontId="94" fillId="17" borderId="67" xfId="0" applyFont="1" applyFill="1" applyBorder="1" applyAlignment="1" applyProtection="1">
      <alignment horizontal="center" vertical="center" wrapText="1"/>
      <protection hidden="1"/>
    </xf>
    <xf numFmtId="168" fontId="86" fillId="0" borderId="71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72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73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74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75" xfId="0" applyNumberFormat="1" applyFont="1" applyFill="1" applyBorder="1" applyAlignment="1" applyProtection="1">
      <alignment horizontal="center" vertical="center" wrapText="1"/>
      <protection hidden="1"/>
    </xf>
    <xf numFmtId="168" fontId="86" fillId="0" borderId="76" xfId="0" applyNumberFormat="1" applyFont="1" applyFill="1" applyBorder="1" applyAlignment="1" applyProtection="1">
      <alignment horizontal="center" vertical="center" wrapText="1"/>
      <protection hidden="1"/>
    </xf>
    <xf numFmtId="0" fontId="101" fillId="0" borderId="67" xfId="0" applyFont="1" applyBorder="1" applyAlignment="1" applyProtection="1">
      <alignment horizontal="center" vertical="center" wrapText="1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168" fontId="92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89" fillId="0" borderId="67" xfId="0" applyFont="1" applyBorder="1" applyAlignment="1" applyProtection="1">
      <alignment horizontal="center" vertical="center" wrapText="1"/>
      <protection hidden="1"/>
    </xf>
    <xf numFmtId="0" fontId="112" fillId="0" borderId="67" xfId="0" applyFont="1" applyBorder="1" applyAlignment="1" applyProtection="1">
      <alignment horizontal="left" vertical="center"/>
      <protection hidden="1"/>
    </xf>
    <xf numFmtId="168" fontId="105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105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105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105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105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105" fillId="9" borderId="76" xfId="0" applyNumberFormat="1" applyFont="1" applyFill="1" applyBorder="1" applyAlignment="1" applyProtection="1">
      <alignment horizontal="center" vertical="center" wrapText="1"/>
      <protection hidden="1"/>
    </xf>
    <xf numFmtId="0" fontId="104" fillId="0" borderId="67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8" fontId="89" fillId="0" borderId="57" xfId="0" applyNumberFormat="1" applyFont="1" applyFill="1" applyBorder="1" applyAlignment="1" applyProtection="1">
      <alignment horizontal="center" vertical="center" wrapText="1"/>
      <protection hidden="1"/>
    </xf>
    <xf numFmtId="168" fontId="91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91" fillId="17" borderId="57" xfId="0" applyFont="1" applyFill="1" applyBorder="1" applyAlignment="1" applyProtection="1">
      <alignment horizontal="center" vertical="center" wrapText="1"/>
      <protection hidden="1"/>
    </xf>
    <xf numFmtId="168" fontId="86" fillId="0" borderId="67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4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5" xfId="0" applyNumberFormat="1" applyFont="1" applyFill="1" applyBorder="1" applyAlignment="1" applyProtection="1">
      <alignment horizontal="center" vertical="center" wrapText="1"/>
      <protection hidden="1"/>
    </xf>
    <xf numFmtId="168" fontId="92" fillId="9" borderId="76" xfId="0" applyNumberFormat="1" applyFont="1" applyFill="1" applyBorder="1" applyAlignment="1" applyProtection="1">
      <alignment horizontal="center" vertical="center" wrapText="1"/>
      <protection hidden="1"/>
    </xf>
    <xf numFmtId="0" fontId="90" fillId="0" borderId="57" xfId="0" applyFont="1" applyBorder="1" applyAlignment="1" applyProtection="1">
      <alignment horizontal="center" vertical="center" wrapText="1"/>
      <protection hidden="1"/>
    </xf>
    <xf numFmtId="168" fontId="98" fillId="21" borderId="57" xfId="0" applyNumberFormat="1" applyFont="1" applyFill="1" applyBorder="1" applyAlignment="1" applyProtection="1">
      <alignment horizontal="center" vertical="center" wrapText="1"/>
      <protection hidden="1"/>
    </xf>
    <xf numFmtId="0" fontId="113" fillId="17" borderId="57" xfId="0" applyFont="1" applyFill="1" applyBorder="1" applyAlignment="1" applyProtection="1">
      <alignment horizontal="left" vertical="center" wrapText="1"/>
      <protection hidden="1"/>
    </xf>
    <xf numFmtId="168" fontId="86" fillId="0" borderId="57" xfId="0" applyNumberFormat="1" applyFont="1" applyFill="1" applyBorder="1" applyAlignment="1" applyProtection="1">
      <alignment horizontal="right" vertical="center" wrapText="1"/>
      <protection hidden="1"/>
    </xf>
    <xf numFmtId="0" fontId="91" fillId="0" borderId="77" xfId="0" applyFont="1" applyBorder="1" applyAlignment="1" applyProtection="1">
      <alignment horizontal="left" vertical="center" wrapText="1"/>
      <protection hidden="1"/>
    </xf>
    <xf numFmtId="0" fontId="91" fillId="0" borderId="79" xfId="0" applyFont="1" applyBorder="1" applyAlignment="1" applyProtection="1">
      <alignment horizontal="left" vertical="center" wrapText="1"/>
      <protection hidden="1"/>
    </xf>
    <xf numFmtId="0" fontId="91" fillId="0" borderId="78" xfId="0" applyFont="1" applyBorder="1" applyAlignment="1" applyProtection="1">
      <alignment horizontal="left" vertical="center" wrapText="1"/>
      <protection hidden="1"/>
    </xf>
    <xf numFmtId="0" fontId="86" fillId="0" borderId="77" xfId="0" applyFont="1" applyBorder="1" applyAlignment="1" applyProtection="1">
      <alignment horizontal="left" vertical="center" wrapText="1"/>
      <protection hidden="1"/>
    </xf>
    <xf numFmtId="0" fontId="0" fillId="0" borderId="79" xfId="0" applyBorder="1"/>
    <xf numFmtId="0" fontId="88" fillId="0" borderId="79" xfId="0" applyFont="1" applyBorder="1" applyAlignment="1" applyProtection="1">
      <alignment horizontal="left" vertical="center" wrapText="1"/>
      <protection hidden="1"/>
    </xf>
    <xf numFmtId="0" fontId="88" fillId="0" borderId="78" xfId="0" applyFont="1" applyBorder="1" applyAlignment="1" applyProtection="1">
      <alignment horizontal="left" vertical="center" wrapText="1"/>
      <protection hidden="1"/>
    </xf>
    <xf numFmtId="0" fontId="86" fillId="0" borderId="79" xfId="0" applyFont="1" applyBorder="1" applyAlignment="1" applyProtection="1">
      <alignment horizontal="left" vertical="center" wrapText="1"/>
      <protection hidden="1"/>
    </xf>
    <xf numFmtId="0" fontId="86" fillId="0" borderId="78" xfId="0" applyFont="1" applyBorder="1" applyAlignment="1" applyProtection="1">
      <alignment horizontal="left" vertical="center" wrapText="1"/>
      <protection hidden="1"/>
    </xf>
    <xf numFmtId="0" fontId="86" fillId="0" borderId="64" xfId="0" applyFont="1" applyBorder="1" applyAlignment="1" applyProtection="1">
      <alignment horizontal="left" vertical="center" wrapText="1"/>
      <protection hidden="1"/>
    </xf>
    <xf numFmtId="0" fontId="86" fillId="0" borderId="0" xfId="0" applyFont="1" applyBorder="1" applyAlignment="1" applyProtection="1">
      <alignment horizontal="left" vertical="center" wrapText="1"/>
      <protection hidden="1"/>
    </xf>
    <xf numFmtId="0" fontId="86" fillId="0" borderId="59" xfId="0" applyFont="1" applyBorder="1" applyAlignment="1" applyProtection="1">
      <alignment horizontal="left" vertical="center" wrapText="1"/>
      <protection hidden="1"/>
    </xf>
    <xf numFmtId="0" fontId="86" fillId="9" borderId="77" xfId="0" applyFont="1" applyFill="1" applyBorder="1" applyAlignment="1" applyProtection="1">
      <alignment horizontal="left" vertical="center" wrapText="1"/>
      <protection hidden="1"/>
    </xf>
    <xf numFmtId="0" fontId="86" fillId="9" borderId="79" xfId="0" applyFont="1" applyFill="1" applyBorder="1" applyAlignment="1" applyProtection="1">
      <alignment horizontal="left" vertical="center" wrapText="1"/>
      <protection hidden="1"/>
    </xf>
    <xf numFmtId="0" fontId="86" fillId="9" borderId="78" xfId="0" applyFont="1" applyFill="1" applyBorder="1" applyAlignment="1" applyProtection="1">
      <alignment horizontal="left" vertical="center" wrapText="1"/>
      <protection hidden="1"/>
    </xf>
    <xf numFmtId="168" fontId="91" fillId="0" borderId="77" xfId="0" applyNumberFormat="1" applyFont="1" applyFill="1" applyBorder="1" applyAlignment="1" applyProtection="1">
      <alignment horizontal="left" vertical="center" wrapText="1"/>
      <protection hidden="1"/>
    </xf>
    <xf numFmtId="168" fontId="91" fillId="0" borderId="78" xfId="0" applyNumberFormat="1" applyFont="1" applyFill="1" applyBorder="1" applyAlignment="1" applyProtection="1">
      <alignment horizontal="left" vertical="center" wrapText="1"/>
      <protection hidden="1"/>
    </xf>
    <xf numFmtId="0" fontId="106" fillId="0" borderId="59" xfId="0" applyFont="1" applyBorder="1" applyAlignment="1" applyProtection="1">
      <alignment horizontal="center" vertical="center" wrapText="1"/>
      <protection hidden="1"/>
    </xf>
    <xf numFmtId="0" fontId="91" fillId="0" borderId="0" xfId="0" applyFont="1" applyFill="1" applyBorder="1" applyAlignment="1" applyProtection="1">
      <alignment horizontal="left" vertical="center" wrapText="1"/>
      <protection hidden="1"/>
    </xf>
    <xf numFmtId="0" fontId="96" fillId="0" borderId="0" xfId="0" applyFont="1" applyFill="1" applyBorder="1" applyAlignment="1" applyProtection="1">
      <alignment horizontal="center" wrapText="1"/>
      <protection hidden="1"/>
    </xf>
    <xf numFmtId="0" fontId="96" fillId="0" borderId="0" xfId="0" applyFont="1" applyBorder="1" applyAlignment="1" applyProtection="1">
      <alignment horizontal="center" wrapText="1"/>
      <protection hidden="1"/>
    </xf>
    <xf numFmtId="0" fontId="96" fillId="0" borderId="0" xfId="0" applyFont="1" applyFill="1" applyBorder="1" applyAlignment="1" applyProtection="1">
      <alignment horizontal="center" vertical="center" wrapText="1"/>
      <protection hidden="1"/>
    </xf>
    <xf numFmtId="0" fontId="86" fillId="0" borderId="57" xfId="0" applyFont="1" applyBorder="1" applyAlignment="1" applyProtection="1">
      <alignment horizontal="left" vertical="center" wrapText="1"/>
      <protection hidden="1"/>
    </xf>
    <xf numFmtId="0" fontId="91" fillId="0" borderId="57" xfId="0" applyFont="1" applyFill="1" applyBorder="1" applyAlignment="1" applyProtection="1">
      <alignment horizontal="center" vertical="center" wrapText="1"/>
      <protection hidden="1"/>
    </xf>
    <xf numFmtId="0" fontId="114" fillId="0" borderId="77" xfId="2" applyFont="1" applyBorder="1" applyAlignment="1" applyProtection="1">
      <alignment horizontal="right" vertical="center"/>
      <protection hidden="1"/>
    </xf>
    <xf numFmtId="0" fontId="114" fillId="0" borderId="79" xfId="2" applyFont="1" applyBorder="1" applyAlignment="1" applyProtection="1">
      <alignment horizontal="right" vertical="center"/>
      <protection hidden="1"/>
    </xf>
    <xf numFmtId="0" fontId="114" fillId="0" borderId="78" xfId="2" applyFont="1" applyBorder="1" applyAlignment="1" applyProtection="1">
      <alignment horizontal="right" vertical="center"/>
      <protection hidden="1"/>
    </xf>
    <xf numFmtId="168" fontId="86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right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86" fillId="9" borderId="0" xfId="0" applyFont="1" applyFill="1" applyBorder="1" applyAlignment="1" applyProtection="1">
      <alignment horizontal="center" vertical="center" wrapText="1"/>
      <protection locked="0"/>
    </xf>
    <xf numFmtId="0" fontId="53" fillId="25" borderId="0" xfId="6" applyFont="1" applyFill="1" applyAlignment="1" applyProtection="1">
      <alignment horizontal="center" vertical="center"/>
      <protection hidden="1"/>
    </xf>
  </cellXfs>
  <cellStyles count="9">
    <cellStyle name="Hyperlink" xfId="6" builtinId="8"/>
    <cellStyle name="Normal" xfId="0" builtinId="0"/>
    <cellStyle name="Normal 2" xfId="2"/>
    <cellStyle name="Normal 2 3" xfId="1"/>
    <cellStyle name="Normal 3" xfId="4"/>
    <cellStyle name="Normal 5" xfId="7"/>
    <cellStyle name="Normal 6" xfId="8"/>
    <cellStyle name="Normal_pay 2008-09" xfId="3"/>
    <cellStyle name="Note" xfId="5" builtinId="10"/>
  </cellStyles>
  <dxfs count="11"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0099"/>
      </font>
    </dxf>
    <dxf>
      <font>
        <b/>
        <i val="0"/>
        <color rgb="FFFF000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0066"/>
      <color rgb="FFCC00FF"/>
      <color rgb="FF0000FF"/>
      <color rgb="FFCC0099"/>
      <color rgb="FF000099"/>
      <color rgb="FF99FF33"/>
      <color rgb="FFCC99FF"/>
      <color rgb="FF99FF66"/>
      <color rgb="FFFFFF99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666752</xdr:colOff>
      <xdr:row>1</xdr:row>
      <xdr:rowOff>390525</xdr:rowOff>
    </xdr:from>
    <xdr:to>
      <xdr:col>5</xdr:col>
      <xdr:colOff>1609726</xdr:colOff>
      <xdr:row>2</xdr:row>
      <xdr:rowOff>342900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4135102" y="590550"/>
          <a:ext cx="942974" cy="5715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542924</xdr:colOff>
      <xdr:row>4</xdr:row>
      <xdr:rowOff>200024</xdr:rowOff>
    </xdr:from>
    <xdr:to>
      <xdr:col>6</xdr:col>
      <xdr:colOff>66674</xdr:colOff>
      <xdr:row>9</xdr:row>
      <xdr:rowOff>142874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1274" y="180022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21</xdr:row>
      <xdr:rowOff>238125</xdr:rowOff>
    </xdr:from>
    <xdr:to>
      <xdr:col>2</xdr:col>
      <xdr:colOff>2771775</xdr:colOff>
      <xdr:row>27</xdr:row>
      <xdr:rowOff>172472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86475" y="161924"/>
          <a:ext cx="2324100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4505325</xdr:colOff>
      <xdr:row>0</xdr:row>
      <xdr:rowOff>0</xdr:rowOff>
    </xdr:from>
    <xdr:to>
      <xdr:col>8</xdr:col>
      <xdr:colOff>733425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2106275" y="0"/>
          <a:ext cx="223837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</xdr:row>
      <xdr:rowOff>0</xdr:rowOff>
    </xdr:from>
    <xdr:to>
      <xdr:col>35</xdr:col>
      <xdr:colOff>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6325850" y="361950"/>
          <a:ext cx="2419350" cy="5905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674688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373186"/>
          <a:ext cx="1585912" cy="854076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me%20Tax/Income%20Tax%202021-22/Income%20Tax%20F.Y.%202021-22%20Mobile%20Version%20Update%20on%2008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>
        <row r="6">
          <cell r="D6" t="str">
            <v>Heeralal jat</v>
          </cell>
        </row>
        <row r="28">
          <cell r="I28" t="str">
            <v>Regular Pay</v>
          </cell>
        </row>
        <row r="36">
          <cell r="E36">
            <v>50800</v>
          </cell>
        </row>
      </sheetData>
      <sheetData sheetId="1" refreshError="1"/>
      <sheetData sheetId="2">
        <row r="6">
          <cell r="X6">
            <v>0</v>
          </cell>
        </row>
      </sheetData>
      <sheetData sheetId="3">
        <row r="4">
          <cell r="O4">
            <v>846534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QbMU0NZOuIU" TargetMode="External"/><Relationship Id="rId1" Type="http://schemas.openxmlformats.org/officeDocument/2006/relationships/hyperlink" Target="mailto:heeralaljatchandawal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outu.be/QbMU0NZOuI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V585dbXugi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showGridLines="0" showRowColHeaders="0" tabSelected="1" workbookViewId="0">
      <selection activeCell="C10" sqref="C10"/>
    </sheetView>
  </sheetViews>
  <sheetFormatPr defaultColWidth="0" defaultRowHeight="15" zeroHeight="1"/>
  <cols>
    <col min="1" max="1" width="5.875" style="225" customWidth="1"/>
    <col min="2" max="2" width="50.75" style="225" customWidth="1"/>
    <col min="3" max="3" width="42" style="225" customWidth="1"/>
    <col min="4" max="4" width="50" style="225" customWidth="1"/>
    <col min="5" max="5" width="28.125" style="225" customWidth="1"/>
    <col min="6" max="6" width="26.375" style="225" customWidth="1"/>
    <col min="7" max="7" width="5.875" style="225" customWidth="1"/>
    <col min="8" max="16384" width="9" style="225" hidden="1"/>
  </cols>
  <sheetData>
    <row r="1" spans="1:19" ht="21" customHeight="1" thickBot="1">
      <c r="A1" s="228"/>
      <c r="B1" s="220"/>
      <c r="C1" s="220"/>
      <c r="D1" s="220"/>
      <c r="E1" s="220"/>
      <c r="F1" s="220"/>
      <c r="G1" s="228"/>
    </row>
    <row r="2" spans="1:19" ht="48.75" customHeight="1" thickBot="1">
      <c r="A2" s="220"/>
      <c r="B2" s="234" t="s">
        <v>485</v>
      </c>
      <c r="C2" s="235"/>
      <c r="D2" s="235"/>
      <c r="E2" s="236"/>
      <c r="F2" s="220"/>
      <c r="G2" s="220"/>
      <c r="R2" s="225" t="s">
        <v>146</v>
      </c>
      <c r="S2" s="226" t="s">
        <v>169</v>
      </c>
    </row>
    <row r="3" spans="1:19" ht="30.95" customHeight="1">
      <c r="A3" s="220"/>
      <c r="B3" s="211" t="s">
        <v>481</v>
      </c>
      <c r="C3" s="237" t="s">
        <v>478</v>
      </c>
      <c r="D3" s="237"/>
      <c r="E3" s="238"/>
      <c r="F3" s="220"/>
      <c r="G3" s="220"/>
      <c r="R3" s="225" t="s">
        <v>147</v>
      </c>
      <c r="S3" s="226" t="s">
        <v>170</v>
      </c>
    </row>
    <row r="4" spans="1:19" ht="30.95" customHeight="1">
      <c r="A4" s="220"/>
      <c r="B4" s="212" t="s">
        <v>196</v>
      </c>
      <c r="C4" s="55" t="s">
        <v>103</v>
      </c>
      <c r="D4" s="205" t="s">
        <v>194</v>
      </c>
      <c r="E4" s="57" t="s">
        <v>480</v>
      </c>
      <c r="F4" s="220"/>
      <c r="G4" s="220"/>
      <c r="R4" s="225" t="s">
        <v>148</v>
      </c>
      <c r="S4" s="226" t="s">
        <v>171</v>
      </c>
    </row>
    <row r="5" spans="1:19" ht="30.95" customHeight="1">
      <c r="A5" s="220"/>
      <c r="B5" s="213" t="s">
        <v>231</v>
      </c>
      <c r="C5" s="52" t="s">
        <v>232</v>
      </c>
      <c r="D5" s="205" t="s">
        <v>195</v>
      </c>
      <c r="E5" s="57" t="s">
        <v>479</v>
      </c>
      <c r="F5" s="220"/>
      <c r="G5" s="220"/>
      <c r="R5" s="225" t="s">
        <v>149</v>
      </c>
      <c r="S5" s="226" t="s">
        <v>172</v>
      </c>
    </row>
    <row r="6" spans="1:19" ht="30.95" customHeight="1">
      <c r="A6" s="220"/>
      <c r="B6" s="213" t="s">
        <v>482</v>
      </c>
      <c r="C6" s="52" t="s">
        <v>483</v>
      </c>
      <c r="D6" s="205" t="s">
        <v>197</v>
      </c>
      <c r="E6" s="57" t="s">
        <v>198</v>
      </c>
      <c r="F6" s="220"/>
      <c r="G6" s="220"/>
      <c r="R6" s="225" t="s">
        <v>150</v>
      </c>
      <c r="S6" s="226" t="s">
        <v>173</v>
      </c>
    </row>
    <row r="7" spans="1:19" ht="30.95" customHeight="1">
      <c r="A7" s="220"/>
      <c r="B7" s="213" t="s">
        <v>203</v>
      </c>
      <c r="C7" s="53" t="s">
        <v>200</v>
      </c>
      <c r="D7" s="217" t="s">
        <v>102</v>
      </c>
      <c r="E7" s="58" t="s">
        <v>98</v>
      </c>
      <c r="F7" s="220"/>
      <c r="G7" s="220"/>
      <c r="R7" s="225" t="s">
        <v>151</v>
      </c>
      <c r="S7" s="226" t="s">
        <v>174</v>
      </c>
    </row>
    <row r="8" spans="1:19" ht="30.95" customHeight="1">
      <c r="A8" s="220"/>
      <c r="B8" s="213" t="s">
        <v>99</v>
      </c>
      <c r="C8" s="53" t="s">
        <v>100</v>
      </c>
      <c r="D8" s="218" t="s">
        <v>199</v>
      </c>
      <c r="E8" s="59" t="s">
        <v>216</v>
      </c>
      <c r="F8" s="220"/>
      <c r="G8" s="220"/>
      <c r="R8" s="225" t="s">
        <v>152</v>
      </c>
      <c r="S8" s="226" t="s">
        <v>175</v>
      </c>
    </row>
    <row r="9" spans="1:19" ht="30.95" customHeight="1">
      <c r="A9" s="220"/>
      <c r="B9" s="213" t="s">
        <v>292</v>
      </c>
      <c r="C9" s="53" t="s">
        <v>293</v>
      </c>
      <c r="D9" s="218" t="s">
        <v>294</v>
      </c>
      <c r="E9" s="57" t="s">
        <v>295</v>
      </c>
      <c r="F9" s="220"/>
      <c r="G9" s="220"/>
      <c r="R9" s="225" t="s">
        <v>153</v>
      </c>
      <c r="S9" s="226"/>
    </row>
    <row r="10" spans="1:19" ht="30.95" customHeight="1">
      <c r="A10" s="220"/>
      <c r="B10" s="213" t="s">
        <v>202</v>
      </c>
      <c r="C10" s="54">
        <v>5000</v>
      </c>
      <c r="D10" s="217" t="s">
        <v>201</v>
      </c>
      <c r="E10" s="59">
        <v>5000</v>
      </c>
      <c r="F10" s="229" t="s">
        <v>467</v>
      </c>
      <c r="G10" s="230"/>
      <c r="R10" s="225" t="s">
        <v>154</v>
      </c>
      <c r="S10" s="226" t="s">
        <v>176</v>
      </c>
    </row>
    <row r="11" spans="1:19" ht="30.95" customHeight="1">
      <c r="A11" s="220"/>
      <c r="B11" s="214" t="s">
        <v>228</v>
      </c>
      <c r="C11" s="61">
        <v>38600</v>
      </c>
      <c r="D11" s="205" t="s">
        <v>101</v>
      </c>
      <c r="E11" s="60">
        <v>18</v>
      </c>
      <c r="F11" s="229"/>
      <c r="G11" s="230"/>
      <c r="R11" s="225" t="s">
        <v>155</v>
      </c>
      <c r="S11" s="226" t="s">
        <v>177</v>
      </c>
    </row>
    <row r="12" spans="1:19" ht="30.95" customHeight="1">
      <c r="A12" s="220"/>
      <c r="B12" s="212" t="s">
        <v>222</v>
      </c>
      <c r="C12" s="53" t="s">
        <v>224</v>
      </c>
      <c r="D12" s="205" t="s">
        <v>226</v>
      </c>
      <c r="E12" s="57" t="s">
        <v>223</v>
      </c>
      <c r="F12" s="220"/>
      <c r="G12" s="220"/>
      <c r="R12" s="225" t="s">
        <v>156</v>
      </c>
      <c r="S12" s="226" t="s">
        <v>178</v>
      </c>
    </row>
    <row r="13" spans="1:19" ht="30.95" customHeight="1">
      <c r="A13" s="220"/>
      <c r="B13" s="212" t="s">
        <v>217</v>
      </c>
      <c r="C13" s="56"/>
      <c r="D13" s="205" t="s">
        <v>221</v>
      </c>
      <c r="E13" s="59" t="s">
        <v>267</v>
      </c>
      <c r="F13" s="220"/>
      <c r="G13" s="220"/>
      <c r="R13" s="225" t="s">
        <v>157</v>
      </c>
      <c r="S13" s="226" t="s">
        <v>177</v>
      </c>
    </row>
    <row r="14" spans="1:19" ht="30.95" customHeight="1">
      <c r="A14" s="220"/>
      <c r="B14" s="212" t="s">
        <v>225</v>
      </c>
      <c r="C14" s="56" t="s">
        <v>218</v>
      </c>
      <c r="D14" s="205" t="s">
        <v>227</v>
      </c>
      <c r="E14" s="59"/>
      <c r="F14" s="220"/>
      <c r="G14" s="220"/>
      <c r="R14" s="225" t="s">
        <v>97</v>
      </c>
      <c r="S14" s="226"/>
    </row>
    <row r="15" spans="1:19" ht="30.95" customHeight="1">
      <c r="A15" s="220"/>
      <c r="B15" s="215" t="s">
        <v>209</v>
      </c>
      <c r="C15" s="54">
        <v>6774</v>
      </c>
      <c r="D15" s="205" t="s">
        <v>204</v>
      </c>
      <c r="E15" s="59">
        <v>2000</v>
      </c>
      <c r="F15" s="220"/>
      <c r="G15" s="220"/>
      <c r="R15" s="225" t="s">
        <v>158</v>
      </c>
      <c r="S15" s="226"/>
    </row>
    <row r="16" spans="1:19" ht="30.95" customHeight="1">
      <c r="A16" s="220"/>
      <c r="B16" s="215" t="s">
        <v>229</v>
      </c>
      <c r="C16" s="56">
        <v>220</v>
      </c>
      <c r="D16" s="205" t="s">
        <v>230</v>
      </c>
      <c r="E16" s="59">
        <v>500</v>
      </c>
      <c r="F16" s="220"/>
      <c r="G16" s="220"/>
      <c r="R16" s="225" t="s">
        <v>159</v>
      </c>
      <c r="S16" s="226"/>
    </row>
    <row r="17" spans="1:19" ht="30.95" customHeight="1">
      <c r="A17" s="220"/>
      <c r="B17" s="215" t="s">
        <v>468</v>
      </c>
      <c r="C17" s="56"/>
      <c r="D17" s="205" t="s">
        <v>470</v>
      </c>
      <c r="E17" s="59">
        <v>2000</v>
      </c>
      <c r="F17" s="220"/>
      <c r="G17" s="220"/>
      <c r="R17" s="225" t="s">
        <v>160</v>
      </c>
      <c r="S17" s="226"/>
    </row>
    <row r="18" spans="1:19" ht="30.95" customHeight="1">
      <c r="A18" s="220"/>
      <c r="B18" s="215" t="s">
        <v>471</v>
      </c>
      <c r="C18" s="56">
        <v>40</v>
      </c>
      <c r="D18" s="206" t="s">
        <v>472</v>
      </c>
      <c r="E18" s="59"/>
      <c r="F18" s="220"/>
      <c r="G18" s="220"/>
      <c r="R18" s="225" t="s">
        <v>161</v>
      </c>
      <c r="S18" s="226"/>
    </row>
    <row r="19" spans="1:19" ht="30.95" customHeight="1">
      <c r="A19" s="220"/>
      <c r="B19" s="215" t="s">
        <v>476</v>
      </c>
      <c r="C19" s="56">
        <v>200</v>
      </c>
      <c r="D19" s="208" t="s">
        <v>475</v>
      </c>
      <c r="E19" s="59"/>
      <c r="F19" s="220"/>
      <c r="G19" s="220"/>
      <c r="R19" s="225" t="s">
        <v>162</v>
      </c>
      <c r="S19" s="226"/>
    </row>
    <row r="20" spans="1:19" ht="30.95" customHeight="1">
      <c r="A20" s="220"/>
      <c r="B20" s="213" t="s">
        <v>219</v>
      </c>
      <c r="C20" s="65">
        <v>44621</v>
      </c>
      <c r="D20" s="227" t="s">
        <v>484</v>
      </c>
      <c r="E20" s="59"/>
      <c r="F20" s="220"/>
      <c r="G20" s="220"/>
      <c r="R20" s="225" t="s">
        <v>163</v>
      </c>
      <c r="S20" s="226"/>
    </row>
    <row r="21" spans="1:19" ht="29.25" customHeight="1" thickBot="1">
      <c r="A21" s="220"/>
      <c r="B21" s="216" t="s">
        <v>220</v>
      </c>
      <c r="C21" s="66">
        <v>44958</v>
      </c>
      <c r="D21" s="219" t="s">
        <v>287</v>
      </c>
      <c r="E21" s="109"/>
      <c r="F21" s="220"/>
      <c r="G21" s="220"/>
      <c r="R21" s="225" t="s">
        <v>164</v>
      </c>
      <c r="S21" s="226" t="s">
        <v>178</v>
      </c>
    </row>
    <row r="22" spans="1:19" ht="30.75" customHeight="1">
      <c r="A22" s="220"/>
      <c r="B22" s="221"/>
      <c r="C22" s="222"/>
      <c r="D22" s="224"/>
      <c r="E22" s="220"/>
      <c r="F22" s="220"/>
      <c r="G22" s="220"/>
      <c r="R22" s="225" t="s">
        <v>165</v>
      </c>
      <c r="S22" s="226" t="s">
        <v>179</v>
      </c>
    </row>
    <row r="23" spans="1:19" ht="17.25" customHeight="1">
      <c r="A23" s="220"/>
      <c r="B23" s="223" t="s">
        <v>465</v>
      </c>
      <c r="C23" s="220"/>
      <c r="D23" s="239" t="s">
        <v>213</v>
      </c>
      <c r="E23" s="239"/>
      <c r="F23" s="220"/>
      <c r="G23" s="220"/>
      <c r="R23" s="225" t="s">
        <v>166</v>
      </c>
      <c r="S23" s="226" t="s">
        <v>180</v>
      </c>
    </row>
    <row r="24" spans="1:19" ht="18.75">
      <c r="A24" s="220"/>
      <c r="B24" s="581" t="s">
        <v>489</v>
      </c>
      <c r="C24" s="220"/>
      <c r="D24" s="240" t="s">
        <v>487</v>
      </c>
      <c r="E24" s="240"/>
      <c r="F24" s="220"/>
      <c r="G24" s="220"/>
      <c r="R24" s="225" t="s">
        <v>167</v>
      </c>
      <c r="S24" s="226" t="s">
        <v>181</v>
      </c>
    </row>
    <row r="25" spans="1:19" ht="18.75">
      <c r="A25" s="220"/>
      <c r="B25" s="220"/>
      <c r="C25" s="220"/>
      <c r="D25" s="241" t="s">
        <v>486</v>
      </c>
      <c r="E25" s="241"/>
      <c r="F25" s="220"/>
      <c r="G25" s="220"/>
      <c r="R25" s="225" t="s">
        <v>168</v>
      </c>
      <c r="S25" s="226" t="s">
        <v>182</v>
      </c>
    </row>
    <row r="26" spans="1:19" ht="18.75">
      <c r="A26" s="220"/>
      <c r="B26" s="220"/>
      <c r="C26" s="220"/>
      <c r="D26" s="231" t="s">
        <v>214</v>
      </c>
      <c r="E26" s="231"/>
      <c r="F26" s="220"/>
      <c r="G26" s="220"/>
      <c r="S26" s="226" t="s">
        <v>183</v>
      </c>
    </row>
    <row r="27" spans="1:19" ht="18.75">
      <c r="A27" s="220"/>
      <c r="B27" s="220"/>
      <c r="C27" s="220"/>
      <c r="D27" s="232" t="s">
        <v>215</v>
      </c>
      <c r="E27" s="233"/>
      <c r="F27" s="220"/>
      <c r="G27" s="220"/>
      <c r="S27" s="226" t="s">
        <v>184</v>
      </c>
    </row>
    <row r="28" spans="1:19">
      <c r="A28" s="220"/>
      <c r="B28" s="220"/>
      <c r="C28" s="220"/>
      <c r="D28" s="51"/>
      <c r="E28" s="51"/>
      <c r="F28" s="220"/>
      <c r="G28" s="220"/>
      <c r="S28" s="226" t="s">
        <v>185</v>
      </c>
    </row>
    <row r="29" spans="1:19" ht="21" customHeight="1">
      <c r="A29" s="228"/>
      <c r="B29" s="220"/>
      <c r="C29" s="220"/>
      <c r="D29" s="220"/>
      <c r="E29" s="220"/>
      <c r="F29" s="220"/>
      <c r="G29" s="228"/>
      <c r="S29" s="226" t="s">
        <v>186</v>
      </c>
    </row>
    <row r="30" spans="1:19">
      <c r="S30" s="226" t="s">
        <v>187</v>
      </c>
    </row>
    <row r="31" spans="1:19" hidden="1">
      <c r="S31" s="226" t="s">
        <v>188</v>
      </c>
    </row>
    <row r="32" spans="1:19" hidden="1">
      <c r="S32" s="226" t="s">
        <v>189</v>
      </c>
    </row>
    <row r="33" spans="19:19" hidden="1">
      <c r="S33" s="226" t="s">
        <v>190</v>
      </c>
    </row>
    <row r="34" spans="19:19" hidden="1">
      <c r="S34" s="226" t="s">
        <v>191</v>
      </c>
    </row>
    <row r="35" spans="19:19" hidden="1">
      <c r="S35" s="226" t="s">
        <v>192</v>
      </c>
    </row>
    <row r="36" spans="19:19" hidden="1">
      <c r="S36" s="226" t="s">
        <v>193</v>
      </c>
    </row>
    <row r="37" spans="19:19" hidden="1">
      <c r="S37" s="226"/>
    </row>
    <row r="38" spans="19:19" hidden="1">
      <c r="S38" s="226"/>
    </row>
    <row r="39" spans="19:19" hidden="1">
      <c r="S39" s="226"/>
    </row>
    <row r="40" spans="19:19" hidden="1">
      <c r="S40" s="226"/>
    </row>
    <row r="41" spans="19:19" hidden="1"/>
  </sheetData>
  <sheetProtection password="C1FB" sheet="1" objects="1" scenarios="1" formatColumns="0" formatRows="0" selectLockedCells="1"/>
  <mergeCells count="8">
    <mergeCell ref="F10:G11"/>
    <mergeCell ref="D26:E26"/>
    <mergeCell ref="D27:E27"/>
    <mergeCell ref="B2:E2"/>
    <mergeCell ref="C3:E3"/>
    <mergeCell ref="D23:E23"/>
    <mergeCell ref="D24:E24"/>
    <mergeCell ref="D25:E25"/>
  </mergeCells>
  <conditionalFormatting sqref="E13">
    <cfRule type="expression" dxfId="10" priority="3">
      <formula>$E12="NO"</formula>
    </cfRule>
  </conditionalFormatting>
  <conditionalFormatting sqref="C13">
    <cfRule type="expression" dxfId="9" priority="2">
      <formula>$C12="NO"</formula>
    </cfRule>
  </conditionalFormatting>
  <conditionalFormatting sqref="E20">
    <cfRule type="expression" dxfId="8" priority="1">
      <formula>$E21=""</formula>
    </cfRule>
  </conditionalFormatting>
  <conditionalFormatting sqref="C14">
    <cfRule type="expression" dxfId="7" priority="5">
      <formula>$C13="NO"</formula>
    </cfRule>
  </conditionalFormatting>
  <dataValidations count="10">
    <dataValidation type="list" allowBlank="1" showInputMessage="1" showErrorMessage="1" sqref="C20:C21 E21">
      <formula1>month1</formula1>
    </dataValidation>
    <dataValidation type="list" allowBlank="1" showInputMessage="1" showErrorMessage="1" sqref="C14">
      <formula1>pay</formula1>
    </dataValidation>
    <dataValidation type="list" allowBlank="1" showInputMessage="1" showErrorMessage="1" sqref="C5">
      <formula1>"Gazetted, Non-Gazetted"</formula1>
    </dataValidation>
    <dataValidation type="list" allowBlank="1" showInputMessage="1" showErrorMessage="1" sqref="E11">
      <formula1>"NA, 8, 9, 16, 18"</formula1>
    </dataValidation>
    <dataValidation type="list" allowBlank="1" showInputMessage="1" showErrorMessage="1" sqref="C13">
      <formula1>month</formula1>
    </dataValidation>
    <dataValidation type="list" allowBlank="1" showInputMessage="1" showErrorMessage="1" sqref="E8">
      <formula1>" GPF, GPF-2004"</formula1>
    </dataValidation>
    <dataValidation type="textLength" operator="equal" allowBlank="1" showInputMessage="1" showErrorMessage="1" errorTitle="Employee ID" error="सर जी  Employee ID 16 अंको की होती है " sqref="E5">
      <formula1>16</formula1>
    </dataValidation>
    <dataValidation type="textLength" operator="equal" allowBlank="1" showInputMessage="1" showErrorMessage="1" errorTitle="PAN No." error="PAN CARD No. 10 DIGIT में होते है " sqref="C7">
      <formula1>10</formula1>
    </dataValidation>
    <dataValidation type="list" allowBlank="1" showInputMessage="1" showErrorMessage="1" sqref="E12 C12">
      <formula1>"YES, NO"</formula1>
    </dataValidation>
    <dataValidation type="list" allowBlank="1" showInputMessage="1" showErrorMessage="1" sqref="E13">
      <formula1>city</formula1>
    </dataValidation>
  </dataValidations>
  <hyperlinks>
    <hyperlink ref="D27" r:id="rId1"/>
    <hyperlink ref="B2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RowColHeaders="0" workbookViewId="0">
      <selection activeCell="G24" sqref="G24:H24"/>
    </sheetView>
  </sheetViews>
  <sheetFormatPr defaultColWidth="0" defaultRowHeight="15" customHeight="1" zeroHeight="1"/>
  <cols>
    <col min="1" max="1" width="9" style="34" customWidth="1"/>
    <col min="2" max="2" width="3.5" style="34" customWidth="1"/>
    <col min="3" max="3" width="59" style="34" customWidth="1"/>
    <col min="4" max="4" width="6.25" style="34" customWidth="1"/>
    <col min="5" max="5" width="18.625" style="34" customWidth="1"/>
    <col min="6" max="6" width="3.375" style="34" customWidth="1"/>
    <col min="7" max="7" width="70.75" style="34" customWidth="1"/>
    <col min="8" max="8" width="8.125" style="34" customWidth="1"/>
    <col min="9" max="9" width="16.625" style="34" customWidth="1"/>
    <col min="10" max="10" width="3.375" style="34" customWidth="1"/>
    <col min="11" max="11" width="9" style="34" customWidth="1"/>
    <col min="12" max="16384" width="9" style="34" hidden="1"/>
  </cols>
  <sheetData>
    <row r="1" spans="1:11" ht="37.5" customHeight="1">
      <c r="A1" s="256" t="s">
        <v>489</v>
      </c>
      <c r="B1" s="257"/>
      <c r="C1" s="257"/>
      <c r="D1" s="33"/>
      <c r="E1" s="33"/>
      <c r="F1" s="33"/>
      <c r="G1" s="33"/>
      <c r="H1" s="33"/>
      <c r="I1" s="33"/>
      <c r="J1" s="33"/>
      <c r="K1" s="33"/>
    </row>
    <row r="2" spans="1:11" ht="18.75" customHeight="1">
      <c r="A2" s="33"/>
      <c r="B2" s="258" t="s">
        <v>104</v>
      </c>
      <c r="C2" s="258"/>
      <c r="D2" s="33"/>
      <c r="E2" s="33"/>
      <c r="F2" s="33"/>
      <c r="G2" s="33"/>
      <c r="H2" s="33"/>
      <c r="I2" s="33"/>
      <c r="J2" s="33"/>
      <c r="K2" s="33"/>
    </row>
    <row r="3" spans="1:11" ht="27" customHeight="1">
      <c r="A3" s="33"/>
      <c r="B3" s="33"/>
      <c r="C3" s="259" t="s">
        <v>105</v>
      </c>
      <c r="D3" s="259"/>
      <c r="E3" s="259"/>
      <c r="F3" s="259"/>
      <c r="G3" s="259"/>
      <c r="H3" s="259"/>
      <c r="I3" s="259"/>
      <c r="J3" s="33"/>
      <c r="K3" s="33"/>
    </row>
    <row r="4" spans="1:11" ht="15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.75" customHeight="1">
      <c r="A5" s="33"/>
      <c r="B5" s="35"/>
      <c r="C5" s="36"/>
      <c r="D5" s="36"/>
      <c r="E5" s="36"/>
      <c r="F5" s="36"/>
      <c r="G5" s="36"/>
      <c r="H5" s="36"/>
      <c r="I5" s="36"/>
      <c r="J5" s="35"/>
      <c r="K5" s="33"/>
    </row>
    <row r="6" spans="1:11" ht="24.95" customHeight="1">
      <c r="A6" s="33"/>
      <c r="B6" s="37"/>
      <c r="C6" s="252" t="s">
        <v>106</v>
      </c>
      <c r="D6" s="252"/>
      <c r="E6" s="62">
        <v>0</v>
      </c>
      <c r="F6" s="260"/>
      <c r="G6" s="244" t="s">
        <v>107</v>
      </c>
      <c r="H6" s="244"/>
      <c r="I6" s="62"/>
      <c r="J6" s="251"/>
      <c r="K6" s="33"/>
    </row>
    <row r="7" spans="1:11" ht="24.95" customHeight="1">
      <c r="A7" s="33"/>
      <c r="B7" s="37"/>
      <c r="C7" s="252" t="s">
        <v>140</v>
      </c>
      <c r="D7" s="252"/>
      <c r="E7" s="62">
        <v>50000</v>
      </c>
      <c r="F7" s="260"/>
      <c r="G7" s="244" t="s">
        <v>108</v>
      </c>
      <c r="H7" s="244"/>
      <c r="I7" s="62"/>
      <c r="J7" s="251"/>
      <c r="K7" s="33"/>
    </row>
    <row r="8" spans="1:11" ht="24.95" customHeight="1">
      <c r="A8" s="33"/>
      <c r="B8" s="37"/>
      <c r="C8" s="252" t="s">
        <v>109</v>
      </c>
      <c r="D8" s="252"/>
      <c r="E8" s="62"/>
      <c r="F8" s="260"/>
      <c r="G8" s="253" t="s">
        <v>110</v>
      </c>
      <c r="H8" s="253"/>
      <c r="I8" s="62"/>
      <c r="J8" s="251"/>
      <c r="K8" s="33"/>
    </row>
    <row r="9" spans="1:11" ht="24.95" customHeight="1">
      <c r="A9" s="33"/>
      <c r="B9" s="37"/>
      <c r="C9" s="252" t="s">
        <v>111</v>
      </c>
      <c r="D9" s="252"/>
      <c r="E9" s="62"/>
      <c r="F9" s="260"/>
      <c r="G9" s="253" t="s">
        <v>112</v>
      </c>
      <c r="H9" s="253"/>
      <c r="I9" s="62"/>
      <c r="J9" s="251"/>
      <c r="K9" s="33"/>
    </row>
    <row r="10" spans="1:11" ht="24.95" customHeight="1">
      <c r="A10" s="33"/>
      <c r="B10" s="37"/>
      <c r="C10" s="252" t="s">
        <v>113</v>
      </c>
      <c r="D10" s="252"/>
      <c r="E10" s="62"/>
      <c r="F10" s="260"/>
      <c r="G10" s="253" t="s">
        <v>114</v>
      </c>
      <c r="H10" s="253"/>
      <c r="I10" s="62"/>
      <c r="J10" s="251"/>
      <c r="K10" s="33"/>
    </row>
    <row r="11" spans="1:11" ht="33" customHeight="1">
      <c r="A11" s="33"/>
      <c r="B11" s="37"/>
      <c r="C11" s="252" t="s">
        <v>115</v>
      </c>
      <c r="D11" s="252"/>
      <c r="E11" s="62"/>
      <c r="F11" s="260"/>
      <c r="G11" s="255" t="s">
        <v>116</v>
      </c>
      <c r="H11" s="255"/>
      <c r="I11" s="62"/>
      <c r="J11" s="251"/>
      <c r="K11" s="33"/>
    </row>
    <row r="12" spans="1:11" ht="24.95" customHeight="1">
      <c r="A12" s="33"/>
      <c r="B12" s="37"/>
      <c r="C12" s="261" t="s">
        <v>117</v>
      </c>
      <c r="D12" s="261"/>
      <c r="E12" s="62">
        <v>125985</v>
      </c>
      <c r="F12" s="260"/>
      <c r="G12" s="244" t="s">
        <v>307</v>
      </c>
      <c r="H12" s="244"/>
      <c r="I12" s="62"/>
      <c r="J12" s="251"/>
      <c r="K12" s="33"/>
    </row>
    <row r="13" spans="1:11" ht="24.95" customHeight="1">
      <c r="A13" s="33"/>
      <c r="B13" s="37"/>
      <c r="C13" s="262" t="s">
        <v>118</v>
      </c>
      <c r="D13" s="262"/>
      <c r="E13" s="62">
        <v>53667</v>
      </c>
      <c r="F13" s="260"/>
      <c r="G13" s="244" t="s">
        <v>308</v>
      </c>
      <c r="H13" s="244"/>
      <c r="I13" s="62"/>
      <c r="J13" s="251"/>
      <c r="K13" s="33"/>
    </row>
    <row r="14" spans="1:11" ht="24.95" customHeight="1">
      <c r="A14" s="33"/>
      <c r="B14" s="37"/>
      <c r="C14" s="254" t="s">
        <v>141</v>
      </c>
      <c r="D14" s="254"/>
      <c r="E14" s="62">
        <v>14008</v>
      </c>
      <c r="F14" s="260"/>
      <c r="G14" s="255" t="s">
        <v>119</v>
      </c>
      <c r="H14" s="255"/>
      <c r="I14" s="62"/>
      <c r="J14" s="251"/>
      <c r="K14" s="33"/>
    </row>
    <row r="15" spans="1:11" ht="24.95" customHeight="1">
      <c r="A15" s="33"/>
      <c r="B15" s="37"/>
      <c r="C15" s="243" t="s">
        <v>120</v>
      </c>
      <c r="D15" s="243"/>
      <c r="E15" s="62"/>
      <c r="F15" s="260"/>
      <c r="G15" s="244" t="s">
        <v>121</v>
      </c>
      <c r="H15" s="244"/>
      <c r="I15" s="62"/>
      <c r="J15" s="251"/>
      <c r="K15" s="33"/>
    </row>
    <row r="16" spans="1:11" ht="24.95" customHeight="1">
      <c r="A16" s="33"/>
      <c r="B16" s="37"/>
      <c r="C16" s="243" t="s">
        <v>122</v>
      </c>
      <c r="D16" s="243"/>
      <c r="E16" s="62"/>
      <c r="F16" s="260"/>
      <c r="G16" s="244" t="s">
        <v>123</v>
      </c>
      <c r="H16" s="244"/>
      <c r="I16" s="62"/>
      <c r="J16" s="251"/>
      <c r="K16" s="33"/>
    </row>
    <row r="17" spans="1:11" ht="24.95" customHeight="1">
      <c r="A17" s="33"/>
      <c r="B17" s="37"/>
      <c r="C17" s="243" t="s">
        <v>124</v>
      </c>
      <c r="D17" s="243"/>
      <c r="E17" s="62"/>
      <c r="F17" s="260"/>
      <c r="G17" s="244" t="s">
        <v>125</v>
      </c>
      <c r="H17" s="244"/>
      <c r="I17" s="62"/>
      <c r="J17" s="251"/>
      <c r="K17" s="33"/>
    </row>
    <row r="18" spans="1:11" ht="24.95" customHeight="1">
      <c r="A18" s="33"/>
      <c r="B18" s="37"/>
      <c r="C18" s="243" t="s">
        <v>126</v>
      </c>
      <c r="D18" s="243"/>
      <c r="E18" s="62"/>
      <c r="F18" s="260"/>
      <c r="G18" s="244" t="s">
        <v>127</v>
      </c>
      <c r="H18" s="244"/>
      <c r="I18" s="62"/>
      <c r="J18" s="251"/>
      <c r="K18" s="33"/>
    </row>
    <row r="19" spans="1:11" ht="24.95" customHeight="1">
      <c r="A19" s="33"/>
      <c r="B19" s="37"/>
      <c r="C19" s="243" t="s">
        <v>128</v>
      </c>
      <c r="D19" s="243"/>
      <c r="E19" s="62"/>
      <c r="F19" s="260"/>
      <c r="G19" s="244" t="s">
        <v>129</v>
      </c>
      <c r="H19" s="244"/>
      <c r="I19" s="64">
        <f>SUM(E25)+ ROUND(I25/2,0)</f>
        <v>0</v>
      </c>
      <c r="J19" s="251"/>
      <c r="K19" s="33"/>
    </row>
    <row r="20" spans="1:11" ht="24.95" customHeight="1">
      <c r="A20" s="33"/>
      <c r="B20" s="37"/>
      <c r="C20" s="243" t="s">
        <v>130</v>
      </c>
      <c r="D20" s="243"/>
      <c r="E20" s="62"/>
      <c r="F20" s="260"/>
      <c r="G20" s="244" t="s">
        <v>131</v>
      </c>
      <c r="H20" s="244"/>
      <c r="I20" s="62"/>
      <c r="J20" s="251"/>
      <c r="K20" s="33"/>
    </row>
    <row r="21" spans="1:11" ht="24.95" customHeight="1">
      <c r="A21" s="33"/>
      <c r="B21" s="37"/>
      <c r="C21" s="243" t="s">
        <v>132</v>
      </c>
      <c r="D21" s="243"/>
      <c r="E21" s="62"/>
      <c r="F21" s="260"/>
      <c r="G21" s="250" t="s">
        <v>233</v>
      </c>
      <c r="H21" s="250"/>
      <c r="I21" s="62">
        <v>2000</v>
      </c>
      <c r="J21" s="251"/>
      <c r="K21" s="33"/>
    </row>
    <row r="22" spans="1:11" ht="24.95" customHeight="1">
      <c r="A22" s="33"/>
      <c r="B22" s="37"/>
      <c r="C22" s="243" t="s">
        <v>133</v>
      </c>
      <c r="D22" s="243"/>
      <c r="E22" s="62"/>
      <c r="F22" s="260"/>
      <c r="G22" s="244" t="s">
        <v>134</v>
      </c>
      <c r="H22" s="244"/>
      <c r="I22" s="62"/>
      <c r="J22" s="251"/>
      <c r="K22" s="33"/>
    </row>
    <row r="23" spans="1:11" ht="24.95" customHeight="1">
      <c r="A23" s="33"/>
      <c r="B23" s="37"/>
      <c r="C23" s="243" t="s">
        <v>135</v>
      </c>
      <c r="D23" s="243"/>
      <c r="E23" s="62"/>
      <c r="F23" s="260"/>
      <c r="G23" s="244" t="s">
        <v>136</v>
      </c>
      <c r="H23" s="244"/>
      <c r="I23" s="62"/>
      <c r="J23" s="251"/>
      <c r="K23" s="33"/>
    </row>
    <row r="24" spans="1:11" ht="24.95" customHeight="1">
      <c r="A24" s="33"/>
      <c r="B24" s="37"/>
      <c r="C24" s="243" t="s">
        <v>305</v>
      </c>
      <c r="D24" s="243"/>
      <c r="E24" s="62"/>
      <c r="F24" s="260"/>
      <c r="G24" s="245" t="s">
        <v>137</v>
      </c>
      <c r="H24" s="245"/>
      <c r="I24" s="62">
        <v>0</v>
      </c>
      <c r="J24" s="251"/>
      <c r="K24" s="33"/>
    </row>
    <row r="25" spans="1:11" ht="24.95" customHeight="1">
      <c r="A25" s="33"/>
      <c r="B25" s="37"/>
      <c r="C25" s="246" t="s">
        <v>138</v>
      </c>
      <c r="D25" s="247"/>
      <c r="E25" s="63"/>
      <c r="F25" s="38"/>
      <c r="G25" s="248" t="s">
        <v>139</v>
      </c>
      <c r="H25" s="249"/>
      <c r="I25" s="63"/>
      <c r="J25" s="39"/>
      <c r="K25" s="33"/>
    </row>
    <row r="26" spans="1:11" ht="16.5" customHeight="1">
      <c r="A26" s="33"/>
      <c r="B26" s="35"/>
      <c r="C26" s="242"/>
      <c r="D26" s="242"/>
      <c r="E26" s="242"/>
      <c r="F26" s="242"/>
      <c r="G26" s="242"/>
      <c r="H26" s="242"/>
      <c r="I26" s="242"/>
      <c r="J26" s="35"/>
      <c r="K26" s="33"/>
    </row>
    <row r="27" spans="1:1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</sheetData>
  <sheetProtection password="C1FB" sheet="1" objects="1" scenarios="1" formatColumns="0" formatRows="0"/>
  <mergeCells count="46">
    <mergeCell ref="A1:C1"/>
    <mergeCell ref="B2:C2"/>
    <mergeCell ref="C3:I3"/>
    <mergeCell ref="C6:D6"/>
    <mergeCell ref="F6:F24"/>
    <mergeCell ref="G6:H6"/>
    <mergeCell ref="G11:H11"/>
    <mergeCell ref="C12:D12"/>
    <mergeCell ref="G12:H12"/>
    <mergeCell ref="C13:D13"/>
    <mergeCell ref="C16:D16"/>
    <mergeCell ref="G16:H16"/>
    <mergeCell ref="G17:H17"/>
    <mergeCell ref="C18:D18"/>
    <mergeCell ref="G18:H18"/>
    <mergeCell ref="C19:D19"/>
    <mergeCell ref="J6:J24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3:H13"/>
    <mergeCell ref="C14:D14"/>
    <mergeCell ref="G14:H14"/>
    <mergeCell ref="C15:D15"/>
    <mergeCell ref="G15:H15"/>
    <mergeCell ref="C17:D17"/>
    <mergeCell ref="G19:H19"/>
    <mergeCell ref="C20:D20"/>
    <mergeCell ref="G20:H20"/>
    <mergeCell ref="C21:D21"/>
    <mergeCell ref="G21:H21"/>
    <mergeCell ref="C26:I26"/>
    <mergeCell ref="C22:D22"/>
    <mergeCell ref="G22:H22"/>
    <mergeCell ref="C23:D23"/>
    <mergeCell ref="G23:H23"/>
    <mergeCell ref="C24:D24"/>
    <mergeCell ref="G24:H24"/>
    <mergeCell ref="C25:D25"/>
    <mergeCell ref="G25:H25"/>
  </mergeCells>
  <dataValidations count="4">
    <dataValidation type="custom" allowBlank="1" showInputMessage="1" showErrorMessage="1" errorTitle="write in Digit only" error="Please input Data in Number uncle" sqref="E6">
      <formula1>ISNUMBER(E6)=TRUE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whole" operator="lessThanOrEqual" allowBlank="1" showInputMessage="1" showErrorMessage="1" error="गृह ऋण पर ब्याज की राशि 200000 लाख से अधिक नहीं लिख सकते " sqref="E13">
      <formula1>200000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41"/>
  <sheetViews>
    <sheetView showGridLines="0" view="pageBreakPreview" zoomScaleSheetLayoutView="100" workbookViewId="0">
      <selection activeCell="B24" sqref="B24"/>
    </sheetView>
  </sheetViews>
  <sheetFormatPr defaultColWidth="9.125" defaultRowHeight="21"/>
  <cols>
    <col min="1" max="1" width="4" style="68" customWidth="1"/>
    <col min="2" max="2" width="15.5" style="68" customWidth="1"/>
    <col min="3" max="3" width="7.75" style="68" customWidth="1"/>
    <col min="4" max="4" width="6.625" style="68" customWidth="1"/>
    <col min="5" max="6" width="5.625" style="68" customWidth="1"/>
    <col min="7" max="7" width="5.75" style="68" customWidth="1"/>
    <col min="8" max="8" width="5.375" style="68" customWidth="1"/>
    <col min="9" max="10" width="5.25" style="68" customWidth="1"/>
    <col min="11" max="11" width="6.25" style="68" customWidth="1"/>
    <col min="12" max="12" width="6.375" style="68" customWidth="1"/>
    <col min="13" max="14" width="5.875" style="68" customWidth="1"/>
    <col min="15" max="15" width="7.625" style="68" customWidth="1"/>
    <col min="16" max="16" width="5.25" style="68" customWidth="1"/>
    <col min="17" max="17" width="5.375" style="68" customWidth="1"/>
    <col min="18" max="18" width="5.25" style="68" customWidth="1"/>
    <col min="19" max="19" width="5.625" style="68" customWidth="1"/>
    <col min="20" max="20" width="5.75" style="68" customWidth="1"/>
    <col min="21" max="22" width="5.25" style="68" customWidth="1"/>
    <col min="23" max="23" width="5.5" style="68" customWidth="1"/>
    <col min="24" max="24" width="5.625" style="68" customWidth="1"/>
    <col min="25" max="27" width="5.75" style="68" customWidth="1"/>
    <col min="28" max="28" width="7.75" style="68" customWidth="1"/>
    <col min="29" max="29" width="8" style="104" customWidth="1"/>
    <col min="30" max="30" width="7.125" style="104" customWidth="1"/>
    <col min="31" max="31" width="8.25" style="34" customWidth="1"/>
    <col min="32" max="34" width="9.125" style="34" customWidth="1"/>
    <col min="35" max="35" width="22.625" style="68" customWidth="1"/>
    <col min="36" max="36" width="9.125" style="34" customWidth="1"/>
    <col min="37" max="37" width="10.875" style="34" customWidth="1"/>
    <col min="38" max="39" width="9.125" style="69" customWidth="1"/>
    <col min="40" max="40" width="9.125" style="160" hidden="1" customWidth="1"/>
    <col min="41" max="41" width="9.125" style="161" hidden="1" customWidth="1"/>
    <col min="42" max="42" width="10.25" style="161" hidden="1" customWidth="1"/>
    <col min="43" max="43" width="9.125" style="161" hidden="1" customWidth="1"/>
    <col min="44" max="44" width="12.75" style="161" hidden="1" customWidth="1"/>
    <col min="45" max="45" width="10.25" style="161" hidden="1" customWidth="1"/>
    <col min="46" max="46" width="9.875" style="161" hidden="1" customWidth="1"/>
    <col min="47" max="49" width="9.125" style="161" hidden="1" customWidth="1"/>
    <col min="50" max="50" width="10.125" style="161" hidden="1" customWidth="1"/>
    <col min="51" max="51" width="5.625" style="162" hidden="1" customWidth="1"/>
    <col min="52" max="52" width="8.75" style="162" hidden="1" customWidth="1"/>
    <col min="53" max="53" width="7.25" style="162" hidden="1" customWidth="1"/>
    <col min="54" max="54" width="9" style="162" hidden="1" customWidth="1"/>
    <col min="55" max="55" width="6.25" style="162" hidden="1" customWidth="1"/>
    <col min="56" max="56" width="5.625" style="162" hidden="1" customWidth="1"/>
    <col min="57" max="57" width="6.5" style="162" hidden="1" customWidth="1"/>
    <col min="58" max="59" width="6.375" style="162" hidden="1" customWidth="1"/>
    <col min="60" max="64" width="5.625" style="162" hidden="1" customWidth="1"/>
    <col min="65" max="66" width="9.375" style="161" hidden="1" customWidth="1"/>
    <col min="67" max="81" width="9.125" style="161" hidden="1" customWidth="1"/>
    <col min="82" max="83" width="9.125" style="105" hidden="1" customWidth="1"/>
    <col min="84" max="84" width="9.125" style="69" hidden="1" customWidth="1"/>
    <col min="85" max="87" width="9.125" style="34" hidden="1" customWidth="1"/>
    <col min="88" max="88" width="8.375" style="34" hidden="1" customWidth="1"/>
    <col min="89" max="91" width="9.125" style="34" hidden="1" customWidth="1"/>
    <col min="92" max="273" width="9.125" style="34" customWidth="1"/>
    <col min="274" max="16384" width="9.125" style="34"/>
  </cols>
  <sheetData>
    <row r="1" spans="1:84" ht="28.5" customHeight="1">
      <c r="A1" s="67"/>
      <c r="B1" s="278" t="str">
        <f>IF(AND('Master Data'!C3=""),"",CONCATENATE("Office Name :- ",PROPER('Master Data'!C3)))</f>
        <v>Office Name :- Comdt. X Bn. Rac Bikaner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110"/>
    </row>
    <row r="2" spans="1:84" s="70" customFormat="1" ht="22.5" customHeight="1">
      <c r="A2" s="287" t="s">
        <v>234</v>
      </c>
      <c r="B2" s="288"/>
      <c r="C2" s="288"/>
      <c r="D2" s="289" t="str">
        <f>UPPER(IF('Master Data'!C4="","",'Master Data'!C4))</f>
        <v>HEERALAL JAT</v>
      </c>
      <c r="E2" s="289"/>
      <c r="F2" s="289"/>
      <c r="G2" s="289"/>
      <c r="H2" s="289"/>
      <c r="I2" s="289"/>
      <c r="J2" s="201"/>
      <c r="K2" s="290" t="s">
        <v>235</v>
      </c>
      <c r="L2" s="290"/>
      <c r="M2" s="290"/>
      <c r="N2" s="290"/>
      <c r="O2" s="275" t="str">
        <f>UPPER(IF('Master Data'!E4="","",'Master Data'!E4))</f>
        <v>HEAD CONSITABLE</v>
      </c>
      <c r="P2" s="275"/>
      <c r="Q2" s="275"/>
      <c r="R2" s="275"/>
      <c r="S2" s="288" t="s">
        <v>236</v>
      </c>
      <c r="T2" s="288"/>
      <c r="U2" s="288"/>
      <c r="V2" s="288"/>
      <c r="W2" s="275" t="str">
        <f>UPPER(IF('Master Data'!C6="","",'Master Data'!C6))</f>
        <v>PS KOTWALI</v>
      </c>
      <c r="X2" s="275"/>
      <c r="Y2" s="275"/>
      <c r="Z2" s="275"/>
      <c r="AA2" s="275"/>
      <c r="AB2" s="275"/>
      <c r="AC2" s="275"/>
      <c r="AD2" s="276" t="s">
        <v>237</v>
      </c>
      <c r="AE2" s="277"/>
      <c r="AI2" s="71"/>
      <c r="AL2" s="72"/>
      <c r="AM2" s="72"/>
      <c r="AN2" s="163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05"/>
      <c r="CE2" s="105"/>
      <c r="CF2" s="72"/>
    </row>
    <row r="3" spans="1:84" s="70" customFormat="1" ht="23.25" customHeight="1">
      <c r="A3" s="282" t="s">
        <v>238</v>
      </c>
      <c r="B3" s="283"/>
      <c r="C3" s="284" t="str">
        <f>UPPER(IF('Master Data'!C7="","",'Master Data'!C7))</f>
        <v>ABCDE5555H</v>
      </c>
      <c r="D3" s="284"/>
      <c r="E3" s="284"/>
      <c r="F3" s="207"/>
      <c r="G3" s="73" t="s">
        <v>239</v>
      </c>
      <c r="H3" s="284" t="str">
        <f>IF(AND('Master Data'!C8=""),"",'Master Data'!C8)</f>
        <v>74XXX7</v>
      </c>
      <c r="I3" s="284"/>
      <c r="J3" s="284"/>
      <c r="K3" s="284"/>
      <c r="L3" s="74" t="s">
        <v>216</v>
      </c>
      <c r="M3" s="285" t="str">
        <f>IF(AND('Master Data'!C9=""),"",'Master Data'!C9)</f>
        <v>74XXX8</v>
      </c>
      <c r="N3" s="285"/>
      <c r="O3" s="285"/>
      <c r="P3" s="285"/>
      <c r="Q3" s="286" t="s">
        <v>240</v>
      </c>
      <c r="R3" s="286"/>
      <c r="S3" s="286"/>
      <c r="T3" s="285" t="str">
        <f>IF(AND('Master Data'!E9=""),"",'Master Data'!E9)</f>
        <v>71XXX10</v>
      </c>
      <c r="U3" s="285"/>
      <c r="V3" s="285"/>
      <c r="W3" s="285"/>
      <c r="X3" s="285"/>
      <c r="Y3" s="279" t="s">
        <v>241</v>
      </c>
      <c r="Z3" s="279"/>
      <c r="AA3" s="279"/>
      <c r="AB3" s="279"/>
      <c r="AC3" s="280" t="str">
        <f>IF(AND('Master Data'!E7=""),"",'Master Data'!E7)</f>
        <v>51XXXXXXXXX96</v>
      </c>
      <c r="AD3" s="280"/>
      <c r="AE3" s="281"/>
      <c r="AI3" s="71"/>
      <c r="AL3" s="72"/>
      <c r="AM3" s="72"/>
      <c r="AN3" s="163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2"/>
      <c r="AZ3" s="162"/>
      <c r="BA3" s="162"/>
      <c r="BB3" s="162">
        <f>BB15-ROUNDUP(ROUND((BB15*3%)-(BB15*3%)*2.9%,-2),0)</f>
        <v>37500</v>
      </c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06"/>
      <c r="CE3" s="106"/>
      <c r="CF3" s="72"/>
    </row>
    <row r="4" spans="1:84" s="75" customFormat="1" ht="25.5" customHeight="1">
      <c r="A4" s="269" t="s">
        <v>242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 t="s">
        <v>243</v>
      </c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2" t="s">
        <v>244</v>
      </c>
      <c r="AD4" s="273" t="s">
        <v>245</v>
      </c>
      <c r="AE4" s="274" t="s">
        <v>246</v>
      </c>
      <c r="AI4" s="76"/>
      <c r="AL4" s="77"/>
      <c r="AM4" s="77"/>
      <c r="AN4" s="165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06"/>
      <c r="CE4" s="106"/>
      <c r="CF4" s="77"/>
    </row>
    <row r="5" spans="1:84" s="82" customFormat="1" ht="57" customHeight="1">
      <c r="A5" s="78" t="s">
        <v>247</v>
      </c>
      <c r="B5" s="79" t="s">
        <v>248</v>
      </c>
      <c r="C5" s="79" t="s">
        <v>249</v>
      </c>
      <c r="D5" s="79" t="s">
        <v>250</v>
      </c>
      <c r="E5" s="79" t="s">
        <v>251</v>
      </c>
      <c r="F5" s="79" t="s">
        <v>473</v>
      </c>
      <c r="G5" s="79" t="s">
        <v>296</v>
      </c>
      <c r="H5" s="79" t="s">
        <v>297</v>
      </c>
      <c r="I5" s="79" t="s">
        <v>298</v>
      </c>
      <c r="J5" s="79" t="s">
        <v>469</v>
      </c>
      <c r="K5" s="81" t="s">
        <v>474</v>
      </c>
      <c r="L5" s="81" t="str">
        <f>'Master Data'!D18</f>
        <v>Other  :</v>
      </c>
      <c r="M5" s="79" t="s">
        <v>252</v>
      </c>
      <c r="N5" s="79" t="s">
        <v>290</v>
      </c>
      <c r="O5" s="79" t="s">
        <v>253</v>
      </c>
      <c r="P5" s="79" t="s">
        <v>299</v>
      </c>
      <c r="Q5" s="79" t="str">
        <f>IF('Master Data'!E8="","",'Master Data'!E8)</f>
        <v>GPF</v>
      </c>
      <c r="R5" s="79" t="s">
        <v>205</v>
      </c>
      <c r="S5" s="79" t="s">
        <v>300</v>
      </c>
      <c r="T5" s="81" t="s">
        <v>301</v>
      </c>
      <c r="U5" s="81" t="s">
        <v>302</v>
      </c>
      <c r="V5" s="81" t="s">
        <v>291</v>
      </c>
      <c r="W5" s="210" t="s">
        <v>477</v>
      </c>
      <c r="X5" s="80" t="s">
        <v>254</v>
      </c>
      <c r="Y5" s="81" t="str">
        <f>'Master Data'!D19</f>
        <v>Other Ded. :</v>
      </c>
      <c r="Z5" s="79" t="s">
        <v>255</v>
      </c>
      <c r="AA5" s="79" t="s">
        <v>256</v>
      </c>
      <c r="AB5" s="79" t="s">
        <v>257</v>
      </c>
      <c r="AC5" s="272"/>
      <c r="AD5" s="273"/>
      <c r="AE5" s="274"/>
      <c r="AG5" s="263" t="s">
        <v>466</v>
      </c>
      <c r="AH5" s="264"/>
      <c r="AI5" s="264"/>
      <c r="AL5" s="83"/>
      <c r="AM5" s="83"/>
      <c r="AN5" s="166"/>
      <c r="AO5" s="164" t="str">
        <f>'Master Data'!C12</f>
        <v>YES</v>
      </c>
      <c r="AP5" s="167" t="s">
        <v>216</v>
      </c>
      <c r="AQ5" s="168" t="s">
        <v>258</v>
      </c>
      <c r="AR5" s="169" t="s">
        <v>218</v>
      </c>
      <c r="AS5" s="164" t="s">
        <v>259</v>
      </c>
      <c r="AT5" s="164"/>
      <c r="AU5" s="164">
        <v>1000</v>
      </c>
      <c r="AV5" s="164"/>
      <c r="AW5" s="164"/>
      <c r="AX5" s="164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06"/>
      <c r="CE5" s="106"/>
      <c r="CF5" s="83"/>
    </row>
    <row r="6" spans="1:84" ht="24" customHeight="1">
      <c r="A6" s="84">
        <v>1</v>
      </c>
      <c r="B6" s="85">
        <f>IFERROR(IF(BQ12="","",BQ12),"")</f>
        <v>44621</v>
      </c>
      <c r="C6" s="86">
        <f>IFERROR(IF(B6="","",IF(AND(BS12=""),"",IF(B6=$AZ$24,"",IF(AND('Master Data'!$C$14=$AR$6),VLOOKUP(B6,om,13,0),VLOOKUP(B6,om,4,0))))),"")</f>
        <v>38600</v>
      </c>
      <c r="D6" s="86">
        <f>IFERROR(IF(B6="","",IF(AND(BS12=""),"",IF(OR(B6=$AZ$24),"",IF(AND('Master Data'!$C$14=$AR$5),VLOOKUP(B6,om,7,0),"")))),"")</f>
        <v>11966</v>
      </c>
      <c r="E6" s="86">
        <f>IFERROR(IF(B6="","",IF(AND(BS12=""),"",IF(OR(B6=$AZ$24,B6=$AZ$25,B6=$AZ$26,B6=$AZ$27,B6=$AZ$28,B6=$AZ$29),"",IF(AND('Master Data'!$C$14=$AR$5),VLOOKUP(B6,om,8,0),"")))),"")</f>
        <v>6948</v>
      </c>
      <c r="F6" s="86">
        <f>IFERROR(IF(B6="","",IF(AND(C6="",D6=""),"",IF(B6=$AZ$24,"",IF(AND(B6=$AZ$25),"",IF(AND(B6=$AZ$29),"",IF(AND('Master Data'!$C$14=$AR$6),"",IF('GA55'!C6="",ROUND(('GA55'!D6)/12,0),ROUND(('GA55'!C6+'GA55'!D6)/12,0)))))))),"")</f>
        <v>4214</v>
      </c>
      <c r="G6" s="86">
        <f>IFERROR(IF(B6="","",IF(AND(BS12=""),"",IF(OR(B6=$AZ$24,B6=$AZ$25,B6=$AZ$26,B6=$AZ$27,B6=$AZ$28,B6=$AZ$29),"",IF(AND('Master Data'!$C$14=$AR$5),'Master Data'!$C$17,"")))),"")</f>
        <v>0</v>
      </c>
      <c r="H6" s="86">
        <f>IFERROR(IF(B6="","",IF(AND(BS12=""),"",IF(OR(B6=$AZ$24,B6=$AZ$25,B6=$AZ$26,B6=$AZ$27,B6=$AZ$28,B6=$AZ$29),"",IF(AND('Master Data'!$C$14=$AR$5),'Master Data'!$E$14,"")))),"")</f>
        <v>0</v>
      </c>
      <c r="I6" s="86" t="str">
        <f>IFERROR(IF(B6="","",IF(AND(BS12=""),"",IF('Master Data'!$E$12="NO","",IF(OR(B6=$AZ$24,B6=$AZ$25,B6=$AZ$26,B6=$AZ$27,B6=$AZ$28,B6=$AZ$29),"",IF(AND('Master Data'!$C$14=$AR$6),"",IF(AND('Master Data'!$E$13=$AT$9),$AU$6,IF(AND('Master Data'!$E$13=$AT$10),$AU$6,IF(AND('Master Data'!$E$13=$AT$11),$AU$6,IF(AND('Master Data'!$E$13=$AT$12),$AU$6,$AU$5))))))))),"")</f>
        <v/>
      </c>
      <c r="J6" s="86">
        <f>IFERROR(IF(B6="","",IF(AND(BS12=""),"",IF(OR(B6=$AZ$24,B6=$AZ$25,B6=$AZ$26,B6=$AZ$27,B6=$AZ$28,B6=$AZ$29),"",IF(AND('Master Data'!$C$14=$AR$5),'Master Data'!E17,"")))),"")</f>
        <v>2000</v>
      </c>
      <c r="K6" s="86">
        <f>IFERROR(IF(B6="","",IF(OR(B6=$AY$24,B6=$AY$25,B6=$AY$26,B6=$AY$27,B6=$AY$28,B6=$AY$29),"",IF(AND('Master Data'!$C$14=$AR$5),'Master Data'!$C$18,""))),"")</f>
        <v>40</v>
      </c>
      <c r="L6" s="86">
        <f>IFERROR(IF(B6="","",IF(AND(BS12=""),"",IF(OR(B6=$AZ$24,B6=$AZ$25,B6=$AZ$26,B6=$AZ$27,B6=$AZ$28,B6=$AZ$29),"",IF(AND('Master Data'!$C$14=$AR$5),'Master Data'!$E$18,"")))),"")</f>
        <v>0</v>
      </c>
      <c r="M6" s="86" t="str">
        <f>IFERROR(IF(B6="","",IF(AND('Master Data'!$C$14=$AR$6),"",IF(AND('Master Data'!$C$15&lt;&gt;0),IF(AND(B6="Bonus"),VLOOKUP(B6,om,4,0),"")))),"")</f>
        <v/>
      </c>
      <c r="N6" s="86">
        <v>0</v>
      </c>
      <c r="O6" s="86">
        <f>IF(B6="","",SUM(C6:N6))</f>
        <v>63768</v>
      </c>
      <c r="P6" s="86">
        <f>IFERROR(IF(B6="","",IF(AND(BS12=""),"",IF(OR(B6=$AZ$24,B6=$AZ$25,B6=$AZ$26,B6=$AZ$27,B6=$AZ$28,B6=$AZ$29),"",IF(AND('Master Data'!$C$14=$AR$5),VLOOKUP(B6,om,11,0),"")))),"")</f>
        <v>5000</v>
      </c>
      <c r="Q6" s="86">
        <f>IFERROR(IF(B6="","",IF(AND(BS12=""),"",IF(OR(B6=$AZ$25),"",IF(AND('Master Data'!$C$14=$AR$5),VLOOKUP(B6,om,12,0),"")))),"")</f>
        <v>5000</v>
      </c>
      <c r="R6" s="86">
        <f>IFERROR(IF(B6="","",IF(AND(BS12=""),"",IF(OR(B6=$AZ$24,B6=$AZ$25,B6=$AZ$26,B6=$AZ$27,B6=$AZ$28,B6=$AZ$29),"",IF(AND('Master Data'!$C$14=$AR$5),'Master Data'!$E$16,"")))),"")</f>
        <v>500</v>
      </c>
      <c r="S6" s="86">
        <f>IFERROR(IF(B6="","",IF(AND(BS12=""),"",IF(OR(B6=$AZ$24,B6=$AZ$25,B6=$AZ$26,B6=$AZ$27,B6=$AZ$28,B6=$AZ$29),"",IF(AND('Master Data'!$C$14=$AR$5),VLOOKUP(B6,om,10,0),"")))),"")</f>
        <v>658</v>
      </c>
      <c r="T6" s="209"/>
      <c r="U6" s="209">
        <v>0</v>
      </c>
      <c r="V6" s="209">
        <v>0</v>
      </c>
      <c r="W6" s="86">
        <f>IFERROR(IF(B6="","",IF(AND(BS12=""),"",IF(OR(B6=$AZ$24,B6=$AZ$25,B6=$AZ$26,B6=$AZ$27,B6=$AZ$28,B6=$AZ$29),"",IF(AND('Master Data'!$C$14=$AR$5),'Master Data'!$C$19,"")))),"")</f>
        <v>200</v>
      </c>
      <c r="X6" s="86" t="str">
        <f>IFERROR(IF(OR('Master Data'!$C$14=$AR$6,B6=""),"",IF(AND(C6=""),"",IF(AND(B6=$AV$17,'Master Data'!$C$5="Gazetted"),500,IF(AND(B6=$AV$17,'Master Data'!$C$5="Non-Gazetted"),250,"")))),"")</f>
        <v/>
      </c>
      <c r="Y6" s="86">
        <f>IFERROR(IF(B6="","",IF(AND(BS12=""),"",IF(OR(B6=$AZ$24,B6=$AZ$25,B6=$AZ$26,B6=$AZ$27,B6=$AZ$28,B6=$AZ$29),"",IF(AND('Master Data'!$C$14=$AR$5),'Master Data'!$E$19,"")))),"")</f>
        <v>0</v>
      </c>
      <c r="Z6" s="86">
        <f>IFERROR(IF(B6="","",IF(AND(BS12=""),"",IF(OR(B6=$AZ$24,B6=$AZ$25,B6=$AZ$26,B6=$AZ$27,B6=$AZ$28,B6=$AZ$29),"",IF(AND('Master Data'!$C$14=$AR$5),VLOOKUP(B6,om,9,0),"")))),"")</f>
        <v>2000</v>
      </c>
      <c r="AA6" s="86">
        <f>IFERROR(IF(OR('Master Data'!$C$14=$AR$6,B6="",'Master Data'!$C$11=""),"",IF(AND(C6=""),"",IF(B6=$AV$8,'Master Data'!$C$16,""))),"")</f>
        <v>220</v>
      </c>
      <c r="AB6" s="86">
        <f>IF(B6="","",SUM(P6:AA6))</f>
        <v>13578</v>
      </c>
      <c r="AC6" s="86">
        <f>IFERROR(IF(AND(B6="",O6="",AB6=""),"",SUM(O6-AB6)),"")</f>
        <v>50190</v>
      </c>
      <c r="AD6" s="86"/>
      <c r="AE6" s="87"/>
      <c r="AO6" s="168"/>
      <c r="AP6" s="167" t="s">
        <v>286</v>
      </c>
      <c r="AQ6" s="168" t="s">
        <v>144</v>
      </c>
      <c r="AR6" s="168" t="s">
        <v>260</v>
      </c>
      <c r="AS6" s="168" t="s">
        <v>261</v>
      </c>
      <c r="AT6" s="168"/>
      <c r="AU6" s="168">
        <v>620</v>
      </c>
      <c r="AV6" s="171"/>
      <c r="AW6" s="168"/>
      <c r="AX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07"/>
      <c r="CE6" s="107"/>
    </row>
    <row r="7" spans="1:84" ht="24" customHeight="1">
      <c r="A7" s="84">
        <v>2</v>
      </c>
      <c r="B7" s="85">
        <f t="shared" ref="B7:B26" si="0">IFERROR(IF(BQ13="","",BQ13),"")</f>
        <v>44652</v>
      </c>
      <c r="C7" s="86">
        <f>IFERROR(IF(B7="","",IF(AND(BS13=""),"",IF(B7=$AZ$24,"",IF(AND('Master Data'!$C$14=$AR$6),VLOOKUP(B7,om,13,0),VLOOKUP(B7,om,4,0))))),"")</f>
        <v>38600</v>
      </c>
      <c r="D7" s="86">
        <f>IFERROR(IF(B7="","",IF(AND(BS13=""),"",IF(OR(B7=$AZ$24),"",IF(AND('Master Data'!$C$14=$AR$5),VLOOKUP(B7,om,7,0),"")))),"")</f>
        <v>13124</v>
      </c>
      <c r="E7" s="86">
        <f>IFERROR(IF(B7="","",IF(AND(BS13=""),"",IF(OR(B7=$AZ$24,B7=$AZ$25,B7=$AZ$26,B7=$AZ$27,B7=$AZ$28,B7=$AZ$29),"",IF(AND('Master Data'!$C$14=$AR$5),VLOOKUP(B7,om,8,0),"")))),"")</f>
        <v>6948</v>
      </c>
      <c r="F7" s="86">
        <f>IFERROR(IF(B7="","",IF(AND(C7="",D7=""),"",IF(B7=$AZ$24,"",IF(AND(B7=$AZ$25),"",IF(AND(B7=$AZ$29),"",IF(AND('Master Data'!$C$14=$AR$6),"",IF('GA55'!C7="",ROUND(('GA55'!D7)/12,0),ROUND(('GA55'!C7+'GA55'!D7)/12,0)))))))),"")</f>
        <v>4310</v>
      </c>
      <c r="G7" s="86">
        <f>IFERROR(IF(B7="","",IF(AND(BS13=""),"",IF(OR(B7=$AZ$24,B7=$AZ$25,B7=$AZ$26,B7=$AZ$27,B7=$AZ$28,B7=$AZ$29),"",IF(AND('Master Data'!$C$14=$AR$5),G6,"")))),"")</f>
        <v>0</v>
      </c>
      <c r="H7" s="86">
        <f>IFERROR(IF(B7="","",IF(AND(BS13=""),"",IF(OR(B7=$AZ$24,B7=$AZ$25,B7=$AZ$26,B7=$AZ$27,B7=$AZ$28,B7=$AZ$29),"",IF(AND('Master Data'!$C$14=$AR$5),H6,"")))),"")</f>
        <v>0</v>
      </c>
      <c r="I7" s="86" t="str">
        <f>IFERROR(IF(B7="","",IF(AND(BS13=""),"",IF('Master Data'!$E$12="NO","",IF(OR(B7=$AZ$24,B7=$AZ$25,B7=$AZ$26,B7=$AZ$27,B7=$AZ$28,B7=$AZ$29),"",IF(AND('Master Data'!$C$14=$AR$6),"",IF(AND('Master Data'!$E$13=$AT$9),$AU$6,IF(AND('Master Data'!$E$13=$AT$10),$AU$6,IF(AND('Master Data'!$E$13=$AT$11),$AU$6,IF(AND('Master Data'!$E$13=$AT$12),$AU$6,$AU$5))))))))),"")</f>
        <v/>
      </c>
      <c r="J7" s="209">
        <v>2200</v>
      </c>
      <c r="K7" s="86">
        <f>IFERROR(IF(B7="","",IF(AND(BS13=""),"",IF(OR(B7=$AZ$24,B7=$AZ$25,B7=$AZ$26,B7=$AZ$27,B7=$AZ$28,B7=$AZ$29),"",IF(AND('Master Data'!$C$14=$AR$5),K6,"")))),"")</f>
        <v>40</v>
      </c>
      <c r="L7" s="86">
        <f>IFERROR(IF(B7="","",IF(AND(BS13=""),"",IF(OR(B7=$AZ$24,B7=$AZ$25,B7=$AZ$26,B7=$AZ$27,B7=$AZ$28,B7=$AZ$29),"",IF(AND('Master Data'!$C$14=$AR$5),L6,"")))),"")</f>
        <v>0</v>
      </c>
      <c r="M7" s="86" t="str">
        <f>IFERROR(IF(B7="","",IF(AND('Master Data'!$C$14=$AR$6),"",IF(AND('Master Data'!$C$15&lt;&gt;0),IF(AND(B7="Bonus"),VLOOKUP(B7,om,4,0),"")))),"")</f>
        <v/>
      </c>
      <c r="N7" s="86">
        <f>IFERROR(IF(B7="","",IF(AND(BS13=""),"",IF(OR(B7=$AZ$24,B7=$AZ$25,B7=$AZ$26,B7=$AZ$27,B7=$AZ$28,B7=$AZ$29),"",IF(AND('Master Data'!$C$14=$AR$5),N6,"")))),"")</f>
        <v>0</v>
      </c>
      <c r="O7" s="86">
        <f t="shared" ref="O7:O26" si="1">IF(B7="","",SUM(C7:N7))</f>
        <v>65222</v>
      </c>
      <c r="P7" s="86">
        <f>IFERROR(IF(B7="","",IF(AND(BS13=""),"",IF(OR(B7=$AZ$24,B7=$AZ$25,B7=$AZ$26,B7=$AZ$27,B7=$AZ$28,B7=$AZ$29),"",IF(AND('Master Data'!$C$14=$AR$5),VLOOKUP(B7,om,11,0),"")))),"")</f>
        <v>5000</v>
      </c>
      <c r="Q7" s="86">
        <f>IFERROR(IF(B7="","",IF(AND(BS13=""),"",IF(OR(B7=$AZ$25),"",IF(AND('Master Data'!$C$14=$AR$5),VLOOKUP(B7,om,12,0),"")))),"")</f>
        <v>5000</v>
      </c>
      <c r="R7" s="86">
        <f>IFERROR(IF(B7="","",IF(AND(BS13=""),"",IF(OR(B7=$AZ$24,B7=$AZ$25,B7=$AZ$26,B7=$AZ$27,B7=$AZ$28,B7=$AZ$29),"",IF(AND('Master Data'!$C$14=$AR$5),'Master Data'!$E$16,"")))),"")</f>
        <v>500</v>
      </c>
      <c r="S7" s="86">
        <f>IFERROR(IF(B7="","",IF(AND(BS13=""),"",IF(OR(B7=$AZ$24,B7=$AZ$25,B7=$AZ$26,B7=$AZ$27,B7=$AZ$28,B7=$AZ$29),"",IF(AND('Master Data'!$C$14=$AR$5),VLOOKUP(B7,om,10,0),"")))),"")</f>
        <v>658</v>
      </c>
      <c r="T7" s="86">
        <f>IFERROR(IF(B7="","",IF(AND(BS13=""),"",IF(OR(B7=$AZ$24,B7=$AZ$25,B7=$AZ$26,B7=$AZ$27,B7=$AZ$28,B7=$AZ$29),"",IF(AND('Master Data'!$C$14=$AR$5),T6,"")))),"")</f>
        <v>0</v>
      </c>
      <c r="U7" s="86">
        <f>IFERROR(IF(B7="","",IF(AND(BS13=""),"",IF(OR(B7=$AZ$24,B7=$AZ$25,B7=$AZ$26,B7=$AZ$27,B7=$AZ$28,B7=$AZ$29),"",IF(AND('Master Data'!$C$14=$AR$5),U6,"")))),"")</f>
        <v>0</v>
      </c>
      <c r="V7" s="86">
        <f>IFERROR(IF(B7="","",IF(AND(BS13=""),"",IF(OR(B7=$AZ$24,B7=$AZ$25,B7=$AZ$26,B7=$AZ$27,B7=$AZ$28,B7=$AZ$29),"",IF(AND('Master Data'!$C$14=$AR$5),V6,"")))),"")</f>
        <v>0</v>
      </c>
      <c r="W7" s="86">
        <f>IFERROR(IF(B7="","",IF(AND(BS13=""),"",IF(OR(B7=$AZ$24,B7=$AZ$25,B7=$AZ$26,B7=$AZ$27,B7=$AZ$28,B7=$AZ$29),"",IF(AND('Master Data'!$C$14=$AR$5),W6,"")))),"")</f>
        <v>200</v>
      </c>
      <c r="X7" s="86" t="str">
        <f>IFERROR(IF(OR('Master Data'!$C$14=$AR$6,B7=""),"",IF(AND(C7=""),"",IF(AND(B7=$AV$17,'Master Data'!$C$5="Gazetted"),500,IF(AND(B7=$AV$17,'Master Data'!$C$5="Non-Gazetted"),250,"")))),"")</f>
        <v/>
      </c>
      <c r="Y7" s="86">
        <f>IFERROR(IF(B7="","",IF(AND(BS13=""),"",IF(OR(B7=$AZ$24,B7=$AZ$25,B7=$AZ$26,B7=$AZ$27,B7=$AZ$28,B7=$AZ$29),"",IF(AND('Master Data'!$C$14=$AR$5),Y6,"")))),"")</f>
        <v>0</v>
      </c>
      <c r="Z7" s="86">
        <f>IFERROR(IF(B7="","",IF(AND(BS13=""),"",IF(OR(B7=$AZ$24,B7=$AZ$25,B7=$AZ$26,B7=$AZ$27,B7=$AZ$28,B7=$AZ$29),"",IF(AND('Master Data'!$C$14=$AR$5),VLOOKUP(B7,om,9,0),"")))),"")</f>
        <v>2000</v>
      </c>
      <c r="AA7" s="86" t="str">
        <f>IFERROR(IF(OR('Master Data'!$C$14=$AR$6,B7="",'Master Data'!$C$11=""),"",IF(AND(C7=""),"",IF(B7=$AV$8,'Master Data'!$C$16,""))),"")</f>
        <v/>
      </c>
      <c r="AB7" s="86">
        <f t="shared" ref="AB7:AB26" si="2">IF(B7="","",SUM(P7:AA7))</f>
        <v>13358</v>
      </c>
      <c r="AC7" s="86">
        <f t="shared" ref="AC7:AC26" si="3">IFERROR(IF(AND(B7="",O7="",AB7=""),"",SUM(O7-AB7)),"")</f>
        <v>51864</v>
      </c>
      <c r="AD7" s="86"/>
      <c r="AE7" s="87"/>
      <c r="AO7" s="168"/>
      <c r="AP7" s="168"/>
      <c r="AQ7" s="168"/>
      <c r="AR7" s="168"/>
      <c r="AS7" s="168" t="s">
        <v>262</v>
      </c>
      <c r="AT7" s="168"/>
      <c r="AU7" s="168"/>
      <c r="AV7" s="171"/>
      <c r="AW7" s="168"/>
      <c r="AX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07"/>
      <c r="CE7" s="107"/>
    </row>
    <row r="8" spans="1:84" ht="24" customHeight="1" thickBot="1">
      <c r="A8" s="84">
        <v>3</v>
      </c>
      <c r="B8" s="85">
        <f>IFERROR(IF(BQ14="","",BQ14),"")</f>
        <v>44682</v>
      </c>
      <c r="C8" s="86">
        <f>IFERROR(IF(B8="","",IF(AND(BS14=""),"",IF(B8=$AZ$24,"",IF(AND('Master Data'!$C$14=$AR$6),VLOOKUP(B8,om,13,0),VLOOKUP(B8,om,4,0))))),"")</f>
        <v>38600</v>
      </c>
      <c r="D8" s="86">
        <f>IFERROR(IF(B8="","",IF(AND(BS14=""),"",IF(OR(B8=$AZ$24),"",IF(AND('Master Data'!$C$14=$AR$5),VLOOKUP(B8,om,7,0),"")))),"")</f>
        <v>13124</v>
      </c>
      <c r="E8" s="86">
        <f>IFERROR(IF(B8="","",IF(AND(BS14=""),"",IF(OR(B8=$AZ$24,B8=$AZ$25,B8=$AZ$26,B8=$AZ$27,B8=$AZ$28,B8=$AZ$29),"",IF(AND('Master Data'!$C$14=$AR$5),VLOOKUP(B8,om,8,0),"")))),"")</f>
        <v>6948</v>
      </c>
      <c r="F8" s="86">
        <f>IFERROR(IF(B8="","",IF(AND(C8="",D8=""),"",IF(B8=$AZ$24,"",IF(AND(B8=$AZ$25),"",IF(AND(B8=$AZ$29),"",IF(AND('Master Data'!$C$14=$AR$6),"",IF('GA55'!C8="",ROUND(('GA55'!D8)/12,0),ROUND(('GA55'!C8+'GA55'!D8)/12,0)))))))),"")</f>
        <v>4310</v>
      </c>
      <c r="G8" s="86">
        <f>IFERROR(IF(B8="","",IF(AND(BS14=""),"",IF(OR(B8=$AZ$24,B8=$AZ$25,B8=$AZ$26,B8=$AZ$27,B8=$AZ$28,B8=$AZ$29),"",IF(AND('Master Data'!$C$14=$AR$5),G7,"")))),"")</f>
        <v>0</v>
      </c>
      <c r="H8" s="86">
        <f>IFERROR(IF(B8="","",IF(AND(BS14=""),"",IF(OR(B8=$AZ$24,B8=$AZ$25,B8=$AZ$26,B8=$AZ$27,B8=$AZ$28,B8=$AZ$29),"",IF(AND('Master Data'!$C$14=$AR$5),H7,"")))),"")</f>
        <v>0</v>
      </c>
      <c r="I8" s="86" t="str">
        <f>IFERROR(IF(B8="","",IF(AND(BS14=""),"",IF('Master Data'!$E$12="NO","",IF(OR(B8=$AZ$24,B8=$AZ$25,B8=$AZ$26,B8=$AZ$27,B8=$AZ$28,B8=$AZ$29),"",IF(AND('Master Data'!$C$14=$AR$6),"",IF(AND('Master Data'!$E$13=$AT$9),$AU$6,IF(AND('Master Data'!$E$13=$AT$10),$AU$6,IF(AND('Master Data'!$E$13=$AT$11),$AU$6,IF(AND('Master Data'!$E$13=$AT$12),$AU$6,$AU$5))))))))),"")</f>
        <v/>
      </c>
      <c r="J8" s="86">
        <f>IFERROR(IF(B8="","",IF(AND(BS14=""),"",IF(OR(B8=$AZ$24,B8=$AZ$25,B8=$AZ$26,B8=$AZ$27,B8=$AZ$28,B8=$AZ$29),"",IF(AND('Master Data'!$C$14=$AR$5),J7)))),"")</f>
        <v>2200</v>
      </c>
      <c r="K8" s="86">
        <f>IFERROR(IF(B8="","",IF(AND(BS14=""),"",IF(OR(B8=$AZ$24,B8=$AZ$25,B8=$AZ$26,B8=$AZ$27,B8=$AZ$28,B8=$AZ$29),"",IF(AND('Master Data'!$C$14=$AR$5),K7,"")))),"")</f>
        <v>40</v>
      </c>
      <c r="L8" s="86">
        <f>IFERROR(IF(B8="","",IF(AND(BS14=""),"",IF(OR(B8=$AZ$24,B8=$AZ$25,B8=$AZ$26,B8=$AZ$27,B8=$AZ$28,B8=$AZ$29),"",IF(AND('Master Data'!$C$14=$AR$5),L7,"")))),"")</f>
        <v>0</v>
      </c>
      <c r="M8" s="86" t="str">
        <f>IFERROR(IF(B8="","",IF(AND('Master Data'!$C$14=$AR$6),"",IF(AND('Master Data'!$C$15&lt;&gt;0),IF(AND(B8="Bonus"),VLOOKUP(B8,om,4,0),"")))),"")</f>
        <v/>
      </c>
      <c r="N8" s="86">
        <f>IFERROR(IF(B8="","",IF(AND(BS14=""),"",IF(OR(B8=$AZ$24,B8=$AZ$25,B8=$AZ$26,B8=$AZ$27,B8=$AZ$28,B8=$AZ$29),"",IF(AND('Master Data'!$C$14=$AR$5),N7,"")))),"")</f>
        <v>0</v>
      </c>
      <c r="O8" s="86">
        <f t="shared" si="1"/>
        <v>65222</v>
      </c>
      <c r="P8" s="86">
        <f>IFERROR(IF(B8="","",IF(AND(BS14=""),"",IF(OR(B8=$AZ$24,B8=$AZ$25,B8=$AZ$26,B8=$AZ$27,B8=$AZ$28,B8=$AZ$29),"",IF(AND('Master Data'!$C$14=$AR$5),VLOOKUP(B8,om,11,0),"")))),"")</f>
        <v>5000</v>
      </c>
      <c r="Q8" s="86">
        <f>IFERROR(IF(B8="","",IF(AND(BS14=""),"",IF(OR(B8=$AZ$25),"",IF(AND('Master Data'!$C$14=$AR$5),VLOOKUP(B8,om,12,0),"")))),"")</f>
        <v>5000</v>
      </c>
      <c r="R8" s="86">
        <f>IFERROR(IF(B8="","",IF(AND(BS14=""),"",IF(OR(B8=$AZ$24,B8=$AZ$25,B8=$AZ$26,B8=$AZ$27,B8=$AZ$28,B8=$AZ$29),"",IF(AND('Master Data'!$C$14=$AR$5),'Master Data'!$E$16,"")))),"")</f>
        <v>500</v>
      </c>
      <c r="S8" s="86">
        <f>IFERROR(IF(B8="","",IF(AND(BS14=""),"",IF(OR(B8=$AZ$24,B8=$AZ$25,B8=$AZ$26,B8=$AZ$27,B8=$AZ$28,B8=$AZ$29),"",IF(AND('Master Data'!$C$14=$AR$5),VLOOKUP(B8,om,10,0),"")))),"")</f>
        <v>658</v>
      </c>
      <c r="T8" s="86">
        <f>IFERROR(IF(B8="","",IF(AND(BS14=""),"",IF(OR(B8=$AZ$24,B8=$AZ$25,B8=$AZ$26,B8=$AZ$27,B8=$AZ$28,B8=$AZ$29),"",IF(AND('Master Data'!$C$14=$AR$5),T7,"")))),"")</f>
        <v>0</v>
      </c>
      <c r="U8" s="86">
        <f>IFERROR(IF(B8="","",IF(AND(BS14=""),"",IF(OR(B8=$AZ$24,B8=$AZ$25,B8=$AZ$26,B8=$AZ$27,B8=$AZ$28,B8=$AZ$29),"",IF(AND('Master Data'!$C$14=$AR$5),U7,"")))),"")</f>
        <v>0</v>
      </c>
      <c r="V8" s="86">
        <f>IFERROR(IF(B8="","",IF(AND(BS14=""),"",IF(OR(B8=$AZ$24,B8=$AZ$25,B8=$AZ$26,B8=$AZ$27,B8=$AZ$28,B8=$AZ$29),"",IF(AND('Master Data'!$C$14=$AR$5),V7,"")))),"")</f>
        <v>0</v>
      </c>
      <c r="W8" s="86">
        <f>IFERROR(IF(B8="","",IF(AND(BS14=""),"",IF(OR(B8=$AZ$24,B8=$AZ$25,B8=$AZ$26,B8=$AZ$27,B8=$AZ$28,B8=$AZ$29),"",IF(AND('Master Data'!$C$14=$AR$5),W7,"")))),"")</f>
        <v>200</v>
      </c>
      <c r="X8" s="86" t="str">
        <f>IFERROR(IF(OR('Master Data'!$C$14=$AR$6,B8=""),"",IF(AND(C8=""),"",IF(AND(B8=$AV$17,'Master Data'!$C$5="Gazetted"),500,IF(AND(B8=$AV$17,'Master Data'!$C$5="Non-Gazetted"),250,"")))),"")</f>
        <v/>
      </c>
      <c r="Y8" s="86">
        <f>IFERROR(IF(B8="","",IF(AND(BS14=""),"",IF(OR(B8=$AZ$24,B8=$AZ$25,B8=$AZ$26,B8=$AZ$27,B8=$AZ$28,B8=$AZ$29),"",IF(AND('Master Data'!$C$14=$AR$5),Y7,"")))),"")</f>
        <v>0</v>
      </c>
      <c r="Z8" s="86">
        <f>IFERROR(IF(B8="","",IF(AND(BS14=""),"",IF(OR(B8=$AZ$24,B8=$AZ$25,B8=$AZ$26,B8=$AZ$27,B8=$AZ$28,B8=$AZ$29),"",IF(AND('Master Data'!$C$14=$AR$5),VLOOKUP(B8,om,9,0),"")))),"")</f>
        <v>2000</v>
      </c>
      <c r="AA8" s="86" t="str">
        <f>IFERROR(IF(OR('Master Data'!$C$14=$AR$6,B8="",'Master Data'!$C$11=""),"",IF(AND(C8=""),"",IF(B8=$AV$8,'Master Data'!$C$16,""))),"")</f>
        <v/>
      </c>
      <c r="AB8" s="86">
        <f t="shared" si="2"/>
        <v>13358</v>
      </c>
      <c r="AC8" s="86">
        <f t="shared" si="3"/>
        <v>51864</v>
      </c>
      <c r="AD8" s="86"/>
      <c r="AE8" s="87"/>
      <c r="AI8" s="159"/>
      <c r="AO8" s="160"/>
      <c r="AP8" s="160"/>
      <c r="AQ8" s="160"/>
      <c r="AR8" s="160"/>
      <c r="AS8" s="160"/>
      <c r="AT8" s="160" t="s">
        <v>263</v>
      </c>
      <c r="AU8" s="160" t="s">
        <v>264</v>
      </c>
      <c r="AV8" s="171">
        <v>44621</v>
      </c>
      <c r="AW8" s="160" t="s">
        <v>146</v>
      </c>
      <c r="AX8" s="160"/>
      <c r="AZ8" s="172">
        <v>44621</v>
      </c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69"/>
      <c r="CE8" s="69"/>
    </row>
    <row r="9" spans="1:84" ht="24" customHeight="1">
      <c r="A9" s="84">
        <v>4</v>
      </c>
      <c r="B9" s="85">
        <f t="shared" si="0"/>
        <v>44713</v>
      </c>
      <c r="C9" s="86">
        <f>IFERROR(IF(B9="","",IF(AND(BS15=""),"",IF(B9=$AZ$24,"",IF(AND('Master Data'!$C$14=$AR$6),VLOOKUP(B9,om,13,0),VLOOKUP(B9,om,4,0))))),"")</f>
        <v>38600</v>
      </c>
      <c r="D9" s="86">
        <f>IFERROR(IF(B9="","",IF(AND(BS15=""),"",IF(OR(B9=$AZ$24),"",IF(AND('Master Data'!$C$14=$AR$5),VLOOKUP(B9,om,7,0),"")))),"")</f>
        <v>13124</v>
      </c>
      <c r="E9" s="86">
        <f>IFERROR(IF(B9="","",IF(AND(BS15=""),"",IF(OR(B9=$AZ$24,B9=$AZ$25,B9=$AZ$26,B9=$AZ$27,B9=$AZ$28,B9=$AZ$29),"",IF(AND('Master Data'!$C$14=$AR$5),VLOOKUP(B9,om,8,0),"")))),"")</f>
        <v>6948</v>
      </c>
      <c r="F9" s="86">
        <f>IFERROR(IF(B9="","",IF(AND(C9="",D9=""),"",IF(B9=$AZ$24,"",IF(AND(B9=$AZ$25),"",IF(AND(B9=$AZ$29),"",IF(AND('Master Data'!$C$14=$AR$6),"",IF('GA55'!C9="",ROUND(('GA55'!D9)/12,0),ROUND(('GA55'!C9+'GA55'!D9)/12,0)))))))),"")</f>
        <v>4310</v>
      </c>
      <c r="G9" s="86">
        <f>IFERROR(IF(B9="","",IF(AND(BS15=""),"",IF(OR(B9=$AZ$24,B9=$AZ$25,B9=$AZ$26,B9=$AZ$27,B9=$AZ$28,B9=$AZ$29),"",IF(AND('Master Data'!$C$14=$AR$5),G8,"")))),"")</f>
        <v>0</v>
      </c>
      <c r="H9" s="86">
        <f>IFERROR(IF(B9="","",IF(AND(BS15=""),"",IF(OR(B9=$AZ$24,B9=$AZ$25,B9=$AZ$26,B9=$AZ$27,B9=$AZ$28,B9=$AZ$29),"",IF(AND('Master Data'!$C$14=$AR$5),H8,"")))),"")</f>
        <v>0</v>
      </c>
      <c r="I9" s="86" t="str">
        <f>IFERROR(IF(B9="","",IF(AND(BS15=""),"",IF('Master Data'!$E$12="NO","",IF(OR(B9=$AZ$24,B9=$AZ$25,B9=$AZ$26,B9=$AZ$27,B9=$AZ$28,B9=$AZ$29),"",IF(AND('Master Data'!$C$14=$AR$6),"",IF(AND('Master Data'!$E$13=$AT$9),$AU$6,IF(AND('Master Data'!$E$13=$AT$10),$AU$6,IF(AND('Master Data'!$E$13=$AT$11),$AU$6,IF(AND('Master Data'!$E$13=$AT$12),$AU$6,$AU$5))))))))),"")</f>
        <v/>
      </c>
      <c r="J9" s="86">
        <f>IFERROR(IF(B9="","",IF(AND(BS15=""),"",IF(OR(B9=$AZ$24,B9=$AZ$25,B9=$AZ$26,B9=$AZ$27,B9=$AZ$28,B9=$AZ$29),"",IF(AND('Master Data'!$C$14=$AR$5),J8)))),"")</f>
        <v>2200</v>
      </c>
      <c r="K9" s="86">
        <f>IFERROR(IF(B9="","",IF(AND(BS15=""),"",IF(OR(B9=$AZ$24,B9=$AZ$25,B9=$AZ$26,B9=$AZ$27,B9=$AZ$28,B9=$AZ$29),"",IF(AND('Master Data'!$C$14=$AR$5),K8,"")))),"")</f>
        <v>40</v>
      </c>
      <c r="L9" s="86">
        <f>IFERROR(IF(B9="","",IF(AND(BS15=""),"",IF(OR(B9=$AZ$24,B9=$AZ$25,B9=$AZ$26,B9=$AZ$27,B9=$AZ$28,B9=$AZ$29),"",IF(AND('Master Data'!$C$14=$AR$5),L8,"")))),"")</f>
        <v>0</v>
      </c>
      <c r="M9" s="86" t="str">
        <f>IFERROR(IF(B9="","",IF(AND('Master Data'!$C$14=$AR$6),"",IF(AND('Master Data'!$C$15&lt;&gt;0),IF(AND(B9="Bonus"),VLOOKUP(B9,om,4,0),"")))),"")</f>
        <v/>
      </c>
      <c r="N9" s="86">
        <f>IFERROR(IF(B9="","",IF(AND(BS15=""),"",IF(OR(B9=$AZ$24,B9=$AZ$25,B9=$AZ$26,B9=$AZ$27,B9=$AZ$28,B9=$AZ$29),"",IF(AND('Master Data'!$C$14=$AR$5),N8,"")))),"")</f>
        <v>0</v>
      </c>
      <c r="O9" s="86">
        <f t="shared" si="1"/>
        <v>65222</v>
      </c>
      <c r="P9" s="86">
        <f>IFERROR(IF(B9="","",IF(AND(BS15=""),"",IF(OR(B9=$AZ$24,B9=$AZ$25,B9=$AZ$26,B9=$AZ$27,B9=$AZ$28,B9=$AZ$29),"",IF(AND('Master Data'!$C$14=$AR$5),VLOOKUP(B9,om,11,0),"")))),"")</f>
        <v>5000</v>
      </c>
      <c r="Q9" s="86">
        <f>IFERROR(IF(B9="","",IF(AND(BS15=""),"",IF(OR(B9=$AZ$25),"",IF(AND('Master Data'!$C$14=$AR$5),VLOOKUP(B9,om,12,0),"")))),"")</f>
        <v>5000</v>
      </c>
      <c r="R9" s="86">
        <f>IFERROR(IF(B9="","",IF(AND(BS15=""),"",IF(OR(B9=$AZ$24,B9=$AZ$25,B9=$AZ$26,B9=$AZ$27,B9=$AZ$28,B9=$AZ$29),"",IF(AND('Master Data'!$C$14=$AR$5),'Master Data'!$E$16,"")))),"")</f>
        <v>500</v>
      </c>
      <c r="S9" s="86">
        <f>IFERROR(IF(B9="","",IF(AND(BS15=""),"",IF(OR(B9=$AZ$24,B9=$AZ$25,B9=$AZ$26,B9=$AZ$27,B9=$AZ$28,B9=$AZ$29),"",IF(AND('Master Data'!$C$14=$AR$5),VLOOKUP(B9,om,10,0),"")))),"")</f>
        <v>658</v>
      </c>
      <c r="T9" s="86">
        <f>IFERROR(IF(B9="","",IF(AND(BS15=""),"",IF(OR(B9=$AZ$24,B9=$AZ$25,B9=$AZ$26,B9=$AZ$27,B9=$AZ$28,B9=$AZ$29),"",IF(AND('Master Data'!$C$14=$AR$5),T8,"")))),"")</f>
        <v>0</v>
      </c>
      <c r="U9" s="86">
        <f>IFERROR(IF(B9="","",IF(AND(BS15=""),"",IF(OR(B9=$AZ$24,B9=$AZ$25,B9=$AZ$26,B9=$AZ$27,B9=$AZ$28,B9=$AZ$29),"",IF(AND('Master Data'!$C$14=$AR$5),U8,"")))),"")</f>
        <v>0</v>
      </c>
      <c r="V9" s="86">
        <f>IFERROR(IF(B9="","",IF(AND(BS15=""),"",IF(OR(B9=$AZ$24,B9=$AZ$25,B9=$AZ$26,B9=$AZ$27,B9=$AZ$28,B9=$AZ$29),"",IF(AND('Master Data'!$C$14=$AR$5),V8,"")))),"")</f>
        <v>0</v>
      </c>
      <c r="W9" s="86">
        <f>IFERROR(IF(B9="","",IF(AND(BS15=""),"",IF(OR(B9=$AZ$24,B9=$AZ$25,B9=$AZ$26,B9=$AZ$27,B9=$AZ$28,B9=$AZ$29),"",IF(AND('Master Data'!$C$14=$AR$5),W8,"")))),"")</f>
        <v>200</v>
      </c>
      <c r="X9" s="86" t="str">
        <f>IFERROR(IF(OR('Master Data'!$C$14=$AR$6,B9=""),"",IF(AND(C9=""),"",IF(AND(B9=$AV$17,'Master Data'!$C$5="Gazetted"),500,IF(AND(B9=$AV$17,'Master Data'!$C$5="Non-Gazetted"),250,"")))),"")</f>
        <v/>
      </c>
      <c r="Y9" s="86">
        <f>IFERROR(IF(B9="","",IF(AND(BS15=""),"",IF(OR(B9=$AZ$24,B9=$AZ$25,B9=$AZ$26,B9=$AZ$27,B9=$AZ$28,B9=$AZ$29),"",IF(AND('Master Data'!$C$14=$AR$5),Y8,"")))),"")</f>
        <v>0</v>
      </c>
      <c r="Z9" s="86">
        <f>IFERROR(IF(B9="","",IF(AND(BS15=""),"",IF(OR(B9=$AZ$24,B9=$AZ$25,B9=$AZ$26,B9=$AZ$27,B9=$AZ$28,B9=$AZ$29),"",IF(AND('Master Data'!$C$14=$AR$5),VLOOKUP(B9,om,9,0),"")))),"")</f>
        <v>2000</v>
      </c>
      <c r="AA9" s="86" t="str">
        <f>IFERROR(IF(OR('Master Data'!$C$14=$AR$6,B9="",'Master Data'!$C$11=""),"",IF(AND(C9=""),"",IF(B9=$AV$8,'Master Data'!$C$16,""))),"")</f>
        <v/>
      </c>
      <c r="AB9" s="86">
        <f t="shared" si="2"/>
        <v>13358</v>
      </c>
      <c r="AC9" s="86">
        <f t="shared" si="3"/>
        <v>51864</v>
      </c>
      <c r="AD9" s="86"/>
      <c r="AE9" s="87"/>
      <c r="AI9" s="158"/>
      <c r="AO9" s="160"/>
      <c r="AP9" s="160"/>
      <c r="AQ9" s="160"/>
      <c r="AR9" s="160"/>
      <c r="AS9" s="160"/>
      <c r="AT9" s="160" t="s">
        <v>265</v>
      </c>
      <c r="AU9" s="160" t="s">
        <v>266</v>
      </c>
      <c r="AV9" s="171">
        <v>44652</v>
      </c>
      <c r="AW9" s="160" t="s">
        <v>147</v>
      </c>
      <c r="AX9" s="160"/>
      <c r="AY9" s="173"/>
      <c r="AZ9" s="174"/>
      <c r="BA9" s="174"/>
      <c r="BB9" s="175">
        <v>44985</v>
      </c>
      <c r="BC9" s="174"/>
      <c r="BD9" s="174"/>
      <c r="BE9" s="174"/>
      <c r="BF9" s="174"/>
      <c r="BG9" s="174"/>
      <c r="BH9" s="174"/>
      <c r="BI9" s="174"/>
      <c r="BJ9" s="174"/>
      <c r="BK9" s="176"/>
      <c r="BL9" s="177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69"/>
      <c r="CE9" s="69"/>
    </row>
    <row r="10" spans="1:84" ht="24" customHeight="1">
      <c r="A10" s="84">
        <v>5</v>
      </c>
      <c r="B10" s="85">
        <f t="shared" si="0"/>
        <v>44743</v>
      </c>
      <c r="C10" s="86">
        <f>IFERROR(IF(B10="","",IF(AND(BS16=""),"",IF(B10=$AZ$24,"",IF(AND('Master Data'!$C$14=$AR$6),VLOOKUP(B10,om,13,0),VLOOKUP(B10,om,4,0))))),"")</f>
        <v>39800</v>
      </c>
      <c r="D10" s="86">
        <f>IFERROR(IF(B10="","",IF(AND(BS16=""),"",IF(OR(B10=$AZ$24),"",IF(AND('Master Data'!$C$14=$AR$5),VLOOKUP(B10,om,7,0),"")))),"")</f>
        <v>13532</v>
      </c>
      <c r="E10" s="86">
        <f>IFERROR(IF(B10="","",IF(AND(BS16=""),"",IF(OR(B10=$AZ$24,B10=$AZ$25,B10=$AZ$26,B10=$AZ$27,B10=$AZ$28,B10=$AZ$29),"",IF(AND('Master Data'!$C$14=$AR$5),VLOOKUP(B10,om,8,0),"")))),"")</f>
        <v>7164</v>
      </c>
      <c r="F10" s="86">
        <f>IFERROR(IF(B10="","",IF(AND(C10="",D10=""),"",IF(B10=$AZ$24,"",IF(AND(B10=$AZ$25),"",IF(AND(B10=$AZ$29),"",IF(AND('Master Data'!$C$14=$AR$6),"",IF('GA55'!C10="",ROUND(('GA55'!D10)/12,0),ROUND(('GA55'!C10+'GA55'!D10)/12,0)))))))),"")</f>
        <v>4444</v>
      </c>
      <c r="G10" s="86">
        <f>IFERROR(IF(B10="","",IF(AND(BS16=""),"",IF(OR(B10=$AZ$24,B10=$AZ$25,B10=$AZ$26,B10=$AZ$27,B10=$AZ$28,B10=$AZ$29),"",IF(AND('Master Data'!$C$14=$AR$5),G9,"")))),"")</f>
        <v>0</v>
      </c>
      <c r="H10" s="86">
        <f>IFERROR(IF(B10="","",IF(AND(BS16=""),"",IF(OR(B10=$AZ$24,B10=$AZ$25,B10=$AZ$26,B10=$AZ$27,B10=$AZ$28,B10=$AZ$29),"",IF(AND('Master Data'!$C$14=$AR$5),H9,"")))),"")</f>
        <v>0</v>
      </c>
      <c r="I10" s="86" t="str">
        <f>IFERROR(IF(B10="","",IF(AND(BS16=""),"",IF('Master Data'!$E$12="NO","",IF(OR(B10=$AZ$24,B10=$AZ$25,B10=$AZ$26,B10=$AZ$27,B10=$AZ$28,B10=$AZ$29),"",IF(AND('Master Data'!$C$14=$AR$6),"",IF(AND('Master Data'!$E$13=$AT$9),$AU$6,IF(AND('Master Data'!$E$13=$AT$10),$AU$6,IF(AND('Master Data'!$E$13=$AT$11),$AU$6,IF(AND('Master Data'!$E$13=$AT$12),$AU$6,$AU$5))))))))),"")</f>
        <v/>
      </c>
      <c r="J10" s="86">
        <f>IFERROR(IF(B10="","",IF(AND(BS16=""),"",IF(OR(B10=$AZ$24,B10=$AZ$25,B10=$AZ$26,B10=$AZ$27,B10=$AZ$28,B10=$AZ$29),"",IF(AND('Master Data'!$C$14=$AR$5),J9)))),"")</f>
        <v>2200</v>
      </c>
      <c r="K10" s="86">
        <f>IFERROR(IF(B10="","",IF(AND(BS16=""),"",IF(OR(B10=$AZ$24,B10=$AZ$25,B10=$AZ$26,B10=$AZ$27,B10=$AZ$28,B10=$AZ$29),"",IF(AND('Master Data'!$C$14=$AR$5),K9,"")))),"")</f>
        <v>40</v>
      </c>
      <c r="L10" s="86">
        <f>IFERROR(IF(B10="","",IF(AND(BS16=""),"",IF(OR(B10=$AZ$24,B10=$AZ$25,B10=$AZ$26,B10=$AZ$27,B10=$AZ$28,B10=$AZ$29),"",IF(AND('Master Data'!$C$14=$AR$5),L9,"")))),"")</f>
        <v>0</v>
      </c>
      <c r="M10" s="86" t="str">
        <f>IFERROR(IF(B10="","",IF(AND('Master Data'!$C$14=$AR$6),"",IF(AND('Master Data'!$C$15&lt;&gt;0),IF(AND(B10="Bonus"),VLOOKUP(B10,om,4,0),"")))),"")</f>
        <v/>
      </c>
      <c r="N10" s="86">
        <f>IFERROR(IF(B10="","",IF(AND(BS16=""),"",IF(OR(B10=$AZ$24,B10=$AZ$25,B10=$AZ$26,B10=$AZ$27,B10=$AZ$28,B10=$AZ$29),"",IF(AND('Master Data'!$C$14=$AR$5),N9,"")))),"")</f>
        <v>0</v>
      </c>
      <c r="O10" s="86">
        <f t="shared" si="1"/>
        <v>67180</v>
      </c>
      <c r="P10" s="86">
        <f>IFERROR(IF(B10="","",IF(AND(BS16=""),"",IF(OR(B10=$AZ$24,B10=$AZ$25,B10=$AZ$26,B10=$AZ$27,B10=$AZ$28,B10=$AZ$29),"",IF(AND('Master Data'!$C$14=$AR$5),VLOOKUP(B10,om,11,0),"")))),"")</f>
        <v>5000</v>
      </c>
      <c r="Q10" s="86">
        <f>IFERROR(IF(B10="","",IF(AND(BS16=""),"",IF(OR(B10=$AZ$25),"",IF(AND('Master Data'!$C$14=$AR$5),VLOOKUP(B10,om,12,0),"")))),"")</f>
        <v>5000</v>
      </c>
      <c r="R10" s="86">
        <f>IFERROR(IF(B10="","",IF(AND(BS16=""),"",IF(OR(B10=$AZ$24,B10=$AZ$25,B10=$AZ$26,B10=$AZ$27,B10=$AZ$28,B10=$AZ$29),"",IF(AND('Master Data'!$C$14=$AR$5),'Master Data'!$E$16,"")))),"")</f>
        <v>500</v>
      </c>
      <c r="S10" s="86">
        <f>IFERROR(IF(B10="","",IF(AND(BS16=""),"",IF(OR(B10=$AZ$24,B10=$AZ$25,B10=$AZ$26,B10=$AZ$27,B10=$AZ$28,B10=$AZ$29),"",IF(AND('Master Data'!$C$14=$AR$5),VLOOKUP(B10,om,10,0),"")))),"")</f>
        <v>658</v>
      </c>
      <c r="T10" s="86">
        <f>IFERROR(IF(B10="","",IF(AND(BS16=""),"",IF(OR(B10=$AZ$24,B10=$AZ$25,B10=$AZ$26,B10=$AZ$27,B10=$AZ$28,B10=$AZ$29),"",IF(AND('Master Data'!$C$14=$AR$5),T9,"")))),"")</f>
        <v>0</v>
      </c>
      <c r="U10" s="86">
        <f>IFERROR(IF(B10="","",IF(AND(BS16=""),"",IF(OR(B10=$AZ$24,B10=$AZ$25,B10=$AZ$26,B10=$AZ$27,B10=$AZ$28,B10=$AZ$29),"",IF(AND('Master Data'!$C$14=$AR$5),U9,"")))),"")</f>
        <v>0</v>
      </c>
      <c r="V10" s="86">
        <f>IFERROR(IF(B10="","",IF(AND(BS16=""),"",IF(OR(B10=$AZ$24,B10=$AZ$25,B10=$AZ$26,B10=$AZ$27,B10=$AZ$28,B10=$AZ$29),"",IF(AND('Master Data'!$C$14=$AR$5),V9,"")))),"")</f>
        <v>0</v>
      </c>
      <c r="W10" s="86">
        <f>IFERROR(IF(B10="","",IF(AND(BS16=""),"",IF(OR(B10=$AZ$24,B10=$AZ$25,B10=$AZ$26,B10=$AZ$27,B10=$AZ$28,B10=$AZ$29),"",IF(AND('Master Data'!$C$14=$AR$5),W9,"")))),"")</f>
        <v>200</v>
      </c>
      <c r="X10" s="86" t="str">
        <f>IFERROR(IF(OR('Master Data'!$C$14=$AR$6,B10=""),"",IF(AND(C10=""),"",IF(AND(B10=$AV$17,'Master Data'!$C$5="Gazetted"),500,IF(AND(B10=$AV$17,'Master Data'!$C$5="Non-Gazetted"),250,"")))),"")</f>
        <v/>
      </c>
      <c r="Y10" s="86">
        <f>IFERROR(IF(B10="","",IF(AND(BS16=""),"",IF(OR(B10=$AZ$24,B10=$AZ$25,B10=$AZ$26,B10=$AZ$27,B10=$AZ$28,B10=$AZ$29),"",IF(AND('Master Data'!$C$14=$AR$5),Y9,"")))),"")</f>
        <v>0</v>
      </c>
      <c r="Z10" s="86">
        <f>IFERROR(IF(B10="","",IF(AND(BS16=""),"",IF(OR(B10=$AZ$24,B10=$AZ$25,B10=$AZ$26,B10=$AZ$27,B10=$AZ$28,B10=$AZ$29),"",IF(AND('Master Data'!$C$14=$AR$5),VLOOKUP(B10,om,9,0),"")))),"")</f>
        <v>2000</v>
      </c>
      <c r="AA10" s="86" t="str">
        <f>IFERROR(IF(OR('Master Data'!$C$14=$AR$6,B10="",'Master Data'!$C$11=""),"",IF(AND(C10=""),"",IF(B10=$AV$8,'Master Data'!$C$16,""))),"")</f>
        <v/>
      </c>
      <c r="AB10" s="86">
        <f t="shared" si="2"/>
        <v>13358</v>
      </c>
      <c r="AC10" s="86">
        <f t="shared" si="3"/>
        <v>53822</v>
      </c>
      <c r="AD10" s="86"/>
      <c r="AE10" s="87"/>
      <c r="AO10" s="160"/>
      <c r="AP10" s="160"/>
      <c r="AQ10" s="160"/>
      <c r="AR10" s="160"/>
      <c r="AS10" s="160"/>
      <c r="AT10" s="160" t="s">
        <v>267</v>
      </c>
      <c r="AU10" s="160" t="s">
        <v>268</v>
      </c>
      <c r="AV10" s="171">
        <v>44682</v>
      </c>
      <c r="AW10" s="160" t="s">
        <v>148</v>
      </c>
      <c r="AX10" s="160"/>
      <c r="AY10" s="178" t="s">
        <v>264</v>
      </c>
      <c r="AZ10" s="172">
        <v>44562</v>
      </c>
      <c r="BA10" s="177"/>
      <c r="BB10" s="177"/>
      <c r="BC10" s="177">
        <f>IF(AND('Master Data'!$C$11=""),"",'Master Data'!$C$11)</f>
        <v>38600</v>
      </c>
      <c r="BD10" s="177" t="str">
        <f>IF(AND(AZ10&lt;$BB$16),"",IF(AND(AZ10&gt;$BB$17),"",BC10))</f>
        <v/>
      </c>
      <c r="BE10" s="177">
        <f>IF(AND('Master Data'!$C$11=""),"",ROUND(31%*BC10,0))</f>
        <v>11966</v>
      </c>
      <c r="BF10" s="177" t="str">
        <f>IF(BD10="","",BE10)</f>
        <v/>
      </c>
      <c r="BG10" s="177"/>
      <c r="BH10" s="177"/>
      <c r="BI10" s="179"/>
      <c r="BJ10" s="177">
        <f>IFERROR(IF(OR('Master Data'!C14=$AR$6),"",'Master Data'!C10),"")</f>
        <v>5000</v>
      </c>
      <c r="BK10" s="180"/>
      <c r="BL10" s="177">
        <f>BC10</f>
        <v>38600</v>
      </c>
      <c r="BM10" s="160"/>
      <c r="BN10" s="160">
        <f>MONTH(BB17)</f>
        <v>2</v>
      </c>
      <c r="BO10" s="160"/>
      <c r="BP10" s="160"/>
      <c r="BQ10" s="160"/>
      <c r="BR10" s="160"/>
      <c r="BS10" s="160"/>
      <c r="BT10" s="160"/>
      <c r="BU10" s="181">
        <f>B6</f>
        <v>44621</v>
      </c>
      <c r="BV10" s="160"/>
      <c r="BW10" s="160"/>
      <c r="BX10" s="160"/>
      <c r="BY10" s="160"/>
      <c r="BZ10" s="160"/>
      <c r="CA10" s="160"/>
      <c r="CB10" s="160"/>
      <c r="CC10" s="160"/>
      <c r="CD10" s="69"/>
      <c r="CE10" s="69"/>
    </row>
    <row r="11" spans="1:84" ht="24" customHeight="1">
      <c r="A11" s="84">
        <v>6</v>
      </c>
      <c r="B11" s="85">
        <f t="shared" si="0"/>
        <v>44774</v>
      </c>
      <c r="C11" s="86">
        <f>IFERROR(IF(B11="","",IF(AND(BS17=""),"",IF(B11=$AZ$24,"",IF(AND('Master Data'!$C$14=$AR$6),VLOOKUP(B11,om,13,0),VLOOKUP(B11,om,4,0))))),"")</f>
        <v>39800</v>
      </c>
      <c r="D11" s="86">
        <f>IFERROR(IF(B11="","",IF(AND(BS17=""),"",IF(OR(B11=$AZ$24),"",IF(AND('Master Data'!$C$14=$AR$5),VLOOKUP(B11,om,7,0),"")))),"")</f>
        <v>13532</v>
      </c>
      <c r="E11" s="86">
        <f>IFERROR(IF(B11="","",IF(AND(BS17=""),"",IF(OR(B11=$AZ$24,B11=$AZ$25,B11=$AZ$26,B11=$AZ$27,B11=$AZ$28,B11=$AZ$29),"",IF(AND('Master Data'!$C$14=$AR$5),VLOOKUP(B11,om,8,0),"")))),"")</f>
        <v>7164</v>
      </c>
      <c r="F11" s="86">
        <f>IFERROR(IF(B11="","",IF(AND(C11="",D11=""),"",IF(B11=$AZ$24,"",IF(AND(B11=$AZ$25),"",IF(AND(B11=$AZ$29),"",IF(AND('Master Data'!$C$14=$AR$6),"",IF('GA55'!C11="",ROUND(('GA55'!D11)/12,0),ROUND(('GA55'!C11+'GA55'!D11)/12,0)))))))),"")</f>
        <v>4444</v>
      </c>
      <c r="G11" s="86">
        <f>IFERROR(IF(B11="","",IF(AND(BS17=""),"",IF(OR(B11=$AZ$24,B11=$AZ$25,B11=$AZ$26,B11=$AZ$27,B11=$AZ$28,B11=$AZ$29),"",IF(AND('Master Data'!$C$14=$AR$5),G10,"")))),"")</f>
        <v>0</v>
      </c>
      <c r="H11" s="86">
        <f>IFERROR(IF(B11="","",IF(AND(BS17=""),"",IF(OR(B11=$AZ$24,B11=$AZ$25,B11=$AZ$26,B11=$AZ$27,B11=$AZ$28,B11=$AZ$29),"",IF(AND('Master Data'!$C$14=$AR$5),H10,"")))),"")</f>
        <v>0</v>
      </c>
      <c r="I11" s="86" t="str">
        <f>IFERROR(IF(B11="","",IF(AND(BS17=""),"",IF('Master Data'!$E$12="NO","",IF(OR(B11=$AZ$24,B11=$AZ$25,B11=$AZ$26,B11=$AZ$27,B11=$AZ$28,B11=$AZ$29),"",IF(AND('Master Data'!$C$14=$AR$6),"",IF(AND('Master Data'!$E$13=$AT$9),$AU$6,IF(AND('Master Data'!$E$13=$AT$10),$AU$6,IF(AND('Master Data'!$E$13=$AT$11),$AU$6,IF(AND('Master Data'!$E$13=$AT$12),$AU$6,$AU$5))))))))),"")</f>
        <v/>
      </c>
      <c r="J11" s="86">
        <f>IFERROR(IF(B11="","",IF(AND(BS17=""),"",IF(OR(B11=$AZ$24,B11=$AZ$25,B11=$AZ$26,B11=$AZ$27,B11=$AZ$28,B11=$AZ$29),"",IF(AND('Master Data'!$C$14=$AR$5),J10)))),"")</f>
        <v>2200</v>
      </c>
      <c r="K11" s="86">
        <f>IFERROR(IF(B11="","",IF(AND(BS17=""),"",IF(OR(B11=$AZ$24,B11=$AZ$25,B11=$AZ$26,B11=$AZ$27,B11=$AZ$28,B11=$AZ$29),"",IF(AND('Master Data'!$C$14=$AR$5),K10,"")))),"")</f>
        <v>40</v>
      </c>
      <c r="L11" s="86">
        <f>IFERROR(IF(B11="","",IF(AND(BS17=""),"",IF(OR(B11=$AZ$24,B11=$AZ$25,B11=$AZ$26,B11=$AZ$27,B11=$AZ$28,B11=$AZ$29),"",IF(AND('Master Data'!$C$14=$AR$5),L10,"")))),"")</f>
        <v>0</v>
      </c>
      <c r="M11" s="86" t="str">
        <f>IFERROR(IF(B11="","",IF(AND('Master Data'!$C$14=$AR$6),"",IF(AND('Master Data'!$C$15&lt;&gt;0),IF(AND(B11="Bonus"),VLOOKUP(B11,om,4,0),"")))),"")</f>
        <v/>
      </c>
      <c r="N11" s="86">
        <f>IFERROR(IF(B11="","",IF(AND(BS17=""),"",IF(OR(B11=$AZ$24,B11=$AZ$25,B11=$AZ$26,B11=$AZ$27,B11=$AZ$28,B11=$AZ$29),"",IF(AND('Master Data'!$C$14=$AR$5),N10,"")))),"")</f>
        <v>0</v>
      </c>
      <c r="O11" s="86">
        <f t="shared" si="1"/>
        <v>67180</v>
      </c>
      <c r="P11" s="86">
        <f>IFERROR(IF(B11="","",IF(AND(BS17=""),"",IF(OR(B11=$AZ$24,B11=$AZ$25,B11=$AZ$26,B11=$AZ$27,B11=$AZ$28,B11=$AZ$29),"",IF(AND('Master Data'!$C$14=$AR$5),VLOOKUP(B11,om,11,0),"")))),"")</f>
        <v>5000</v>
      </c>
      <c r="Q11" s="86">
        <f>IFERROR(IF(B11="","",IF(AND(BS17=""),"",IF(OR(B11=$AZ$25),"",IF(AND('Master Data'!$C$14=$AR$5),VLOOKUP(B11,om,12,0),"")))),"")</f>
        <v>5000</v>
      </c>
      <c r="R11" s="86">
        <f>IFERROR(IF(B11="","",IF(AND(BS17=""),"",IF(OR(B11=$AZ$24,B11=$AZ$25,B11=$AZ$26,B11=$AZ$27,B11=$AZ$28,B11=$AZ$29),"",IF(AND('Master Data'!$C$14=$AR$5),'Master Data'!$E$16,"")))),"")</f>
        <v>500</v>
      </c>
      <c r="S11" s="86">
        <f>IFERROR(IF(B11="","",IF(AND(BS17=""),"",IF(OR(B11=$AZ$24,B11=$AZ$25,B11=$AZ$26,B11=$AZ$27,B11=$AZ$28,B11=$AZ$29),"",IF(AND('Master Data'!$C$14=$AR$5),VLOOKUP(B11,om,10,0),"")))),"")</f>
        <v>658</v>
      </c>
      <c r="T11" s="86">
        <f>IFERROR(IF(B11="","",IF(AND(BS17=""),"",IF(OR(B11=$AZ$24,B11=$AZ$25,B11=$AZ$26,B11=$AZ$27,B11=$AZ$28,B11=$AZ$29),"",IF(AND('Master Data'!$C$14=$AR$5),T10,"")))),"")</f>
        <v>0</v>
      </c>
      <c r="U11" s="86">
        <f>IFERROR(IF(B11="","",IF(AND(BS17=""),"",IF(OR(B11=$AZ$24,B11=$AZ$25,B11=$AZ$26,B11=$AZ$27,B11=$AZ$28,B11=$AZ$29),"",IF(AND('Master Data'!$C$14=$AR$5),U10,"")))),"")</f>
        <v>0</v>
      </c>
      <c r="V11" s="86">
        <f>IFERROR(IF(B11="","",IF(AND(BS17=""),"",IF(OR(B11=$AZ$24,B11=$AZ$25,B11=$AZ$26,B11=$AZ$27,B11=$AZ$28,B11=$AZ$29),"",IF(AND('Master Data'!$C$14=$AR$5),V10,"")))),"")</f>
        <v>0</v>
      </c>
      <c r="W11" s="86">
        <f>IFERROR(IF(B11="","",IF(AND(BS17=""),"",IF(OR(B11=$AZ$24,B11=$AZ$25,B11=$AZ$26,B11=$AZ$27,B11=$AZ$28,B11=$AZ$29),"",IF(AND('Master Data'!$C$14=$AR$5),W10,"")))),"")</f>
        <v>200</v>
      </c>
      <c r="X11" s="86" t="str">
        <f>IFERROR(IF(OR('Master Data'!$C$14=$AR$6,B11=""),"",IF(AND(C11=""),"",IF(AND(B11=$AV$17,'Master Data'!$C$5="Gazetted"),500,IF(AND(B11=$AV$17,'Master Data'!$C$5="Non-Gazetted"),250,"")))),"")</f>
        <v/>
      </c>
      <c r="Y11" s="86">
        <f>IFERROR(IF(B11="","",IF(AND(BS17=""),"",IF(OR(B11=$AZ$24,B11=$AZ$25,B11=$AZ$26,B11=$AZ$27,B11=$AZ$28,B11=$AZ$29),"",IF(AND('Master Data'!$C$14=$AR$5),Y10,"")))),"")</f>
        <v>0</v>
      </c>
      <c r="Z11" s="86">
        <f>IFERROR(IF(B11="","",IF(AND(BS17=""),"",IF(OR(B11=$AZ$24,B11=$AZ$25,B11=$AZ$26,B11=$AZ$27,B11=$AZ$28,B11=$AZ$29),"",IF(AND('Master Data'!$C$14=$AR$5),VLOOKUP(B11,om,9,0),"")))),"")</f>
        <v>2000</v>
      </c>
      <c r="AA11" s="86" t="str">
        <f>IFERROR(IF(OR('Master Data'!$C$14=$AR$6,B11="",'Master Data'!$C$11=""),"",IF(AND(C11=""),"",IF(B11=$AV$8,'Master Data'!$C$16,""))),"")</f>
        <v/>
      </c>
      <c r="AB11" s="86">
        <f t="shared" si="2"/>
        <v>13358</v>
      </c>
      <c r="AC11" s="86">
        <f t="shared" si="3"/>
        <v>53822</v>
      </c>
      <c r="AD11" s="86"/>
      <c r="AE11" s="87"/>
      <c r="AO11" s="160"/>
      <c r="AP11" s="160"/>
      <c r="AQ11" s="160"/>
      <c r="AR11" s="160"/>
      <c r="AS11" s="160"/>
      <c r="AT11" s="160" t="s">
        <v>269</v>
      </c>
      <c r="AU11" s="160" t="s">
        <v>270</v>
      </c>
      <c r="AV11" s="171">
        <v>44713</v>
      </c>
      <c r="AW11" s="160" t="s">
        <v>149</v>
      </c>
      <c r="AX11" s="160"/>
      <c r="AY11" s="178" t="s">
        <v>266</v>
      </c>
      <c r="AZ11" s="172">
        <v>44593</v>
      </c>
      <c r="BA11" s="177"/>
      <c r="BB11" s="182"/>
      <c r="BC11" s="177">
        <f>IF(AND('Master Data'!$C$11=""),"",'Master Data'!$C$11)</f>
        <v>38600</v>
      </c>
      <c r="BD11" s="177" t="str">
        <f>IF(AND(AZ11&lt;$BB$16),"",IF(AND(AZ11&gt;$BB$17),"",BC11))</f>
        <v/>
      </c>
      <c r="BE11" s="177">
        <f>IF(AND('Master Data'!$C$11=""),"",ROUND(31%*BC11,0))</f>
        <v>11966</v>
      </c>
      <c r="BF11" s="177" t="str">
        <f>IF(BD11="","",BE11)</f>
        <v/>
      </c>
      <c r="BG11" s="177"/>
      <c r="BH11" s="177"/>
      <c r="BI11" s="179"/>
      <c r="BJ11" s="177">
        <f>IFERROR(IF(OR('Master Data'!C14=$AR$6),"",'Master Data'!C10),"")</f>
        <v>5000</v>
      </c>
      <c r="BK11" s="180"/>
      <c r="BL11" s="177">
        <f>BC11</f>
        <v>38600</v>
      </c>
      <c r="BM11" s="160"/>
      <c r="BN11" s="160"/>
      <c r="BO11" s="160"/>
      <c r="BP11" s="160"/>
      <c r="BQ11" s="160"/>
      <c r="BR11" s="183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69"/>
      <c r="CE11" s="69"/>
    </row>
    <row r="12" spans="1:84" ht="24" customHeight="1">
      <c r="A12" s="84">
        <v>7</v>
      </c>
      <c r="B12" s="85">
        <f t="shared" si="0"/>
        <v>44805</v>
      </c>
      <c r="C12" s="86">
        <f>IFERROR(IF(B12="","",IF(AND(BS18=""),"",IF(B12=$AZ$24,"",IF(AND('Master Data'!$C$14=$AR$6),VLOOKUP(B12,om,13,0),VLOOKUP(B12,om,4,0))))),"")</f>
        <v>39800</v>
      </c>
      <c r="D12" s="86">
        <f>IFERROR(IF(B12="","",IF(AND(BS18=""),"",IF(OR(B12=$AZ$24),"",IF(AND('Master Data'!$C$14=$AR$5),VLOOKUP(B12,om,7,0),"")))),"")</f>
        <v>13532</v>
      </c>
      <c r="E12" s="86">
        <f>IFERROR(IF(B12="","",IF(AND(BS18=""),"",IF(OR(B12=$AZ$24,B12=$AZ$25,B12=$AZ$26,B12=$AZ$27,B12=$AZ$28,B12=$AZ$29),"",IF(AND('Master Data'!$C$14=$AR$5),VLOOKUP(B12,om,8,0),"")))),"")</f>
        <v>7164</v>
      </c>
      <c r="F12" s="86">
        <f>IFERROR(IF(B12="","",IF(AND(C12="",D12=""),"",IF(B12=$AZ$24,"",IF(AND(B12=$AZ$25),"",IF(AND(B12=$AZ$29),"",IF(AND('Master Data'!$C$14=$AR$6),"",IF('GA55'!C12="",ROUND(('GA55'!D12)/12,0),ROUND(('GA55'!C12+'GA55'!D12)/12,0)))))))),"")</f>
        <v>4444</v>
      </c>
      <c r="G12" s="86">
        <f>IFERROR(IF(B12="","",IF(AND(BS18=""),"",IF(OR(B12=$AZ$24,B12=$AZ$25,B12=$AZ$26,B12=$AZ$27,B12=$AZ$28,B12=$AZ$29),"",IF(AND('Master Data'!$C$14=$AR$5),G11,"")))),"")</f>
        <v>0</v>
      </c>
      <c r="H12" s="86">
        <f>IFERROR(IF(B12="","",IF(AND(BS18=""),"",IF(OR(B12=$AZ$24,B12=$AZ$25,B12=$AZ$26,B12=$AZ$27,B12=$AZ$28,B12=$AZ$29),"",IF(AND('Master Data'!$C$14=$AR$5),H11,"")))),"")</f>
        <v>0</v>
      </c>
      <c r="I12" s="86" t="str">
        <f>IFERROR(IF(B12="","",IF(AND(BS18=""),"",IF('Master Data'!$E$12="NO","",IF(OR(B12=$AZ$24,B12=$AZ$25,B12=$AZ$26,B12=$AZ$27,B12=$AZ$28,B12=$AZ$29),"",IF(AND('Master Data'!$C$14=$AR$6),"",IF(AND('Master Data'!$E$13=$AT$9),$AU$6,IF(AND('Master Data'!$E$13=$AT$10),$AU$6,IF(AND('Master Data'!$E$13=$AT$11),$AU$6,IF(AND('Master Data'!$E$13=$AT$12),$AU$6,$AU$5))))))))),"")</f>
        <v/>
      </c>
      <c r="J12" s="86">
        <f>IFERROR(IF(B12="","",IF(AND(BS18=""),"",IF(OR(B12=$AZ$24,B12=$AZ$25,B12=$AZ$26,B12=$AZ$27,B12=$AZ$28,B12=$AZ$29),"",IF(AND('Master Data'!$C$14=$AR$5),J11)))),"")</f>
        <v>2200</v>
      </c>
      <c r="K12" s="86">
        <f>IFERROR(IF(B12="","",IF(AND(BS18=""),"",IF(OR(B12=$AZ$24,B12=$AZ$25,B12=$AZ$26,B12=$AZ$27,B12=$AZ$28,B12=$AZ$29),"",IF(AND('Master Data'!$C$14=$AR$5),K11,"")))),"")</f>
        <v>40</v>
      </c>
      <c r="L12" s="86">
        <f>IFERROR(IF(B12="","",IF(AND(BS18=""),"",IF(OR(B12=$AZ$24,B12=$AZ$25,B12=$AZ$26,B12=$AZ$27,B12=$AZ$28,B12=$AZ$29),"",IF(AND('Master Data'!$C$14=$AR$5),L11,"")))),"")</f>
        <v>0</v>
      </c>
      <c r="M12" s="86" t="str">
        <f>IFERROR(IF(B12="","",IF(AND('Master Data'!$C$14=$AR$6),"",IF(AND('Master Data'!$C$15&lt;&gt;0),IF(AND(B12="Bonus"),VLOOKUP(B12,om,4,0),"")))),"")</f>
        <v/>
      </c>
      <c r="N12" s="86">
        <f>IFERROR(IF(B12="","",IF(AND(BS18=""),"",IF(OR(B12=$AZ$24,B12=$AZ$25,B12=$AZ$26,B12=$AZ$27,B12=$AZ$28,B12=$AZ$29),"",IF(AND('Master Data'!$C$14=$AR$5),N11,"")))),"")</f>
        <v>0</v>
      </c>
      <c r="O12" s="86">
        <f t="shared" si="1"/>
        <v>67180</v>
      </c>
      <c r="P12" s="86">
        <f>IFERROR(IF(B12="","",IF(AND(BS18=""),"",IF(OR(B12=$AZ$24,B12=$AZ$25,B12=$AZ$26,B12=$AZ$27,B12=$AZ$28,B12=$AZ$29),"",IF(AND('Master Data'!$C$14=$AR$5),VLOOKUP(B12,om,11,0),"")))),"")</f>
        <v>5000</v>
      </c>
      <c r="Q12" s="86">
        <f>IFERROR(IF(B12="","",IF(AND(BS18=""),"",IF(OR(B12=$AZ$25),"",IF(AND('Master Data'!$C$14=$AR$5),VLOOKUP(B12,om,12,0),"")))),"")</f>
        <v>5000</v>
      </c>
      <c r="R12" s="86">
        <f>IFERROR(IF(B12="","",IF(AND(BS18=""),"",IF(OR(B12=$AZ$24,B12=$AZ$25,B12=$AZ$26,B12=$AZ$27,B12=$AZ$28,B12=$AZ$29),"",IF(AND('Master Data'!$C$14=$AR$5),'Master Data'!$E$16,"")))),"")</f>
        <v>500</v>
      </c>
      <c r="S12" s="86">
        <f>IFERROR(IF(B12="","",IF(AND(BS18=""),"",IF(OR(B12=$AZ$24,B12=$AZ$25,B12=$AZ$26,B12=$AZ$27,B12=$AZ$28,B12=$AZ$29),"",IF(AND('Master Data'!$C$14=$AR$5),VLOOKUP(B12,om,10,0),"")))),"")</f>
        <v>658</v>
      </c>
      <c r="T12" s="86">
        <f>IFERROR(IF(B12="","",IF(AND(BS18=""),"",IF(OR(B12=$AZ$24,B12=$AZ$25,B12=$AZ$26,B12=$AZ$27,B12=$AZ$28,B12=$AZ$29),"",IF(AND('Master Data'!$C$14=$AR$5),T11,"")))),"")</f>
        <v>0</v>
      </c>
      <c r="U12" s="86">
        <f>IFERROR(IF(B12="","",IF(AND(BS18=""),"",IF(OR(B12=$AZ$24,B12=$AZ$25,B12=$AZ$26,B12=$AZ$27,B12=$AZ$28,B12=$AZ$29),"",IF(AND('Master Data'!$C$14=$AR$5),U11,"")))),"")</f>
        <v>0</v>
      </c>
      <c r="V12" s="86">
        <f>IFERROR(IF(B12="","",IF(AND(BS18=""),"",IF(OR(B12=$AZ$24,B12=$AZ$25,B12=$AZ$26,B12=$AZ$27,B12=$AZ$28,B12=$AZ$29),"",IF(AND('Master Data'!$C$14=$AR$5),V11,"")))),"")</f>
        <v>0</v>
      </c>
      <c r="W12" s="86">
        <f>IFERROR(IF(B12="","",IF(AND(BS18=""),"",IF(OR(B12=$AZ$24,B12=$AZ$25,B12=$AZ$26,B12=$AZ$27,B12=$AZ$28,B12=$AZ$29),"",IF(AND('Master Data'!$C$14=$AR$5),W11,"")))),"")</f>
        <v>200</v>
      </c>
      <c r="X12" s="86" t="str">
        <f>IFERROR(IF(OR('Master Data'!$C$14=$AR$6,B12=""),"",IF(AND(C12=""),"",IF(AND(B12=$AV$17,'Master Data'!$C$5="Gazetted"),500,IF(AND(B12=$AV$17,'Master Data'!$C$5="Non-Gazetted"),250,"")))),"")</f>
        <v/>
      </c>
      <c r="Y12" s="86">
        <f>IFERROR(IF(B12="","",IF(AND(BS18=""),"",IF(OR(B12=$AZ$24,B12=$AZ$25,B12=$AZ$26,B12=$AZ$27,B12=$AZ$28,B12=$AZ$29),"",IF(AND('Master Data'!$C$14=$AR$5),Y11,"")))),"")</f>
        <v>0</v>
      </c>
      <c r="Z12" s="86">
        <f>IFERROR(IF(B12="","",IF(AND(BS18=""),"",IF(OR(B12=$AZ$24,B12=$AZ$25,B12=$AZ$26,B12=$AZ$27,B12=$AZ$28,B12=$AZ$29),"",IF(AND('Master Data'!$C$14=$AR$5),VLOOKUP(B12,om,9,0),"")))),"")</f>
        <v>2000</v>
      </c>
      <c r="AA12" s="86" t="str">
        <f>IFERROR(IF(OR('Master Data'!$C$14=$AR$6,B12="",'Master Data'!$C$11=""),"",IF(AND(C12=""),"",IF(B12=$AV$8,'Master Data'!$C$16,""))),"")</f>
        <v/>
      </c>
      <c r="AB12" s="86">
        <f t="shared" si="2"/>
        <v>13358</v>
      </c>
      <c r="AC12" s="86">
        <f t="shared" si="3"/>
        <v>53822</v>
      </c>
      <c r="AD12" s="86"/>
      <c r="AE12" s="87"/>
      <c r="AO12" s="160"/>
      <c r="AP12" s="160"/>
      <c r="AQ12" s="160"/>
      <c r="AR12" s="160"/>
      <c r="AS12" s="160"/>
      <c r="AT12" s="160" t="s">
        <v>271</v>
      </c>
      <c r="AU12" s="160" t="s">
        <v>272</v>
      </c>
      <c r="AV12" s="171">
        <v>44743</v>
      </c>
      <c r="AW12" s="160" t="s">
        <v>150</v>
      </c>
      <c r="AX12" s="160"/>
      <c r="AY12" s="178" t="s">
        <v>268</v>
      </c>
      <c r="AZ12" s="172">
        <v>44621</v>
      </c>
      <c r="BA12" s="177">
        <v>3</v>
      </c>
      <c r="BB12" s="177"/>
      <c r="BC12" s="179">
        <f>IF(AND('Master Data'!$C$11=""),"",IF(AND('Master Data'!$C$14=$AR$6),$BB$15,BW12))</f>
        <v>38600</v>
      </c>
      <c r="BD12" s="177">
        <f>IF(AND(AZ12&lt;$BB$16),"",IF(AND(AZ12&gt;$BB$17),"",BC12))</f>
        <v>38600</v>
      </c>
      <c r="BE12" s="177">
        <f>IF(AND('Master Data'!$C$11=""),"",ROUND(31%*BC12,0))</f>
        <v>11966</v>
      </c>
      <c r="BF12" s="177">
        <f>IF(BD12="","",BE12)</f>
        <v>11966</v>
      </c>
      <c r="BG12" s="184">
        <f>IFERROR(IF(AND('Master Data'!$C$11=""),"",ROUND('Master Data'!$E$11%*BD12,0)),"")</f>
        <v>6948</v>
      </c>
      <c r="BH12" s="179">
        <f>'Master Data'!$E$15</f>
        <v>2000</v>
      </c>
      <c r="BI12" s="179">
        <f>IFERROR(IF(OR('Master Data'!$C$14=$AR$6),"",IF('Master Data'!$E$8="GPF-2004",IF(BD12&lt;18001,135,IF(BD12&lt;33501,220,IF(BD12&lt;54001,330,440))),IF(AND('Master Data'!$E$8="GPF"),IF(BD12&lt;18001,265,IF(BD12&lt;33501,440,IF(BD12&lt;54001,658,875))),""))),"")</f>
        <v>658</v>
      </c>
      <c r="BJ12" s="179">
        <f>IFERROR(IF(OR('Master Data'!$C$14=$AR$6),"",'Master Data'!$C$10),"")</f>
        <v>5000</v>
      </c>
      <c r="BK12" s="185">
        <f>IFERROR(IF('Master Data'!$E$8="GPF-2004","",IF(OR('Master Data'!$C$14=$AR$6),"",'Master Data'!$E$10)),"")</f>
        <v>5000</v>
      </c>
      <c r="BL12" s="179">
        <f>BC12</f>
        <v>38600</v>
      </c>
      <c r="BM12" s="186">
        <v>44621</v>
      </c>
      <c r="BN12" s="186">
        <f>IFERROR(IF('Master Data'!$C$11="","",IF('Master Data'!$C$20="","",IF(AND($BB$17&gt;$BB$9),"",DATE(YEAR(BB16),MONTH(BB16),DAY(BB16))))),"")</f>
        <v>44621</v>
      </c>
      <c r="BO12" s="187">
        <f>IFERROR(IF('Master Data'!$C$11="","",IF('Master Data'!$C$20="","",IF(AND($BB$17&gt;$BB$9),"",DATE(YEAR(BB16),MONTH(BB16),DAY(BB16))))),"")</f>
        <v>44621</v>
      </c>
      <c r="BP12" s="187">
        <f>IF(AND(BO12=""),"",IF(AND(BO12=$BM$12),$BM$12,IF(AND(BO12=$BM$13),$BM$13,IF(AND(BO12=$BM$14),$BM$14,IF(AND(BO12=$BM$15),$BM$15,IF(AND(BO12=$BM$16),$BM$16,IF(AND(BO12=$BM$17),$BM$17,IF(AND(BO12=$BM$18),$BM$18,IF(AND(BO12=$BM$19),$BM$19,IF(AND(BO12=$BM$20),$BM$20,IF(AND(BO12=$BM$21),$BM$21,IF(AND(BO12=$BM$22),$BM$22,IF(AND(BO12=$BM$23),$BM$23,IF(AND(BO12=$BM$24),$BO$24,IF(AND(BO12=$BM$25),$BO$25,IF(AND(BO12=$BM$26),$BO$26,IF(AND(BO12=$BM$27),$BO$27,IF(AND(BO12=$BM$28),$BO$28,IF(AND(BO12=$BM$29),$BO$29,IF(AND(BO12=$BM$30),$BO$30,IF(AND(BO12=$BM$31),$BO$31,IF(AND(BO12=$BM$32),$BO$32,""))))))))))))))))))))))</f>
        <v>44621</v>
      </c>
      <c r="BQ12" s="187">
        <f>IFERROR(IF(BO12="","",IF(AND(BN12=$BM$24),$BO$24,IF(AND(BN12=$BM$25),$BO$25,IF(AND(BN12=$BM$26),$BO$26,IF(AND(BN12=$BM$27),$BO$27,IF(AND(BN12=$BM$28),$BO$28,IF(AND(BN12=$BM$29),$BO$29,IF(AND(BN12=$BM$30),$BO$30,IF(AND(BN12=$BM$31),$BO$31,IF(AND(BN12=$BM$32),$BO$32,BP12)))))))))),"")</f>
        <v>44621</v>
      </c>
      <c r="BR12" s="187"/>
      <c r="BS12" s="187">
        <f>IFERROR(IF(BO12="","",IF(B6=$AZ$24,$AZ$24,IF(B6=$AZ$25,$AZ$25,IF(B6=$AZ$26,$AZ$26,IF(B6=$AZ$27,$AZ$27,IF(B6=$AZ$28,$AZ$28,IF(B6=$AZ$29,$AZ$29,IF(BO12&gt;$BB$17,"",BO12)))))))),"")</f>
        <v>44621</v>
      </c>
      <c r="BT12" s="187"/>
      <c r="BU12" s="188"/>
      <c r="BV12" s="188"/>
      <c r="BW12" s="188">
        <f>IF(AND('Master Data'!$C$11=""),"",IF(AND('Master Data'!$E$21=AZ12),'Master Data'!$E$20,'Master Data'!$C$11))</f>
        <v>38600</v>
      </c>
      <c r="BX12" s="187"/>
      <c r="BY12" s="160"/>
      <c r="BZ12" s="188">
        <f>IF(B6="","",Z6)</f>
        <v>2000</v>
      </c>
      <c r="CA12" s="160"/>
      <c r="CB12" s="160"/>
      <c r="CC12" s="160"/>
      <c r="CD12" s="69"/>
      <c r="CE12" s="69"/>
    </row>
    <row r="13" spans="1:84" ht="24" customHeight="1">
      <c r="A13" s="84">
        <v>8</v>
      </c>
      <c r="B13" s="85">
        <f t="shared" si="0"/>
        <v>44835</v>
      </c>
      <c r="C13" s="86">
        <f>IFERROR(IF(B13="","",IF(AND(BS19=""),"",IF(B13=$AZ$24,"",IF(AND('Master Data'!$C$14=$AR$6),VLOOKUP(B13,om,13,0),VLOOKUP(B13,om,4,0))))),"")</f>
        <v>39800</v>
      </c>
      <c r="D13" s="86">
        <f>IFERROR(IF(B13="","",IF(AND(BS19=""),"",IF(OR(B13=$AZ$24),"",IF(AND('Master Data'!$C$14=$AR$5),VLOOKUP(B13,om,7,0),"")))),"")</f>
        <v>15124</v>
      </c>
      <c r="E13" s="86">
        <f>IFERROR(IF(B13="","",IF(AND(BS19=""),"",IF(OR(B13=$AZ$24,B13=$AZ$25,B13=$AZ$26,B13=$AZ$27,B13=$AZ$28,B13=$AZ$29),"",IF(AND('Master Data'!$C$14=$AR$5),VLOOKUP(B13,om,8,0),"")))),"")</f>
        <v>7164</v>
      </c>
      <c r="F13" s="86">
        <f>IFERROR(IF(B13="","",IF(AND(C13="",D13=""),"",IF(B13=$AZ$24,"",IF(AND(B13=$AZ$25),"",IF(AND(B13=$AZ$29),"",IF(AND('Master Data'!$C$14=$AR$6),"",IF('GA55'!C13="",ROUND(('GA55'!D13)/12,0),ROUND(('GA55'!C13+'GA55'!D13)/12,0)))))))),"")</f>
        <v>4577</v>
      </c>
      <c r="G13" s="86">
        <f>IFERROR(IF(B13="","",IF(AND(BS19=""),"",IF(OR(B13=$AZ$24,B13=$AZ$25,B13=$AZ$26,B13=$AZ$27,B13=$AZ$28,B13=$AZ$29),"",IF(AND('Master Data'!$C$14=$AR$5),G12,"")))),"")</f>
        <v>0</v>
      </c>
      <c r="H13" s="86">
        <f>IFERROR(IF(B13="","",IF(AND(BS19=""),"",IF(OR(B13=$AZ$24,B13=$AZ$25,B13=$AZ$26,B13=$AZ$27,B13=$AZ$28,B13=$AZ$29),"",IF(AND('Master Data'!$C$14=$AR$5),H12,"")))),"")</f>
        <v>0</v>
      </c>
      <c r="I13" s="86" t="str">
        <f>IFERROR(IF(B13="","",IF(AND(BS19=""),"",IF('Master Data'!$E$12="NO","",IF(OR(B13=$AZ$24,B13=$AZ$25,B13=$AZ$26,B13=$AZ$27,B13=$AZ$28,B13=$AZ$29),"",IF(AND('Master Data'!$C$14=$AR$6),"",IF(AND('Master Data'!$E$13=$AT$9),$AU$6,IF(AND('Master Data'!$E$13=$AT$10),$AU$6,IF(AND('Master Data'!$E$13=$AT$11),$AU$6,IF(AND('Master Data'!$E$13=$AT$12),$AU$6,$AU$5))))))))),"")</f>
        <v/>
      </c>
      <c r="J13" s="86">
        <f>IFERROR(IF(B13="","",IF(AND(BS19=""),"",IF(OR(B13=$AZ$24,B13=$AZ$25,B13=$AZ$26,B13=$AZ$27,B13=$AZ$28,B13=$AZ$29),"",IF(AND('Master Data'!$C$14=$AR$5),J12)))),"")</f>
        <v>2200</v>
      </c>
      <c r="K13" s="86">
        <f>IFERROR(IF(B13="","",IF(AND(BS19=""),"",IF(OR(B13=$AZ$24,B13=$AZ$25,B13=$AZ$26,B13=$AZ$27,B13=$AZ$28,B13=$AZ$29),"",IF(AND('Master Data'!$C$14=$AR$5),K12,"")))),"")</f>
        <v>40</v>
      </c>
      <c r="L13" s="86">
        <f>IFERROR(IF(B13="","",IF(AND(BS19=""),"",IF(OR(B13=$AZ$24,B13=$AZ$25,B13=$AZ$26,B13=$AZ$27,B13=$AZ$28,B13=$AZ$29),"",IF(AND('Master Data'!$C$14=$AR$5),L12,"")))),"")</f>
        <v>0</v>
      </c>
      <c r="M13" s="86" t="str">
        <f>IFERROR(IF(B13="","",IF(AND('Master Data'!$C$14=$AR$6),"",IF(AND('Master Data'!$C$15&lt;&gt;0),IF(AND(B13="Bonus"),VLOOKUP(B13,om,4,0),"")))),"")</f>
        <v/>
      </c>
      <c r="N13" s="86">
        <f>IFERROR(IF(B13="","",IF(AND(BS19=""),"",IF(OR(B13=$AZ$24,B13=$AZ$25,B13=$AZ$26,B13=$AZ$27,B13=$AZ$28,B13=$AZ$29),"",IF(AND('Master Data'!$C$14=$AR$5),N12,"")))),"")</f>
        <v>0</v>
      </c>
      <c r="O13" s="86">
        <f t="shared" si="1"/>
        <v>68905</v>
      </c>
      <c r="P13" s="86">
        <f>IFERROR(IF(B13="","",IF(AND(BS19=""),"",IF(OR(B13=$AZ$24,B13=$AZ$25,B13=$AZ$26,B13=$AZ$27,B13=$AZ$28,B13=$AZ$29),"",IF(AND('Master Data'!$C$14=$AR$5),VLOOKUP(B13,om,11,0),"")))),"")</f>
        <v>5000</v>
      </c>
      <c r="Q13" s="86">
        <f>IFERROR(IF(B13="","",IF(AND(BS19=""),"",IF(OR(B13=$AZ$25),"",IF(AND('Master Data'!$C$14=$AR$5),VLOOKUP(B13,om,12,0),"")))),"")</f>
        <v>5000</v>
      </c>
      <c r="R13" s="86">
        <f>IFERROR(IF(B13="","",IF(AND(BS19=""),"",IF(OR(B13=$AZ$24,B13=$AZ$25,B13=$AZ$26,B13=$AZ$27,B13=$AZ$28,B13=$AZ$29),"",IF(AND('Master Data'!$C$14=$AR$5),'Master Data'!$E$16,"")))),"")</f>
        <v>500</v>
      </c>
      <c r="S13" s="86">
        <f>IFERROR(IF(B13="","",IF(AND(BS19=""),"",IF(OR(B13=$AZ$24,B13=$AZ$25,B13=$AZ$26,B13=$AZ$27,B13=$AZ$28,B13=$AZ$29),"",IF(AND('Master Data'!$C$14=$AR$5),VLOOKUP(B13,om,10,0),"")))),"")</f>
        <v>658</v>
      </c>
      <c r="T13" s="86">
        <f>IFERROR(IF(B13="","",IF(AND(BS19=""),"",IF(OR(B13=$AZ$24,B13=$AZ$25,B13=$AZ$26,B13=$AZ$27,B13=$AZ$28,B13=$AZ$29),"",IF(AND('Master Data'!$C$14=$AR$5),T12,"")))),"")</f>
        <v>0</v>
      </c>
      <c r="U13" s="86">
        <f>IFERROR(IF(B13="","",IF(AND(BS19=""),"",IF(OR(B13=$AZ$24,B13=$AZ$25,B13=$AZ$26,B13=$AZ$27,B13=$AZ$28,B13=$AZ$29),"",IF(AND('Master Data'!$C$14=$AR$5),U12,"")))),"")</f>
        <v>0</v>
      </c>
      <c r="V13" s="86">
        <f>IFERROR(IF(B13="","",IF(AND(BS19=""),"",IF(OR(B13=$AZ$24,B13=$AZ$25,B13=$AZ$26,B13=$AZ$27,B13=$AZ$28,B13=$AZ$29),"",IF(AND('Master Data'!$C$14=$AR$5),V12,"")))),"")</f>
        <v>0</v>
      </c>
      <c r="W13" s="86">
        <f>IFERROR(IF(B13="","",IF(AND(BS19=""),"",IF(OR(B13=$AZ$24,B13=$AZ$25,B13=$AZ$26,B13=$AZ$27,B13=$AZ$28,B13=$AZ$29),"",IF(AND('Master Data'!$C$14=$AR$5),W12,"")))),"")</f>
        <v>200</v>
      </c>
      <c r="X13" s="86" t="str">
        <f>IFERROR(IF(OR('Master Data'!$C$14=$AR$6,B13=""),"",IF(AND(C13=""),"",IF(AND(B13=$AV$17,'Master Data'!$C$5="Gazetted"),500,IF(AND(B13=$AV$17,'Master Data'!$C$5="Non-Gazetted"),250,"")))),"")</f>
        <v/>
      </c>
      <c r="Y13" s="86">
        <f>IFERROR(IF(B13="","",IF(AND(BS19=""),"",IF(OR(B13=$AZ$24,B13=$AZ$25,B13=$AZ$26,B13=$AZ$27,B13=$AZ$28,B13=$AZ$29),"",IF(AND('Master Data'!$C$14=$AR$5),Y12,"")))),"")</f>
        <v>0</v>
      </c>
      <c r="Z13" s="86">
        <f>IFERROR(IF(B13="","",IF(AND(BS19=""),"",IF(OR(B13=$AZ$24,B13=$AZ$25,B13=$AZ$26,B13=$AZ$27,B13=$AZ$28,B13=$AZ$29),"",IF(AND('Master Data'!$C$14=$AR$5),VLOOKUP(B13,om,9,0),"")))),"")</f>
        <v>2000</v>
      </c>
      <c r="AA13" s="86" t="str">
        <f>IFERROR(IF(OR('Master Data'!$C$14=$AR$6,B13="",'Master Data'!$C$11=""),"",IF(AND(C13=""),"",IF(B13=$AV$8,'Master Data'!$C$16,""))),"")</f>
        <v/>
      </c>
      <c r="AB13" s="86">
        <f t="shared" si="2"/>
        <v>13358</v>
      </c>
      <c r="AC13" s="86">
        <f t="shared" si="3"/>
        <v>55547</v>
      </c>
      <c r="AD13" s="86"/>
      <c r="AE13" s="87"/>
      <c r="AO13" s="160"/>
      <c r="AP13" s="160"/>
      <c r="AQ13" s="160"/>
      <c r="AR13" s="160"/>
      <c r="AS13" s="160"/>
      <c r="AT13" s="160"/>
      <c r="AU13" s="160" t="s">
        <v>273</v>
      </c>
      <c r="AV13" s="171">
        <v>44774</v>
      </c>
      <c r="AW13" s="160" t="s">
        <v>151</v>
      </c>
      <c r="AX13" s="188"/>
      <c r="AY13" s="178" t="s">
        <v>270</v>
      </c>
      <c r="AZ13" s="172">
        <v>44652</v>
      </c>
      <c r="BA13" s="177">
        <v>4</v>
      </c>
      <c r="BB13" s="177"/>
      <c r="BC13" s="179">
        <f>IF(AND('Master Data'!$C$11=""),"",IF(AND('Master Data'!$C$14=$AR$6),$BB$15,BW13))</f>
        <v>38600</v>
      </c>
      <c r="BD13" s="177">
        <f>IF(AND(AZ13&lt;$BB$16),"",IF(AND(AZ13&gt;$BB$17),"",BC13))</f>
        <v>38600</v>
      </c>
      <c r="BE13" s="177">
        <f>IF(AND('Master Data'!$C$11=""),"",ROUND(34%*BC13,0))</f>
        <v>13124</v>
      </c>
      <c r="BF13" s="177">
        <f>IF(BD13="","",BE13)</f>
        <v>13124</v>
      </c>
      <c r="BG13" s="184">
        <f>IFERROR(IF(AND('Master Data'!$C$11=""),"",ROUND('Master Data'!$E$11%*BD13,0)),"")</f>
        <v>6948</v>
      </c>
      <c r="BH13" s="179">
        <f>'Master Data'!$E$15</f>
        <v>2000</v>
      </c>
      <c r="BI13" s="179">
        <f>IFERROR(IF(OR('Master Data'!$C$14=$AR$6),"",IF('Master Data'!$E$8="GPF-2004",IF(BD13&lt;18001,265,IF(BD13&lt;33501,440,IF(BD13&lt;54001,658,875))),IF(AND('Master Data'!$E$8="GPF"),IF(BD13&lt;18001,265,IF(BD13&lt;33501,440,IF(BD13&lt;54001,658,875))),""))),"")</f>
        <v>658</v>
      </c>
      <c r="BJ13" s="179">
        <f>IFERROR(IF(OR('Master Data'!$C$14=$AR$6),"",'Master Data'!$C$10),"")</f>
        <v>5000</v>
      </c>
      <c r="BK13" s="185">
        <f>IFERROR(IF('Master Data'!$E$8="GPF-2004","",IF(OR('Master Data'!$C$14=$AR$6),"",'Master Data'!$E$10)),"")</f>
        <v>5000</v>
      </c>
      <c r="BL13" s="179">
        <f>BC13</f>
        <v>38600</v>
      </c>
      <c r="BM13" s="186">
        <v>44652</v>
      </c>
      <c r="BN13" s="186">
        <f>IFERROR(IF('Master Data'!$C$11="","",IF('Master Data'!$C$20="","",IF(AND($BB$17&gt;$BB$9),"",DATE(YEAR(BN12),MONTH(BN12)+1,DAY(BN12))))),"")</f>
        <v>44652</v>
      </c>
      <c r="BO13" s="187">
        <f>IFERROR(IF('Master Data'!$C$11="","",IF('Master Data'!$C$20="","",IF(AND($BB$17&gt;$BB$9),"",DATE(YEAR(BO12),MONTH(BO12)+1,DAY(BO12))))),"")</f>
        <v>44652</v>
      </c>
      <c r="BP13" s="187">
        <f t="shared" ref="BP13:BP29" si="4">IF(AND(BO13=""),"",IF(AND(BO13=$BM$12),$BM$12,IF(AND(BO13=$BM$13),$BM$13,IF(AND(BO13=$BM$14),$BM$14,IF(AND(BO13=$BM$15),$BM$15,IF(AND(BO13=$BM$16),$BM$16,IF(AND(BO13=$BM$17),$BM$17,IF(AND(BO13=$BM$18),$BM$18,IF(AND(BO13=$BM$19),$BM$19,IF(AND(BO13=$BM$20),$BM$20,IF(AND(BO13=$BM$21),$BM$21,IF(AND(BO13=$BM$22),$BM$22,IF(AND(BO13=$BM$23),$BM$23,IF(AND(BO13=$BM$24),$BO$24,IF(AND(BO13=$BM$25),$BO$25,IF(AND(BO13=$BM$26),$BO$26,IF(AND(BO13=$BM$27),$BO$27,IF(AND(BO13=$BM$28),$BO$28,IF(AND(BO13=$BM$29),$BO$29,IF(AND(BO13=$BM$30),$BO$30,IF(AND(BO13=$BM$31),$BO$31,IF(AND(BO13=$BM$32),$BO$32,""))))))))))))))))))))))</f>
        <v>44652</v>
      </c>
      <c r="BQ13" s="187">
        <f t="shared" ref="BQ13:BQ29" si="5">IFERROR(IF(BO13="","",IF(AND(BN13=$BM$24),$BO$24,IF(AND(BN13=$BM$25),$BO$25,IF(AND(BN13=$BM$26),$BO$26,IF(AND(BN13=$BM$27),$BO$27,IF(AND(BN13=$BM$28),$BO$28,IF(AND(BN13=$BM$29),$BO$29,IF(AND(BN13=$BM$30),$BO$30,IF(AND(BN13=$BM$31),$BO$31,IF(AND(BN13=$BM$32),$BO$32,BP13)))))))))),"")</f>
        <v>44652</v>
      </c>
      <c r="BR13" s="187"/>
      <c r="BS13" s="187">
        <f t="shared" ref="BS13:BS32" si="6">IFERROR(IF(BO13="","",IF(B7=$AZ$24,$AZ$24,IF(B7=$AZ$25,$AZ$25,IF(B7=$AZ$26,$AZ$26,IF(B7=$AZ$27,$AZ$27,IF(B7=$AZ$28,$AZ$28,IF(B7=$AZ$29,$AZ$29,IF(BO13&gt;$BB$17,"",BO13)))))))),"")</f>
        <v>44652</v>
      </c>
      <c r="BT13" s="187"/>
      <c r="BU13" s="188"/>
      <c r="BV13" s="188"/>
      <c r="BW13" s="188">
        <f>IF(AND('Master Data'!$C$11=""),"",IF(AND('Master Data'!$E$21=AZ13),'Master Data'!$E$20,'Master Data'!C11))</f>
        <v>38600</v>
      </c>
      <c r="BX13" s="160"/>
      <c r="BY13" s="160"/>
      <c r="BZ13" s="188">
        <f t="shared" ref="BZ13:BZ32" si="7">IF(B7="","",Z7)</f>
        <v>2000</v>
      </c>
      <c r="CA13" s="160"/>
      <c r="CB13" s="160"/>
      <c r="CC13" s="160"/>
      <c r="CD13" s="69"/>
      <c r="CE13" s="69"/>
    </row>
    <row r="14" spans="1:84" ht="24" customHeight="1">
      <c r="A14" s="84">
        <v>9</v>
      </c>
      <c r="B14" s="85">
        <f t="shared" si="0"/>
        <v>44866</v>
      </c>
      <c r="C14" s="86">
        <f>IFERROR(IF(B14="","",IF(AND(BS20=""),"",IF(B14=$AZ$24,"",IF(AND('Master Data'!$C$14=$AR$6),VLOOKUP(B14,om,13,0),VLOOKUP(B14,om,4,0))))),"")</f>
        <v>39800</v>
      </c>
      <c r="D14" s="86">
        <f>IFERROR(IF(B14="","",IF(AND(BS20=""),"",IF(OR(B14=$AZ$24),"",IF(AND('Master Data'!$C$14=$AR$5),VLOOKUP(B14,om,7,0),"")))),"")</f>
        <v>15124</v>
      </c>
      <c r="E14" s="86">
        <f>IFERROR(IF(B14="","",IF(AND(BS20=""),"",IF(OR(B14=$AZ$24,B14=$AZ$25,B14=$AZ$26,B14=$AZ$27,B14=$AZ$28,B14=$AZ$29),"",IF(AND('Master Data'!$C$14=$AR$5),VLOOKUP(B14,om,8,0),"")))),"")</f>
        <v>7164</v>
      </c>
      <c r="F14" s="86">
        <f>IFERROR(IF(B14="","",IF(AND(C14="",D14=""),"",IF(B14=$AZ$24,"",IF(AND(B14=$AZ$25),"",IF(AND(B14=$AZ$29),"",IF(AND('Master Data'!$C$14=$AR$6),"",IF('GA55'!C14="",ROUND(('GA55'!D14)/12,0),ROUND(('GA55'!C14+'GA55'!D14)/12,0)))))))),"")</f>
        <v>4577</v>
      </c>
      <c r="G14" s="86">
        <f>IFERROR(IF(B14="","",IF(AND(BS20=""),"",IF(OR(B14=$AZ$24,B14=$AZ$25,B14=$AZ$26,B14=$AZ$27,B14=$AZ$28,B14=$AZ$29),"",IF(AND('Master Data'!$C$14=$AR$5),G13,"")))),"")</f>
        <v>0</v>
      </c>
      <c r="H14" s="86">
        <f>IFERROR(IF(B14="","",IF(AND(BS20=""),"",IF(OR(B14=$AZ$24,B14=$AZ$25,B14=$AZ$26,B14=$AZ$27,B14=$AZ$28,B14=$AZ$29),"",IF(AND('Master Data'!$C$14=$AR$5),H13,"")))),"")</f>
        <v>0</v>
      </c>
      <c r="I14" s="86" t="str">
        <f>IFERROR(IF(B14="","",IF(AND(BS20=""),"",IF('Master Data'!$E$12="NO","",IF(OR(B14=$AZ$24,B14=$AZ$25,B14=$AZ$26,B14=$AZ$27,B14=$AZ$28,B14=$AZ$29),"",IF(AND('Master Data'!$C$14=$AR$6),"",IF(AND('Master Data'!$E$13=$AT$9),$AU$6,IF(AND('Master Data'!$E$13=$AT$10),$AU$6,IF(AND('Master Data'!$E$13=$AT$11),$AU$6,IF(AND('Master Data'!$E$13=$AT$12),$AU$6,$AU$5))))))))),"")</f>
        <v/>
      </c>
      <c r="J14" s="86">
        <f>IFERROR(IF(B14="","",IF(AND(BS20=""),"",IF(OR(B14=$AZ$24,B14=$AZ$25,B14=$AZ$26,B14=$AZ$27,B14=$AZ$28,B14=$AZ$29),"",IF(AND('Master Data'!$C$14=$AR$5),J13)))),"")</f>
        <v>2200</v>
      </c>
      <c r="K14" s="86">
        <f>IFERROR(IF(B14="","",IF(AND(BS20=""),"",IF(OR(B14=$AZ$24,B14=$AZ$25,B14=$AZ$26,B14=$AZ$27,B14=$AZ$28,B14=$AZ$29),"",IF(AND('Master Data'!$C$14=$AR$5),K13,"")))),"")</f>
        <v>40</v>
      </c>
      <c r="L14" s="86">
        <f>IFERROR(IF(B14="","",IF(AND(BS20=""),"",IF(OR(B14=$AZ$24,B14=$AZ$25,B14=$AZ$26,B14=$AZ$27,B14=$AZ$28,B14=$AZ$29),"",IF(AND('Master Data'!$C$14=$AR$5),L13,"")))),"")</f>
        <v>0</v>
      </c>
      <c r="M14" s="86" t="str">
        <f>IFERROR(IF(B14="","",IF(AND('Master Data'!$C$14=$AR$6),"",IF(AND('Master Data'!$C$15&lt;&gt;0),IF(AND(B14="Bonus"),VLOOKUP(B14,om,4,0),"")))),"")</f>
        <v/>
      </c>
      <c r="N14" s="86">
        <f>IFERROR(IF(B14="","",IF(AND(BS20=""),"",IF(OR(B14=$AZ$24,B14=$AZ$25,B14=$AZ$26,B14=$AZ$27,B14=$AZ$28,B14=$AZ$29),"",IF(AND('Master Data'!$C$14=$AR$5),N13,"")))),"")</f>
        <v>0</v>
      </c>
      <c r="O14" s="86">
        <f t="shared" si="1"/>
        <v>68905</v>
      </c>
      <c r="P14" s="86">
        <f>IFERROR(IF(B14="","",IF(AND(BS20=""),"",IF(OR(B14=$AZ$24,B14=$AZ$25,B14=$AZ$26,B14=$AZ$27,B14=$AZ$28,B14=$AZ$29),"",IF(AND('Master Data'!$C$14=$AR$5),VLOOKUP(B14,om,11,0),"")))),"")</f>
        <v>5000</v>
      </c>
      <c r="Q14" s="86">
        <f>IFERROR(IF(B14="","",IF(AND(BS20=""),"",IF(OR(B14=$AZ$25),"",IF(AND('Master Data'!$C$14=$AR$5),VLOOKUP(B14,om,12,0),"")))),"")</f>
        <v>5000</v>
      </c>
      <c r="R14" s="86">
        <f>IFERROR(IF(B14="","",IF(AND(BS20=""),"",IF(OR(B14=$AZ$24,B14=$AZ$25,B14=$AZ$26,B14=$AZ$27,B14=$AZ$28,B14=$AZ$29),"",IF(AND('Master Data'!$C$14=$AR$5),'Master Data'!$E$16,"")))),"")</f>
        <v>500</v>
      </c>
      <c r="S14" s="86">
        <f>IFERROR(IF(B14="","",IF(AND(BS20=""),"",IF(OR(B14=$AZ$24,B14=$AZ$25,B14=$AZ$26,B14=$AZ$27,B14=$AZ$28,B14=$AZ$29),"",IF(AND('Master Data'!$C$14=$AR$5),VLOOKUP(B14,om,10,0),"")))),"")</f>
        <v>658</v>
      </c>
      <c r="T14" s="86">
        <f>IFERROR(IF(B14="","",IF(AND(BS20=""),"",IF(OR(B14=$AZ$24,B14=$AZ$25,B14=$AZ$26,B14=$AZ$27,B14=$AZ$28,B14=$AZ$29),"",IF(AND('Master Data'!$C$14=$AR$5),T13,"")))),"")</f>
        <v>0</v>
      </c>
      <c r="U14" s="86">
        <f>IFERROR(IF(B14="","",IF(AND(BS20=""),"",IF(OR(B14=$AZ$24,B14=$AZ$25,B14=$AZ$26,B14=$AZ$27,B14=$AZ$28,B14=$AZ$29),"",IF(AND('Master Data'!$C$14=$AR$5),U13,"")))),"")</f>
        <v>0</v>
      </c>
      <c r="V14" s="86">
        <f>IFERROR(IF(B14="","",IF(AND(BS20=""),"",IF(OR(B14=$AZ$24,B14=$AZ$25,B14=$AZ$26,B14=$AZ$27,B14=$AZ$28,B14=$AZ$29),"",IF(AND('Master Data'!$C$14=$AR$5),V13,"")))),"")</f>
        <v>0</v>
      </c>
      <c r="W14" s="86">
        <f>IFERROR(IF(B14="","",IF(AND(BS20=""),"",IF(OR(B14=$AZ$24,B14=$AZ$25,B14=$AZ$26,B14=$AZ$27,B14=$AZ$28,B14=$AZ$29),"",IF(AND('Master Data'!$C$14=$AR$5),W13,"")))),"")</f>
        <v>200</v>
      </c>
      <c r="X14" s="86" t="str">
        <f>IFERROR(IF(OR('Master Data'!$C$14=$AR$6,B14=""),"",IF(AND(C14=""),"",IF(AND(B14=$AV$17,'Master Data'!$C$5="Gazetted"),500,IF(AND(B14=$AV$17,'Master Data'!$C$5="Non-Gazetted"),250,"")))),"")</f>
        <v/>
      </c>
      <c r="Y14" s="86">
        <f>IFERROR(IF(B14="","",IF(AND(BS20=""),"",IF(OR(B14=$AZ$24,B14=$AZ$25,B14=$AZ$26,B14=$AZ$27,B14=$AZ$28,B14=$AZ$29),"",IF(AND('Master Data'!$C$14=$AR$5),Y13,"")))),"")</f>
        <v>0</v>
      </c>
      <c r="Z14" s="86">
        <f>IFERROR(IF(B14="","",IF(AND(BS20=""),"",IF(OR(B14=$AZ$24,B14=$AZ$25,B14=$AZ$26,B14=$AZ$27,B14=$AZ$28,B14=$AZ$29),"",IF(AND('Master Data'!$C$14=$AR$5),VLOOKUP(B14,om,9,0),"")))),"")</f>
        <v>2000</v>
      </c>
      <c r="AA14" s="86" t="str">
        <f>IFERROR(IF(OR('Master Data'!$C$14=$AR$6,B14="",'Master Data'!$C$11=""),"",IF(AND(C14=""),"",IF(B14=$AV$8,'Master Data'!$C$16,""))),"")</f>
        <v/>
      </c>
      <c r="AB14" s="86">
        <f t="shared" si="2"/>
        <v>13358</v>
      </c>
      <c r="AC14" s="86">
        <f t="shared" si="3"/>
        <v>55547</v>
      </c>
      <c r="AD14" s="86"/>
      <c r="AE14" s="87"/>
      <c r="AH14" s="88"/>
      <c r="AO14" s="160"/>
      <c r="AP14" s="160"/>
      <c r="AQ14" s="160"/>
      <c r="AR14" s="160"/>
      <c r="AS14" s="160"/>
      <c r="AT14" s="160"/>
      <c r="AU14" s="160" t="s">
        <v>274</v>
      </c>
      <c r="AV14" s="171">
        <v>44805</v>
      </c>
      <c r="AW14" s="160" t="s">
        <v>152</v>
      </c>
      <c r="AX14" s="160"/>
      <c r="AY14" s="178" t="s">
        <v>272</v>
      </c>
      <c r="AZ14" s="172">
        <v>44682</v>
      </c>
      <c r="BA14" s="177">
        <v>5</v>
      </c>
      <c r="BB14" s="177"/>
      <c r="BC14" s="179">
        <f>IF(AND('Master Data'!$C$11=""),"",IF(AND('Master Data'!$C$14=$AR$6),$BB$15,BW14))</f>
        <v>38600</v>
      </c>
      <c r="BD14" s="177">
        <f t="shared" ref="BD14:BD23" si="8">IF(AND(AZ14&lt;$BB$16),"",IF(AND(AZ14&gt;$BB$17),"",BC14))</f>
        <v>38600</v>
      </c>
      <c r="BE14" s="177">
        <f>IF(AND('Master Data'!$C$11=""),"",ROUND(34%*BC14,0))</f>
        <v>13124</v>
      </c>
      <c r="BF14" s="177">
        <f>IF(BD14="","",BE14)</f>
        <v>13124</v>
      </c>
      <c r="BG14" s="184">
        <f>IFERROR(IF(AND('Master Data'!$C$11=""),"",ROUND('Master Data'!$E$11%*BD14,0)),"")</f>
        <v>6948</v>
      </c>
      <c r="BH14" s="179">
        <f>'Master Data'!$E$15</f>
        <v>2000</v>
      </c>
      <c r="BI14" s="179">
        <f>IFERROR(IF(OR('Master Data'!$C$14=$AR$6),"",IF('Master Data'!$E$8="GPF-2004",IF(BD14&lt;18001,265,IF(BD14&lt;33501,440,IF(BD14&lt;54001,658,875))),IF(AND('Master Data'!$E$8="GPF"),IF(BD14&lt;18001,265,IF(BD14&lt;33501,440,IF(BD14&lt;54001,658,875))),""))),"")</f>
        <v>658</v>
      </c>
      <c r="BJ14" s="179">
        <f>IFERROR(IF(OR('Master Data'!$C$14=$AR$6),"",'Master Data'!$C$10),"")</f>
        <v>5000</v>
      </c>
      <c r="BK14" s="185">
        <f>IFERROR(IF(OR('Master Data'!$C$14=$AR$6),"",IF('Master Data'!$E$8="GPF-2004",IF(BD14&lt;23101,1450,IF(BD14&lt;28501,1625,IF(BD14&lt;38501,2100,IF(BD14&lt;51501,2850,IF(BD14&lt;62001,3575,IF(BD14&lt;72001,4200,IF(BD14&lt;80001,4800,IF(BD14&lt;116001,6150,IF(BD14&lt;167001,8900,10500)))))))))*2,'Master Data'!$E$10)),"")</f>
        <v>5000</v>
      </c>
      <c r="BL14" s="179">
        <f t="shared" ref="BL14:BL15" si="9">BC14</f>
        <v>38600</v>
      </c>
      <c r="BM14" s="186">
        <v>44682</v>
      </c>
      <c r="BN14" s="186">
        <f>IFERROR(IF('Master Data'!$C$11="","",IF('Master Data'!$C$20="","",IF(AND($BB$17&gt;$BB$9),"",DATE(YEAR(BN13),MONTH(BN13)+1,DAY(BN13))))),"")</f>
        <v>44682</v>
      </c>
      <c r="BO14" s="187">
        <f>IFERROR(IF('Master Data'!$C$11="","",IF('Master Data'!$C$20="","",IF(AND($BB$17&gt;$BB$9),"",DATE(YEAR(BO13),MONTH(BO13)+1,DAY(BO13))))),"")</f>
        <v>44682</v>
      </c>
      <c r="BP14" s="187">
        <f t="shared" si="4"/>
        <v>44682</v>
      </c>
      <c r="BQ14" s="187">
        <f t="shared" si="5"/>
        <v>44682</v>
      </c>
      <c r="BR14" s="187"/>
      <c r="BS14" s="187">
        <f t="shared" si="6"/>
        <v>44682</v>
      </c>
      <c r="BT14" s="187"/>
      <c r="BU14" s="188"/>
      <c r="BV14" s="188"/>
      <c r="BW14" s="188">
        <f>IF(AND('Master Data'!$C$11=""),"",IF(AND('Master Data'!$E$21=AZ14),'Master Data'!$E$20,BW13))</f>
        <v>38600</v>
      </c>
      <c r="BX14" s="160"/>
      <c r="BY14" s="160"/>
      <c r="BZ14" s="188">
        <f t="shared" si="7"/>
        <v>2000</v>
      </c>
      <c r="CA14" s="160"/>
      <c r="CB14" s="160"/>
      <c r="CC14" s="160"/>
      <c r="CD14" s="69"/>
      <c r="CE14" s="69"/>
    </row>
    <row r="15" spans="1:84" ht="24" customHeight="1">
      <c r="A15" s="84">
        <v>10</v>
      </c>
      <c r="B15" s="85">
        <f t="shared" si="0"/>
        <v>44896</v>
      </c>
      <c r="C15" s="86">
        <f>IFERROR(IF(B15="","",IF(AND(BS21=""),"",IF(B15=$AZ$24,"",IF(AND('Master Data'!$C$14=$AR$6),VLOOKUP(B15,om,13,0),VLOOKUP(B15,om,4,0))))),"")</f>
        <v>39800</v>
      </c>
      <c r="D15" s="86">
        <f>IFERROR(IF(B15="","",IF(AND(BS21=""),"",IF(OR(B15=$AZ$24),"",IF(AND('Master Data'!$C$14=$AR$5),VLOOKUP(B15,om,7,0),"")))),"")</f>
        <v>15124</v>
      </c>
      <c r="E15" s="86">
        <f>IFERROR(IF(B15="","",IF(AND(BS21=""),"",IF(OR(B15=$AZ$24,B15=$AZ$25,B15=$AZ$26,B15=$AZ$27,B15=$AZ$28,B15=$AZ$29),"",IF(AND('Master Data'!$C$14=$AR$5),VLOOKUP(B15,om,8,0),"")))),"")</f>
        <v>7164</v>
      </c>
      <c r="F15" s="86">
        <f>IFERROR(IF(B15="","",IF(AND(C15="",D15=""),"",IF(B15=$AZ$24,"",IF(AND(B15=$AZ$25),"",IF(AND(B15=$AZ$29),"",IF(AND('Master Data'!$C$14=$AR$6),"",IF('GA55'!C15="",ROUND(('GA55'!D15)/12,0),ROUND(('GA55'!C15+'GA55'!D15)/12,0)))))))),"")</f>
        <v>4577</v>
      </c>
      <c r="G15" s="86">
        <f>IFERROR(IF(B15="","",IF(AND(BS21=""),"",IF(OR(B15=$AZ$24,B15=$AZ$25,B15=$AZ$26,B15=$AZ$27,B15=$AZ$28,B15=$AZ$29),"",IF(AND('Master Data'!$C$14=$AR$5),G14,"")))),"")</f>
        <v>0</v>
      </c>
      <c r="H15" s="86">
        <f>IFERROR(IF(B15="","",IF(AND(BS21=""),"",IF(OR(B15=$AZ$24,B15=$AZ$25,B15=$AZ$26,B15=$AZ$27,B15=$AZ$28,B15=$AZ$29),"",IF(AND('Master Data'!$C$14=$AR$5),H14,"")))),"")</f>
        <v>0</v>
      </c>
      <c r="I15" s="86" t="str">
        <f>IFERROR(IF(B15="","",IF(AND(BS21=""),"",IF('Master Data'!$E$12="NO","",IF(OR(B15=$AZ$24,B15=$AZ$25,B15=$AZ$26,B15=$AZ$27,B15=$AZ$28,B15=$AZ$29),"",IF(AND('Master Data'!$C$14=$AR$6),"",IF(AND('Master Data'!$E$13=$AT$9),$AU$6,IF(AND('Master Data'!$E$13=$AT$10),$AU$6,IF(AND('Master Data'!$E$13=$AT$11),$AU$6,IF(AND('Master Data'!$E$13=$AT$12),$AU$6,$AU$5))))))))),"")</f>
        <v/>
      </c>
      <c r="J15" s="86">
        <f>IFERROR(IF(B15="","",IF(AND(BS21=""),"",IF(OR(B15=$AZ$24,B15=$AZ$25,B15=$AZ$26,B15=$AZ$27,B15=$AZ$28,B15=$AZ$29),"",IF(AND('Master Data'!$C$14=$AR$5),J14)))),"")</f>
        <v>2200</v>
      </c>
      <c r="K15" s="86">
        <f>IFERROR(IF(B15="","",IF(AND(BS21=""),"",IF(OR(B15=$AZ$24,B15=$AZ$25,B15=$AZ$26,B15=$AZ$27,B15=$AZ$28,B15=$AZ$29),"",IF(AND('Master Data'!$C$14=$AR$5),K14,"")))),"")</f>
        <v>40</v>
      </c>
      <c r="L15" s="86">
        <f>IFERROR(IF(B15="","",IF(AND(BS21=""),"",IF(OR(B15=$AZ$24,B15=$AZ$25,B15=$AZ$26,B15=$AZ$27,B15=$AZ$28,B15=$AZ$29),"",IF(AND('Master Data'!$C$14=$AR$5),L14,"")))),"")</f>
        <v>0</v>
      </c>
      <c r="M15" s="86" t="str">
        <f>IFERROR(IF(B15="","",IF(AND('Master Data'!$C$14=$AR$6),"",IF(AND('Master Data'!$C$15&lt;&gt;0),IF(AND(B15="Bonus"),VLOOKUP(B15,om,4,0),"")))),"")</f>
        <v/>
      </c>
      <c r="N15" s="86">
        <f>IFERROR(IF(B15="","",IF(AND(BS21=""),"",IF(OR(B15=$AZ$24,B15=$AZ$25,B15=$AZ$26,B15=$AZ$27,B15=$AZ$28,B15=$AZ$29),"",IF(AND('Master Data'!$C$14=$AR$5),N14,"")))),"")</f>
        <v>0</v>
      </c>
      <c r="O15" s="86">
        <f t="shared" si="1"/>
        <v>68905</v>
      </c>
      <c r="P15" s="86">
        <f>IFERROR(IF(B15="","",IF(AND(BS21=""),"",IF(OR(B15=$AZ$24,B15=$AZ$25,B15=$AZ$26,B15=$AZ$27,B15=$AZ$28,B15=$AZ$29),"",IF(AND('Master Data'!$C$14=$AR$5),VLOOKUP(B15,om,11,0),"")))),"")</f>
        <v>5000</v>
      </c>
      <c r="Q15" s="86">
        <f>IFERROR(IF(B15="","",IF(AND(BS21=""),"",IF(OR(B15=$AZ$25),"",IF(AND('Master Data'!$C$14=$AR$5),VLOOKUP(B15,om,12,0),"")))),"")</f>
        <v>5000</v>
      </c>
      <c r="R15" s="86">
        <f>IFERROR(IF(B15="","",IF(AND(BS21=""),"",IF(OR(B15=$AZ$24,B15=$AZ$25,B15=$AZ$26,B15=$AZ$27,B15=$AZ$28,B15=$AZ$29),"",IF(AND('Master Data'!$C$14=$AR$5),'Master Data'!$E$16,"")))),"")</f>
        <v>500</v>
      </c>
      <c r="S15" s="86">
        <f>IFERROR(IF(B15="","",IF(AND(BS21=""),"",IF(OR(B15=$AZ$24,B15=$AZ$25,B15=$AZ$26,B15=$AZ$27,B15=$AZ$28,B15=$AZ$29),"",IF(AND('Master Data'!$C$14=$AR$5),VLOOKUP(B15,om,10,0),"")))),"")</f>
        <v>658</v>
      </c>
      <c r="T15" s="86">
        <f>IFERROR(IF(B15="","",IF(AND(BS21=""),"",IF(OR(B15=$AZ$24,B15=$AZ$25,B15=$AZ$26,B15=$AZ$27,B15=$AZ$28,B15=$AZ$29),"",IF(AND('Master Data'!$C$14=$AR$5),T14,"")))),"")</f>
        <v>0</v>
      </c>
      <c r="U15" s="86">
        <f>IFERROR(IF(B15="","",IF(AND(BS21=""),"",IF(OR(B15=$AZ$24,B15=$AZ$25,B15=$AZ$26,B15=$AZ$27,B15=$AZ$28,B15=$AZ$29),"",IF(AND('Master Data'!$C$14=$AR$5),U14,"")))),"")</f>
        <v>0</v>
      </c>
      <c r="V15" s="86">
        <f>IFERROR(IF(B15="","",IF(AND(BS21=""),"",IF(OR(B15=$AZ$24,B15=$AZ$25,B15=$AZ$26,B15=$AZ$27,B15=$AZ$28,B15=$AZ$29),"",IF(AND('Master Data'!$C$14=$AR$5),V14,"")))),"")</f>
        <v>0</v>
      </c>
      <c r="W15" s="86">
        <f>IFERROR(IF(B15="","",IF(AND(BS21=""),"",IF(OR(B15=$AZ$24,B15=$AZ$25,B15=$AZ$26,B15=$AZ$27,B15=$AZ$28,B15=$AZ$29),"",IF(AND('Master Data'!$C$14=$AR$5),W14,"")))),"")</f>
        <v>200</v>
      </c>
      <c r="X15" s="86">
        <f>IFERROR(IF(OR('Master Data'!$C$14=$AR$6,B15=""),"",IF(AND(C15=""),"",IF(AND(B15=$AV$17,'Master Data'!$C$5="Gazetted"),500,IF(AND(B15=$AV$17,'Master Data'!$C$5="Non-Gazetted"),250,"")))),"")</f>
        <v>250</v>
      </c>
      <c r="Y15" s="86">
        <f>IFERROR(IF(B15="","",IF(AND(BS21=""),"",IF(OR(B15=$AZ$24,B15=$AZ$25,B15=$AZ$26,B15=$AZ$27,B15=$AZ$28,B15=$AZ$29),"",IF(AND('Master Data'!$C$14=$AR$5),Y14,"")))),"")</f>
        <v>0</v>
      </c>
      <c r="Z15" s="86">
        <f>IFERROR(IF(B15="","",IF(AND(BS21=""),"",IF(OR(B15=$AZ$24,B15=$AZ$25,B15=$AZ$26,B15=$AZ$27,B15=$AZ$28,B15=$AZ$29),"",IF(AND('Master Data'!$C$14=$AR$5),VLOOKUP(B15,om,9,0),"")))),"")</f>
        <v>2000</v>
      </c>
      <c r="AA15" s="86" t="str">
        <f>IFERROR(IF(OR('Master Data'!$C$14=$AR$6,B15="",'Master Data'!$C$11=""),"",IF(AND(C15=""),"",IF(B15=$AV$8,'Master Data'!$C$16,""))),"")</f>
        <v/>
      </c>
      <c r="AB15" s="86">
        <f t="shared" si="2"/>
        <v>13608</v>
      </c>
      <c r="AC15" s="86">
        <f t="shared" si="3"/>
        <v>55297</v>
      </c>
      <c r="AD15" s="86"/>
      <c r="AE15" s="87"/>
      <c r="AO15" s="160"/>
      <c r="AP15" s="160"/>
      <c r="AQ15" s="160"/>
      <c r="AR15" s="160"/>
      <c r="AS15" s="160"/>
      <c r="AT15" s="160"/>
      <c r="AU15" s="160" t="s">
        <v>275</v>
      </c>
      <c r="AV15" s="171">
        <v>44835</v>
      </c>
      <c r="AW15" s="160" t="s">
        <v>153</v>
      </c>
      <c r="AX15" s="160"/>
      <c r="AY15" s="178" t="s">
        <v>273</v>
      </c>
      <c r="AZ15" s="172">
        <v>44713</v>
      </c>
      <c r="BA15" s="177">
        <v>6</v>
      </c>
      <c r="BB15" s="179">
        <f>IF(AND('Master Data'!C11=""),"",'Master Data'!C11)</f>
        <v>38600</v>
      </c>
      <c r="BC15" s="179">
        <f>IF(AND('Master Data'!$C$11=""),"",IF(AND('Master Data'!$C$14=$AR$6),$BB$15,BW15))</f>
        <v>38600</v>
      </c>
      <c r="BD15" s="177">
        <f t="shared" si="8"/>
        <v>38600</v>
      </c>
      <c r="BE15" s="177">
        <f>IF(AND('Master Data'!$C$11=""),"",ROUND(34%*BC15,0))</f>
        <v>13124</v>
      </c>
      <c r="BF15" s="177">
        <f t="shared" ref="BF15:BF22" si="10">IF(BD15="","",BE15)</f>
        <v>13124</v>
      </c>
      <c r="BG15" s="184">
        <f>IFERROR(IF(AND('Master Data'!$C$11=""),"",ROUND('Master Data'!$E$11%*BD15,0)),"")</f>
        <v>6948</v>
      </c>
      <c r="BH15" s="179">
        <f>'Master Data'!$E$15</f>
        <v>2000</v>
      </c>
      <c r="BI15" s="179">
        <f>IFERROR(IF(OR('Master Data'!$C$14=$AR$6),"",IF('Master Data'!$E$8="GPF-2004",IF(BD15&lt;18001,265,IF(BD15&lt;33501,440,IF(BD15&lt;54001,658,875))),IF(AND('Master Data'!$E$8="GPF"),IF(BD15&lt;18001,265,IF(BD15&lt;33501,440,IF(BD15&lt;54001,658,875))),""))),"")</f>
        <v>658</v>
      </c>
      <c r="BJ15" s="179">
        <f>IFERROR(IF(OR('Master Data'!$C$14=$AR$6),"",'Master Data'!$C$10),"")</f>
        <v>5000</v>
      </c>
      <c r="BK15" s="185">
        <f>IFERROR(IF(OR('Master Data'!$C$14=$AR$6),"",IF('Master Data'!$E$8="GPF-2004",IF(BD15&lt;23101,1450,IF(BD15&lt;28501,1625,IF(BD15&lt;38501,2100,IF(BD15&lt;51501,2850,IF(BD15&lt;62001,3575,IF(BD15&lt;72001,4200,IF(BD15&lt;80001,4800,IF(BD15&lt;116001,6150,IF(BD15&lt;167001,8900,10500))))))))),'Master Data'!$E$10)),"")</f>
        <v>5000</v>
      </c>
      <c r="BL15" s="179">
        <f t="shared" si="9"/>
        <v>38600</v>
      </c>
      <c r="BM15" s="186">
        <v>44713</v>
      </c>
      <c r="BN15" s="186">
        <f>IFERROR(IF('Master Data'!$C$11="","",IF('Master Data'!$C$20="","",IF(AND($BB$17&gt;$BB$9),"",DATE(YEAR(BN14),MONTH(BN14)+1,DAY(BN14))))),"")</f>
        <v>44713</v>
      </c>
      <c r="BO15" s="187">
        <f>IFERROR(IF('Master Data'!$C$11="","",IF('Master Data'!$C$20="","",IF(AND($BB$17&gt;$BB$9),"",DATE(YEAR(BO14),MONTH(BO14)+1,DAY(BO14))))),"")</f>
        <v>44713</v>
      </c>
      <c r="BP15" s="187">
        <f t="shared" si="4"/>
        <v>44713</v>
      </c>
      <c r="BQ15" s="187">
        <f t="shared" si="5"/>
        <v>44713</v>
      </c>
      <c r="BR15" s="187"/>
      <c r="BS15" s="187">
        <f t="shared" si="6"/>
        <v>44713</v>
      </c>
      <c r="BT15" s="187"/>
      <c r="BU15" s="188"/>
      <c r="BV15" s="188"/>
      <c r="BW15" s="188">
        <f>IF(AND('Master Data'!$C$11=""),"",IF(AND('Master Data'!$E$21=AZ15),'Master Data'!$E$20,BW14))</f>
        <v>38600</v>
      </c>
      <c r="BX15" s="160"/>
      <c r="BY15" s="160"/>
      <c r="BZ15" s="188">
        <f t="shared" si="7"/>
        <v>2000</v>
      </c>
      <c r="CA15" s="160"/>
      <c r="CB15" s="160"/>
      <c r="CC15" s="160"/>
      <c r="CD15" s="69"/>
      <c r="CE15" s="69"/>
    </row>
    <row r="16" spans="1:84" ht="24" customHeight="1">
      <c r="A16" s="84">
        <v>11</v>
      </c>
      <c r="B16" s="85">
        <f t="shared" si="0"/>
        <v>44927</v>
      </c>
      <c r="C16" s="86">
        <f>IFERROR(IF(B16="","",IF(AND(BS22=""),"",IF(B16=$AZ$24,"",IF(AND('Master Data'!$C$14=$AR$6),VLOOKUP(B16,om,13,0),VLOOKUP(B16,om,4,0))))),"")</f>
        <v>39800</v>
      </c>
      <c r="D16" s="86">
        <f>IFERROR(IF(B16="","",IF(AND(BS22=""),"",IF(OR(B16=$AZ$24),"",IF(AND('Master Data'!$C$14=$AR$5),VLOOKUP(B16,om,7,0),"")))),"")</f>
        <v>15124</v>
      </c>
      <c r="E16" s="86">
        <f>IFERROR(IF(B16="","",IF(AND(BS22=""),"",IF(OR(B16=$AZ$24,B16=$AZ$25,B16=$AZ$26,B16=$AZ$27,B16=$AZ$28,B16=$AZ$29),"",IF(AND('Master Data'!$C$14=$AR$5),VLOOKUP(B16,om,8,0),"")))),"")</f>
        <v>7164</v>
      </c>
      <c r="F16" s="86">
        <f>IFERROR(IF(B16="","",IF(AND(C16="",D16=""),"",IF(B16=$AZ$24,"",IF(AND(B16=$AZ$25),"",IF(AND(B16=$AZ$29),"",IF(AND('Master Data'!$C$14=$AR$6),"",IF('GA55'!C16="",ROUND(('GA55'!D16)/12,0),ROUND(('GA55'!C16+'GA55'!D16)/12,0)))))))),"")</f>
        <v>4577</v>
      </c>
      <c r="G16" s="86">
        <f>IFERROR(IF(B16="","",IF(AND(BS22=""),"",IF(OR(B16=$AZ$24,B16=$AZ$25,B16=$AZ$26,B16=$AZ$27,B16=$AZ$28,B16=$AZ$29),"",IF(AND('Master Data'!$C$14=$AR$5),G15,"")))),"")</f>
        <v>0</v>
      </c>
      <c r="H16" s="86">
        <f>IFERROR(IF(B16="","",IF(AND(BS22=""),"",IF(OR(B16=$AZ$24,B16=$AZ$25,B16=$AZ$26,B16=$AZ$27,B16=$AZ$28,B16=$AZ$29),"",IF(AND('Master Data'!$C$14=$AR$5),H15,"")))),"")</f>
        <v>0</v>
      </c>
      <c r="I16" s="86" t="str">
        <f>IFERROR(IF(B16="","",IF(AND(BS22=""),"",IF('Master Data'!$E$12="NO","",IF(OR(B16=$AZ$24,B16=$AZ$25,B16=$AZ$26,B16=$AZ$27,B16=$AZ$28,B16=$AZ$29),"",IF(AND('Master Data'!$C$14=$AR$6),"",IF(AND('Master Data'!$E$13=$AT$9),$AU$6,IF(AND('Master Data'!$E$13=$AT$10),$AU$6,IF(AND('Master Data'!$E$13=$AT$11),$AU$6,IF(AND('Master Data'!$E$13=$AT$12),$AU$6,$AU$5))))))))),"")</f>
        <v/>
      </c>
      <c r="J16" s="86">
        <f>IFERROR(IF(B16="","",IF(AND(BS22=""),"",IF(OR(B16=$AZ$24,B16=$AZ$25,B16=$AZ$26,B16=$AZ$27,B16=$AZ$28,B16=$AZ$29),"",IF(AND('Master Data'!$C$14=$AR$5),J15)))),"")</f>
        <v>2200</v>
      </c>
      <c r="K16" s="86">
        <f>IFERROR(IF(B16="","",IF(AND(BS22=""),"",IF(OR(B16=$AZ$24,B16=$AZ$25,B16=$AZ$26,B16=$AZ$27,B16=$AZ$28,B16=$AZ$29),"",IF(AND('Master Data'!$C$14=$AR$5),K15,"")))),"")</f>
        <v>40</v>
      </c>
      <c r="L16" s="86">
        <f>IFERROR(IF(B16="","",IF(AND(BS22=""),"",IF(OR(B16=$AZ$24,B16=$AZ$25,B16=$AZ$26,B16=$AZ$27,B16=$AZ$28,B16=$AZ$29),"",IF(AND('Master Data'!$C$14=$AR$5),L15,"")))),"")</f>
        <v>0</v>
      </c>
      <c r="M16" s="86" t="str">
        <f>IFERROR(IF(B16="","",IF(AND('Master Data'!$C$14=$AR$6),"",IF(AND('Master Data'!$C$15&lt;&gt;0),IF(AND(B16="Bonus"),VLOOKUP(B16,om,4,0),"")))),"")</f>
        <v/>
      </c>
      <c r="N16" s="86">
        <f>IFERROR(IF(B16="","",IF(AND(BS22=""),"",IF(OR(B16=$AZ$24,B16=$AZ$25,B16=$AZ$26,B16=$AZ$27,B16=$AZ$28,B16=$AZ$29),"",IF(AND('Master Data'!$C$14=$AR$5),N15,"")))),"")</f>
        <v>0</v>
      </c>
      <c r="O16" s="86">
        <f t="shared" si="1"/>
        <v>68905</v>
      </c>
      <c r="P16" s="86">
        <f>IFERROR(IF(B16="","",IF(AND(BS22=""),"",IF(OR(B16=$AZ$24,B16=$AZ$25,B16=$AZ$26,B16=$AZ$27,B16=$AZ$28,B16=$AZ$29),"",IF(AND('Master Data'!$C$14=$AR$5),VLOOKUP(B16,om,11,0),"")))),"")</f>
        <v>5000</v>
      </c>
      <c r="Q16" s="86">
        <f>IFERROR(IF(B16="","",IF(AND(BS22=""),"",IF(OR(B16=$AZ$25),"",IF(AND('Master Data'!$C$14=$AR$5),VLOOKUP(B16,om,12,0),"")))),"")</f>
        <v>5000</v>
      </c>
      <c r="R16" s="86">
        <f>IFERROR(IF(B16="","",IF(AND(BS22=""),"",IF(OR(B16=$AZ$24,B16=$AZ$25,B16=$AZ$26,B16=$AZ$27,B16=$AZ$28,B16=$AZ$29),"",IF(AND('Master Data'!$C$14=$AR$5),'Master Data'!$E$16,"")))),"")</f>
        <v>500</v>
      </c>
      <c r="S16" s="86">
        <f>IFERROR(IF(B16="","",IF(AND(BS22=""),"",IF(OR(B16=$AZ$24,B16=$AZ$25,B16=$AZ$26,B16=$AZ$27,B16=$AZ$28,B16=$AZ$29),"",IF(AND('Master Data'!$C$14=$AR$5),VLOOKUP(B16,om,10,0),"")))),"")</f>
        <v>658</v>
      </c>
      <c r="T16" s="86">
        <f>IFERROR(IF(B16="","",IF(AND(BS22=""),"",IF(OR(B16=$AZ$24,B16=$AZ$25,B16=$AZ$26,B16=$AZ$27,B16=$AZ$28,B16=$AZ$29),"",IF(AND('Master Data'!$C$14=$AR$5),T15,"")))),"")</f>
        <v>0</v>
      </c>
      <c r="U16" s="86">
        <f>IFERROR(IF(B16="","",IF(AND(BS22=""),"",IF(OR(B16=$AZ$24,B16=$AZ$25,B16=$AZ$26,B16=$AZ$27,B16=$AZ$28,B16=$AZ$29),"",IF(AND('Master Data'!$C$14=$AR$5),U15,"")))),"")</f>
        <v>0</v>
      </c>
      <c r="V16" s="86">
        <f>IFERROR(IF(B16="","",IF(AND(BS22=""),"",IF(OR(B16=$AZ$24,B16=$AZ$25,B16=$AZ$26,B16=$AZ$27,B16=$AZ$28,B16=$AZ$29),"",IF(AND('Master Data'!$C$14=$AR$5),V15,"")))),"")</f>
        <v>0</v>
      </c>
      <c r="W16" s="86">
        <f>IFERROR(IF(B16="","",IF(AND(BS22=""),"",IF(OR(B16=$AZ$24,B16=$AZ$25,B16=$AZ$26,B16=$AZ$27,B16=$AZ$28,B16=$AZ$29),"",IF(AND('Master Data'!$C$14=$AR$5),W15,"")))),"")</f>
        <v>200</v>
      </c>
      <c r="X16" s="86" t="str">
        <f>IFERROR(IF(OR('Master Data'!$C$14=$AR$6,B16=""),"",IF(AND(C16=""),"",IF(AND(B16=$AV$17,'Master Data'!$C$5="Gazetted"),500,IF(AND(B16=$AV$17,'Master Data'!$C$5="Non-Gazetted"),250,"")))),"")</f>
        <v/>
      </c>
      <c r="Y16" s="86">
        <f>IFERROR(IF(B16="","",IF(AND(BS22=""),"",IF(OR(B16=$AZ$24,B16=$AZ$25,B16=$AZ$26,B16=$AZ$27,B16=$AZ$28,B16=$AZ$29),"",IF(AND('Master Data'!$C$14=$AR$5),Y15,"")))),"")</f>
        <v>0</v>
      </c>
      <c r="Z16" s="86">
        <f>IFERROR(IF(B16="","",IF(AND(BS22=""),"",IF(OR(B16=$AZ$24,B16=$AZ$25,B16=$AZ$26,B16=$AZ$27,B16=$AZ$28,B16=$AZ$29),"",IF(AND('Master Data'!$C$14=$AR$5),VLOOKUP(B16,om,9,0),"")))),"")</f>
        <v>2000</v>
      </c>
      <c r="AA16" s="86" t="str">
        <f>IFERROR(IF(OR('Master Data'!$C$14=$AR$6,B16="",'Master Data'!$C$11=""),"",IF(AND(C16=""),"",IF(B16=$AV$8,'Master Data'!$C$16,""))),"")</f>
        <v/>
      </c>
      <c r="AB16" s="86">
        <f t="shared" si="2"/>
        <v>13358</v>
      </c>
      <c r="AC16" s="86">
        <f t="shared" si="3"/>
        <v>55547</v>
      </c>
      <c r="AD16" s="86"/>
      <c r="AE16" s="87"/>
      <c r="AO16" s="160"/>
      <c r="AP16" s="160"/>
      <c r="AQ16" s="160"/>
      <c r="AR16" s="160"/>
      <c r="AS16" s="160"/>
      <c r="AT16" s="160"/>
      <c r="AU16" s="160" t="s">
        <v>276</v>
      </c>
      <c r="AV16" s="171">
        <v>44866</v>
      </c>
      <c r="AW16" s="160" t="s">
        <v>154</v>
      </c>
      <c r="AX16" s="160"/>
      <c r="AY16" s="178" t="s">
        <v>274</v>
      </c>
      <c r="AZ16" s="172">
        <v>44743</v>
      </c>
      <c r="BA16" s="177">
        <v>7</v>
      </c>
      <c r="BB16" s="189">
        <f>IF(AND('Master Data'!C20=""),"",'Master Data'!C20)</f>
        <v>44621</v>
      </c>
      <c r="BC16" s="179">
        <f>IF(AND('Master Data'!$C$11=""),"",IF(AND('Master Data'!$C$14=$AR$6),$BB$15,BW16))</f>
        <v>39800</v>
      </c>
      <c r="BD16" s="177">
        <f t="shared" si="8"/>
        <v>39800</v>
      </c>
      <c r="BE16" s="177">
        <f>IF(AND('Master Data'!$C$11=""),"",ROUND(34%*BC16,0))</f>
        <v>13532</v>
      </c>
      <c r="BF16" s="177">
        <f t="shared" si="10"/>
        <v>13532</v>
      </c>
      <c r="BG16" s="184">
        <f>IFERROR(IF(AND('Master Data'!$C$11=""),"",ROUND('Master Data'!$E$11%*BD16,0)),"")</f>
        <v>7164</v>
      </c>
      <c r="BH16" s="179">
        <f>'Master Data'!$E$15</f>
        <v>2000</v>
      </c>
      <c r="BI16" s="179">
        <f>IFERROR(IF(OR('Master Data'!$C$14=$AR$6),"",IF('Master Data'!$E$8="GPF-2004",IF(BD16&lt;18001,265,IF(BD16&lt;33501,440,IF(BD16&lt;54001,658,875))),IF(AND('Master Data'!$E$8="GPF"),IF(BD16&lt;18001,265,IF(BD16&lt;33501,440,IF(BD16&lt;54001,658,875))),""))),"")</f>
        <v>658</v>
      </c>
      <c r="BJ16" s="179">
        <f>IFERROR(IF(OR('Master Data'!$C$14=$AR$6),"",'Master Data'!$C$10),"")</f>
        <v>5000</v>
      </c>
      <c r="BK16" s="185">
        <f>IFERROR(IF(OR('Master Data'!$C$14=$AR$6),"",IF('Master Data'!$E$8="GPF-2004",IF(BD16&lt;23101,1450,IF(BD16&lt;28501,1625,IF(BD16&lt;38501,2100,IF(BD16&lt;51501,2850,IF(BD16&lt;62001,3575,IF(BD16&lt;72001,4200,IF(BD16&lt;80001,4800,IF(BD16&lt;116001,6150,IF(BD16&lt;167001,8900,10500))))))))),'Master Data'!$E$10)),"")</f>
        <v>5000</v>
      </c>
      <c r="BL16" s="179">
        <f>BC16</f>
        <v>39800</v>
      </c>
      <c r="BM16" s="186">
        <v>44743</v>
      </c>
      <c r="BN16" s="186">
        <f>IFERROR(IF('Master Data'!$C$11="","",IF('Master Data'!$C$20="","",IF(AND($BB$17&gt;$BB$9),"",DATE(YEAR(BN15),MONTH(BN15)+1,DAY(BN15))))),"")</f>
        <v>44743</v>
      </c>
      <c r="BO16" s="187">
        <f>IFERROR(IF('Master Data'!$C$11="","",IF('Master Data'!$C$20="","",IF(AND($BB$17&gt;$BB$9),"",DATE(YEAR(BO15),MONTH(BO15)+1,DAY(BO15))))),"")</f>
        <v>44743</v>
      </c>
      <c r="BP16" s="187">
        <f t="shared" si="4"/>
        <v>44743</v>
      </c>
      <c r="BQ16" s="187">
        <f t="shared" si="5"/>
        <v>44743</v>
      </c>
      <c r="BR16" s="187"/>
      <c r="BS16" s="187">
        <f t="shared" si="6"/>
        <v>44743</v>
      </c>
      <c r="BT16" s="187"/>
      <c r="BU16" s="188"/>
      <c r="BV16" s="188"/>
      <c r="BW16" s="188">
        <f>IF(AND('Master Data'!$C$11=""),"",IF(AND('Master Data'!$E$21=AZ16),'Master Data'!$E$20,BB18))</f>
        <v>39800</v>
      </c>
      <c r="BX16" s="160"/>
      <c r="BY16" s="160"/>
      <c r="BZ16" s="188">
        <f t="shared" si="7"/>
        <v>2000</v>
      </c>
      <c r="CA16" s="160"/>
      <c r="CB16" s="160"/>
      <c r="CC16" s="160"/>
      <c r="CD16" s="69"/>
      <c r="CE16" s="69"/>
    </row>
    <row r="17" spans="1:83" ht="24" customHeight="1">
      <c r="A17" s="84">
        <v>12</v>
      </c>
      <c r="B17" s="85">
        <f t="shared" si="0"/>
        <v>44958</v>
      </c>
      <c r="C17" s="86">
        <f>IFERROR(IF(B17="","",IF(AND(BS23=""),"",IF(B17=$AZ$24,"",IF(AND('Master Data'!$C$14=$AR$6),VLOOKUP(B17,om,13,0),VLOOKUP(B17,om,4,0))))),"")</f>
        <v>39800</v>
      </c>
      <c r="D17" s="86">
        <f>IFERROR(IF(B17="","",IF(AND(BS23=""),"",IF(OR(B17=$AZ$24),"",IF(AND('Master Data'!$C$14=$AR$5),VLOOKUP(B17,om,7,0),"")))),"")</f>
        <v>15124</v>
      </c>
      <c r="E17" s="86">
        <f>IFERROR(IF(B17="","",IF(AND(BS23=""),"",IF(OR(B17=$AZ$24,B17=$AZ$25,B17=$AZ$26,B17=$AZ$27,B17=$AZ$28,B17=$AZ$29),"",IF(AND('Master Data'!$C$14=$AR$5),VLOOKUP(B17,om,8,0),"")))),"")</f>
        <v>7164</v>
      </c>
      <c r="F17" s="86">
        <f>IFERROR(IF(B17="","",IF(AND(C17="",D17=""),"",IF(B17=$AZ$24,"",IF(AND(B17=$AZ$25),"",IF(AND(B17=$AZ$29),"",IF(AND('Master Data'!$C$14=$AR$6),"",IF('GA55'!C17="",ROUND(('GA55'!D17)/12,0),ROUND(('GA55'!C17+'GA55'!D17)/12,0)))))))),"")</f>
        <v>4577</v>
      </c>
      <c r="G17" s="86">
        <f>IFERROR(IF(B17="","",IF(AND(BS23=""),"",IF(OR(B17=$AZ$24,B17=$AZ$25,B17=$AZ$26,B17=$AZ$27,B17=$AZ$28,B17=$AZ$29),"",IF(AND('Master Data'!$C$14=$AR$5),G16,"")))),"")</f>
        <v>0</v>
      </c>
      <c r="H17" s="86">
        <f>IFERROR(IF(B17="","",IF(AND(BS23=""),"",IF(OR(B17=$AZ$24,B17=$AZ$25,B17=$AZ$26,B17=$AZ$27,B17=$AZ$28,B17=$AZ$29),"",IF(AND('Master Data'!$C$14=$AR$5),H16,"")))),"")</f>
        <v>0</v>
      </c>
      <c r="I17" s="86" t="str">
        <f>IFERROR(IF(B17="","",IF(AND(BS23=""),"",IF('Master Data'!$E$12="NO","",IF(OR(B17=$AZ$24,B17=$AZ$25,B17=$AZ$26,B17=$AZ$27,B17=$AZ$28,B17=$AZ$29),"",IF(AND('Master Data'!$C$14=$AR$6),"",IF(AND('Master Data'!$E$13=$AT$9),$AU$6,IF(AND('Master Data'!$E$13=$AT$10),$AU$6,IF(AND('Master Data'!$E$13=$AT$11),$AU$6,IF(AND('Master Data'!$E$13=$AT$12),$AU$6,$AU$5))))))))),"")</f>
        <v/>
      </c>
      <c r="J17" s="86">
        <f>IFERROR(IF(B17="","",IF(AND(BS23=""),"",IF(OR(B17=$AZ$24,B17=$AZ$25,B17=$AZ$26,B17=$AZ$27,B17=$AZ$28,B17=$AZ$29),"",IF(AND('Master Data'!$C$14=$AR$5),J16)))),"")</f>
        <v>2200</v>
      </c>
      <c r="K17" s="86">
        <f>IFERROR(IF(B17="","",IF(AND(BS23=""),"",IF(OR(B17=$AZ$24,B17=$AZ$25,B17=$AZ$26,B17=$AZ$27,B17=$AZ$28,B17=$AZ$29),"",IF(AND('Master Data'!$C$14=$AR$5),K16,"")))),"")</f>
        <v>40</v>
      </c>
      <c r="L17" s="86">
        <f>IFERROR(IF(B17="","",IF(AND(BS23=""),"",IF(OR(B17=$AZ$24,B17=$AZ$25,B17=$AZ$26,B17=$AZ$27,B17=$AZ$28,B17=$AZ$29),"",IF(AND('Master Data'!$C$14=$AR$5),L16,"")))),"")</f>
        <v>0</v>
      </c>
      <c r="M17" s="86" t="str">
        <f>IFERROR(IF(B17="","",IF(AND('Master Data'!$C$14=$AR$6),"",IF(AND('Master Data'!$C$15&lt;&gt;0),IF(AND(B17="Bonus"),VLOOKUP(B17,om,4,0),"")))),"")</f>
        <v/>
      </c>
      <c r="N17" s="86">
        <f>IFERROR(IF(B17="","",IF(AND(BS23=""),"",IF(OR(B17=$AZ$24,B17=$AZ$25,B17=$AZ$26,B17=$AZ$27,B17=$AZ$28,B17=$AZ$29),"",IF(AND('Master Data'!$C$14=$AR$5),N16,"")))),"")</f>
        <v>0</v>
      </c>
      <c r="O17" s="86">
        <f t="shared" si="1"/>
        <v>68905</v>
      </c>
      <c r="P17" s="86">
        <f>IFERROR(IF(B17="","",IF(AND(BS23=""),"",IF(OR(B17=$AZ$24,B17=$AZ$25,B17=$AZ$26,B17=$AZ$27,B17=$AZ$28,B17=$AZ$29),"",IF(AND('Master Data'!$C$14=$AR$5),VLOOKUP(B17,om,11,0),"")))),"")</f>
        <v>5000</v>
      </c>
      <c r="Q17" s="86">
        <f>IFERROR(IF(B17="","",IF(AND(BS23=""),"",IF(OR(B17=$AZ$25),"",IF(AND('Master Data'!$C$14=$AR$5),VLOOKUP(B17,om,12,0),"")))),"")</f>
        <v>5000</v>
      </c>
      <c r="R17" s="86">
        <f>IFERROR(IF(B17="","",IF(AND(BS23=""),"",IF(OR(B17=$AZ$24,B17=$AZ$25,B17=$AZ$26,B17=$AZ$27,B17=$AZ$28,B17=$AZ$29),"",IF(AND('Master Data'!$C$14=$AR$5),'Master Data'!$E$16,"")))),"")</f>
        <v>500</v>
      </c>
      <c r="S17" s="86">
        <f>IFERROR(IF(B17="","",IF(AND(BS23=""),"",IF(OR(B17=$AZ$24,B17=$AZ$25,B17=$AZ$26,B17=$AZ$27,B17=$AZ$28,B17=$AZ$29),"",IF(AND('Master Data'!$C$14=$AR$5),VLOOKUP(B17,om,10,0),"")))),"")</f>
        <v>658</v>
      </c>
      <c r="T17" s="86">
        <f>IFERROR(IF(B17="","",IF(AND(BS23=""),"",IF(OR(B17=$AZ$24,B17=$AZ$25,B17=$AZ$26,B17=$AZ$27,B17=$AZ$28,B17=$AZ$29),"",IF(AND('Master Data'!$C$14=$AR$5),T16,"")))),"")</f>
        <v>0</v>
      </c>
      <c r="U17" s="86">
        <f>IFERROR(IF(B17="","",IF(AND(BS23=""),"",IF(OR(B17=$AZ$24,B17=$AZ$25,B17=$AZ$26,B17=$AZ$27,B17=$AZ$28,B17=$AZ$29),"",IF(AND('Master Data'!$C$14=$AR$5),U16,"")))),"")</f>
        <v>0</v>
      </c>
      <c r="V17" s="86">
        <f>IFERROR(IF(B17="","",IF(AND(BS23=""),"",IF(OR(B17=$AZ$24,B17=$AZ$25,B17=$AZ$26,B17=$AZ$27,B17=$AZ$28,B17=$AZ$29),"",IF(AND('Master Data'!$C$14=$AR$5),V16,"")))),"")</f>
        <v>0</v>
      </c>
      <c r="W17" s="86">
        <f>IFERROR(IF(B17="","",IF(AND(BS23=""),"",IF(OR(B17=$AZ$24,B17=$AZ$25,B17=$AZ$26,B17=$AZ$27,B17=$AZ$28,B17=$AZ$29),"",IF(AND('Master Data'!$C$14=$AR$5),W16,"")))),"")</f>
        <v>200</v>
      </c>
      <c r="X17" s="86" t="str">
        <f>IFERROR(IF(OR('Master Data'!$C$14=$AR$6,B17=""),"",IF(AND(C17=""),"",IF(AND(B17=$AV$17,'Master Data'!$C$5="Gazetted"),500,IF(AND(B17=$AV$17,'Master Data'!$C$5="Non-Gazetted"),250,"")))),"")</f>
        <v/>
      </c>
      <c r="Y17" s="86">
        <f>IFERROR(IF(B17="","",IF(AND(BS23=""),"",IF(OR(B17=$AZ$24,B17=$AZ$25,B17=$AZ$26,B17=$AZ$27,B17=$AZ$28,B17=$AZ$29),"",IF(AND('Master Data'!$C$14=$AR$5),Y16,"")))),"")</f>
        <v>0</v>
      </c>
      <c r="Z17" s="86">
        <f>IFERROR(IF(B17="","",IF(AND(BS23=""),"",IF(OR(B17=$AZ$24,B17=$AZ$25,B17=$AZ$26,B17=$AZ$27,B17=$AZ$28,B17=$AZ$29),"",IF(AND('Master Data'!$C$14=$AR$5),VLOOKUP(B17,om,9,0),"")))),"")</f>
        <v>2000</v>
      </c>
      <c r="AA17" s="86" t="str">
        <f>IFERROR(IF(OR('Master Data'!$C$14=$AR$6,B17="",'Master Data'!$C$11=""),"",IF(AND(C17=""),"",IF(B17=$AV$8,'Master Data'!$C$16,""))),"")</f>
        <v/>
      </c>
      <c r="AB17" s="86">
        <f t="shared" si="2"/>
        <v>13358</v>
      </c>
      <c r="AC17" s="86">
        <f t="shared" si="3"/>
        <v>55547</v>
      </c>
      <c r="AD17" s="86"/>
      <c r="AE17" s="87"/>
      <c r="AO17" s="160"/>
      <c r="AP17" s="160"/>
      <c r="AQ17" s="160"/>
      <c r="AR17" s="160"/>
      <c r="AS17" s="160"/>
      <c r="AT17" s="160"/>
      <c r="AU17" s="160" t="s">
        <v>277</v>
      </c>
      <c r="AV17" s="171">
        <v>44896</v>
      </c>
      <c r="AW17" s="160" t="s">
        <v>155</v>
      </c>
      <c r="AX17" s="160"/>
      <c r="AY17" s="178" t="s">
        <v>275</v>
      </c>
      <c r="AZ17" s="172">
        <v>44774</v>
      </c>
      <c r="BA17" s="177">
        <v>8</v>
      </c>
      <c r="BB17" s="189">
        <f>IF(AND('Master Data'!C21=""),"",'Master Data'!C21)</f>
        <v>44958</v>
      </c>
      <c r="BC17" s="179">
        <f>IF(AND('Master Data'!$C$11=""),"",IF(AND('Master Data'!$C$14=$AR$6),$BB$15,BW17))</f>
        <v>39800</v>
      </c>
      <c r="BD17" s="177">
        <f t="shared" si="8"/>
        <v>39800</v>
      </c>
      <c r="BE17" s="177">
        <f>IF(AND('Master Data'!$C$11=""),"",ROUND(34%*BC17,0))</f>
        <v>13532</v>
      </c>
      <c r="BF17" s="177">
        <f t="shared" si="10"/>
        <v>13532</v>
      </c>
      <c r="BG17" s="184">
        <f>IFERROR(IF(AND('Master Data'!$C$11=""),"",ROUND('Master Data'!$E$11%*BD17,0)),"")</f>
        <v>7164</v>
      </c>
      <c r="BH17" s="179">
        <f>'Master Data'!$E$15</f>
        <v>2000</v>
      </c>
      <c r="BI17" s="179">
        <f>IFERROR(IF(OR('Master Data'!$C$14=$AR$6),"",IF('Master Data'!$E$8="GPF-2004",IF(BD17&lt;18001,265,IF(BD17&lt;33501,440,IF(BD17&lt;54001,658,875))),IF(AND('Master Data'!$E$8="GPF"),IF(BD17&lt;18001,265,IF(BD17&lt;33501,440,IF(BD17&lt;54001,658,875))),""))),"")</f>
        <v>658</v>
      </c>
      <c r="BJ17" s="179">
        <f>IFERROR(IF(OR('Master Data'!$C$14=$AR$6),"",'Master Data'!$C$10),"")</f>
        <v>5000</v>
      </c>
      <c r="BK17" s="185">
        <f>IFERROR(IF(OR('Master Data'!$C$14=$AR$6),"",IF('Master Data'!$E$8="GPF-2004",IF(BD17&lt;23101,1450,IF(BD17&lt;28501,1625,IF(BD17&lt;38501,2100,IF(BD17&lt;51501,2850,IF(BD17&lt;62001,3575,IF(BD17&lt;72001,4200,IF(BD17&lt;80001,4800,IF(BD17&lt;116001,6150,IF(BD17&lt;167001,8900,10500))))))))),'Master Data'!$E$10)),"")</f>
        <v>5000</v>
      </c>
      <c r="BL17" s="179">
        <f>BL16</f>
        <v>39800</v>
      </c>
      <c r="BM17" s="186">
        <v>44774</v>
      </c>
      <c r="BN17" s="186">
        <f>IFERROR(IF('Master Data'!$C$11="","",IF('Master Data'!$C$20="","",IF(AND($BB$17&gt;$BB$9),"",DATE(YEAR(BN16),MONTH(BN16)+1,DAY(BN16))))),"")</f>
        <v>44774</v>
      </c>
      <c r="BO17" s="187">
        <f>IFERROR(IF('Master Data'!$C$11="","",IF('Master Data'!$C$20="","",IF(AND($BB$17&gt;$BB$9),"",DATE(YEAR(BO16),MONTH(BO16)+1,DAY(BO16))))),"")</f>
        <v>44774</v>
      </c>
      <c r="BP17" s="187">
        <f t="shared" si="4"/>
        <v>44774</v>
      </c>
      <c r="BQ17" s="187">
        <f t="shared" si="5"/>
        <v>44774</v>
      </c>
      <c r="BR17" s="187"/>
      <c r="BS17" s="187">
        <f t="shared" si="6"/>
        <v>44774</v>
      </c>
      <c r="BT17" s="187"/>
      <c r="BU17" s="188"/>
      <c r="BV17" s="188"/>
      <c r="BW17" s="188">
        <f>IF(AND('Master Data'!$C$11=""),"",IF(AND('Master Data'!$E$21=AZ17),'Master Data'!$E$20,BW16))</f>
        <v>39800</v>
      </c>
      <c r="BX17" s="160"/>
      <c r="BY17" s="160"/>
      <c r="BZ17" s="188">
        <f t="shared" si="7"/>
        <v>2000</v>
      </c>
      <c r="CA17" s="160"/>
      <c r="CB17" s="160"/>
      <c r="CC17" s="160"/>
      <c r="CD17" s="69"/>
      <c r="CE17" s="69"/>
    </row>
    <row r="18" spans="1:83" ht="24" customHeight="1">
      <c r="A18" s="84">
        <v>13</v>
      </c>
      <c r="B18" s="85" t="str">
        <f t="shared" si="0"/>
        <v>Bonus</v>
      </c>
      <c r="C18" s="86" t="str">
        <f>IFERROR(IF(B18="","",IF(AND(BS24=""),"",IF(B18=$AZ$24,"",IF(AND('Master Data'!$C$14=$AR$6),VLOOKUP(B18,om,13,0),VLOOKUP(B18,om,4,0))))),"")</f>
        <v/>
      </c>
      <c r="D18" s="86" t="str">
        <f>IFERROR(IF(B18="","",IF(AND(BS24=""),"",IF(OR(B18=$AZ$24),"",IF(AND('Master Data'!$C$14=$AR$5),VLOOKUP(B18,om,7,0),"")))),"")</f>
        <v/>
      </c>
      <c r="E18" s="86" t="str">
        <f>IFERROR(IF(B18="","",IF(AND(BS24=""),"",IF(OR(B18=$AZ$24,B18=$AZ$25,B18=$AZ$26,B18=$AZ$27,B18=$AZ$28,B18=$AZ$29),"",IF(AND('Master Data'!$C$14=$AR$5),VLOOKUP(B18,om,8,0),"")))),"")</f>
        <v/>
      </c>
      <c r="F18" s="86" t="str">
        <f>IFERROR(IF(B18="","",IF(AND(C18="",D18=""),"",IF(B18=$AZ$24,"",IF(AND(B18=$AZ$25),"",IF(AND(B18=$AZ$29),"",IF(AND('Master Data'!$C$14=$AR$6),"",IF('GA55'!C18="",ROUND(('GA55'!D18)/12,0),ROUND(('GA55'!C18+'GA55'!D18)/12,0)))))))),"")</f>
        <v/>
      </c>
      <c r="G18" s="86" t="str">
        <f>IFERROR(IF(B18="","",IF(AND(BS24=""),"",IF(OR(B18=$AZ$24,B18=$AZ$25,B18=$AZ$26,B18=$AZ$27,B18=$AZ$28,B18=$AZ$29),"",IF(AND('Master Data'!$C$14=$AR$5),G17,"")))),"")</f>
        <v/>
      </c>
      <c r="H18" s="86" t="str">
        <f>IFERROR(IF(B18="","",IF(AND(BS24=""),"",IF(OR(B18=$AZ$24,B18=$AZ$25,B18=$AZ$26,B18=$AZ$27,B18=$AZ$28,B18=$AZ$29),"",IF(AND('Master Data'!$C$14=$AR$5),H17,"")))),"")</f>
        <v/>
      </c>
      <c r="I18" s="86" t="str">
        <f>IFERROR(IF(B18="","",IF(AND(BS24=""),"",IF('Master Data'!$E$12="NO","",IF(OR(B18=$AZ$24,B18=$AZ$25,B18=$AZ$26,B18=$AZ$27,B18=$AZ$28,B18=$AZ$29),"",IF(AND('Master Data'!$C$14=$AR$6),"",IF(AND('Master Data'!$E$13=$AT$9),$AU$6,IF(AND('Master Data'!$E$13=$AT$10),$AU$6,IF(AND('Master Data'!$E$13=$AT$11),$AU$6,IF(AND('Master Data'!$E$13=$AT$12),$AU$6,$AU$5))))))))),"")</f>
        <v/>
      </c>
      <c r="J18" s="86" t="str">
        <f>IFERROR(IF(B18="","",IF(AND(BS24=""),"",IF(OR(B18=$AZ$24,B18=$AZ$25,B18=$AZ$26,B18=$AZ$27,B18=$AZ$28,B18=$AZ$29),"",IF(AND('Master Data'!$C$14=$AR$5),J17)))),"")</f>
        <v/>
      </c>
      <c r="K18" s="86" t="str">
        <f>IFERROR(IF(B18="","",IF(AND(BS24=""),"",IF(OR(B18=$AZ$24,B18=$AZ$25,B18=$AZ$26,B18=$AZ$27,B18=$AZ$28,B18=$AZ$29),"",IF(AND('Master Data'!$C$14=$AR$5),K17,"")))),"")</f>
        <v/>
      </c>
      <c r="L18" s="86" t="str">
        <f>IFERROR(IF(B18="","",IF(AND(BS24=""),"",IF(OR(B18=$AZ$24,B18=$AZ$25,B18=$AZ$26,B18=$AZ$27,B18=$AZ$28,B18=$AZ$29),"",IF(AND('Master Data'!$C$14=$AR$5),L17,"")))),"")</f>
        <v/>
      </c>
      <c r="M18" s="86">
        <f>IFERROR(IF(B18="","",IF(AND('Master Data'!$C$14=$AR$6),"",IF(AND('Master Data'!$C$15&lt;&gt;0),IF(AND(B18="Bonus"),VLOOKUP(B18,om,4,0),"")))),"")</f>
        <v>6774</v>
      </c>
      <c r="N18" s="86" t="str">
        <f>IFERROR(IF(B18="","",IF(AND(BS24=""),"",IF(OR(B18=$AZ$24,B18=$AZ$25,B18=$AZ$26,B18=$AZ$27,B18=$AZ$28,B18=$AZ$29),"",IF(AND('Master Data'!$C$14=$AR$5),N17,"")))),"")</f>
        <v/>
      </c>
      <c r="O18" s="86">
        <f t="shared" si="1"/>
        <v>6774</v>
      </c>
      <c r="P18" s="86" t="str">
        <f>IFERROR(IF(B18="","",IF(AND(BS24=""),"",IF(OR(B18=$AZ$24,B18=$AZ$25,B18=$AZ$26,B18=$AZ$27,B18=$AZ$28,B18=$AZ$29),"",IF(AND('Master Data'!$C$14=$AR$5),VLOOKUP(B18,om,11,0),"")))),"")</f>
        <v/>
      </c>
      <c r="Q18" s="86">
        <f>IFERROR(IF(B18="","",IF(AND(BS24=""),"",IF(OR(B18=$AZ$25),"",IF(AND('Master Data'!$C$14=$AR$5),VLOOKUP(B18,om,12,0),"")))),"")</f>
        <v>1694</v>
      </c>
      <c r="R18" s="86" t="str">
        <f>IFERROR(IF(B18="","",IF(AND(BS24=""),"",IF(OR(B18=$AZ$24,B18=$AZ$25,B18=$AZ$26,B18=$AZ$27,B18=$AZ$28,B18=$AZ$29),"",IF(AND('Master Data'!$C$14=$AR$5),'Master Data'!$E$16,"")))),"")</f>
        <v/>
      </c>
      <c r="S18" s="86" t="str">
        <f>IFERROR(IF(B18="","",IF(AND(BS24=""),"",IF(OR(B18=$AZ$24,B18=$AZ$25,B18=$AZ$26,B18=$AZ$27,B18=$AZ$28,B18=$AZ$29),"",IF(AND('Master Data'!$C$14=$AR$5),VLOOKUP(B18,om,10,0),"")))),"")</f>
        <v/>
      </c>
      <c r="T18" s="86" t="str">
        <f>IFERROR(IF(B18="","",IF(AND(BS24=""),"",IF(OR(B18=$AZ$24,B18=$AZ$25,B18=$AZ$26,B18=$AZ$27,B18=$AZ$28,B18=$AZ$29),"",IF(AND('Master Data'!$C$14=$AR$5),T17,"")))),"")</f>
        <v/>
      </c>
      <c r="U18" s="86" t="str">
        <f>IFERROR(IF(B18="","",IF(AND(BS24=""),"",IF(OR(B18=$AZ$24,B18=$AZ$25,B18=$AZ$26,B18=$AZ$27,B18=$AZ$28,B18=$AZ$29),"",IF(AND('Master Data'!$C$14=$AR$5),U17,"")))),"")</f>
        <v/>
      </c>
      <c r="V18" s="86" t="str">
        <f>IFERROR(IF(B18="","",IF(AND(BS24=""),"",IF(OR(B18=$AZ$24,B18=$AZ$25,B18=$AZ$26,B18=$AZ$27,B18=$AZ$28,B18=$AZ$29),"",IF(AND('Master Data'!$C$14=$AR$5),V17,"")))),"")</f>
        <v/>
      </c>
      <c r="W18" s="86" t="str">
        <f>IFERROR(IF(B18="","",IF(AND(BS24=""),"",IF(OR(B18=$AZ$24,B18=$AZ$25,B18=$AZ$26,B18=$AZ$27,B18=$AZ$28,B18=$AZ$29),"",IF(AND('Master Data'!$C$14=$AR$5),W17,"")))),"")</f>
        <v/>
      </c>
      <c r="X18" s="86" t="str">
        <f>IFERROR(IF(OR('Master Data'!$C$14=$AR$6,B18=""),"",IF(AND(C18=""),"",IF(AND(B18=$AV$17,'Master Data'!$C$5="Gazetted"),500,IF(AND(B18=$AV$17,'Master Data'!$C$5="Non-Gazetted"),250,"")))),"")</f>
        <v/>
      </c>
      <c r="Y18" s="86" t="str">
        <f>IFERROR(IF(B18="","",IF(AND(BS24=""),"",IF(OR(B18=$AZ$24,B18=$AZ$25,B18=$AZ$26,B18=$AZ$27,B18=$AZ$28,B18=$AZ$29),"",IF(AND('Master Data'!$C$14=$AR$5),Y17,"")))),"")</f>
        <v/>
      </c>
      <c r="Z18" s="86" t="str">
        <f>IFERROR(IF(B18="","",IF(AND(BS24=""),"",IF(OR(B18=$AZ$24,B18=$AZ$25,B18=$AZ$26,B18=$AZ$27,B18=$AZ$28,B18=$AZ$29),"",IF(AND('Master Data'!$C$14=$AR$5),VLOOKUP(B18,om,9,0),"")))),"")</f>
        <v/>
      </c>
      <c r="AA18" s="86" t="str">
        <f>IFERROR(IF(OR('Master Data'!$C$14=$AR$6,B18="",'Master Data'!$C$11=""),"",IF(AND(C18=""),"",IF(B18=$AV$8,'Master Data'!$C$16,""))),"")</f>
        <v/>
      </c>
      <c r="AB18" s="86">
        <f t="shared" si="2"/>
        <v>1694</v>
      </c>
      <c r="AC18" s="86">
        <f t="shared" si="3"/>
        <v>5080</v>
      </c>
      <c r="AD18" s="86"/>
      <c r="AE18" s="87"/>
      <c r="AO18" s="160"/>
      <c r="AP18" s="160"/>
      <c r="AQ18" s="160"/>
      <c r="AR18" s="160"/>
      <c r="AS18" s="160"/>
      <c r="AT18" s="160"/>
      <c r="AU18" s="160" t="s">
        <v>278</v>
      </c>
      <c r="AV18" s="171">
        <v>44927</v>
      </c>
      <c r="AW18" s="160" t="s">
        <v>156</v>
      </c>
      <c r="AX18" s="160"/>
      <c r="AY18" s="178" t="s">
        <v>276</v>
      </c>
      <c r="AZ18" s="172">
        <v>44805</v>
      </c>
      <c r="BA18" s="177">
        <v>9</v>
      </c>
      <c r="BB18" s="177">
        <f>IF(AND('Master Data'!C11=""),"",MROUND(BB15*1.03,100))</f>
        <v>39800</v>
      </c>
      <c r="BC18" s="179">
        <f>IF(AND('Master Data'!$C$11=""),"",IF(AND('Master Data'!$C$14=$AR$6),$BB$15,BW18))</f>
        <v>39800</v>
      </c>
      <c r="BD18" s="177">
        <f t="shared" si="8"/>
        <v>39800</v>
      </c>
      <c r="BE18" s="177">
        <f>IF(AND('Master Data'!$C$11=""),"",ROUND(34%*BC18,0))</f>
        <v>13532</v>
      </c>
      <c r="BF18" s="177">
        <f t="shared" si="10"/>
        <v>13532</v>
      </c>
      <c r="BG18" s="184">
        <f>IFERROR(IF(AND('Master Data'!$C$11=""),"",ROUND('Master Data'!$E$11%*BD18,0)),"")</f>
        <v>7164</v>
      </c>
      <c r="BH18" s="179">
        <f>'Master Data'!$E$15</f>
        <v>2000</v>
      </c>
      <c r="BI18" s="179">
        <f>IFERROR(IF(OR('Master Data'!$C$14=$AR$6),"",IF('Master Data'!$E$8="GPF-2004",IF(BD18&lt;18001,265,IF(BD18&lt;33501,440,IF(BD18&lt;54001,658,875))),IF(AND('Master Data'!$E$8="GPF"),IF(BD18&lt;18001,265,IF(BD18&lt;33501,440,IF(BD18&lt;54001,658,875))),""))),"")</f>
        <v>658</v>
      </c>
      <c r="BJ18" s="179">
        <f>IFERROR(IF(OR('Master Data'!$C$14=$AR$6),"",'Master Data'!$C$10),"")</f>
        <v>5000</v>
      </c>
      <c r="BK18" s="185">
        <f>IFERROR(IF(OR('Master Data'!$C$14=$AR$6),"",IF('Master Data'!$E$8="GPF-2004",IF(BD18&lt;23101,1450,IF(BD18&lt;28501,1625,IF(BD18&lt;38501,2100,IF(BD18&lt;51501,2850,IF(BD18&lt;62001,3575,IF(BD18&lt;72001,4200,IF(BD18&lt;80001,4800,IF(BD18&lt;116001,6150,IF(BD18&lt;167001,8900,10500))))))))),'Master Data'!$E$10)),"")</f>
        <v>5000</v>
      </c>
      <c r="BL18" s="179">
        <f t="shared" ref="BL18:BL23" si="11">BL17</f>
        <v>39800</v>
      </c>
      <c r="BM18" s="186">
        <v>44805</v>
      </c>
      <c r="BN18" s="186">
        <f>IFERROR(IF('Master Data'!$C$11="","",IF('Master Data'!$C$20="","",IF(AND($BB$17&gt;$BB$9),"",DATE(YEAR(BN17),MONTH(BN17)+1,DAY(BN17))))),"")</f>
        <v>44805</v>
      </c>
      <c r="BO18" s="187">
        <f>IFERROR(IF('Master Data'!$C$11="","",IF('Master Data'!$C$20="","",IF(AND($BB$17&gt;$BB$9),"",DATE(YEAR(BO17),MONTH(BO17)+1,DAY(BO17))))),"")</f>
        <v>44805</v>
      </c>
      <c r="BP18" s="187">
        <f t="shared" si="4"/>
        <v>44805</v>
      </c>
      <c r="BQ18" s="187">
        <f t="shared" si="5"/>
        <v>44805</v>
      </c>
      <c r="BR18" s="187"/>
      <c r="BS18" s="187">
        <f t="shared" si="6"/>
        <v>44805</v>
      </c>
      <c r="BT18" s="187"/>
      <c r="BU18" s="188"/>
      <c r="BV18" s="188"/>
      <c r="BW18" s="188">
        <f>IF(AND('Master Data'!$C$11=""),"",IF(AND('Master Data'!$E$21=AZ18),'Master Data'!$E$20,BW17))</f>
        <v>39800</v>
      </c>
      <c r="BX18" s="187"/>
      <c r="BY18" s="160"/>
      <c r="BZ18" s="188">
        <f t="shared" si="7"/>
        <v>2000</v>
      </c>
      <c r="CA18" s="160"/>
      <c r="CB18" s="160"/>
      <c r="CC18" s="160"/>
      <c r="CD18" s="69"/>
      <c r="CE18" s="69"/>
    </row>
    <row r="19" spans="1:83" ht="24" customHeight="1">
      <c r="A19" s="84">
        <v>14</v>
      </c>
      <c r="B19" s="85" t="str">
        <f t="shared" si="0"/>
        <v>PL Surrender</v>
      </c>
      <c r="C19" s="86" t="str">
        <f>IFERROR(IF(B19="","",IF(AND(BS25=""),"",IF(B19=$AZ$24,"",IF(AND('Master Data'!$C$14=$AR$6),VLOOKUP(B19,om,13,0),VLOOKUP(B19,om,4,0))))),"")</f>
        <v/>
      </c>
      <c r="D19" s="86" t="str">
        <f>IFERROR(IF(B19="","",IF(AND(BS25=""),"",IF(OR(B19=$AZ$24),"",IF(AND('Master Data'!$C$14=$AR$5),VLOOKUP(B19,om,7,0),"")))),"")</f>
        <v/>
      </c>
      <c r="E19" s="86" t="str">
        <f>IFERROR(IF(B19="","",IF(AND(BS25=""),"",IF(OR(B19=$AZ$24,B19=$AZ$25,B19=$AZ$26,B19=$AZ$27,B19=$AZ$28,B19=$AZ$29),"",IF(AND('Master Data'!$C$14=$AR$5),VLOOKUP(B19,om,8,0),"")))),"")</f>
        <v/>
      </c>
      <c r="F19" s="86" t="str">
        <f>IFERROR(IF(B19="","",IF(AND(C19="",D19=""),"",IF(B19=$AZ$24,"",IF(AND(B19=$AZ$25),"",IF(AND(B19=$AZ$29),"",IF(AND('Master Data'!$C$14=$AR$6),"",IF('GA55'!C19="",ROUND(('GA55'!D19)/12,0),ROUND(('GA55'!C19+'GA55'!D19)/12,0)))))))),"")</f>
        <v/>
      </c>
      <c r="G19" s="86" t="str">
        <f>IFERROR(IF(B19="","",IF(AND(BS25=""),"",IF(OR(B19=$AZ$24,B19=$AZ$25,B19=$AZ$26,B19=$AZ$27,B19=$AZ$28,B19=$AZ$29),"",IF(AND('Master Data'!$C$14=$AR$5),G18,"")))),"")</f>
        <v/>
      </c>
      <c r="H19" s="86" t="str">
        <f>IFERROR(IF(B19="","",IF(AND(BS25=""),"",IF(OR(B19=$AZ$24,B19=$AZ$25,B19=$AZ$26,B19=$AZ$27,B19=$AZ$28,B19=$AZ$29),"",IF(AND('Master Data'!$C$14=$AR$5),H18,"")))),"")</f>
        <v/>
      </c>
      <c r="I19" s="86" t="str">
        <f>IFERROR(IF(B19="","",IF(AND(BS25=""),"",IF('Master Data'!$E$12="NO","",IF(OR(B19=$AZ$24,B19=$AZ$25,B19=$AZ$26,B19=$AZ$27,B19=$AZ$28,B19=$AZ$29),"",IF(AND('Master Data'!$C$14=$AR$6),"",IF(AND('Master Data'!$E$13=$AT$9),$AU$6,IF(AND('Master Data'!$E$13=$AT$10),$AU$6,IF(AND('Master Data'!$E$13=$AT$11),$AU$6,IF(AND('Master Data'!$E$13=$AT$12),$AU$6,$AU$5))))))))),"")</f>
        <v/>
      </c>
      <c r="J19" s="86" t="str">
        <f>IFERROR(IF(B19="","",IF(AND(BS25=""),"",IF(OR(B19=$AZ$24,B19=$AZ$25,B19=$AZ$26,B19=$AZ$27,B19=$AZ$28,B19=$AZ$29),"",IF(AND('Master Data'!$C$14=$AR$5),J18)))),"")</f>
        <v/>
      </c>
      <c r="K19" s="86" t="str">
        <f>IFERROR(IF(B19="","",IF(AND(BS25=""),"",IF(OR(B19=$AZ$24,B19=$AZ$25,B19=$AZ$26,B19=$AZ$27,B19=$AZ$28,B19=$AZ$29),"",IF(AND('Master Data'!$C$14=$AR$5),K18,"")))),"")</f>
        <v/>
      </c>
      <c r="L19" s="86" t="str">
        <f>IFERROR(IF(B19="","",IF(AND(BS25=""),"",IF(OR(B19=$AZ$24,B19=$AZ$25,B19=$AZ$26,B19=$AZ$27,B19=$AZ$28,B19=$AZ$29),"",IF(AND('Master Data'!$C$14=$AR$5),L18,"")))),"")</f>
        <v/>
      </c>
      <c r="M19" s="86" t="str">
        <f>IFERROR(IF(B19="","",IF(AND('Master Data'!$C$14=$AR$6),"",IF(AND('Master Data'!$C$15&lt;&gt;0),IF(AND(B19="Bonus"),VLOOKUP(B19,om,4,0),"")))),"")</f>
        <v/>
      </c>
      <c r="N19" s="86" t="str">
        <f>IFERROR(IF(B19="","",IF(AND(BS25=""),"",IF(OR(B19=$AZ$24,B19=$AZ$25,B19=$AZ$26,B19=$AZ$27,B19=$AZ$28,B19=$AZ$29),"",IF(AND('Master Data'!$C$14=$AR$5),N18,"")))),"")</f>
        <v/>
      </c>
      <c r="O19" s="86">
        <f t="shared" si="1"/>
        <v>0</v>
      </c>
      <c r="P19" s="86" t="str">
        <f>IFERROR(IF(B19="","",IF(AND(BS25=""),"",IF(OR(B19=$AZ$24,B19=$AZ$25,B19=$AZ$26,B19=$AZ$27,B19=$AZ$28,B19=$AZ$29),"",IF(AND('Master Data'!$C$14=$AR$5),VLOOKUP(B19,om,11,0),"")))),"")</f>
        <v/>
      </c>
      <c r="Q19" s="86" t="str">
        <f>IFERROR(IF(B19="","",IF(AND(BS25=""),"",IF(OR(B19=$AZ$25),"",IF(AND('Master Data'!$C$14=$AR$5),VLOOKUP(B19,om,12,0),"")))),"")</f>
        <v/>
      </c>
      <c r="R19" s="86" t="str">
        <f>IFERROR(IF(B19="","",IF(AND(BS25=""),"",IF(OR(B19=$AZ$24,B19=$AZ$25,B19=$AZ$26,B19=$AZ$27,B19=$AZ$28,B19=$AZ$29),"",IF(AND('Master Data'!$C$14=$AR$5),'Master Data'!$E$16,"")))),"")</f>
        <v/>
      </c>
      <c r="S19" s="86" t="str">
        <f>IFERROR(IF(B19="","",IF(AND(BS25=""),"",IF(OR(B19=$AZ$24,B19=$AZ$25,B19=$AZ$26,B19=$AZ$27,B19=$AZ$28,B19=$AZ$29),"",IF(AND('Master Data'!$C$14=$AR$5),VLOOKUP(B19,om,10,0),"")))),"")</f>
        <v/>
      </c>
      <c r="T19" s="86" t="str">
        <f>IFERROR(IF(B19="","",IF(AND(BS25=""),"",IF(OR(B19=$AZ$24,B19=$AZ$25,B19=$AZ$26,B19=$AZ$27,B19=$AZ$28,B19=$AZ$29),"",IF(AND('Master Data'!$C$14=$AR$5),T18,"")))),"")</f>
        <v/>
      </c>
      <c r="U19" s="86" t="str">
        <f>IFERROR(IF(B19="","",IF(AND(BS25=""),"",IF(OR(B19=$AZ$24,B19=$AZ$25,B19=$AZ$26,B19=$AZ$27,B19=$AZ$28,B19=$AZ$29),"",IF(AND('Master Data'!$C$14=$AR$5),U18,"")))),"")</f>
        <v/>
      </c>
      <c r="V19" s="86" t="str">
        <f>IFERROR(IF(B19="","",IF(AND(BS25=""),"",IF(OR(B19=$AZ$24,B19=$AZ$25,B19=$AZ$26,B19=$AZ$27,B19=$AZ$28,B19=$AZ$29),"",IF(AND('Master Data'!$C$14=$AR$5),V18,"")))),"")</f>
        <v/>
      </c>
      <c r="W19" s="86" t="str">
        <f>IFERROR(IF(B19="","",IF(AND(BS25=""),"",IF(OR(B19=$AZ$24,B19=$AZ$25,B19=$AZ$26,B19=$AZ$27,B19=$AZ$28,B19=$AZ$29),"",IF(AND('Master Data'!$C$14=$AR$5),W18,"")))),"")</f>
        <v/>
      </c>
      <c r="X19" s="86" t="str">
        <f>IFERROR(IF(OR('Master Data'!$C$14=$AR$6,B19=""),"",IF(AND(C19=""),"",IF(AND(B19=$AV$17,'Master Data'!$C$5="Gazetted"),500,IF(AND(B19=$AV$17,'Master Data'!$C$5="Non-Gazetted"),250,"")))),"")</f>
        <v/>
      </c>
      <c r="Y19" s="86" t="str">
        <f>IFERROR(IF(B19="","",IF(AND(BS25=""),"",IF(OR(B19=$AZ$24,B19=$AZ$25,B19=$AZ$26,B19=$AZ$27,B19=$AZ$28,B19=$AZ$29),"",IF(AND('Master Data'!$C$14=$AR$5),Y18,"")))),"")</f>
        <v/>
      </c>
      <c r="Z19" s="86" t="str">
        <f>IFERROR(IF(B19="","",IF(AND(BS25=""),"",IF(OR(B19=$AZ$24,B19=$AZ$25,B19=$AZ$26,B19=$AZ$27,B19=$AZ$28,B19=$AZ$29),"",IF(AND('Master Data'!$C$14=$AR$5),VLOOKUP(B19,om,9,0),"")))),"")</f>
        <v/>
      </c>
      <c r="AA19" s="86" t="str">
        <f>IFERROR(IF(OR('Master Data'!$C$14=$AR$6,B19="",'Master Data'!$C$11=""),"",IF(AND(C19=""),"",IF(B19=$AV$8,'Master Data'!$C$16,""))),"")</f>
        <v/>
      </c>
      <c r="AB19" s="86">
        <f t="shared" si="2"/>
        <v>0</v>
      </c>
      <c r="AC19" s="86">
        <f t="shared" si="3"/>
        <v>0</v>
      </c>
      <c r="AD19" s="86"/>
      <c r="AE19" s="87"/>
      <c r="AO19" s="160"/>
      <c r="AP19" s="160"/>
      <c r="AQ19" s="160"/>
      <c r="AR19" s="160"/>
      <c r="AS19" s="160"/>
      <c r="AT19" s="160"/>
      <c r="AU19" s="160" t="s">
        <v>279</v>
      </c>
      <c r="AV19" s="171">
        <v>44958</v>
      </c>
      <c r="AW19" s="160" t="s">
        <v>157</v>
      </c>
      <c r="AX19" s="160"/>
      <c r="AY19" s="178" t="s">
        <v>277</v>
      </c>
      <c r="AZ19" s="172">
        <v>44835</v>
      </c>
      <c r="BA19" s="177">
        <v>10</v>
      </c>
      <c r="BB19" s="177"/>
      <c r="BC19" s="179">
        <f>IF(AND('Master Data'!$C$11=""),"",IF(AND('Master Data'!$C$14=$AR$6),$BB$15,BW19))</f>
        <v>39800</v>
      </c>
      <c r="BD19" s="177">
        <f>IF(AND(AZ19&lt;$BB$16),"",IF(AND(AZ19&gt;$BB$17),"",BC19))</f>
        <v>39800</v>
      </c>
      <c r="BE19" s="177">
        <f>IF(AND('Master Data'!$C$11=""),"",ROUND(38%*BC19,0))</f>
        <v>15124</v>
      </c>
      <c r="BF19" s="177">
        <f>IF(BD19="","",BE19)</f>
        <v>15124</v>
      </c>
      <c r="BG19" s="184">
        <f>IFERROR(IF(AND('Master Data'!$C$11=""),"",ROUND('Master Data'!$E$11%*BD19,0)),"")</f>
        <v>7164</v>
      </c>
      <c r="BH19" s="179">
        <f>'Master Data'!$E$15</f>
        <v>2000</v>
      </c>
      <c r="BI19" s="179">
        <f>IFERROR(IF(OR('Master Data'!$C$14=$AR$6),"",IF('Master Data'!$E$8="GPF-2004",IF(BD19&lt;18001,265,IF(BD19&lt;33501,440,IF(BD19&lt;54001,658,875))),IF(AND('Master Data'!$E$8="GPF"),IF(BD19&lt;18001,265,IF(BD19&lt;33501,440,IF(BD19&lt;54001,658,875))),""))),"")</f>
        <v>658</v>
      </c>
      <c r="BJ19" s="179">
        <f>IFERROR(IF(OR('Master Data'!$C$14=$AR$6),"",'Master Data'!$C$10),"")</f>
        <v>5000</v>
      </c>
      <c r="BK19" s="185">
        <f>IFERROR(IF(OR('Master Data'!$C$14=$AR$6),"",IF('Master Data'!$E$8="GPF-2004",IF(BD19&lt;23101,1450,IF(BD19&lt;28501,1625,IF(BD19&lt;38501,2100,IF(BD19&lt;51501,2850,IF(BD19&lt;62001,3575,IF(BD19&lt;72001,4200,IF(BD19&lt;80001,4800,IF(BD19&lt;116001,6150,IF(BD19&lt;167001,8900,10500))))))))),'Master Data'!$E$10)),"")</f>
        <v>5000</v>
      </c>
      <c r="BL19" s="179">
        <f t="shared" si="11"/>
        <v>39800</v>
      </c>
      <c r="BM19" s="186">
        <v>44835</v>
      </c>
      <c r="BN19" s="186">
        <f>IFERROR(IF('Master Data'!$C$11="","",IF('Master Data'!$C$20="","",IF(AND($BB$17&gt;$BB$9),"",DATE(YEAR(BN18),MONTH(BN18)+1,DAY(BN18))))),"")</f>
        <v>44835</v>
      </c>
      <c r="BO19" s="187">
        <f>IFERROR(IF('Master Data'!$C$11="","",IF('Master Data'!$C$20="","",IF(AND($BB$17&gt;$BB$9),"",DATE(YEAR(BO18),MONTH(BO18)+1,DAY(BO18))))),"")</f>
        <v>44835</v>
      </c>
      <c r="BP19" s="187">
        <f t="shared" si="4"/>
        <v>44835</v>
      </c>
      <c r="BQ19" s="187">
        <f t="shared" si="5"/>
        <v>44835</v>
      </c>
      <c r="BR19" s="187"/>
      <c r="BS19" s="187">
        <f t="shared" si="6"/>
        <v>44835</v>
      </c>
      <c r="BT19" s="187"/>
      <c r="BU19" s="188"/>
      <c r="BV19" s="188"/>
      <c r="BW19" s="188">
        <f>IF(AND('Master Data'!$C$11=""),"",IF(AND('Master Data'!$E$21=AZ19),'Master Data'!$E$20,BW18))</f>
        <v>39800</v>
      </c>
      <c r="BX19" s="187"/>
      <c r="BY19" s="160"/>
      <c r="BZ19" s="188">
        <f t="shared" si="7"/>
        <v>2000</v>
      </c>
      <c r="CA19" s="160"/>
      <c r="CB19" s="160"/>
      <c r="CC19" s="160"/>
      <c r="CD19" s="69"/>
      <c r="CE19" s="69"/>
    </row>
    <row r="20" spans="1:83" ht="24" customHeight="1">
      <c r="A20" s="84">
        <v>15</v>
      </c>
      <c r="B20" s="85" t="str">
        <f t="shared" si="0"/>
        <v>DA Arrear 31% to 34%</v>
      </c>
      <c r="C20" s="86">
        <f>IFERROR(IF(B20="","",IF(AND(BS26=""),"",IF(B20=$AZ$24,"",IF(AND('Master Data'!$C$14=$AR$6),VLOOKUP(B20,om,13,0),VLOOKUP(B20,om,4,0))))),"")</f>
        <v>0</v>
      </c>
      <c r="D20" s="86">
        <f>IFERROR(IF(B20="","",IF(AND(BS26=""),"",IF(OR(B20=$AZ$24),"",IF(AND('Master Data'!$C$14=$AR$5),VLOOKUP(B20,om,7,0),"")))),"")</f>
        <v>3474</v>
      </c>
      <c r="E20" s="86" t="str">
        <f>IFERROR(IF(B20="","",IF(AND(BS26=""),"",IF(OR(B20=$AZ$24,B20=$AZ$25,B20=$AZ$26,B20=$AZ$27,B20=$AZ$28,B20=$AZ$29),"",IF(AND('Master Data'!$C$14=$AR$5),VLOOKUP(B20,om,8,0),"")))),"")</f>
        <v/>
      </c>
      <c r="F20" s="86">
        <f>IFERROR(IF(B20="","",IF(AND(C20="",D20=""),"",IF(B20=$AZ$24,"",IF(AND(B20=$AZ$25),"",IF(AND(B20=$AZ$29),"",IF(AND('Master Data'!$C$14=$AR$6),"",IF('GA55'!C20="",ROUND(('GA55'!D20)/12,0),ROUND(('GA55'!C20+'GA55'!D20)/12,0)))))))),"")</f>
        <v>290</v>
      </c>
      <c r="G20" s="86" t="str">
        <f>IFERROR(IF(B20="","",IF(AND(BS26=""),"",IF(OR(B20=$AZ$24,B20=$AZ$25,B20=$AZ$26,B20=$AZ$27,B20=$AZ$28,B20=$AZ$29),"",IF(AND('Master Data'!$C$14=$AR$5),G19,"")))),"")</f>
        <v/>
      </c>
      <c r="H20" s="86" t="str">
        <f>IFERROR(IF(B20="","",IF(AND(BS26=""),"",IF(OR(B20=$AZ$24,B20=$AZ$25,B20=$AZ$26,B20=$AZ$27,B20=$AZ$28,B20=$AZ$29),"",IF(AND('Master Data'!$C$14=$AR$5),H19,"")))),"")</f>
        <v/>
      </c>
      <c r="I20" s="86" t="str">
        <f>IFERROR(IF(B20="","",IF(AND(BS26=""),"",IF('Master Data'!$E$12="NO","",IF(OR(B20=$AZ$24,B20=$AZ$25,B20=$AZ$26,B20=$AZ$27,B20=$AZ$28,B20=$AZ$29),"",IF(AND('Master Data'!$C$14=$AR$6),"",IF(AND('Master Data'!$E$13=$AT$9),$AU$6,IF(AND('Master Data'!$E$13=$AT$10),$AU$6,IF(AND('Master Data'!$E$13=$AT$11),$AU$6,IF(AND('Master Data'!$E$13=$AT$12),$AU$6,$AU$5))))))))),"")</f>
        <v/>
      </c>
      <c r="J20" s="86" t="str">
        <f>IFERROR(IF(B20="","",IF(AND(BS26=""),"",IF(OR(B20=$AZ$24,B20=$AZ$25,B20=$AZ$26,B20=$AZ$27,B20=$AZ$28,B20=$AZ$29),"",IF(AND('Master Data'!$C$14=$AR$5),J19)))),"")</f>
        <v/>
      </c>
      <c r="K20" s="86" t="str">
        <f>IFERROR(IF(B20="","",IF(AND(BS26=""),"",IF(OR(B20=$AZ$24,B20=$AZ$25,B20=$AZ$26,B20=$AZ$27,B20=$AZ$28,B20=$AZ$29),"",IF(AND('Master Data'!$C$14=$AR$5),K19,"")))),"")</f>
        <v/>
      </c>
      <c r="L20" s="86" t="str">
        <f>IFERROR(IF(B20="","",IF(AND(BS26=""),"",IF(OR(B20=$AZ$24,B20=$AZ$25,B20=$AZ$26,B20=$AZ$27,B20=$AZ$28,B20=$AZ$29),"",IF(AND('Master Data'!$C$14=$AR$5),L19,"")))),"")</f>
        <v/>
      </c>
      <c r="M20" s="86" t="str">
        <f>IFERROR(IF(B20="","",IF(AND('Master Data'!$C$14=$AR$6),"",IF(AND('Master Data'!$C$15&lt;&gt;0),IF(AND(B20="Bonus"),VLOOKUP(B20,om,4,0),"")))),"")</f>
        <v/>
      </c>
      <c r="N20" s="86" t="str">
        <f>IFERROR(IF(B20="","",IF(AND(BS26=""),"",IF(OR(B20=$AZ$24,B20=$AZ$25,B20=$AZ$26,B20=$AZ$27,B20=$AZ$28,B20=$AZ$29),"",IF(AND('Master Data'!$C$14=$AR$5),N19,"")))),"")</f>
        <v/>
      </c>
      <c r="O20" s="86">
        <f t="shared" si="1"/>
        <v>3764</v>
      </c>
      <c r="P20" s="86" t="str">
        <f>IFERROR(IF(B20="","",IF(AND(BS26=""),"",IF(OR(B20=$AZ$24,B20=$AZ$25,B20=$AZ$26,B20=$AZ$27,B20=$AZ$28,B20=$AZ$29),"",IF(AND('Master Data'!$C$14=$AR$5),VLOOKUP(B20,om,11,0),"")))),"")</f>
        <v/>
      </c>
      <c r="Q20" s="86">
        <f>IFERROR(IF(B20="","",IF(AND(BS26=""),"",IF(OR(B20=$AZ$25),"",IF(AND('Master Data'!$C$14=$AR$5),VLOOKUP(B20,om,12,0),"")))),"")</f>
        <v>3474</v>
      </c>
      <c r="R20" s="86" t="str">
        <f>IFERROR(IF(B20="","",IF(AND(BS26=""),"",IF(OR(B20=$AZ$24,B20=$AZ$25,B20=$AZ$26,B20=$AZ$27,B20=$AZ$28,B20=$AZ$29),"",IF(AND('Master Data'!$C$14=$AR$5),'Master Data'!$E$16,"")))),"")</f>
        <v/>
      </c>
      <c r="S20" s="86" t="str">
        <f>IFERROR(IF(B20="","",IF(AND(BS26=""),"",IF(OR(B20=$AZ$24,B20=$AZ$25,B20=$AZ$26,B20=$AZ$27,B20=$AZ$28,B20=$AZ$29),"",IF(AND('Master Data'!$C$14=$AR$5),VLOOKUP(B20,om,10,0),"")))),"")</f>
        <v/>
      </c>
      <c r="T20" s="86" t="str">
        <f>IFERROR(IF(B20="","",IF(AND(BS26=""),"",IF(OR(B20=$AZ$24,B20=$AZ$25,B20=$AZ$26,B20=$AZ$27,B20=$AZ$28,B20=$AZ$29),"",IF(AND('Master Data'!$C$14=$AR$5),T19,"")))),"")</f>
        <v/>
      </c>
      <c r="U20" s="86" t="str">
        <f>IFERROR(IF(B20="","",IF(AND(BS26=""),"",IF(OR(B20=$AZ$24,B20=$AZ$25,B20=$AZ$26,B20=$AZ$27,B20=$AZ$28,B20=$AZ$29),"",IF(AND('Master Data'!$C$14=$AR$5),U19,"")))),"")</f>
        <v/>
      </c>
      <c r="V20" s="86" t="str">
        <f>IFERROR(IF(B20="","",IF(AND(BS26=""),"",IF(OR(B20=$AZ$24,B20=$AZ$25,B20=$AZ$26,B20=$AZ$27,B20=$AZ$28,B20=$AZ$29),"",IF(AND('Master Data'!$C$14=$AR$5),V19,"")))),"")</f>
        <v/>
      </c>
      <c r="W20" s="86" t="str">
        <f>IFERROR(IF(B20="","",IF(AND(BS26=""),"",IF(OR(B20=$AZ$24,B20=$AZ$25,B20=$AZ$26,B20=$AZ$27,B20=$AZ$28,B20=$AZ$29),"",IF(AND('Master Data'!$C$14=$AR$5),W19,"")))),"")</f>
        <v/>
      </c>
      <c r="X20" s="86" t="str">
        <f>IFERROR(IF(OR('Master Data'!$C$14=$AR$6,B20=""),"",IF(AND(C20=""),"",IF(AND(B20=$AV$17,'Master Data'!$C$5="Gazetted"),500,IF(AND(B20=$AV$17,'Master Data'!$C$5="Non-Gazetted"),250,"")))),"")</f>
        <v/>
      </c>
      <c r="Y20" s="86" t="str">
        <f>IFERROR(IF(B20="","",IF(AND(BS26=""),"",IF(OR(B20=$AZ$24,B20=$AZ$25,B20=$AZ$26,B20=$AZ$27,B20=$AZ$28,B20=$AZ$29),"",IF(AND('Master Data'!$C$14=$AR$5),Y19,"")))),"")</f>
        <v/>
      </c>
      <c r="Z20" s="86" t="str">
        <f>IFERROR(IF(B20="","",IF(AND(BS26=""),"",IF(OR(B20=$AZ$24,B20=$AZ$25,B20=$AZ$26,B20=$AZ$27,B20=$AZ$28,B20=$AZ$29),"",IF(AND('Master Data'!$C$14=$AR$5),VLOOKUP(B20,om,9,0),"")))),"")</f>
        <v/>
      </c>
      <c r="AA20" s="86" t="str">
        <f>IFERROR(IF(OR('Master Data'!$C$14=$AR$6,B20="",'Master Data'!$C$11=""),"",IF(AND(C20=""),"",IF(B20=$AV$8,'Master Data'!$C$16,""))),"")</f>
        <v/>
      </c>
      <c r="AB20" s="86">
        <f t="shared" si="2"/>
        <v>3474</v>
      </c>
      <c r="AC20" s="86">
        <f t="shared" si="3"/>
        <v>290</v>
      </c>
      <c r="AD20" s="86"/>
      <c r="AE20" s="87"/>
      <c r="AO20" s="160"/>
      <c r="AP20" s="160"/>
      <c r="AQ20" s="160"/>
      <c r="AR20" s="160"/>
      <c r="AS20" s="160"/>
      <c r="AT20" s="160"/>
      <c r="AU20" s="160"/>
      <c r="AV20" s="160"/>
      <c r="AW20" s="160" t="s">
        <v>97</v>
      </c>
      <c r="AX20" s="160"/>
      <c r="AY20" s="178" t="s">
        <v>278</v>
      </c>
      <c r="AZ20" s="172">
        <v>44866</v>
      </c>
      <c r="BA20" s="177">
        <v>11</v>
      </c>
      <c r="BB20" s="177"/>
      <c r="BC20" s="179">
        <f>IF(AND('Master Data'!$C$11=""),"",IF(AND('Master Data'!$C$14=$AR$6),$BB$15,BW20))</f>
        <v>39800</v>
      </c>
      <c r="BD20" s="177">
        <f t="shared" si="8"/>
        <v>39800</v>
      </c>
      <c r="BE20" s="177">
        <f>IF(AND('Master Data'!$C$11=""),"",ROUND(38%*BC20,0))</f>
        <v>15124</v>
      </c>
      <c r="BF20" s="177">
        <f t="shared" si="10"/>
        <v>15124</v>
      </c>
      <c r="BG20" s="184">
        <f>IFERROR(IF(AND('Master Data'!$C$11=""),"",ROUND('Master Data'!$E$11%*BD20,0)),"")</f>
        <v>7164</v>
      </c>
      <c r="BH20" s="179">
        <f>'Master Data'!$E$15</f>
        <v>2000</v>
      </c>
      <c r="BI20" s="179">
        <f>IFERROR(IF(OR('Master Data'!$C$14=$AR$6),"",IF('Master Data'!$E$8="GPF-2004",IF(BD20&lt;18001,265,IF(BD20&lt;33501,440,IF(BD20&lt;54001,658,875))),IF(AND('Master Data'!$E$8="GPF"),IF(BD20&lt;18001,265,IF(BD20&lt;33501,440,IF(BD20&lt;54001,658,875))),""))),"")</f>
        <v>658</v>
      </c>
      <c r="BJ20" s="179">
        <f>IFERROR(IF(OR('Master Data'!$C$14=$AR$6),"",'Master Data'!$C$10),"")</f>
        <v>5000</v>
      </c>
      <c r="BK20" s="185">
        <f>IFERROR(IF(OR('Master Data'!$C$14=$AR$6),"",IF('Master Data'!$E$8="GPF-2004",IF(BD20&lt;23101,1450,IF(BD20&lt;28501,1625,IF(BD20&lt;38501,2100,IF(BD20&lt;51501,2850,IF(BD20&lt;62001,3575,IF(BD20&lt;72001,4200,IF(BD20&lt;80001,4800,IF(BD20&lt;116001,6150,IF(BD20&lt;167001,8900,10500))))))))),'Master Data'!$E$10)),"")</f>
        <v>5000</v>
      </c>
      <c r="BL20" s="179">
        <f t="shared" si="11"/>
        <v>39800</v>
      </c>
      <c r="BM20" s="186">
        <v>44866</v>
      </c>
      <c r="BN20" s="186">
        <f>IFERROR(IF('Master Data'!$C$11="","",IF('Master Data'!$C$20="","",IF(AND($BB$17&gt;$BB$9),"",DATE(YEAR(BN19),MONTH(BN19)+1,DAY(BN19))))),"")</f>
        <v>44866</v>
      </c>
      <c r="BO20" s="187">
        <f>IFERROR(IF('Master Data'!$C$11="","",IF('Master Data'!$C$20="","",IF(AND($BB$17&gt;$BB$9),"",DATE(YEAR(BO19),MONTH(BO19)+1,DAY(BO19))))),"")</f>
        <v>44866</v>
      </c>
      <c r="BP20" s="187">
        <f t="shared" si="4"/>
        <v>44866</v>
      </c>
      <c r="BQ20" s="187">
        <f t="shared" si="5"/>
        <v>44866</v>
      </c>
      <c r="BR20" s="187"/>
      <c r="BS20" s="187">
        <f t="shared" si="6"/>
        <v>44866</v>
      </c>
      <c r="BT20" s="187"/>
      <c r="BU20" s="188"/>
      <c r="BV20" s="188"/>
      <c r="BW20" s="188">
        <f>IF(AND('Master Data'!$C$11=""),"",IF(AND('Master Data'!$E$21=AZ20),'Master Data'!$E$20,BW19))</f>
        <v>39800</v>
      </c>
      <c r="BX20" s="187"/>
      <c r="BY20" s="160"/>
      <c r="BZ20" s="188">
        <f t="shared" si="7"/>
        <v>2000</v>
      </c>
      <c r="CA20" s="160"/>
      <c r="CB20" s="160"/>
      <c r="CC20" s="160"/>
      <c r="CD20" s="69"/>
      <c r="CE20" s="69"/>
    </row>
    <row r="21" spans="1:83" ht="24" customHeight="1">
      <c r="A21" s="84">
        <v>16</v>
      </c>
      <c r="B21" s="85" t="str">
        <f t="shared" si="0"/>
        <v>DA Arrear 34% to 38%</v>
      </c>
      <c r="C21" s="86">
        <f>IFERROR(IF(B21="","",IF(AND(BS27=""),"",IF(B21=$AZ$24,"",IF(AND('Master Data'!$C$14=$AR$6),VLOOKUP(B21,om,13,0),VLOOKUP(B21,om,4,0))))),"")</f>
        <v>0</v>
      </c>
      <c r="D21" s="86">
        <f>IFERROR(IF(B21="","",IF(AND(BS27=""),"",IF(OR(B21=$AZ$24),"",IF(AND('Master Data'!$C$14=$AR$5),VLOOKUP(B21,om,7,0),"")))),"")</f>
        <v>4776</v>
      </c>
      <c r="E21" s="86" t="str">
        <f>IFERROR(IF(B21="","",IF(AND(BS27=""),"",IF(OR(B21=$AZ$24,B21=$AZ$25,B21=$AZ$26,B21=$AZ$27,B21=$AZ$28,B21=$AZ$29),"",IF(AND('Master Data'!$C$14=$AR$5),VLOOKUP(B21,om,8,0),"")))),"")</f>
        <v/>
      </c>
      <c r="F21" s="86">
        <f>IFERROR(IF(B21="","",IF(AND(C21="",D21=""),"",IF(B21=$AZ$24,"",IF(AND(B21=$AZ$25),"",IF(AND(B21=$AZ$29),"",IF(AND('Master Data'!$C$14=$AR$6),"",IF('GA55'!C21="",ROUND(('GA55'!D21)/12,0),ROUND(('GA55'!C21+'GA55'!D21)/12,0)))))))),"")</f>
        <v>398</v>
      </c>
      <c r="G21" s="86" t="str">
        <f>IFERROR(IF(B21="","",IF(AND(BS27=""),"",IF(OR(B21=$AZ$24,B21=$AZ$25,B21=$AZ$26,B21=$AZ$27,B21=$AZ$28,B21=$AZ$29),"",IF(AND('Master Data'!$C$14=$AR$5),G20,"")))),"")</f>
        <v/>
      </c>
      <c r="H21" s="86" t="str">
        <f>IFERROR(IF(B21="","",IF(AND(BS27=""),"",IF(OR(B21=$AZ$24,B21=$AZ$25,B21=$AZ$26,B21=$AZ$27,B21=$AZ$28,B21=$AZ$29),"",IF(AND('Master Data'!$C$14=$AR$5),H20,"")))),"")</f>
        <v/>
      </c>
      <c r="I21" s="86" t="str">
        <f>IFERROR(IF(B21="","",IF(AND(BS27=""),"",IF('Master Data'!$E$12="NO","",IF(OR(B21=$AZ$24,B21=$AZ$25,B21=$AZ$26,B21=$AZ$27,B21=$AZ$28,B21=$AZ$29),"",IF(AND('Master Data'!$C$14=$AR$6),"",IF(AND('Master Data'!$E$13=$AT$9),$AU$6,IF(AND('Master Data'!$E$13=$AT$10),$AU$6,IF(AND('Master Data'!$E$13=$AT$11),$AU$6,IF(AND('Master Data'!$E$13=$AT$12),$AU$6,$AU$5))))))))),"")</f>
        <v/>
      </c>
      <c r="J21" s="86" t="str">
        <f>IFERROR(IF(B21="","",IF(AND(BS27=""),"",IF(OR(B21=$AZ$24,B21=$AZ$25,B21=$AZ$26,B21=$AZ$27,B21=$AZ$28,B21=$AZ$29),"",IF(AND('Master Data'!$C$14=$AR$5),J20)))),"")</f>
        <v/>
      </c>
      <c r="K21" s="86" t="str">
        <f>IFERROR(IF(B21="","",IF(AND(BS27=""),"",IF(OR(B21=$AZ$24,B21=$AZ$25,B21=$AZ$26,B21=$AZ$27,B21=$AZ$28,B21=$AZ$29),"",IF(AND('Master Data'!$C$14=$AR$5),K20,"")))),"")</f>
        <v/>
      </c>
      <c r="L21" s="86" t="str">
        <f>IFERROR(IF(B21="","",IF(AND(BS27=""),"",IF(OR(B21=$AZ$24,B21=$AZ$25,B21=$AZ$26,B21=$AZ$27,B21=$AZ$28,B21=$AZ$29),"",IF(AND('Master Data'!$C$14=$AR$5),L20,"")))),"")</f>
        <v/>
      </c>
      <c r="M21" s="86" t="str">
        <f>IFERROR(IF(B21="","",IF(AND('Master Data'!$C$14=$AR$6),"",IF(AND('Master Data'!$C$15&lt;&gt;0),IF(AND(B21="Bonus"),VLOOKUP(B21,om,4,0),"")))),"")</f>
        <v/>
      </c>
      <c r="N21" s="86" t="str">
        <f>IFERROR(IF(B21="","",IF(AND(BS27=""),"",IF(OR(B21=$AZ$24,B21=$AZ$25,B21=$AZ$26,B21=$AZ$27,B21=$AZ$28,B21=$AZ$29),"",IF(AND('Master Data'!$C$14=$AR$5),N20,"")))),"")</f>
        <v/>
      </c>
      <c r="O21" s="86">
        <f t="shared" si="1"/>
        <v>5174</v>
      </c>
      <c r="P21" s="86" t="str">
        <f>IFERROR(IF(B21="","",IF(AND(BS27=""),"",IF(OR(B21=$AZ$24,B21=$AZ$25,B21=$AZ$26,B21=$AZ$27,B21=$AZ$28,B21=$AZ$29),"",IF(AND('Master Data'!$C$14=$AR$5),VLOOKUP(B21,om,11,0),"")))),"")</f>
        <v/>
      </c>
      <c r="Q21" s="86">
        <f>IFERROR(IF(B21="","",IF(AND(BS27=""),"",IF(OR(B21=$AZ$25),"",IF(AND('Master Data'!$C$14=$AR$5),VLOOKUP(B21,om,12,0),"")))),"")</f>
        <v>4776</v>
      </c>
      <c r="R21" s="86" t="str">
        <f>IFERROR(IF(B21="","",IF(AND(BS27=""),"",IF(OR(B21=$AZ$24,B21=$AZ$25,B21=$AZ$26,B21=$AZ$27,B21=$AZ$28,B21=$AZ$29),"",IF(AND('Master Data'!$C$14=$AR$5),'Master Data'!$E$16,"")))),"")</f>
        <v/>
      </c>
      <c r="S21" s="86" t="str">
        <f>IFERROR(IF(B21="","",IF(AND(BS27=""),"",IF(OR(B21=$AZ$24,B21=$AZ$25,B21=$AZ$26,B21=$AZ$27,B21=$AZ$28,B21=$AZ$29),"",IF(AND('Master Data'!$C$14=$AR$5),VLOOKUP(B21,om,10,0),"")))),"")</f>
        <v/>
      </c>
      <c r="T21" s="86" t="str">
        <f>IFERROR(IF(B21="","",IF(AND(BS27=""),"",IF(OR(B21=$AZ$24,B21=$AZ$25,B21=$AZ$26,B21=$AZ$27,B21=$AZ$28,B21=$AZ$29),"",IF(AND('Master Data'!$C$14=$AR$5),T20,"")))),"")</f>
        <v/>
      </c>
      <c r="U21" s="86" t="str">
        <f>IFERROR(IF(B21="","",IF(AND(BS27=""),"",IF(OR(B21=$AZ$24,B21=$AZ$25,B21=$AZ$26,B21=$AZ$27,B21=$AZ$28,B21=$AZ$29),"",IF(AND('Master Data'!$C$14=$AR$5),U20,"")))),"")</f>
        <v/>
      </c>
      <c r="V21" s="86" t="str">
        <f>IFERROR(IF(B21="","",IF(AND(BS27=""),"",IF(OR(B21=$AZ$24,B21=$AZ$25,B21=$AZ$26,B21=$AZ$27,B21=$AZ$28,B21=$AZ$29),"",IF(AND('Master Data'!$C$14=$AR$5),V20,"")))),"")</f>
        <v/>
      </c>
      <c r="W21" s="86" t="str">
        <f>IFERROR(IF(B21="","",IF(AND(BS27=""),"",IF(OR(B21=$AZ$24,B21=$AZ$25,B21=$AZ$26,B21=$AZ$27,B21=$AZ$28,B21=$AZ$29),"",IF(AND('Master Data'!$C$14=$AR$5),W20,"")))),"")</f>
        <v/>
      </c>
      <c r="X21" s="86" t="str">
        <f>IFERROR(IF(OR('Master Data'!$C$14=$AR$6,B21=""),"",IF(AND(C21=""),"",IF(AND(B21=$AV$17,'Master Data'!$C$5="Gazetted"),500,IF(AND(B21=$AV$17,'Master Data'!$C$5="Non-Gazetted"),250,"")))),"")</f>
        <v/>
      </c>
      <c r="Y21" s="86" t="str">
        <f>IFERROR(IF(B21="","",IF(AND(BS27=""),"",IF(OR(B21=$AZ$24,B21=$AZ$25,B21=$AZ$26,B21=$AZ$27,B21=$AZ$28,B21=$AZ$29),"",IF(AND('Master Data'!$C$14=$AR$5),Y20,"")))),"")</f>
        <v/>
      </c>
      <c r="Z21" s="86" t="str">
        <f>IFERROR(IF(B21="","",IF(AND(BS27=""),"",IF(OR(B21=$AZ$24,B21=$AZ$25,B21=$AZ$26,B21=$AZ$27,B21=$AZ$28,B21=$AZ$29),"",IF(AND('Master Data'!$C$14=$AR$5),VLOOKUP(B21,om,9,0),"")))),"")</f>
        <v/>
      </c>
      <c r="AA21" s="86" t="str">
        <f>IFERROR(IF(OR('Master Data'!$C$14=$AR$6,B21="",'Master Data'!$C$11=""),"",IF(AND(C21=""),"",IF(B21=$AV$8,'Master Data'!$C$16,""))),"")</f>
        <v/>
      </c>
      <c r="AB21" s="86">
        <f t="shared" si="2"/>
        <v>4776</v>
      </c>
      <c r="AC21" s="86">
        <f t="shared" si="3"/>
        <v>398</v>
      </c>
      <c r="AD21" s="86"/>
      <c r="AE21" s="87"/>
      <c r="AO21" s="160"/>
      <c r="AP21" s="160"/>
      <c r="AQ21" s="160"/>
      <c r="AR21" s="160"/>
      <c r="AS21" s="160"/>
      <c r="AT21" s="160"/>
      <c r="AU21" s="160"/>
      <c r="AV21" s="160"/>
      <c r="AW21" s="160" t="s">
        <v>158</v>
      </c>
      <c r="AX21" s="160"/>
      <c r="AY21" s="178" t="s">
        <v>279</v>
      </c>
      <c r="AZ21" s="172">
        <v>44896</v>
      </c>
      <c r="BA21" s="177">
        <v>12</v>
      </c>
      <c r="BB21" s="177"/>
      <c r="BC21" s="179">
        <f>IF(AND('Master Data'!$C$11=""),"",IF(AND('Master Data'!$C$14=$AR$6),$BB$15,BW21))</f>
        <v>39800</v>
      </c>
      <c r="BD21" s="177">
        <f t="shared" si="8"/>
        <v>39800</v>
      </c>
      <c r="BE21" s="177">
        <f>IF(AND('Master Data'!$C$11=""),"",ROUND(38%*BC21,0))</f>
        <v>15124</v>
      </c>
      <c r="BF21" s="177">
        <f t="shared" si="10"/>
        <v>15124</v>
      </c>
      <c r="BG21" s="184">
        <f>IFERROR(IF(AND('Master Data'!$C$11=""),"",ROUND('Master Data'!$E$11%*BD21,0)),"")</f>
        <v>7164</v>
      </c>
      <c r="BH21" s="179">
        <f>'Master Data'!$E$15</f>
        <v>2000</v>
      </c>
      <c r="BI21" s="179">
        <f>IFERROR(IF(OR('Master Data'!$C$14=$AR$6),"",IF('Master Data'!$E$8="GPF-2004",IF(BD21&lt;18001,265,IF(BD21&lt;33501,440,IF(BD21&lt;54001,658,875))),IF(AND('Master Data'!$E$8="GPF"),IF(BD21&lt;18001,265,IF(BD21&lt;33501,440,IF(BD21&lt;54001,658,875))),""))),"")</f>
        <v>658</v>
      </c>
      <c r="BJ21" s="179">
        <f>IFERROR(IF(OR('Master Data'!$C$14=$AR$6),"",'Master Data'!$C$10),"")</f>
        <v>5000</v>
      </c>
      <c r="BK21" s="185">
        <f>IFERROR(IF(OR('Master Data'!$C$14=$AR$6),"",IF('Master Data'!$E$8="GPF-2004",IF(BD21&lt;23101,1450,IF(BD21&lt;28501,1625,IF(BD21&lt;38501,2100,IF(BD21&lt;51501,2850,IF(BD21&lt;62001,3575,IF(BD21&lt;72001,4200,IF(BD21&lt;80001,4800,IF(BD21&lt;116001,6150,IF(BD21&lt;167001,8900,10500))))))))),'Master Data'!$E$10)),"")</f>
        <v>5000</v>
      </c>
      <c r="BL21" s="179">
        <f t="shared" si="11"/>
        <v>39800</v>
      </c>
      <c r="BM21" s="186">
        <v>44896</v>
      </c>
      <c r="BN21" s="186">
        <f>IFERROR(IF('Master Data'!$C$11="","",IF('Master Data'!$C$20="","",IF(AND($BB$17&gt;$BB$9),"",DATE(YEAR(BN20),MONTH(BN20)+1,DAY(BN20))))),"")</f>
        <v>44896</v>
      </c>
      <c r="BO21" s="187">
        <f>IFERROR(IF('Master Data'!$C$11="","",IF('Master Data'!$C$20="","",IF(AND($BB$17&gt;$BB$9),"",DATE(YEAR(BO20),MONTH(BO20)+1,DAY(BO20))))),"")</f>
        <v>44896</v>
      </c>
      <c r="BP21" s="187">
        <f t="shared" si="4"/>
        <v>44896</v>
      </c>
      <c r="BQ21" s="187">
        <f t="shared" si="5"/>
        <v>44896</v>
      </c>
      <c r="BR21" s="187"/>
      <c r="BS21" s="187">
        <f t="shared" si="6"/>
        <v>44896</v>
      </c>
      <c r="BT21" s="187"/>
      <c r="BU21" s="188"/>
      <c r="BV21" s="188"/>
      <c r="BW21" s="188">
        <f>IF(AND('Master Data'!$C$11=""),"",IF(AND('Master Data'!$E$21=AZ21),'Master Data'!$E$20,BW20))</f>
        <v>39800</v>
      </c>
      <c r="BX21" s="187"/>
      <c r="BY21" s="160"/>
      <c r="BZ21" s="188">
        <f t="shared" si="7"/>
        <v>2000</v>
      </c>
      <c r="CA21" s="160"/>
      <c r="CB21" s="160"/>
      <c r="CC21" s="160"/>
      <c r="CD21" s="69"/>
      <c r="CE21" s="69"/>
    </row>
    <row r="22" spans="1:83" ht="24" customHeight="1">
      <c r="A22" s="84">
        <v>17</v>
      </c>
      <c r="B22" s="85" t="str">
        <f t="shared" si="0"/>
        <v>Fixation arear</v>
      </c>
      <c r="C22" s="86">
        <f>IFERROR(IF(B22="","",IF(AND(BS28=""),"",IF(B22=$AZ$24,"",IF(AND('Master Data'!$C$14=$AR$6),VLOOKUP(B22,om,13,0),VLOOKUP(B22,om,4,0))))),"")</f>
        <v>0</v>
      </c>
      <c r="D22" s="86" t="str">
        <f>IFERROR(IF(B22="","",IF(AND(BS28=""),"",IF(OR(B22=$AZ$24),"",IF(AND('Master Data'!$C$14=$AR$5),VLOOKUP(B22,om,7,0),"")))),"")</f>
        <v/>
      </c>
      <c r="E22" s="86" t="str">
        <f>IFERROR(IF(B22="","",IF(AND(BS28=""),"",IF(OR(B22=$AZ$24,B22=$AZ$25,B22=$AZ$26,B22=$AZ$27,B22=$AZ$28,B22=$AZ$29),"",IF(AND('Master Data'!$C$14=$AR$5),VLOOKUP(B22,om,8,0),"")))),"")</f>
        <v/>
      </c>
      <c r="F22" s="86" t="str">
        <f>IFERROR(IF(B22="","",IF(AND(C22="",D22=""),"",IF(B22=$AZ$24,"",IF(AND(B22=$AZ$25),"",IF(AND(B22=$AZ$29),"",IF(AND('Master Data'!$C$14=$AR$6),"",IF('GA55'!C22="",ROUND(('GA55'!D22)/12,0),ROUND(('GA55'!C22+'GA55'!D22)/12,0)))))))),"")</f>
        <v/>
      </c>
      <c r="G22" s="86" t="str">
        <f>IFERROR(IF(B22="","",IF(AND(BS28=""),"",IF(OR(B22=$AZ$24,B22=$AZ$25,B22=$AZ$26,B22=$AZ$27,B22=$AZ$28,B22=$AZ$29),"",IF(AND('Master Data'!$C$14=$AR$5),G21,"")))),"")</f>
        <v/>
      </c>
      <c r="H22" s="86" t="str">
        <f>IFERROR(IF(B22="","",IF(AND(BS28=""),"",IF(OR(B22=$AZ$24,B22=$AZ$25,B22=$AZ$26,B22=$AZ$27,B22=$AZ$28,B22=$AZ$29),"",IF(AND('Master Data'!$C$14=$AR$5),H21,"")))),"")</f>
        <v/>
      </c>
      <c r="I22" s="86" t="str">
        <f>IFERROR(IF(B22="","",IF(AND(BS28=""),"",IF('Master Data'!$E$12="NO","",IF(OR(B22=$AZ$24,B22=$AZ$25,B22=$AZ$26,B22=$AZ$27,B22=$AZ$28,B22=$AZ$29),"",IF(AND('Master Data'!$C$14=$AR$6),"",IF(AND('Master Data'!$E$13=$AT$9),$AU$6,IF(AND('Master Data'!$E$13=$AT$10),$AU$6,IF(AND('Master Data'!$E$13=$AT$11),$AU$6,IF(AND('Master Data'!$E$13=$AT$12),$AU$6,$AU$5))))))))),"")</f>
        <v/>
      </c>
      <c r="J22" s="86" t="str">
        <f>IFERROR(IF(B22="","",IF(AND(BS28=""),"",IF(OR(B22=$AZ$24,B22=$AZ$25,B22=$AZ$26,B22=$AZ$27,B22=$AZ$28,B22=$AZ$29),"",IF(AND('Master Data'!$C$14=$AR$5),J21)))),"")</f>
        <v/>
      </c>
      <c r="K22" s="86" t="str">
        <f>IFERROR(IF(B22="","",IF(AND(BS28=""),"",IF(OR(B22=$AZ$24,B22=$AZ$25,B22=$AZ$26,B22=$AZ$27,B22=$AZ$28,B22=$AZ$29),"",IF(AND('Master Data'!$C$14=$AR$5),K21,"")))),"")</f>
        <v/>
      </c>
      <c r="L22" s="86" t="str">
        <f>IFERROR(IF(B22="","",IF(AND(BS28=""),"",IF(OR(B22=$AZ$24,B22=$AZ$25,B22=$AZ$26,B22=$AZ$27,B22=$AZ$28,B22=$AZ$29),"",IF(AND('Master Data'!$C$14=$AR$5),L21,"")))),"")</f>
        <v/>
      </c>
      <c r="M22" s="86" t="str">
        <f>IFERROR(IF(B22="","",IF(AND('Master Data'!$C$14=$AR$6),"",IF(AND('Master Data'!$C$15&lt;&gt;0),IF(AND(B22="Bonus"),VLOOKUP(B22,om,4,0),"")))),"")</f>
        <v/>
      </c>
      <c r="N22" s="86" t="str">
        <f>IFERROR(IF(B22="","",IF(AND(BS28=""),"",IF(OR(B22=$AZ$24,B22=$AZ$25,B22=$AZ$26,B22=$AZ$27,B22=$AZ$28,B22=$AZ$29),"",IF(AND('Master Data'!$C$14=$AR$5),N21,"")))),"")</f>
        <v/>
      </c>
      <c r="O22" s="86">
        <f t="shared" si="1"/>
        <v>0</v>
      </c>
      <c r="P22" s="86" t="str">
        <f>IFERROR(IF(B22="","",IF(AND(BS28=""),"",IF(OR(B22=$AZ$24,B22=$AZ$25,B22=$AZ$26,B22=$AZ$27,B22=$AZ$28,B22=$AZ$29),"",IF(AND('Master Data'!$C$14=$AR$5),VLOOKUP(B22,om,11,0),"")))),"")</f>
        <v/>
      </c>
      <c r="Q22" s="86">
        <f>IFERROR(IF(B22="","",IF(AND(BS28=""),"",IF(OR(B22=$AZ$25),"",IF(AND('Master Data'!$C$14=$AR$5),VLOOKUP(B22,om,12,0),"")))),"")</f>
        <v>0</v>
      </c>
      <c r="R22" s="86" t="str">
        <f>IFERROR(IF(B22="","",IF(AND(BS28=""),"",IF(OR(B22=$AZ$24,B22=$AZ$25,B22=$AZ$26,B22=$AZ$27,B22=$AZ$28,B22=$AZ$29),"",IF(AND('Master Data'!$C$14=$AR$5),'Master Data'!$E$16,"")))),"")</f>
        <v/>
      </c>
      <c r="S22" s="86" t="str">
        <f>IFERROR(IF(B22="","",IF(AND(BS28=""),"",IF(OR(B22=$AZ$24,B22=$AZ$25,B22=$AZ$26,B22=$AZ$27,B22=$AZ$28,B22=$AZ$29),"",IF(AND('Master Data'!$C$14=$AR$5),VLOOKUP(B22,om,10,0),"")))),"")</f>
        <v/>
      </c>
      <c r="T22" s="86" t="str">
        <f>IFERROR(IF(B22="","",IF(AND(BS28=""),"",IF(OR(B22=$AZ$24,B22=$AZ$25,B22=$AZ$26,B22=$AZ$27,B22=$AZ$28,B22=$AZ$29),"",IF(AND('Master Data'!$C$14=$AR$5),T21,"")))),"")</f>
        <v/>
      </c>
      <c r="U22" s="86" t="str">
        <f>IFERROR(IF(B22="","",IF(AND(BS28=""),"",IF(OR(B22=$AZ$24,B22=$AZ$25,B22=$AZ$26,B22=$AZ$27,B22=$AZ$28,B22=$AZ$29),"",IF(AND('Master Data'!$C$14=$AR$5),U21,"")))),"")</f>
        <v/>
      </c>
      <c r="V22" s="86" t="str">
        <f>IFERROR(IF(B22="","",IF(AND(BS28=""),"",IF(OR(B22=$AZ$24,B22=$AZ$25,B22=$AZ$26,B22=$AZ$27,B22=$AZ$28,B22=$AZ$29),"",IF(AND('Master Data'!$C$14=$AR$5),V21,"")))),"")</f>
        <v/>
      </c>
      <c r="W22" s="86" t="str">
        <f>IFERROR(IF(B22="","",IF(AND(BS28=""),"",IF(OR(B22=$AZ$24,B22=$AZ$25,B22=$AZ$26,B22=$AZ$27,B22=$AZ$28,B22=$AZ$29),"",IF(AND('Master Data'!$C$14=$AR$5),W21,"")))),"")</f>
        <v/>
      </c>
      <c r="X22" s="86" t="str">
        <f>IFERROR(IF(OR('Master Data'!$C$14=$AR$6,B22=""),"",IF(AND(C22=""),"",IF(AND(B22=$AV$17,'Master Data'!$C$5="Gazetted"),500,IF(AND(B22=$AV$17,'Master Data'!$C$5="Non-Gazetted"),250,"")))),"")</f>
        <v/>
      </c>
      <c r="Y22" s="86" t="str">
        <f>IFERROR(IF(B22="","",IF(AND(BS28=""),"",IF(OR(B22=$AZ$24,B22=$AZ$25,B22=$AZ$26,B22=$AZ$27,B22=$AZ$28,B22=$AZ$29),"",IF(AND('Master Data'!$C$14=$AR$5),Y21,"")))),"")</f>
        <v/>
      </c>
      <c r="Z22" s="86" t="str">
        <f>IFERROR(IF(B22="","",IF(AND(BS28=""),"",IF(OR(B22=$AZ$24,B22=$AZ$25,B22=$AZ$26,B22=$AZ$27,B22=$AZ$28,B22=$AZ$29),"",IF(AND('Master Data'!$C$14=$AR$5),VLOOKUP(B22,om,9,0),"")))),"")</f>
        <v/>
      </c>
      <c r="AA22" s="86" t="str">
        <f>IFERROR(IF(OR('Master Data'!$C$14=$AR$6,B22="",'Master Data'!$C$11=""),"",IF(AND(C22=""),"",IF(B22=$AV$8,'Master Data'!$C$16,""))),"")</f>
        <v/>
      </c>
      <c r="AB22" s="86">
        <f t="shared" si="2"/>
        <v>0</v>
      </c>
      <c r="AC22" s="86">
        <f t="shared" si="3"/>
        <v>0</v>
      </c>
      <c r="AD22" s="86"/>
      <c r="AE22" s="87"/>
      <c r="AO22" s="160"/>
      <c r="AP22" s="160"/>
      <c r="AQ22" s="160"/>
      <c r="AR22" s="160"/>
      <c r="AS22" s="160"/>
      <c r="AT22" s="160"/>
      <c r="AU22" s="160"/>
      <c r="AV22" s="160"/>
      <c r="AW22" s="160" t="s">
        <v>159</v>
      </c>
      <c r="AX22" s="160"/>
      <c r="AY22" s="178" t="s">
        <v>264</v>
      </c>
      <c r="AZ22" s="172">
        <v>44927</v>
      </c>
      <c r="BA22" s="177">
        <v>1</v>
      </c>
      <c r="BB22" s="177"/>
      <c r="BC22" s="179">
        <f>IF(AND('Master Data'!$C$11=""),"",IF(AND('Master Data'!$C$14=$AR$6),$BB$15,BW22))</f>
        <v>39800</v>
      </c>
      <c r="BD22" s="177">
        <f t="shared" si="8"/>
        <v>39800</v>
      </c>
      <c r="BE22" s="177">
        <f>IF(AND('Master Data'!$C$11=""),"",ROUND(38%*BC22,0))</f>
        <v>15124</v>
      </c>
      <c r="BF22" s="177">
        <f t="shared" si="10"/>
        <v>15124</v>
      </c>
      <c r="BG22" s="184">
        <f>IFERROR(IF(AND('Master Data'!$C$11=""),"",ROUND('Master Data'!$E$11%*BD22,0)),"")</f>
        <v>7164</v>
      </c>
      <c r="BH22" s="179">
        <f>'Master Data'!$E$15</f>
        <v>2000</v>
      </c>
      <c r="BI22" s="179">
        <f>IFERROR(IF(OR('Master Data'!$C$14=$AR$6),"",IF('Master Data'!$E$8="GPF-2004",IF(BD22&lt;18001,265,IF(BD22&lt;33501,440,IF(BD22&lt;54001,658,875))),IF(AND('Master Data'!$E$8="GPF"),IF(BD22&lt;18001,265,IF(BD22&lt;33501,440,IF(BD22&lt;54001,658,875))),""))),"")</f>
        <v>658</v>
      </c>
      <c r="BJ22" s="179">
        <f>IFERROR(IF(OR('Master Data'!$C$14=$AR$6),"",'Master Data'!$C$10),"")</f>
        <v>5000</v>
      </c>
      <c r="BK22" s="185">
        <f>IFERROR(IF(OR('Master Data'!$C$14=$AR$6),"",IF('Master Data'!$E$8="GPF-2004",IF(BD22&lt;23101,1450,IF(BD22&lt;28501,1625,IF(BD22&lt;38501,2100,IF(BD22&lt;51501,2850,IF(BD22&lt;62001,3575,IF(BD22&lt;72001,4200,IF(BD22&lt;80001,4800,IF(BD22&lt;116001,6150,IF(BD22&lt;167001,8900,10500))))))))),'Master Data'!$E$10)),"")</f>
        <v>5000</v>
      </c>
      <c r="BL22" s="179">
        <f t="shared" si="11"/>
        <v>39800</v>
      </c>
      <c r="BM22" s="186">
        <v>44927</v>
      </c>
      <c r="BN22" s="186">
        <f>IFERROR(IF('Master Data'!$C$11="","",IF('Master Data'!$C$20="","",IF(AND($BB$17&gt;$BB$9),"",DATE(YEAR(BN21),MONTH(BN21)+1,DAY(BN21))))),"")</f>
        <v>44927</v>
      </c>
      <c r="BO22" s="187">
        <f>IFERROR(IF('Master Data'!$C$11="","",IF('Master Data'!$C$20="","",IF(AND($BB$17&gt;$BB$9),"",DATE(YEAR(BO21),MONTH(BO21)+1,DAY(BO21))))),"")</f>
        <v>44927</v>
      </c>
      <c r="BP22" s="187">
        <f t="shared" si="4"/>
        <v>44927</v>
      </c>
      <c r="BQ22" s="187">
        <f t="shared" si="5"/>
        <v>44927</v>
      </c>
      <c r="BR22" s="187"/>
      <c r="BS22" s="187">
        <f t="shared" si="6"/>
        <v>44927</v>
      </c>
      <c r="BT22" s="187"/>
      <c r="BU22" s="188"/>
      <c r="BV22" s="188"/>
      <c r="BW22" s="188">
        <f>IF(AND('Master Data'!$C$11=""),"",IF(AND('Master Data'!$E$21=AZ22),'Master Data'!$E$20,BW21))</f>
        <v>39800</v>
      </c>
      <c r="BX22" s="187"/>
      <c r="BY22" s="160"/>
      <c r="BZ22" s="188">
        <f t="shared" si="7"/>
        <v>2000</v>
      </c>
      <c r="CA22" s="160"/>
      <c r="CB22" s="160"/>
      <c r="CC22" s="160"/>
      <c r="CD22" s="69"/>
      <c r="CE22" s="69"/>
    </row>
    <row r="23" spans="1:83" ht="24" customHeight="1">
      <c r="A23" s="84">
        <v>18</v>
      </c>
      <c r="B23" s="85" t="str">
        <f t="shared" si="0"/>
        <v>PL Surrender Arrear</v>
      </c>
      <c r="C23" s="86">
        <f>IFERROR(IF(B23="","",IF(AND(BS29=""),"",IF(B23=$AZ$24,"",IF(AND('Master Data'!$C$14=$AR$6),VLOOKUP(B23,om,13,0),VLOOKUP(B23,om,4,0))))),"")</f>
        <v>0</v>
      </c>
      <c r="D23" s="86" t="str">
        <f>IFERROR(IF(B23="","",IF(AND(BS29=""),"",IF(OR(B23=$AZ$24),"",IF(AND('Master Data'!$C$14=$AR$5),VLOOKUP(B23,om,7,0),"")))),"")</f>
        <v/>
      </c>
      <c r="E23" s="86" t="str">
        <f>IFERROR(IF(B23="","",IF(AND(BS29=""),"",IF(OR(B23=$AZ$24,B23=$AZ$25,B23=$AZ$26,B23=$AZ$27,B23=$AZ$28,B23=$AZ$29),"",IF(AND('Master Data'!$C$14=$AR$5),VLOOKUP(B23,om,8,0),"")))),"")</f>
        <v/>
      </c>
      <c r="F23" s="86" t="str">
        <f>IFERROR(IF(B23="","",IF(AND(C23="",D23=""),"",IF(B23=$AZ$24,"",IF(AND(B23=$AZ$25),"",IF(AND(B23=$AZ$29),"",IF(AND('Master Data'!$C$14=$AR$6),"",IF('GA55'!C23="",ROUND(('GA55'!D23)/12,0),ROUND(('GA55'!C23+'GA55'!D23)/12,0)))))))),"")</f>
        <v/>
      </c>
      <c r="G23" s="86" t="str">
        <f>IFERROR(IF(B23="","",IF(AND(BS29=""),"",IF(OR(B23=$AZ$24,B23=$AZ$25,B23=$AZ$26,B23=$AZ$27,B23=$AZ$28,B23=$AZ$29),"",IF(AND('Master Data'!$C$14=$AR$5),G22,"")))),"")</f>
        <v/>
      </c>
      <c r="H23" s="86" t="str">
        <f>IFERROR(IF(B23="","",IF(AND(BS29=""),"",IF(OR(B23=$AZ$24,B23=$AZ$25,B23=$AZ$26,B23=$AZ$27,B23=$AZ$28,B23=$AZ$29),"",IF(AND('Master Data'!$C$14=$AR$5),H22,"")))),"")</f>
        <v/>
      </c>
      <c r="I23" s="86" t="str">
        <f>IFERROR(IF(B23="","",IF(AND(BS29=""),"",IF('Master Data'!$E$12="NO","",IF(OR(B23=$AZ$24,B23=$AZ$25,B23=$AZ$26,B23=$AZ$27,B23=$AZ$28,B23=$AZ$29),"",IF(AND('Master Data'!$C$14=$AR$6),"",IF(AND('Master Data'!$E$13=$AT$9),$AU$6,IF(AND('Master Data'!$E$13=$AT$10),$AU$6,IF(AND('Master Data'!$E$13=$AT$11),$AU$6,IF(AND('Master Data'!$E$13=$AT$12),$AU$6,$AU$5))))))))),"")</f>
        <v/>
      </c>
      <c r="J23" s="86" t="str">
        <f>IFERROR(IF(B23="","",IF(AND(BS29=""),"",IF(OR(B23=$AZ$24,B23=$AZ$25,B23=$AZ$26,B23=$AZ$27,B23=$AZ$28,B23=$AZ$29),"",IF(AND('Master Data'!$C$14=$AR$5),J22)))),"")</f>
        <v/>
      </c>
      <c r="K23" s="86" t="str">
        <f>IFERROR(IF(B23="","",IF(AND(BS29=""),"",IF(OR(B23=$AZ$24,B23=$AZ$25,B23=$AZ$26,B23=$AZ$27,B23=$AZ$28,B23=$AZ$29),"",IF(AND('Master Data'!$C$14=$AR$5),K22,"")))),"")</f>
        <v/>
      </c>
      <c r="L23" s="86" t="str">
        <f>IFERROR(IF(B23="","",IF(AND(BS29=""),"",IF(OR(B23=$AZ$24,B23=$AZ$25,B23=$AZ$26,B23=$AZ$27,B23=$AZ$28,B23=$AZ$29),"",IF(AND('Master Data'!$C$14=$AR$5),L22,"")))),"")</f>
        <v/>
      </c>
      <c r="M23" s="86" t="str">
        <f>IFERROR(IF(B23="","",IF(AND('Master Data'!$C$14=$AR$6),"",IF(AND('Master Data'!$C$15&lt;&gt;0),IF(AND(B23="Bonus"),VLOOKUP(B23,om,4,0),"")))),"")</f>
        <v/>
      </c>
      <c r="N23" s="86" t="str">
        <f>IFERROR(IF(B23="","",IF(AND(BS29=""),"",IF(OR(B23=$AZ$24,B23=$AZ$25,B23=$AZ$26,B23=$AZ$27,B23=$AZ$28,B23=$AZ$29),"",IF(AND('Master Data'!$C$14=$AR$5),N22,"")))),"")</f>
        <v/>
      </c>
      <c r="O23" s="86">
        <f t="shared" si="1"/>
        <v>0</v>
      </c>
      <c r="P23" s="86" t="str">
        <f>IFERROR(IF(B23="","",IF(AND(BS29=""),"",IF(OR(B23=$AZ$24,B23=$AZ$25,B23=$AZ$26,B23=$AZ$27,B23=$AZ$28,B23=$AZ$29),"",IF(AND('Master Data'!$C$14=$AR$5),VLOOKUP(B23,om,11,0),"")))),"")</f>
        <v/>
      </c>
      <c r="Q23" s="86" t="str">
        <f>IFERROR(IF(B23="","",IF(AND(BS29=""),"",IF(OR(B23=$AZ$25),"",IF(AND('Master Data'!$C$14=$AR$5),VLOOKUP(B23,om,12,0),"")))),"")</f>
        <v/>
      </c>
      <c r="R23" s="86" t="str">
        <f>IFERROR(IF(B23="","",IF(AND(BS29=""),"",IF(OR(B23=$AZ$24,B23=$AZ$25,B23=$AZ$26,B23=$AZ$27,B23=$AZ$28,B23=$AZ$29),"",IF(AND('Master Data'!$C$14=$AR$5),'Master Data'!$E$16,"")))),"")</f>
        <v/>
      </c>
      <c r="S23" s="86" t="str">
        <f>IFERROR(IF(B23="","",IF(AND(BS29=""),"",IF(OR(B23=$AZ$24,B23=$AZ$25,B23=$AZ$26,B23=$AZ$27,B23=$AZ$28,B23=$AZ$29),"",IF(AND('Master Data'!$C$14=$AR$5),VLOOKUP(B23,om,10,0),"")))),"")</f>
        <v/>
      </c>
      <c r="T23" s="86" t="str">
        <f>IFERROR(IF(B23="","",IF(AND(BS29=""),"",IF(OR(B23=$AZ$24,B23=$AZ$25,B23=$AZ$26,B23=$AZ$27,B23=$AZ$28,B23=$AZ$29),"",IF(AND('Master Data'!$C$14=$AR$5),T22,"")))),"")</f>
        <v/>
      </c>
      <c r="U23" s="86" t="str">
        <f>IFERROR(IF(B23="","",IF(AND(BS29=""),"",IF(OR(B23=$AZ$24,B23=$AZ$25,B23=$AZ$26,B23=$AZ$27,B23=$AZ$28,B23=$AZ$29),"",IF(AND('Master Data'!$C$14=$AR$5),U22,"")))),"")</f>
        <v/>
      </c>
      <c r="V23" s="86" t="str">
        <f>IFERROR(IF(B23="","",IF(AND(BS29=""),"",IF(OR(B23=$AZ$24,B23=$AZ$25,B23=$AZ$26,B23=$AZ$27,B23=$AZ$28,B23=$AZ$29),"",IF(AND('Master Data'!$C$14=$AR$5),V22,"")))),"")</f>
        <v/>
      </c>
      <c r="W23" s="86" t="str">
        <f>IFERROR(IF(B23="","",IF(AND(BS29=""),"",IF(OR(B23=$AZ$24,B23=$AZ$25,B23=$AZ$26,B23=$AZ$27,B23=$AZ$28,B23=$AZ$29),"",IF(AND('Master Data'!$C$14=$AR$5),W22,"")))),"")</f>
        <v/>
      </c>
      <c r="X23" s="86" t="str">
        <f>IFERROR(IF(OR('Master Data'!$C$14=$AR$6,B23=""),"",IF(AND(C23=""),"",IF(AND(B23=$AV$17,'Master Data'!$C$5="Gazetted"),500,IF(AND(B23=$AV$17,'Master Data'!$C$5="Non-Gazetted"),250,"")))),"")</f>
        <v/>
      </c>
      <c r="Y23" s="86" t="str">
        <f>IFERROR(IF(B23="","",IF(AND(BS29=""),"",IF(OR(B23=$AZ$24,B23=$AZ$25,B23=$AZ$26,B23=$AZ$27,B23=$AZ$28,B23=$AZ$29),"",IF(AND('Master Data'!$C$14=$AR$5),Y22,"")))),"")</f>
        <v/>
      </c>
      <c r="Z23" s="86" t="str">
        <f>IFERROR(IF(B23="","",IF(AND(BS29=""),"",IF(OR(B23=$AZ$24,B23=$AZ$25,B23=$AZ$26,B23=$AZ$27,B23=$AZ$28,B23=$AZ$29),"",IF(AND('Master Data'!$C$14=$AR$5),VLOOKUP(B23,om,9,0),"")))),"")</f>
        <v/>
      </c>
      <c r="AA23" s="86" t="str">
        <f>IFERROR(IF(OR('Master Data'!$C$14=$AR$6,B23="",'Master Data'!$C$11=""),"",IF(AND(C23=""),"",IF(B23=$AV$8,'Master Data'!$C$16,""))),"")</f>
        <v/>
      </c>
      <c r="AB23" s="86">
        <f t="shared" si="2"/>
        <v>0</v>
      </c>
      <c r="AC23" s="86">
        <f t="shared" si="3"/>
        <v>0</v>
      </c>
      <c r="AD23" s="86"/>
      <c r="AE23" s="87"/>
      <c r="AO23" s="160"/>
      <c r="AP23" s="160"/>
      <c r="AQ23" s="160"/>
      <c r="AR23" s="160"/>
      <c r="AS23" s="160"/>
      <c r="AT23" s="160"/>
      <c r="AU23" s="160"/>
      <c r="AV23" s="160"/>
      <c r="AW23" s="160" t="s">
        <v>160</v>
      </c>
      <c r="AX23" s="160"/>
      <c r="AY23" s="178" t="s">
        <v>266</v>
      </c>
      <c r="AZ23" s="172">
        <v>44958</v>
      </c>
      <c r="BA23" s="177">
        <v>2</v>
      </c>
      <c r="BB23" s="177"/>
      <c r="BC23" s="179">
        <f>IF(AND('Master Data'!$C$11=""),"",IF(AND('Master Data'!$C$14=$AR$6),$BB$15,BW23))</f>
        <v>39800</v>
      </c>
      <c r="BD23" s="177">
        <f t="shared" si="8"/>
        <v>39800</v>
      </c>
      <c r="BE23" s="177">
        <f>IF(AND('Master Data'!$C$11=""),"",ROUND(38%*BC23,0))</f>
        <v>15124</v>
      </c>
      <c r="BF23" s="177">
        <f>IF(BD23="","",BE23)</f>
        <v>15124</v>
      </c>
      <c r="BG23" s="184">
        <f>IFERROR(IF(AND('Master Data'!$C$11=""),"",ROUND('Master Data'!$E$11%*BD23,0)),"")</f>
        <v>7164</v>
      </c>
      <c r="BH23" s="179">
        <f>'Master Data'!$E$15</f>
        <v>2000</v>
      </c>
      <c r="BI23" s="179">
        <f>IFERROR(IF(OR('Master Data'!$C$14=$AR$6),"",IF('Master Data'!$E$8="GPF-2004",IF(BD23&lt;18001,265,IF(BD23&lt;33501,440,IF(BD23&lt;54001,658,875))),IF(AND('Master Data'!$E$8="GPF"),IF(BD23&lt;18001,265,IF(BD23&lt;33501,440,IF(BD23&lt;54001,658,875))),""))),"")</f>
        <v>658</v>
      </c>
      <c r="BJ23" s="179">
        <f>IFERROR(IF(OR('Master Data'!$C$14=$AR$6),"",'Master Data'!$C$10),"")</f>
        <v>5000</v>
      </c>
      <c r="BK23" s="185">
        <f>IFERROR(IF(OR('Master Data'!$C$14=$AR$6),"",IF('Master Data'!$E$8="GPF-2004",IF(BD23&lt;23101,1450,IF(BD23&lt;28501,1625,IF(BD23&lt;38501,2100,IF(BD23&lt;51501,2850,IF(BD23&lt;62001,3575,IF(BD23&lt;72001,4200,IF(BD23&lt;80001,4800,IF(BD23&lt;116001,6150,IF(BD23&lt;167001,8900,10500))))))))),'Master Data'!$E$10)),"")</f>
        <v>5000</v>
      </c>
      <c r="BL23" s="179">
        <f t="shared" si="11"/>
        <v>39800</v>
      </c>
      <c r="BM23" s="186">
        <v>44958</v>
      </c>
      <c r="BN23" s="186">
        <f>IFERROR(IF('Master Data'!$C$11="","",IF('Master Data'!$C$20="","",IF(AND($BB$17&gt;$BB$9),"",DATE(YEAR(BN22),MONTH(BN22)+1,DAY(BN22))))),"")</f>
        <v>44958</v>
      </c>
      <c r="BO23" s="187">
        <f>IFERROR(IF('Master Data'!$C$11="","",IF('Master Data'!$C$20="","",IF(AND($BB$17&gt;$BB$9),"",DATE(YEAR(BO22),MONTH(BO22)+1,DAY(BO22))))),"")</f>
        <v>44958</v>
      </c>
      <c r="BP23" s="187">
        <f t="shared" si="4"/>
        <v>44958</v>
      </c>
      <c r="BQ23" s="187">
        <f t="shared" si="5"/>
        <v>44958</v>
      </c>
      <c r="BR23" s="187"/>
      <c r="BS23" s="187">
        <f t="shared" si="6"/>
        <v>44958</v>
      </c>
      <c r="BT23" s="187"/>
      <c r="BU23" s="188"/>
      <c r="BV23" s="188"/>
      <c r="BW23" s="188">
        <f>IF(AND('Master Data'!$C$11=""),"",IF(AND('Master Data'!$E$21=AZ23),'Master Data'!$E$20,BW22))</f>
        <v>39800</v>
      </c>
      <c r="BX23" s="187"/>
      <c r="BY23" s="160"/>
      <c r="BZ23" s="188">
        <f t="shared" si="7"/>
        <v>2000</v>
      </c>
      <c r="CA23" s="160"/>
      <c r="CB23" s="160"/>
      <c r="CC23" s="160"/>
      <c r="CD23" s="69"/>
      <c r="CE23" s="69"/>
    </row>
    <row r="24" spans="1:83" ht="24" customHeight="1">
      <c r="A24" s="84">
        <v>19</v>
      </c>
      <c r="B24" s="85" t="str">
        <f t="shared" si="0"/>
        <v/>
      </c>
      <c r="C24" s="86" t="str">
        <f>IFERROR(IF(B24="","",IF(AND(BS30=""),"",IF(B24=$AZ$24,"",IF(AND('Master Data'!$C$14=$AR$6),VLOOKUP(B24,om,13,0),VLOOKUP(B24,om,4,0))))),"")</f>
        <v/>
      </c>
      <c r="D24" s="86" t="str">
        <f>IFERROR(IF(B24="","",IF(AND(BS30=""),"",IF(OR(B24=$AZ$24),"",IF(AND('Master Data'!$C$14=$AR$5),VLOOKUP(B24,om,7,0),"")))),"")</f>
        <v/>
      </c>
      <c r="E24" s="86" t="str">
        <f>IFERROR(IF(B24="","",IF(AND(BS30=""),"",IF(OR(B24=$AZ$24,B24=$AZ$25,B24=$AZ$26,B24=$AZ$27,B24=$AZ$28,B24=$AZ$29),"",IF(AND('Master Data'!$C$14=$AR$5),VLOOKUP(B24,om,8,0),"")))),"")</f>
        <v/>
      </c>
      <c r="F24" s="86" t="str">
        <f>IFERROR(IF(B24="","",IF(AND(C24="",D24=""),"",IF(B24=$AZ$24,"",IF(AND(B24=$AZ$25),"",IF(AND(B24=$AZ$29),"",IF(AND('Master Data'!$C$14=$AR$6),"",IF('GA55'!C24="",ROUND(('GA55'!D24)/12,0),ROUND(('GA55'!C24+'GA55'!D24)/12,0)))))))),"")</f>
        <v/>
      </c>
      <c r="G24" s="86" t="str">
        <f>IFERROR(IF(B24="","",IF(AND(BS30=""),"",IF(OR(B24=$AZ$24,B24=$AZ$25,B24=$AZ$26,B24=$AZ$27,B24=$AZ$28,B24=$AZ$29),"",IF(AND('Master Data'!$C$14=$AR$5),G23,"")))),"")</f>
        <v/>
      </c>
      <c r="H24" s="86" t="str">
        <f>IFERROR(IF(B24="","",IF(AND(BS30=""),"",IF(OR(B24=$AZ$24,B24=$AZ$25,B24=$AZ$26,B24=$AZ$27,B24=$AZ$28,B24=$AZ$29),"",IF(AND('Master Data'!$C$14=$AR$5),H23,"")))),"")</f>
        <v/>
      </c>
      <c r="I24" s="86" t="str">
        <f>IFERROR(IF(B24="","",IF(AND(BS30=""),"",IF('Master Data'!$E$12="NO","",IF(OR(B24=$AZ$24,B24=$AZ$25,B24=$AZ$26,B24=$AZ$27,B24=$AZ$28,B24=$AZ$29),"",IF(AND('Master Data'!$C$14=$AR$6),"",IF(AND('Master Data'!$E$13=$AT$9),$AU$6,IF(AND('Master Data'!$E$13=$AT$10),$AU$6,IF(AND('Master Data'!$E$13=$AT$11),$AU$6,IF(AND('Master Data'!$E$13=$AT$12),$AU$6,$AU$5))))))))),"")</f>
        <v/>
      </c>
      <c r="J24" s="86" t="str">
        <f>IFERROR(IF(B24="","",IF(AND(BS30=""),"",IF(OR(B24=$AZ$24,B24=$AZ$25,B24=$AZ$26,B24=$AZ$27,B24=$AZ$28,B24=$AZ$29),"",IF(AND('Master Data'!$C$14=$AR$5),J23)))),"")</f>
        <v/>
      </c>
      <c r="K24" s="86" t="str">
        <f>IFERROR(IF(B24="","",IF(AND(BS30=""),"",IF(OR(B24=$AZ$24,B24=$AZ$25,B24=$AZ$26,B24=$AZ$27,B24=$AZ$28,B24=$AZ$29),"",IF(AND('Master Data'!$C$14=$AR$5),K23,"")))),"")</f>
        <v/>
      </c>
      <c r="L24" s="86" t="str">
        <f>IFERROR(IF(B24="","",IF(AND(BS30=""),"",IF(OR(B24=$AZ$24,B24=$AZ$25,B24=$AZ$26,B24=$AZ$27,B24=$AZ$28,B24=$AZ$29),"",IF(AND('Master Data'!$C$14=$AR$5),L23,"")))),"")</f>
        <v/>
      </c>
      <c r="M24" s="86" t="str">
        <f>IFERROR(IF(B24="","",IF(AND('Master Data'!$C$14=$AR$6),"",IF(AND('Master Data'!$C$15&lt;&gt;0),IF(AND(B24="Bonus"),VLOOKUP(B24,om,4,0),"")))),"")</f>
        <v/>
      </c>
      <c r="N24" s="86" t="str">
        <f>IFERROR(IF(B24="","",IF(AND(BS30=""),"",IF(OR(B24=$AZ$24,B24=$AZ$25,B24=$AZ$26,B24=$AZ$27,B24=$AZ$28,B24=$AZ$29),"",IF(AND('Master Data'!$C$14=$AR$5),N23,"")))),"")</f>
        <v/>
      </c>
      <c r="O24" s="86" t="str">
        <f t="shared" si="1"/>
        <v/>
      </c>
      <c r="P24" s="86" t="str">
        <f>IFERROR(IF(B24="","",IF(AND(BS30=""),"",IF(OR(B24=$AZ$24,B24=$AZ$25,B24=$AZ$26,B24=$AZ$27,B24=$AZ$28,B24=$AZ$29),"",IF(AND('Master Data'!$C$14=$AR$5),VLOOKUP(B24,om,11,0),"")))),"")</f>
        <v/>
      </c>
      <c r="Q24" s="86" t="str">
        <f>IFERROR(IF(B24="","",IF(AND(BS30=""),"",IF(OR(B24=$AZ$25),"",IF(AND('Master Data'!$C$14=$AR$5),VLOOKUP(B24,om,12,0),"")))),"")</f>
        <v/>
      </c>
      <c r="R24" s="86" t="str">
        <f>IFERROR(IF(B24="","",IF(AND(BS30=""),"",IF(OR(B24=$AZ$24,B24=$AZ$25,B24=$AZ$26,B24=$AZ$27,B24=$AZ$28,B24=$AZ$29),"",IF(AND('Master Data'!$C$14=$AR$5),'Master Data'!$E$16,"")))),"")</f>
        <v/>
      </c>
      <c r="S24" s="86" t="str">
        <f>IFERROR(IF(B24="","",IF(AND(BS30=""),"",IF(OR(B24=$AZ$24,B24=$AZ$25,B24=$AZ$26,B24=$AZ$27,B24=$AZ$28,B24=$AZ$29),"",IF(AND('Master Data'!$C$14=$AR$5),VLOOKUP(B24,om,10,0),"")))),"")</f>
        <v/>
      </c>
      <c r="T24" s="86" t="str">
        <f>IFERROR(IF(B24="","",IF(AND(BS30=""),"",IF(OR(B24=$AZ$24,B24=$AZ$25,B24=$AZ$26,B24=$AZ$27,B24=$AZ$28,B24=$AZ$29),"",IF(AND('Master Data'!$C$14=$AR$5),T23,"")))),"")</f>
        <v/>
      </c>
      <c r="U24" s="86" t="str">
        <f>IFERROR(IF(B24="","",IF(AND(BS30=""),"",IF(OR(B24=$AZ$24,B24=$AZ$25,B24=$AZ$26,B24=$AZ$27,B24=$AZ$28,B24=$AZ$29),"",IF(AND('Master Data'!$C$14=$AR$5),U23,"")))),"")</f>
        <v/>
      </c>
      <c r="V24" s="86" t="str">
        <f>IFERROR(IF(B24="","",IF(AND(BS30=""),"",IF(OR(B24=$AZ$24,B24=$AZ$25,B24=$AZ$26,B24=$AZ$27,B24=$AZ$28,B24=$AZ$29),"",IF(AND('Master Data'!$C$14=$AR$5),V23,"")))),"")</f>
        <v/>
      </c>
      <c r="W24" s="86" t="str">
        <f>IFERROR(IF(B24="","",IF(AND(BS30=""),"",IF(OR(B24=$AZ$24,B24=$AZ$25,B24=$AZ$26,B24=$AZ$27,B24=$AZ$28,B24=$AZ$29),"",IF(AND('Master Data'!$C$14=$AR$5),W23,"")))),"")</f>
        <v/>
      </c>
      <c r="X24" s="86" t="str">
        <f>IFERROR(IF(OR('Master Data'!$C$14=$AR$6,B24=""),"",IF(AND(C24=""),"",IF(AND(B24=$AV$17,'Master Data'!$C$5="Gazetted"),500,IF(AND(B24=$AV$17,'Master Data'!$C$5="Non-Gazetted"),250,"")))),"")</f>
        <v/>
      </c>
      <c r="Y24" s="86" t="str">
        <f>IFERROR(IF(B24="","",IF(AND(BS30=""),"",IF(OR(B24=$AZ$24,B24=$AZ$25,B24=$AZ$26,B24=$AZ$27,B24=$AZ$28,B24=$AZ$29),"",IF(AND('Master Data'!$C$14=$AR$5),Y23,"")))),"")</f>
        <v/>
      </c>
      <c r="Z24" s="86" t="str">
        <f>IFERROR(IF(B24="","",IF(AND(BS30=""),"",IF(OR(B24=$AZ$24,B24=$AZ$25,B24=$AZ$26,B24=$AZ$27,B24=$AZ$28,B24=$AZ$29),"",IF(AND('Master Data'!$C$14=$AR$5),VLOOKUP(B24,om,9,0),"")))),"")</f>
        <v/>
      </c>
      <c r="AA24" s="86" t="str">
        <f>IFERROR(IF(OR('Master Data'!$C$14=$AR$6,B24="",'Master Data'!$C$11=""),"",IF(AND(C24=""),"",IF(B24=$AV$8,'Master Data'!$C$16,""))),"")</f>
        <v/>
      </c>
      <c r="AB24" s="86" t="str">
        <f t="shared" si="2"/>
        <v/>
      </c>
      <c r="AC24" s="86" t="str">
        <f t="shared" si="3"/>
        <v/>
      </c>
      <c r="AD24" s="86"/>
      <c r="AE24" s="87"/>
      <c r="AO24" s="160"/>
      <c r="AP24" s="160"/>
      <c r="AQ24" s="160"/>
      <c r="AR24" s="160"/>
      <c r="AS24" s="160"/>
      <c r="AT24" s="160"/>
      <c r="AU24" s="160"/>
      <c r="AV24" s="160"/>
      <c r="AW24" s="160" t="s">
        <v>161</v>
      </c>
      <c r="AX24" s="160"/>
      <c r="AY24" s="178"/>
      <c r="AZ24" s="190" t="str">
        <f>BO24</f>
        <v>Bonus</v>
      </c>
      <c r="BA24" s="177"/>
      <c r="BB24" s="177"/>
      <c r="BC24" s="191">
        <f>'Master Data'!C15</f>
        <v>6774</v>
      </c>
      <c r="BD24" s="177"/>
      <c r="BE24" s="177"/>
      <c r="BF24" s="177" t="str">
        <f>IF(BE24="","",BE24)</f>
        <v/>
      </c>
      <c r="BG24" s="177"/>
      <c r="BH24" s="177"/>
      <c r="BI24" s="177"/>
      <c r="BJ24" s="177"/>
      <c r="BK24" s="180">
        <f>IF(AND('Master Data'!C14=$AR$6),"",ROUND(BC24*25%,0))</f>
        <v>1694</v>
      </c>
      <c r="BL24" s="177"/>
      <c r="BM24" s="186">
        <v>44986</v>
      </c>
      <c r="BN24" s="186">
        <f>IFERROR(IF('Master Data'!$C$11="","",IF('Master Data'!$C$20="","",IF(AND($BB$17&gt;$BB$9),"",DATE(YEAR(BN23),MONTH(BN23)+1,DAY(BN23))))),"")</f>
        <v>44986</v>
      </c>
      <c r="BO24" s="160" t="s">
        <v>252</v>
      </c>
      <c r="BP24" s="187" t="str">
        <f t="shared" si="4"/>
        <v/>
      </c>
      <c r="BQ24" s="187" t="str">
        <f t="shared" si="5"/>
        <v>Bonus</v>
      </c>
      <c r="BR24" s="187"/>
      <c r="BS24" s="187" t="str">
        <f t="shared" si="6"/>
        <v>Bonus</v>
      </c>
      <c r="BT24" s="187"/>
      <c r="BU24" s="188"/>
      <c r="BV24" s="188"/>
      <c r="BW24" s="188"/>
      <c r="BX24" s="187"/>
      <c r="BY24" s="160"/>
      <c r="BZ24" s="188" t="str">
        <f t="shared" si="7"/>
        <v/>
      </c>
      <c r="CA24" s="160"/>
      <c r="CB24" s="160"/>
      <c r="CC24" s="160"/>
      <c r="CD24" s="69"/>
      <c r="CE24" s="69"/>
    </row>
    <row r="25" spans="1:83" ht="24" customHeight="1">
      <c r="A25" s="84">
        <v>20</v>
      </c>
      <c r="B25" s="85" t="str">
        <f t="shared" si="0"/>
        <v/>
      </c>
      <c r="C25" s="86" t="str">
        <f>IFERROR(IF(B25="","",IF(AND(BS31=""),"",IF(B25=$AZ$24,"",IF(AND('Master Data'!$C$14=$AR$6),VLOOKUP(B25,om,13,0),VLOOKUP(B25,om,4,0))))),"")</f>
        <v/>
      </c>
      <c r="D25" s="86" t="str">
        <f>IFERROR(IF(B25="","",IF(AND(BS31=""),"",IF(OR(B25=$AZ$24),"",IF(AND('Master Data'!$C$14=$AR$5),VLOOKUP(B25,om,7,0),"")))),"")</f>
        <v/>
      </c>
      <c r="E25" s="86" t="str">
        <f>IFERROR(IF(B25="","",IF(AND(BS31=""),"",IF(OR(B25=$AZ$24,B25=$AZ$25,B25=$AZ$26,B25=$AZ$27,B25=$AZ$28,B25=$AZ$29),"",IF(AND('Master Data'!$C$14=$AR$5),VLOOKUP(B25,om,8,0),"")))),"")</f>
        <v/>
      </c>
      <c r="F25" s="86" t="str">
        <f>IFERROR(IF(B25="","",IF(AND(C25="",D25=""),"",IF(B25=$AZ$24,"",IF(AND(B25=$AZ$25),"",IF(AND(B25=$AZ$29),"",IF(AND('Master Data'!$C$14=$AR$6),"",IF('GA55'!C25="",ROUND(('GA55'!D25)/12,0),ROUND(('GA55'!C25+'GA55'!D25)/12,0)))))))),"")</f>
        <v/>
      </c>
      <c r="G25" s="86" t="str">
        <f>IFERROR(IF(B25="","",IF(AND(BS31=""),"",IF(OR(B25=$AZ$24,B25=$AZ$25,B25=$AZ$26,B25=$AZ$27,B25=$AZ$28,B25=$AZ$29),"",IF(AND('Master Data'!$C$14=$AR$5),G24,"")))),"")</f>
        <v/>
      </c>
      <c r="H25" s="86" t="str">
        <f>IFERROR(IF(B25="","",IF(AND(BS31=""),"",IF(OR(B25=$AZ$24,B25=$AZ$25,B25=$AZ$26,B25=$AZ$27,B25=$AZ$28,B25=$AZ$29),"",IF(AND('Master Data'!$C$14=$AR$5),H24,"")))),"")</f>
        <v/>
      </c>
      <c r="I25" s="86" t="str">
        <f>IFERROR(IF(B25="","",IF(AND(BS31=""),"",IF('Master Data'!$E$12="NO","",IF(OR(B25=$AZ$24,B25=$AZ$25,B25=$AZ$26,B25=$AZ$27,B25=$AZ$28,B25=$AZ$29),"",IF(AND('Master Data'!$C$14=$AR$6),"",IF(AND('Master Data'!$E$13=$AT$9),$AU$6,IF(AND('Master Data'!$E$13=$AT$10),$AU$6,IF(AND('Master Data'!$E$13=$AT$11),$AU$6,IF(AND('Master Data'!$E$13=$AT$12),$AU$6,$AU$5))))))))),"")</f>
        <v/>
      </c>
      <c r="J25" s="86" t="str">
        <f>IFERROR(IF(B25="","",IF(AND(BS31=""),"",IF(OR(B25=$AZ$24,B25=$AZ$25,B25=$AZ$26,B25=$AZ$27,B25=$AZ$28,B25=$AZ$29),"",IF(AND('Master Data'!$C$14=$AR$5),J24)))),"")</f>
        <v/>
      </c>
      <c r="K25" s="86" t="str">
        <f>IFERROR(IF(B25="","",IF(AND(BS31=""),"",IF(OR(B25=$AZ$24,B25=$AZ$25,B25=$AZ$26,B25=$AZ$27,B25=$AZ$28,B25=$AZ$29),"",IF(AND('Master Data'!$C$14=$AR$5),K24,"")))),"")</f>
        <v/>
      </c>
      <c r="L25" s="86" t="str">
        <f>IFERROR(IF(B25="","",IF(AND(BS31=""),"",IF(OR(B25=$AZ$24,B25=$AZ$25,B25=$AZ$26,B25=$AZ$27,B25=$AZ$28,B25=$AZ$29),"",IF(AND('Master Data'!$C$14=$AR$5),L24,"")))),"")</f>
        <v/>
      </c>
      <c r="M25" s="86" t="str">
        <f>IFERROR(IF(B25="","",IF(AND('Master Data'!$C$14=$AR$6),"",IF(AND('Master Data'!$C$15&lt;&gt;0),IF(AND(B25="Bonus"),VLOOKUP(B25,om,4,0),"")))),"")</f>
        <v/>
      </c>
      <c r="N25" s="86" t="str">
        <f>IFERROR(IF(B25="","",IF(AND(BS31=""),"",IF(OR(B25=$AZ$24,B25=$AZ$25,B25=$AZ$26,B25=$AZ$27,B25=$AZ$28,B25=$AZ$29),"",IF(AND('Master Data'!$C$14=$AR$5),N24,"")))),"")</f>
        <v/>
      </c>
      <c r="O25" s="86" t="str">
        <f t="shared" si="1"/>
        <v/>
      </c>
      <c r="P25" s="86" t="str">
        <f>IFERROR(IF(B25="","",IF(AND(BS31=""),"",IF(OR(B25=$AZ$24,B25=$AZ$25,B25=$AZ$26,B25=$AZ$27,B25=$AZ$28,B25=$AZ$29),"",IF(AND('Master Data'!$C$14=$AR$5),VLOOKUP(B25,om,11,0),"")))),"")</f>
        <v/>
      </c>
      <c r="Q25" s="86" t="str">
        <f>IFERROR(IF(B25="","",IF(AND(BS31=""),"",IF(OR(B25=$AZ$25),"",IF(AND('Master Data'!$C$14=$AR$5),VLOOKUP(B25,om,12,0),"")))),"")</f>
        <v/>
      </c>
      <c r="R25" s="86" t="str">
        <f>IFERROR(IF(B25="","",IF(AND(BS31=""),"",IF(OR(B25=$AZ$24,B25=$AZ$25,B25=$AZ$26,B25=$AZ$27,B25=$AZ$28,B25=$AZ$29),"",IF(AND('Master Data'!$C$14=$AR$5),'Master Data'!$E$16,"")))),"")</f>
        <v/>
      </c>
      <c r="S25" s="86" t="str">
        <f>IFERROR(IF(B25="","",IF(AND(BS31=""),"",IF(OR(B25=$AZ$24,B25=$AZ$25,B25=$AZ$26,B25=$AZ$27,B25=$AZ$28,B25=$AZ$29),"",IF(AND('Master Data'!$C$14=$AR$5),VLOOKUP(B25,om,10,0),"")))),"")</f>
        <v/>
      </c>
      <c r="T25" s="86" t="str">
        <f>IFERROR(IF(B25="","",IF(AND(BS31=""),"",IF(OR(B25=$AZ$24,B25=$AZ$25,B25=$AZ$26,B25=$AZ$27,B25=$AZ$28,B25=$AZ$29),"",IF(AND('Master Data'!$C$14=$AR$5),T24,"")))),"")</f>
        <v/>
      </c>
      <c r="U25" s="86" t="str">
        <f>IFERROR(IF(B25="","",IF(AND(BS31=""),"",IF(OR(B25=$AZ$24,B25=$AZ$25,B25=$AZ$26,B25=$AZ$27,B25=$AZ$28,B25=$AZ$29),"",IF(AND('Master Data'!$C$14=$AR$5),U24,"")))),"")</f>
        <v/>
      </c>
      <c r="V25" s="86" t="str">
        <f>IFERROR(IF(B25="","",IF(AND(BS31=""),"",IF(OR(B25=$AZ$24,B25=$AZ$25,B25=$AZ$26,B25=$AZ$27,B25=$AZ$28,B25=$AZ$29),"",IF(AND('Master Data'!$C$14=$AR$5),V24,"")))),"")</f>
        <v/>
      </c>
      <c r="W25" s="86" t="str">
        <f>IFERROR(IF(B25="","",IF(AND(BS31=""),"",IF(OR(B25=$AZ$24,B25=$AZ$25,B25=$AZ$26,B25=$AZ$27,B25=$AZ$28,B25=$AZ$29),"",IF(AND('Master Data'!$C$14=$AR$5),W24,"")))),"")</f>
        <v/>
      </c>
      <c r="X25" s="86" t="str">
        <f>IFERROR(IF(OR('Master Data'!$C$14=$AR$6,B25=""),"",IF(AND(C25=""),"",IF(AND(B25=$AV$17,'Master Data'!$C$5="Gazetted"),500,IF(AND(B25=$AV$17,'Master Data'!$C$5="Non-Gazetted"),250,"")))),"")</f>
        <v/>
      </c>
      <c r="Y25" s="86" t="str">
        <f>IFERROR(IF(B25="","",IF(AND(BS31=""),"",IF(OR(B25=$AZ$24,B25=$AZ$25,B25=$AZ$26,B25=$AZ$27,B25=$AZ$28,B25=$AZ$29),"",IF(AND('Master Data'!$C$14=$AR$5),Y24,"")))),"")</f>
        <v/>
      </c>
      <c r="Z25" s="86" t="str">
        <f>IFERROR(IF(B25="","",IF(AND(BS31=""),"",IF(OR(B25=$AZ$24,B25=$AZ$25,B25=$AZ$26,B25=$AZ$27,B25=$AZ$28,B25=$AZ$29),"",IF(AND('Master Data'!$C$14=$AR$5),VLOOKUP(B25,om,9,0),"")))),"")</f>
        <v/>
      </c>
      <c r="AA25" s="86" t="str">
        <f>IFERROR(IF(OR('Master Data'!$C$14=$AR$6,B25="",'Master Data'!$C$11=""),"",IF(AND(C25=""),"",IF(B25=$AV$8,'Master Data'!$C$16,""))),"")</f>
        <v/>
      </c>
      <c r="AB25" s="86" t="str">
        <f t="shared" si="2"/>
        <v/>
      </c>
      <c r="AC25" s="86" t="str">
        <f t="shared" si="3"/>
        <v/>
      </c>
      <c r="AD25" s="86"/>
      <c r="AE25" s="87"/>
      <c r="AO25" s="160"/>
      <c r="AP25" s="160"/>
      <c r="AQ25" s="160"/>
      <c r="AR25" s="187"/>
      <c r="AS25" s="160"/>
      <c r="AT25" s="160"/>
      <c r="AU25" s="160"/>
      <c r="AV25" s="160"/>
      <c r="AW25" s="160" t="s">
        <v>162</v>
      </c>
      <c r="AX25" s="160"/>
      <c r="AY25" s="178"/>
      <c r="AZ25" s="190" t="str">
        <f t="shared" ref="AZ25:AZ28" si="12">BO25</f>
        <v>PL Surrender</v>
      </c>
      <c r="BA25" s="177"/>
      <c r="BB25" s="177"/>
      <c r="BC25" s="177" t="str">
        <f>IF('GA55'!C13='GA55'!AR6,"",IF(OR('Master Data'!C12="NO",'Master Data'!C13=""),"",VLOOKUP('Master Data'!C13,AY12:BF29,5,0)/2))</f>
        <v/>
      </c>
      <c r="BD25" s="177"/>
      <c r="BE25" s="177" t="str">
        <f>IF('Master Data'!$C$14=$AR$6,"",IF(AND(BC25=""),"",IF(OR('Master Data'!C13=AY12),ROUND(31%*BC25,0),IF(OR('Master Data'!C13=AY13,'Master Data'!C13=AY14,'Master Data'!C13=AY15,'Master Data'!C13=AY16,'Master Data'!C13=AY17,'Master Data'!C13=AY18),ROUND(34%*BC25,0),ROUND(38%*BC25,0)))))</f>
        <v/>
      </c>
      <c r="BF25" s="177" t="str">
        <f>IF(BE25="","",BE25)</f>
        <v/>
      </c>
      <c r="BG25" s="177"/>
      <c r="BH25" s="177"/>
      <c r="BI25" s="177"/>
      <c r="BJ25" s="177"/>
      <c r="BK25" s="180"/>
      <c r="BL25" s="177"/>
      <c r="BM25" s="186">
        <v>45017</v>
      </c>
      <c r="BN25" s="186">
        <f>IFERROR(IF('Master Data'!$C$11="","",IF('Master Data'!$C$20="","",IF(AND($BB$17&gt;$BB$9),"",DATE(YEAR(BN24),MONTH(BN24)+1,DAY(BN24))))),"")</f>
        <v>45017</v>
      </c>
      <c r="BO25" s="160" t="s">
        <v>280</v>
      </c>
      <c r="BP25" s="187" t="str">
        <f t="shared" si="4"/>
        <v/>
      </c>
      <c r="BQ25" s="187" t="str">
        <f t="shared" si="5"/>
        <v>PL Surrender</v>
      </c>
      <c r="BR25" s="187"/>
      <c r="BS25" s="187" t="str">
        <f t="shared" si="6"/>
        <v>PL Surrender</v>
      </c>
      <c r="BT25" s="160"/>
      <c r="BU25" s="188"/>
      <c r="BV25" s="188"/>
      <c r="BW25" s="188"/>
      <c r="BX25" s="187"/>
      <c r="BY25" s="160"/>
      <c r="BZ25" s="188" t="str">
        <f t="shared" si="7"/>
        <v/>
      </c>
      <c r="CA25" s="160"/>
      <c r="CB25" s="160"/>
      <c r="CC25" s="160"/>
      <c r="CD25" s="69"/>
      <c r="CE25" s="69"/>
    </row>
    <row r="26" spans="1:83" ht="24" customHeight="1">
      <c r="A26" s="84">
        <v>21</v>
      </c>
      <c r="B26" s="85" t="str">
        <f t="shared" si="0"/>
        <v/>
      </c>
      <c r="C26" s="86" t="str">
        <f>IFERROR(IF(B26="","",IF(AND(BS32=""),"",IF(B26=$AZ$24,"",IF(AND('Master Data'!$C$14=$AR$6),VLOOKUP(B26,om,13,0),VLOOKUP(B26,om,4,0))))),"")</f>
        <v/>
      </c>
      <c r="D26" s="86" t="str">
        <f>IFERROR(IF(B26="","",IF(AND(BS32=""),"",IF(OR(B26=$AZ$24),"",IF(AND('Master Data'!$C$14=$AR$5),VLOOKUP(B26,om,7,0),"")))),"")</f>
        <v/>
      </c>
      <c r="E26" s="86" t="str">
        <f>IFERROR(IF(B26="","",IF(AND(BS32=""),"",IF(OR(B26=$AZ$24,B26=$AZ$25,B26=$AZ$26,B26=$AZ$27,B26=$AZ$28,B26=$AZ$29),"",IF(AND('Master Data'!$C$14=$AR$5),VLOOKUP(B26,om,8,0),"")))),"")</f>
        <v/>
      </c>
      <c r="F26" s="86" t="str">
        <f>IFERROR(IF(B26="","",IF(AND(C26="",D26=""),"",IF(B26=$AZ$24,"",IF(AND(B26=$AZ$25),"",IF(AND(B26=$AZ$29),"",IF(AND('Master Data'!$C$14=$AR$6),"",IF('GA55'!C26="",ROUND(('GA55'!D26)/12,0),ROUND(('GA55'!C26+'GA55'!D26)/12,0)))))))),"")</f>
        <v/>
      </c>
      <c r="G26" s="86" t="str">
        <f>IFERROR(IF(B26="","",IF(AND(BS32=""),"",IF(OR(B26=$AZ$24,B26=$AZ$25,B26=$AZ$26,B26=$AZ$27,B26=$AZ$28,B26=$AZ$29),"",IF(AND('Master Data'!$C$14=$AR$5),G25,"")))),"")</f>
        <v/>
      </c>
      <c r="H26" s="86" t="str">
        <f>IFERROR(IF(B26="","",IF(AND(BS32=""),"",IF(OR(B26=$AZ$24,B26=$AZ$25,B26=$AZ$26,B26=$AZ$27,B26=$AZ$28,B26=$AZ$29),"",IF(AND('Master Data'!$C$14=$AR$5),H25,"")))),"")</f>
        <v/>
      </c>
      <c r="I26" s="86" t="str">
        <f>IFERROR(IF(B26="","",IF(AND(BS32=""),"",IF('Master Data'!$E$12="NO","",IF(OR(B26=$AZ$24,B26=$AZ$25,B26=$AZ$26,B26=$AZ$27,B26=$AZ$28,B26=$AZ$29),"",IF(AND('Master Data'!$C$14=$AR$6),"",IF(AND('Master Data'!$E$13=$AT$9),$AU$6,IF(AND('Master Data'!$E$13=$AT$10),$AU$6,IF(AND('Master Data'!$E$13=$AT$11),$AU$6,IF(AND('Master Data'!$E$13=$AT$12),$AU$6,$AU$5))))))))),"")</f>
        <v/>
      </c>
      <c r="J26" s="86" t="str">
        <f>IFERROR(IF(B26="","",IF(AND(BS32=""),"",IF(OR(B26=$AZ$24,B26=$AZ$25,B26=$AZ$26,B26=$AZ$27,B26=$AZ$28,B26=$AZ$29),"",IF(AND('Master Data'!$C$14=$AR$5),J25)))),"")</f>
        <v/>
      </c>
      <c r="K26" s="86" t="str">
        <f>IFERROR(IF(B26="","",IF(AND(BS32=""),"",IF(OR(B26=$AZ$24,B26=$AZ$25,B26=$AZ$26,B26=$AZ$27,B26=$AZ$28,B26=$AZ$29),"",IF(AND('Master Data'!$C$14=$AR$5),K25,"")))),"")</f>
        <v/>
      </c>
      <c r="L26" s="86" t="str">
        <f>IFERROR(IF(B26="","",IF(AND(BS32=""),"",IF(OR(B26=$AZ$24,B26=$AZ$25,B26=$AZ$26,B26=$AZ$27,B26=$AZ$28,B26=$AZ$29),"",IF(AND('Master Data'!$C$14=$AR$5),L25,"")))),"")</f>
        <v/>
      </c>
      <c r="M26" s="86" t="str">
        <f>IFERROR(IF(B26="","",IF(AND('Master Data'!$C$14=$AR$6),"",IF(AND('Master Data'!$C$15&lt;&gt;0),IF(AND(B26="Bonus"),VLOOKUP(B26,om,4,0),"")))),"")</f>
        <v/>
      </c>
      <c r="N26" s="86" t="str">
        <f>IFERROR(IF(B26="","",IF(AND(BS32=""),"",IF(OR(B26=$AZ$24,B26=$AZ$25,B26=$AZ$26,B26=$AZ$27,B26=$AZ$28,B26=$AZ$29),"",IF(AND('Master Data'!$C$14=$AR$5),N25,"")))),"")</f>
        <v/>
      </c>
      <c r="O26" s="86" t="str">
        <f t="shared" si="1"/>
        <v/>
      </c>
      <c r="P26" s="86" t="str">
        <f>IFERROR(IF(B26="","",IF(AND(BS32=""),"",IF(OR(B26=$AZ$24,B26=$AZ$25,B26=$AZ$26,B26=$AZ$27,B26=$AZ$28,B26=$AZ$29),"",IF(AND('Master Data'!$C$14=$AR$5),VLOOKUP(B26,om,11,0),"")))),"")</f>
        <v/>
      </c>
      <c r="Q26" s="86" t="str">
        <f>IFERROR(IF(B26="","",IF(AND(BS32=""),"",IF(OR(B26=$AZ$25),"",IF(AND('Master Data'!$C$14=$AR$5),VLOOKUP(B26,om,12,0),"")))),"")</f>
        <v/>
      </c>
      <c r="R26" s="86" t="str">
        <f>IFERROR(IF(B26="","",IF(AND(BS32=""),"",IF(OR(B26=$AZ$24,B26=$AZ$25,B26=$AZ$26,B26=$AZ$27,B26=$AZ$28,B26=$AZ$29),"",IF(AND('Master Data'!$C$14=$AR$5),'Master Data'!$E$16,"")))),"")</f>
        <v/>
      </c>
      <c r="S26" s="86" t="str">
        <f>IFERROR(IF(B26="","",IF(AND(BS32=""),"",IF(OR(B26=$AZ$24,B26=$AZ$25,B26=$AZ$26,B26=$AZ$27,B26=$AZ$28,B26=$AZ$29),"",IF(AND('Master Data'!$C$14=$AR$5),VLOOKUP(B26,om,10,0),"")))),"")</f>
        <v/>
      </c>
      <c r="T26" s="86" t="str">
        <f>IFERROR(IF(B26="","",IF(AND(BS32=""),"",IF(OR(B26=$AZ$24,B26=$AZ$25,B26=$AZ$26,B26=$AZ$27,B26=$AZ$28,B26=$AZ$29),"",IF(AND('Master Data'!$C$14=$AR$5),T25,"")))),"")</f>
        <v/>
      </c>
      <c r="U26" s="86" t="str">
        <f>IFERROR(IF(B26="","",IF(AND(BS32=""),"",IF(OR(B26=$AZ$24,B26=$AZ$25,B26=$AZ$26,B26=$AZ$27,B26=$AZ$28,B26=$AZ$29),"",IF(AND('Master Data'!$C$14=$AR$5),U25,"")))),"")</f>
        <v/>
      </c>
      <c r="V26" s="86" t="str">
        <f>IFERROR(IF(B26="","",IF(AND(BS32=""),"",IF(OR(B26=$AZ$24,B26=$AZ$25,B26=$AZ$26,B26=$AZ$27,B26=$AZ$28,B26=$AZ$29),"",IF(AND('Master Data'!$C$14=$AR$5),V25,"")))),"")</f>
        <v/>
      </c>
      <c r="W26" s="86" t="str">
        <f>IFERROR(IF(B26="","",IF(AND(BS32=""),"",IF(OR(B26=$AZ$24,B26=$AZ$25,B26=$AZ$26,B26=$AZ$27,B26=$AZ$28,B26=$AZ$29),"",IF(AND('Master Data'!$C$14=$AR$5),W25,"")))),"")</f>
        <v/>
      </c>
      <c r="X26" s="86" t="str">
        <f>IFERROR(IF(OR('Master Data'!$C$14=$AR$6,B26=""),"",IF(AND(C26=""),"",IF(AND(B26=$AV$17,'Master Data'!$C$5="Gazetted"),500,IF(AND(B26=$AV$17,'Master Data'!$C$5="Non-Gazetted"),250,"")))),"")</f>
        <v/>
      </c>
      <c r="Y26" s="86" t="str">
        <f>IFERROR(IF(B26="","",IF(AND(BS32=""),"",IF(OR(B26=$AZ$24,B26=$AZ$25,B26=$AZ$26,B26=$AZ$27,B26=$AZ$28,B26=$AZ$29),"",IF(AND('Master Data'!$C$14=$AR$5),Y25,"")))),"")</f>
        <v/>
      </c>
      <c r="Z26" s="86" t="str">
        <f>IFERROR(IF(B26="","",IF(AND(BS32=""),"",IF(OR(B26=$AZ$24,B26=$AZ$25,B26=$AZ$26,B26=$AZ$27,B26=$AZ$28,B26=$AZ$29),"",IF(AND('Master Data'!$C$14=$AR$5),VLOOKUP(B26,om,9,0),"")))),"")</f>
        <v/>
      </c>
      <c r="AA26" s="86" t="str">
        <f>IFERROR(IF(OR('Master Data'!$C$14=$AR$6,B26="",'Master Data'!$C$11=""),"",IF(AND(C26=""),"",IF(B26=$AV$8,'Master Data'!$C$16,""))),"")</f>
        <v/>
      </c>
      <c r="AB26" s="86" t="str">
        <f t="shared" si="2"/>
        <v/>
      </c>
      <c r="AC26" s="86" t="str">
        <f t="shared" si="3"/>
        <v/>
      </c>
      <c r="AD26" s="86"/>
      <c r="AE26" s="87"/>
      <c r="AO26" s="160"/>
      <c r="AP26" s="160"/>
      <c r="AQ26" s="160"/>
      <c r="AR26" s="187"/>
      <c r="AS26" s="160"/>
      <c r="AT26" s="160"/>
      <c r="AU26" s="160"/>
      <c r="AV26" s="160"/>
      <c r="AW26" s="160" t="s">
        <v>163</v>
      </c>
      <c r="AX26" s="160"/>
      <c r="AY26" s="178"/>
      <c r="AZ26" s="190" t="str">
        <f t="shared" si="12"/>
        <v>DA Arrear 31% to 34%</v>
      </c>
      <c r="BA26" s="177"/>
      <c r="BB26" s="177"/>
      <c r="BC26" s="177"/>
      <c r="BD26" s="177"/>
      <c r="BE26" s="177">
        <f>(ROUND((BC12*34%),0)-ROUND((BC12*31%),0))*3</f>
        <v>3474</v>
      </c>
      <c r="BF26" s="177">
        <f>IF(BE26="","",BE26)</f>
        <v>3474</v>
      </c>
      <c r="BG26" s="177"/>
      <c r="BH26" s="177"/>
      <c r="BI26" s="177"/>
      <c r="BJ26" s="177"/>
      <c r="BK26" s="180">
        <f>BF26</f>
        <v>3474</v>
      </c>
      <c r="BL26" s="177"/>
      <c r="BM26" s="186">
        <v>45047</v>
      </c>
      <c r="BN26" s="186">
        <f>IFERROR(IF('Master Data'!$C$11="","",IF('Master Data'!$C$20="","",IF(AND($BB$17&gt;$BB$9),"",DATE(YEAR(BN25),MONTH(BN25)+1,DAY(BN25))))),"")</f>
        <v>45047</v>
      </c>
      <c r="BO26" s="160" t="s">
        <v>288</v>
      </c>
      <c r="BP26" s="187" t="str">
        <f t="shared" si="4"/>
        <v/>
      </c>
      <c r="BQ26" s="187" t="str">
        <f t="shared" si="5"/>
        <v>DA Arrear 31% to 34%</v>
      </c>
      <c r="BR26" s="187"/>
      <c r="BS26" s="187" t="str">
        <f t="shared" si="6"/>
        <v>DA Arrear 31% to 34%</v>
      </c>
      <c r="BT26" s="160"/>
      <c r="BU26" s="188"/>
      <c r="BV26" s="187"/>
      <c r="BW26" s="188"/>
      <c r="BX26" s="187"/>
      <c r="BY26" s="160"/>
      <c r="BZ26" s="188" t="str">
        <f t="shared" si="7"/>
        <v/>
      </c>
      <c r="CA26" s="160"/>
      <c r="CB26" s="160"/>
      <c r="CC26" s="160"/>
      <c r="CD26" s="69"/>
      <c r="CE26" s="69"/>
    </row>
    <row r="27" spans="1:83" ht="32.25" customHeight="1">
      <c r="A27" s="89"/>
      <c r="B27" s="90" t="s">
        <v>281</v>
      </c>
      <c r="C27" s="111">
        <f>IF(AND($D$2="",$O$2="",$W$2="",$C$3=""),"",SUM(C6:C26))</f>
        <v>472800</v>
      </c>
      <c r="D27" s="111">
        <f t="shared" ref="D27:AC27" si="13">IF(AND($D$2="",$O$2="",$W$2="",$C$3=""),"",SUM(D6:D26))</f>
        <v>175804</v>
      </c>
      <c r="E27" s="111">
        <f t="shared" si="13"/>
        <v>85104</v>
      </c>
      <c r="F27" s="111">
        <f t="shared" si="13"/>
        <v>54049</v>
      </c>
      <c r="G27" s="111">
        <f t="shared" si="13"/>
        <v>0</v>
      </c>
      <c r="H27" s="111">
        <f t="shared" si="13"/>
        <v>0</v>
      </c>
      <c r="I27" s="111">
        <f t="shared" si="13"/>
        <v>0</v>
      </c>
      <c r="J27" s="111">
        <f t="shared" si="13"/>
        <v>26200</v>
      </c>
      <c r="K27" s="111">
        <f t="shared" si="13"/>
        <v>480</v>
      </c>
      <c r="L27" s="111">
        <f t="shared" si="13"/>
        <v>0</v>
      </c>
      <c r="M27" s="111">
        <f t="shared" si="13"/>
        <v>6774</v>
      </c>
      <c r="N27" s="111">
        <f t="shared" si="13"/>
        <v>0</v>
      </c>
      <c r="O27" s="111">
        <f t="shared" si="13"/>
        <v>821211</v>
      </c>
      <c r="P27" s="111">
        <f t="shared" si="13"/>
        <v>60000</v>
      </c>
      <c r="Q27" s="111">
        <f t="shared" si="13"/>
        <v>69944</v>
      </c>
      <c r="R27" s="111">
        <f t="shared" si="13"/>
        <v>6000</v>
      </c>
      <c r="S27" s="111">
        <f t="shared" si="13"/>
        <v>7896</v>
      </c>
      <c r="T27" s="111">
        <f t="shared" si="13"/>
        <v>0</v>
      </c>
      <c r="U27" s="111">
        <f t="shared" si="13"/>
        <v>0</v>
      </c>
      <c r="V27" s="111">
        <f t="shared" si="13"/>
        <v>0</v>
      </c>
      <c r="W27" s="111">
        <f t="shared" si="13"/>
        <v>2400</v>
      </c>
      <c r="X27" s="111">
        <f t="shared" si="13"/>
        <v>250</v>
      </c>
      <c r="Y27" s="111">
        <f t="shared" si="13"/>
        <v>0</v>
      </c>
      <c r="Z27" s="111">
        <f t="shared" si="13"/>
        <v>24000</v>
      </c>
      <c r="AA27" s="111">
        <f t="shared" si="13"/>
        <v>220</v>
      </c>
      <c r="AB27" s="111">
        <f t="shared" si="13"/>
        <v>170710</v>
      </c>
      <c r="AC27" s="111">
        <f t="shared" si="13"/>
        <v>650501</v>
      </c>
      <c r="AD27" s="91"/>
      <c r="AE27" s="92"/>
      <c r="AO27" s="160"/>
      <c r="AP27" s="160"/>
      <c r="AQ27" s="160"/>
      <c r="AR27" s="160"/>
      <c r="AS27" s="160"/>
      <c r="AT27" s="160"/>
      <c r="AU27" s="160"/>
      <c r="AV27" s="160"/>
      <c r="AW27" s="160" t="s">
        <v>164</v>
      </c>
      <c r="AX27" s="160"/>
      <c r="AY27" s="178"/>
      <c r="AZ27" s="190" t="str">
        <f t="shared" si="12"/>
        <v>DA Arrear 34% to 38%</v>
      </c>
      <c r="BA27" s="177"/>
      <c r="BB27" s="177"/>
      <c r="BC27" s="177"/>
      <c r="BD27" s="177"/>
      <c r="BE27" s="177">
        <f>(ROUND((BC16*38%),0)-ROUND((BC16*34%),0))*3</f>
        <v>4776</v>
      </c>
      <c r="BF27" s="177">
        <f>IF(BE27="","",BE27)</f>
        <v>4776</v>
      </c>
      <c r="BG27" s="177"/>
      <c r="BH27" s="177"/>
      <c r="BI27" s="177"/>
      <c r="BJ27" s="177"/>
      <c r="BK27" s="180">
        <f>BF27</f>
        <v>4776</v>
      </c>
      <c r="BL27" s="177"/>
      <c r="BM27" s="186">
        <v>45078</v>
      </c>
      <c r="BN27" s="186">
        <f>IFERROR(IF('Master Data'!$C$11="","",IF('Master Data'!$C$20="","",IF(AND($BB$17&gt;$BB$9),"",DATE(YEAR(BN26),MONTH(BN26)+1,DAY(BN26))))),"")</f>
        <v>45078</v>
      </c>
      <c r="BO27" s="160" t="s">
        <v>289</v>
      </c>
      <c r="BP27" s="187" t="str">
        <f t="shared" si="4"/>
        <v/>
      </c>
      <c r="BQ27" s="187" t="str">
        <f t="shared" si="5"/>
        <v>DA Arrear 34% to 38%</v>
      </c>
      <c r="BR27" s="187"/>
      <c r="BS27" s="187" t="str">
        <f t="shared" si="6"/>
        <v>DA Arrear 34% to 38%</v>
      </c>
      <c r="BT27" s="160"/>
      <c r="BU27" s="188"/>
      <c r="BV27" s="160"/>
      <c r="BW27" s="188"/>
      <c r="BX27" s="187"/>
      <c r="BY27" s="160"/>
      <c r="BZ27" s="188" t="str">
        <f t="shared" si="7"/>
        <v/>
      </c>
      <c r="CA27" s="160"/>
      <c r="CB27" s="160"/>
      <c r="CC27" s="160"/>
      <c r="CD27" s="69"/>
      <c r="CE27" s="69"/>
    </row>
    <row r="28" spans="1:83" ht="29.25" customHeight="1">
      <c r="A28" s="93"/>
      <c r="B28" s="94"/>
      <c r="C28" s="94"/>
      <c r="D28" s="94"/>
      <c r="E28" s="94"/>
      <c r="F28" s="204"/>
      <c r="G28" s="94"/>
      <c r="H28" s="94"/>
      <c r="I28" s="94"/>
      <c r="J28" s="204"/>
      <c r="K28" s="94"/>
      <c r="L28" s="94"/>
      <c r="M28" s="94"/>
      <c r="N28" s="94"/>
      <c r="O28" s="94"/>
      <c r="P28" s="94"/>
      <c r="Q28" s="94"/>
      <c r="R28" s="94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O28" s="160"/>
      <c r="AP28" s="160"/>
      <c r="AQ28" s="160"/>
      <c r="AR28" s="160"/>
      <c r="AS28" s="160"/>
      <c r="AT28" s="160"/>
      <c r="AU28" s="160"/>
      <c r="AV28" s="160"/>
      <c r="AW28" s="160" t="s">
        <v>165</v>
      </c>
      <c r="AX28" s="160"/>
      <c r="AY28" s="178"/>
      <c r="AZ28" s="190" t="str">
        <f t="shared" si="12"/>
        <v>Fixation arear</v>
      </c>
      <c r="BA28" s="177"/>
      <c r="BB28" s="177"/>
      <c r="BC28" s="177"/>
      <c r="BD28" s="177"/>
      <c r="BE28" s="177"/>
      <c r="BF28" s="177" t="str">
        <f t="shared" ref="BF28:BF29" si="14">IF(BE28="","",BE28)</f>
        <v/>
      </c>
      <c r="BG28" s="177"/>
      <c r="BH28" s="177"/>
      <c r="BI28" s="177"/>
      <c r="BJ28" s="177"/>
      <c r="BK28" s="180"/>
      <c r="BL28" s="177"/>
      <c r="BM28" s="186">
        <v>45108</v>
      </c>
      <c r="BN28" s="186">
        <f>IFERROR(IF('Master Data'!$C$11="","",IF('Master Data'!$C$20="","",IF(AND($BB$17&gt;$BB$9),"",DATE(YEAR(BN27),MONTH(BN27)+1,DAY(BN27))))),"")</f>
        <v>45108</v>
      </c>
      <c r="BO28" s="160" t="s">
        <v>282</v>
      </c>
      <c r="BP28" s="187" t="str">
        <f t="shared" si="4"/>
        <v/>
      </c>
      <c r="BQ28" s="187" t="str">
        <f t="shared" si="5"/>
        <v>Fixation arear</v>
      </c>
      <c r="BR28" s="160"/>
      <c r="BS28" s="187" t="str">
        <f t="shared" si="6"/>
        <v>Fixation arear</v>
      </c>
      <c r="BT28" s="160"/>
      <c r="BU28" s="188"/>
      <c r="BV28" s="160"/>
      <c r="BW28" s="188"/>
      <c r="BX28" s="187"/>
      <c r="BY28" s="160"/>
      <c r="BZ28" s="188" t="str">
        <f t="shared" si="7"/>
        <v/>
      </c>
      <c r="CA28" s="160"/>
      <c r="CB28" s="160"/>
      <c r="CC28" s="160"/>
      <c r="CD28" s="69"/>
      <c r="CE28" s="69"/>
    </row>
    <row r="29" spans="1:83" ht="20.25">
      <c r="A29" s="93"/>
      <c r="B29" s="94"/>
      <c r="C29" s="265" t="str">
        <f>UPPER(IF('Master Data'!C4="","",'Master Data'!C4))</f>
        <v>HEERALAL JAT</v>
      </c>
      <c r="D29" s="265"/>
      <c r="E29" s="265"/>
      <c r="F29" s="265"/>
      <c r="G29" s="265"/>
      <c r="H29" s="265"/>
      <c r="I29" s="265"/>
      <c r="J29" s="202"/>
      <c r="K29" s="94"/>
      <c r="L29" s="94"/>
      <c r="M29" s="94"/>
      <c r="N29" s="94"/>
      <c r="O29" s="94"/>
      <c r="P29" s="94"/>
      <c r="Q29" s="94"/>
      <c r="R29" s="94"/>
      <c r="S29" s="95"/>
      <c r="T29" s="95"/>
      <c r="U29" s="266" t="str">
        <f>IF(AND('Master Data'!E6=""),"",CONCATENATE("( ",UPPER('Master Data'!E6), " )",))</f>
        <v>( USHA PALIYA )</v>
      </c>
      <c r="V29" s="266"/>
      <c r="W29" s="266"/>
      <c r="X29" s="266"/>
      <c r="Y29" s="266"/>
      <c r="Z29" s="266"/>
      <c r="AA29" s="266"/>
      <c r="AB29" s="266"/>
      <c r="AC29" s="266"/>
      <c r="AD29" s="97"/>
      <c r="AE29" s="96"/>
      <c r="AO29" s="192"/>
      <c r="AP29" s="192"/>
      <c r="AQ29" s="192"/>
      <c r="AR29" s="192"/>
      <c r="AS29" s="192"/>
      <c r="AT29" s="192"/>
      <c r="AU29" s="192"/>
      <c r="AV29" s="192"/>
      <c r="AW29" s="160" t="s">
        <v>166</v>
      </c>
      <c r="AX29" s="192"/>
      <c r="AY29" s="193"/>
      <c r="AZ29" s="190" t="str">
        <f>IF(BO29="","",BO29)</f>
        <v>PL Surrender Arrear</v>
      </c>
      <c r="BA29" s="194"/>
      <c r="BB29" s="194"/>
      <c r="BC29" s="194"/>
      <c r="BD29" s="194"/>
      <c r="BE29" s="194" t="str">
        <f>IF('Master Data'!$C$14=$AR$6,"",IF(AND(BC25=""),"",IF(OR('Master Data'!C13=AY12),ROUND(3%*BC25,0),IF(OR('Master Data'!C13=AY16,'Master Data'!C13=AY17,'Master Data'!C13=AY18),ROUND(4%*BC25,0),""))))</f>
        <v/>
      </c>
      <c r="BF29" s="177" t="str">
        <f t="shared" si="14"/>
        <v/>
      </c>
      <c r="BG29" s="194"/>
      <c r="BH29" s="194"/>
      <c r="BI29" s="194"/>
      <c r="BJ29" s="194"/>
      <c r="BK29" s="195" t="str">
        <f>BF29</f>
        <v/>
      </c>
      <c r="BL29" s="196"/>
      <c r="BM29" s="186">
        <v>45139</v>
      </c>
      <c r="BN29" s="186">
        <f>IFERROR(IF('Master Data'!$C$11="","",IF('Master Data'!$C$20="","",IF(AND($BB$17&gt;$BB$9),"",DATE(YEAR(BN28),MONTH(BN28)+1,DAY(BN28))))),"")</f>
        <v>45139</v>
      </c>
      <c r="BO29" s="160" t="s">
        <v>283</v>
      </c>
      <c r="BP29" s="187" t="str">
        <f t="shared" si="4"/>
        <v/>
      </c>
      <c r="BQ29" s="187" t="str">
        <f t="shared" si="5"/>
        <v>PL Surrender Arrear</v>
      </c>
      <c r="BR29" s="192"/>
      <c r="BS29" s="187" t="str">
        <f t="shared" si="6"/>
        <v>PL Surrender Arrear</v>
      </c>
      <c r="BT29" s="192"/>
      <c r="BU29" s="192"/>
      <c r="BV29" s="192"/>
      <c r="BW29" s="197"/>
      <c r="BX29" s="198"/>
      <c r="BY29" s="192"/>
      <c r="BZ29" s="188" t="str">
        <f t="shared" si="7"/>
        <v/>
      </c>
      <c r="CA29" s="192"/>
      <c r="CB29" s="192"/>
      <c r="CC29" s="192"/>
      <c r="CD29" s="108"/>
      <c r="CE29" s="108"/>
    </row>
    <row r="30" spans="1:83" ht="21.75" thickBot="1">
      <c r="A30" s="98"/>
      <c r="B30" s="99"/>
      <c r="C30" s="267" t="s">
        <v>284</v>
      </c>
      <c r="D30" s="267"/>
      <c r="E30" s="267"/>
      <c r="F30" s="267"/>
      <c r="G30" s="267"/>
      <c r="H30" s="267"/>
      <c r="I30" s="267"/>
      <c r="J30" s="203"/>
      <c r="K30" s="100"/>
      <c r="L30" s="100"/>
      <c r="M30" s="99"/>
      <c r="N30" s="99"/>
      <c r="O30" s="99"/>
      <c r="P30" s="99"/>
      <c r="Q30" s="99"/>
      <c r="R30" s="99"/>
      <c r="S30" s="101"/>
      <c r="T30" s="101"/>
      <c r="U30" s="268" t="s">
        <v>285</v>
      </c>
      <c r="V30" s="268"/>
      <c r="W30" s="268"/>
      <c r="X30" s="268"/>
      <c r="Y30" s="268"/>
      <c r="Z30" s="268"/>
      <c r="AA30" s="268"/>
      <c r="AB30" s="268"/>
      <c r="AC30" s="268"/>
      <c r="AD30" s="102"/>
      <c r="AE30" s="103"/>
      <c r="AW30" s="160" t="s">
        <v>167</v>
      </c>
      <c r="AY30" s="177"/>
      <c r="AZ30" s="172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M30" s="186"/>
      <c r="BN30" s="186"/>
      <c r="BO30" s="160"/>
      <c r="BP30" s="187"/>
      <c r="BQ30" s="187"/>
      <c r="BS30" s="187" t="str">
        <f t="shared" si="6"/>
        <v/>
      </c>
      <c r="BX30" s="187"/>
      <c r="BZ30" s="188" t="str">
        <f t="shared" si="7"/>
        <v/>
      </c>
    </row>
    <row r="31" spans="1:83">
      <c r="AC31" s="68"/>
      <c r="AD31" s="68"/>
      <c r="AW31" s="160" t="s">
        <v>168</v>
      </c>
      <c r="AZ31" s="172"/>
      <c r="BC31" s="177"/>
      <c r="BD31" s="177"/>
      <c r="BE31" s="177"/>
      <c r="BF31" s="177"/>
      <c r="BG31" s="177"/>
      <c r="BI31" s="177"/>
      <c r="BJ31" s="177"/>
      <c r="BK31" s="177"/>
      <c r="BM31" s="186"/>
      <c r="BN31" s="186"/>
      <c r="BO31" s="172"/>
      <c r="BP31" s="187"/>
      <c r="BQ31" s="187"/>
      <c r="BS31" s="187" t="str">
        <f t="shared" si="6"/>
        <v/>
      </c>
      <c r="BZ31" s="188" t="str">
        <f t="shared" si="7"/>
        <v/>
      </c>
    </row>
    <row r="32" spans="1:83">
      <c r="AC32" s="68"/>
      <c r="AD32" s="68"/>
      <c r="AZ32" s="172"/>
      <c r="BD32" s="177"/>
      <c r="BF32" s="177"/>
      <c r="BG32" s="177"/>
      <c r="BI32" s="177"/>
      <c r="BM32" s="186"/>
      <c r="BN32" s="186"/>
      <c r="BO32" s="199"/>
      <c r="BP32" s="187"/>
      <c r="BQ32" s="187"/>
      <c r="BS32" s="187" t="str">
        <f t="shared" si="6"/>
        <v/>
      </c>
      <c r="BZ32" s="188" t="str">
        <f t="shared" si="7"/>
        <v/>
      </c>
    </row>
    <row r="33" spans="52:78">
      <c r="BP33" s="187"/>
      <c r="BZ33" s="200">
        <f>SUM(BZ24:BZ32)</f>
        <v>0</v>
      </c>
    </row>
    <row r="35" spans="52:78">
      <c r="BN35" s="164"/>
    </row>
    <row r="41" spans="52:78">
      <c r="AZ41" s="162" t="str">
        <f>IFERROR(IF(D23="","",IF(AND(D23=AZ34),VLOOKUP(D23,om,4,0),IF(AND('[1]Master Data'!$I$28=$AR$6),'[1]Master Data'!$E$36,VLOOKUP(D23,om,4,0)))),"")</f>
        <v/>
      </c>
    </row>
  </sheetData>
  <sheetProtection password="C1FB" sheet="1" objects="1" scenarios="1" formatColumns="0" formatRows="0"/>
  <mergeCells count="26">
    <mergeCell ref="W2:AC2"/>
    <mergeCell ref="AD2:AE2"/>
    <mergeCell ref="B1:AD1"/>
    <mergeCell ref="Y3:AB3"/>
    <mergeCell ref="AC3:AE3"/>
    <mergeCell ref="A3:B3"/>
    <mergeCell ref="C3:E3"/>
    <mergeCell ref="H3:K3"/>
    <mergeCell ref="M3:P3"/>
    <mergeCell ref="Q3:S3"/>
    <mergeCell ref="T3:X3"/>
    <mergeCell ref="A2:C2"/>
    <mergeCell ref="D2:I2"/>
    <mergeCell ref="K2:N2"/>
    <mergeCell ref="O2:R2"/>
    <mergeCell ref="S2:V2"/>
    <mergeCell ref="A4:O4"/>
    <mergeCell ref="P4:AB4"/>
    <mergeCell ref="AC4:AC5"/>
    <mergeCell ref="AD4:AD5"/>
    <mergeCell ref="AE4:AE5"/>
    <mergeCell ref="AG5:AI5"/>
    <mergeCell ref="C29:I29"/>
    <mergeCell ref="U29:AC29"/>
    <mergeCell ref="C30:I30"/>
    <mergeCell ref="U30:AC30"/>
  </mergeCells>
  <hyperlinks>
    <hyperlink ref="AG5" r:id="rId1"/>
  </hyperlinks>
  <pageMargins left="0.45" right="0.2" top="0.2" bottom="0.2" header="0.3" footer="0.3"/>
  <pageSetup paperSize="9" scale="71" orientation="landscape" blackAndWhite="1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68"/>
  <sheetViews>
    <sheetView showGridLines="0" view="pageBreakPreview" zoomScaleSheetLayoutView="100" workbookViewId="0">
      <selection activeCell="R10" sqref="R10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125" customWidth="1"/>
    <col min="10" max="10" width="10" customWidth="1"/>
    <col min="12" max="12" width="4.25" customWidth="1"/>
    <col min="13" max="13" width="9.875" customWidth="1"/>
    <col min="14" max="14" width="4" customWidth="1"/>
    <col min="15" max="15" width="13.625" customWidth="1"/>
    <col min="17" max="17" width="10.5" customWidth="1"/>
    <col min="18" max="18" width="9.625" customWidth="1"/>
    <col min="19" max="19" width="15.75" customWidth="1"/>
    <col min="22" max="24" width="9" customWidth="1"/>
    <col min="34" max="34" width="0" hidden="1" customWidth="1"/>
  </cols>
  <sheetData>
    <row r="1" spans="1:23" ht="20.25" customHeight="1">
      <c r="A1" s="341" t="str">
        <f>IF('Master Data'!C3="","",CONCATENATE("Office of the DDO"," , ",'Master Data'!C3))</f>
        <v>Office of the DDO , COMDT. X Bn. RAC BIKANER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23" ht="20.25" customHeight="1" thickBot="1">
      <c r="A2" s="1"/>
      <c r="B2" s="1"/>
      <c r="C2" s="343" t="s">
        <v>0</v>
      </c>
      <c r="D2" s="343"/>
      <c r="E2" s="343"/>
      <c r="F2" s="344" t="s">
        <v>206</v>
      </c>
      <c r="G2" s="344"/>
      <c r="H2" s="343" t="s">
        <v>1</v>
      </c>
      <c r="I2" s="343"/>
      <c r="J2" s="345" t="s">
        <v>207</v>
      </c>
      <c r="K2" s="345"/>
      <c r="L2" s="346" t="s">
        <v>2</v>
      </c>
      <c r="M2" s="347"/>
      <c r="N2" s="347"/>
      <c r="O2" s="347"/>
    </row>
    <row r="3" spans="1:23" ht="14.25" customHeight="1" thickTop="1">
      <c r="A3" s="2">
        <v>1</v>
      </c>
      <c r="B3" s="304" t="s">
        <v>3</v>
      </c>
      <c r="C3" s="304"/>
      <c r="D3" s="305" t="str">
        <f>IF('Master Data'!C4="","",UPPER('Master Data'!C4))</f>
        <v>HEERALAL JAT</v>
      </c>
      <c r="E3" s="305"/>
      <c r="F3" s="305"/>
      <c r="G3" s="305"/>
      <c r="H3" s="305"/>
      <c r="I3" s="3" t="s">
        <v>4</v>
      </c>
      <c r="J3" s="306" t="str">
        <f>IF('Master Data'!E4="","",UPPER('Master Data'!E4))</f>
        <v>HEAD CONSITABLE</v>
      </c>
      <c r="K3" s="306"/>
      <c r="L3" s="306"/>
      <c r="M3" s="4" t="s">
        <v>5</v>
      </c>
      <c r="N3" s="307" t="str">
        <f>IF('Master Data'!C7="","",UPPER('Master Data'!C7))</f>
        <v>ABCDE5555H</v>
      </c>
      <c r="O3" s="308"/>
    </row>
    <row r="4" spans="1:23" ht="13.5" customHeight="1">
      <c r="A4" s="48">
        <v>2</v>
      </c>
      <c r="B4" s="309" t="s">
        <v>208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5" t="s">
        <v>6</v>
      </c>
      <c r="O4" s="6">
        <f>IF('GA55'!O27="","",'GA55'!O27)</f>
        <v>821211</v>
      </c>
    </row>
    <row r="5" spans="1:23" ht="11.25" customHeight="1">
      <c r="A5" s="7">
        <v>3</v>
      </c>
      <c r="B5" s="348" t="s">
        <v>303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25" t="s">
        <v>6</v>
      </c>
      <c r="O5" s="32">
        <f>IF($L$2="Old Tax Regime",SUM('Extra Ded. '!E6+'Extra Ded. '!I7+'GA55'!H27),0)</f>
        <v>0</v>
      </c>
    </row>
    <row r="6" spans="1:23" ht="15.75">
      <c r="A6" s="7">
        <v>4</v>
      </c>
      <c r="B6" s="310" t="s">
        <v>7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5" t="s">
        <v>6</v>
      </c>
      <c r="O6" s="6">
        <f>SUM(O4-O5)</f>
        <v>821211</v>
      </c>
    </row>
    <row r="7" spans="1:23" ht="11.25" customHeight="1">
      <c r="A7" s="329">
        <v>5</v>
      </c>
      <c r="B7" s="330" t="s">
        <v>8</v>
      </c>
      <c r="C7" s="330"/>
      <c r="D7" s="330"/>
      <c r="E7" s="330"/>
      <c r="F7" s="330"/>
      <c r="G7" s="330"/>
      <c r="H7" s="330"/>
      <c r="I7" s="330"/>
      <c r="J7" s="330"/>
      <c r="K7" s="349">
        <f>IF($L$2="Old Tax Regime",'Extra Ded. '!E8,0)</f>
        <v>0</v>
      </c>
      <c r="L7" s="349"/>
      <c r="M7" s="349"/>
      <c r="N7" s="350"/>
      <c r="O7" s="351"/>
    </row>
    <row r="8" spans="1:23" ht="11.25" customHeight="1">
      <c r="A8" s="329"/>
      <c r="B8" s="330" t="s">
        <v>95</v>
      </c>
      <c r="C8" s="330"/>
      <c r="D8" s="330"/>
      <c r="E8" s="330"/>
      <c r="F8" s="330"/>
      <c r="G8" s="330"/>
      <c r="H8" s="330"/>
      <c r="I8" s="330"/>
      <c r="J8" s="330"/>
      <c r="K8" s="349">
        <f>IF($L$2="Old Tax Regime",'Extra Ded. '!E9,0)</f>
        <v>0</v>
      </c>
      <c r="L8" s="349"/>
      <c r="M8" s="349"/>
      <c r="N8" s="350"/>
      <c r="O8" s="351"/>
    </row>
    <row r="9" spans="1:23" ht="12.75" customHeight="1">
      <c r="A9" s="329"/>
      <c r="B9" s="330" t="s">
        <v>96</v>
      </c>
      <c r="C9" s="330"/>
      <c r="D9" s="330"/>
      <c r="E9" s="330"/>
      <c r="F9" s="330"/>
      <c r="G9" s="330"/>
      <c r="H9" s="330"/>
      <c r="I9" s="330"/>
      <c r="J9" s="330"/>
      <c r="K9" s="352">
        <f>IF($L$2="Old Tax Regime",'Extra Ded. '!E7,0)</f>
        <v>50000</v>
      </c>
      <c r="L9" s="352"/>
      <c r="M9" s="352"/>
      <c r="N9" s="5" t="s">
        <v>6</v>
      </c>
      <c r="O9" s="6">
        <f>SUM(K7:M9)</f>
        <v>50000</v>
      </c>
    </row>
    <row r="10" spans="1:23" ht="14.25" customHeight="1">
      <c r="A10" s="7">
        <v>6</v>
      </c>
      <c r="B10" s="310" t="s">
        <v>9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5" t="s">
        <v>6</v>
      </c>
      <c r="O10" s="6">
        <f>SUM(O6-O9)</f>
        <v>771211</v>
      </c>
    </row>
    <row r="11" spans="1:23" ht="15.75" customHeight="1">
      <c r="A11" s="329">
        <v>7</v>
      </c>
      <c r="B11" s="330" t="s">
        <v>10</v>
      </c>
      <c r="C11" s="330"/>
      <c r="D11" s="330"/>
      <c r="E11" s="330"/>
      <c r="F11" s="330"/>
      <c r="G11" s="330"/>
      <c r="H11" s="330"/>
      <c r="I11" s="331" t="s">
        <v>11</v>
      </c>
      <c r="J11" s="331"/>
      <c r="K11" s="332">
        <f>'Extra Ded. '!E10</f>
        <v>0</v>
      </c>
      <c r="L11" s="332"/>
      <c r="M11" s="332"/>
      <c r="N11" s="333"/>
      <c r="O11" s="334"/>
      <c r="V11" s="43"/>
    </row>
    <row r="12" spans="1:23" ht="14.25" customHeight="1">
      <c r="A12" s="329"/>
      <c r="B12" s="335" t="s">
        <v>12</v>
      </c>
      <c r="C12" s="336"/>
      <c r="D12" s="331" t="s">
        <v>13</v>
      </c>
      <c r="E12" s="331"/>
      <c r="F12" s="322" t="s">
        <v>14</v>
      </c>
      <c r="G12" s="339"/>
      <c r="H12" s="323"/>
      <c r="I12" s="331" t="s">
        <v>15</v>
      </c>
      <c r="J12" s="331"/>
      <c r="K12" s="322" t="s">
        <v>16</v>
      </c>
      <c r="L12" s="339"/>
      <c r="M12" s="323"/>
      <c r="N12" s="333"/>
      <c r="O12" s="334"/>
    </row>
    <row r="13" spans="1:23" ht="12.75" customHeight="1">
      <c r="A13" s="329"/>
      <c r="B13" s="337"/>
      <c r="C13" s="338"/>
      <c r="D13" s="340">
        <f>IF($L$2="Old Tax Regime",ROUND(K11*0.3,0),0)</f>
        <v>0</v>
      </c>
      <c r="E13" s="340"/>
      <c r="F13" s="340">
        <f>IF($L$2="Old Tax Regime",'Extra Ded. '!E13,0)</f>
        <v>53667</v>
      </c>
      <c r="G13" s="340"/>
      <c r="H13" s="340"/>
      <c r="I13" s="340">
        <f>IF($L$2="Old Tax Regime",'Extra Ded. '!E11,0)</f>
        <v>0</v>
      </c>
      <c r="J13" s="340"/>
      <c r="K13" s="340">
        <f>D13+F13+I13</f>
        <v>53667</v>
      </c>
      <c r="L13" s="340"/>
      <c r="M13" s="340"/>
      <c r="N13" s="333"/>
      <c r="O13" s="334"/>
      <c r="W13" s="43"/>
    </row>
    <row r="14" spans="1:23" ht="13.5" customHeight="1">
      <c r="A14" s="7"/>
      <c r="B14" s="316" t="s">
        <v>17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5" t="s">
        <v>6</v>
      </c>
      <c r="O14" s="6">
        <f>K11-K13</f>
        <v>-53667</v>
      </c>
    </row>
    <row r="15" spans="1:23" ht="15.75">
      <c r="A15" s="7">
        <v>8</v>
      </c>
      <c r="B15" s="311" t="s">
        <v>18</v>
      </c>
      <c r="C15" s="312"/>
      <c r="D15" s="313"/>
      <c r="E15" s="314">
        <f>'Extra Ded. '!I21</f>
        <v>2000</v>
      </c>
      <c r="F15" s="314"/>
      <c r="G15" s="315" t="s">
        <v>304</v>
      </c>
      <c r="H15" s="315"/>
      <c r="I15" s="8">
        <f>'Extra Ded. '!E24</f>
        <v>0</v>
      </c>
      <c r="J15" s="316" t="s">
        <v>19</v>
      </c>
      <c r="K15" s="316"/>
      <c r="L15" s="316"/>
      <c r="M15" s="316"/>
      <c r="N15" s="5" t="s">
        <v>6</v>
      </c>
      <c r="O15" s="6">
        <f>O10+O14</f>
        <v>717544</v>
      </c>
    </row>
    <row r="16" spans="1:23" ht="15.75">
      <c r="A16" s="7">
        <v>9</v>
      </c>
      <c r="B16" s="317" t="s">
        <v>20</v>
      </c>
      <c r="C16" s="318"/>
      <c r="D16" s="319"/>
      <c r="E16" s="320">
        <f>'Extra Ded. '!I23</f>
        <v>0</v>
      </c>
      <c r="F16" s="321"/>
      <c r="G16" s="322" t="s">
        <v>93</v>
      </c>
      <c r="H16" s="323"/>
      <c r="I16" s="9">
        <f>'Extra Ded. '!E23</f>
        <v>0</v>
      </c>
      <c r="J16" s="324" t="s">
        <v>21</v>
      </c>
      <c r="K16" s="325"/>
      <c r="L16" s="325"/>
      <c r="M16" s="326"/>
      <c r="N16" s="5" t="s">
        <v>6</v>
      </c>
      <c r="O16" s="6">
        <f>E15+E16+I15+I16</f>
        <v>2000</v>
      </c>
      <c r="V16" s="43"/>
    </row>
    <row r="17" spans="1:19" ht="15.75">
      <c r="A17" s="31">
        <v>10</v>
      </c>
      <c r="B17" s="353" t="s">
        <v>22</v>
      </c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5"/>
      <c r="N17" s="25" t="s">
        <v>6</v>
      </c>
      <c r="O17" s="6">
        <f>O15+O16</f>
        <v>719544</v>
      </c>
    </row>
    <row r="18" spans="1:19" ht="13.5" customHeight="1">
      <c r="A18" s="356">
        <v>11</v>
      </c>
      <c r="B18" s="357" t="s">
        <v>23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8"/>
    </row>
    <row r="19" spans="1:19" ht="13.5" customHeight="1">
      <c r="A19" s="356"/>
      <c r="B19" s="328" t="s">
        <v>24</v>
      </c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59"/>
    </row>
    <row r="20" spans="1:19" ht="13.5" customHeight="1">
      <c r="A20" s="356"/>
      <c r="B20" s="27" t="s">
        <v>25</v>
      </c>
      <c r="C20" s="328" t="s">
        <v>26</v>
      </c>
      <c r="D20" s="328"/>
      <c r="E20" s="328"/>
      <c r="F20" s="28" t="s">
        <v>6</v>
      </c>
      <c r="G20" s="40">
        <f>IF($L$2="Old Tax Regime",'GA55'!P27,0)</f>
        <v>60000</v>
      </c>
      <c r="H20" s="27" t="s">
        <v>27</v>
      </c>
      <c r="I20" s="360" t="s">
        <v>311</v>
      </c>
      <c r="J20" s="361"/>
      <c r="K20" s="362"/>
      <c r="L20" s="28" t="s">
        <v>6</v>
      </c>
      <c r="M20" s="42">
        <v>0</v>
      </c>
      <c r="N20" s="363"/>
      <c r="O20" s="364"/>
    </row>
    <row r="21" spans="1:19" ht="13.5" customHeight="1">
      <c r="A21" s="356"/>
      <c r="B21" s="27" t="s">
        <v>28</v>
      </c>
      <c r="C21" s="328" t="s">
        <v>205</v>
      </c>
      <c r="D21" s="328"/>
      <c r="E21" s="328"/>
      <c r="F21" s="28" t="s">
        <v>6</v>
      </c>
      <c r="G21" s="40">
        <f>IF($L$2="Old Tax Regime",'GA55'!R27,0)</f>
        <v>6000</v>
      </c>
      <c r="H21" s="27" t="s">
        <v>29</v>
      </c>
      <c r="I21" s="327" t="s">
        <v>30</v>
      </c>
      <c r="J21" s="327"/>
      <c r="K21" s="327"/>
      <c r="L21" s="28" t="s">
        <v>6</v>
      </c>
      <c r="M21" s="42">
        <v>0</v>
      </c>
      <c r="N21" s="363"/>
      <c r="O21" s="364"/>
    </row>
    <row r="22" spans="1:19" ht="13.5" customHeight="1">
      <c r="A22" s="356"/>
      <c r="B22" s="27" t="s">
        <v>31</v>
      </c>
      <c r="C22" s="328" t="s">
        <v>32</v>
      </c>
      <c r="D22" s="328"/>
      <c r="E22" s="328"/>
      <c r="F22" s="28" t="s">
        <v>6</v>
      </c>
      <c r="G22" s="40">
        <f>IF($L$2="Old Tax Regime",'Extra Ded. '!E18,0)</f>
        <v>0</v>
      </c>
      <c r="H22" s="27" t="s">
        <v>33</v>
      </c>
      <c r="I22" s="327" t="s">
        <v>34</v>
      </c>
      <c r="J22" s="327"/>
      <c r="K22" s="327"/>
      <c r="L22" s="28" t="s">
        <v>6</v>
      </c>
      <c r="M22" s="41">
        <f>IF($L$2="Old Tax Regime",'Extra Ded. '!E19,0)</f>
        <v>0</v>
      </c>
      <c r="N22" s="363"/>
      <c r="O22" s="364"/>
    </row>
    <row r="23" spans="1:19" ht="13.5" customHeight="1">
      <c r="A23" s="356"/>
      <c r="B23" s="27" t="s">
        <v>35</v>
      </c>
      <c r="C23" s="328" t="s">
        <v>36</v>
      </c>
      <c r="D23" s="328"/>
      <c r="E23" s="328"/>
      <c r="F23" s="28" t="s">
        <v>6</v>
      </c>
      <c r="G23" s="40">
        <f>IF($L$2="Old Tax Regime",'Extra Ded. '!E20,0)</f>
        <v>0</v>
      </c>
      <c r="H23" s="27" t="s">
        <v>37</v>
      </c>
      <c r="I23" s="327" t="s">
        <v>38</v>
      </c>
      <c r="J23" s="327"/>
      <c r="K23" s="327"/>
      <c r="L23" s="28" t="s">
        <v>6</v>
      </c>
      <c r="M23" s="41">
        <f>IF($L$2="Old Tax Regime",'Extra Ded. '!E16,0)</f>
        <v>0</v>
      </c>
      <c r="N23" s="363"/>
      <c r="O23" s="364"/>
    </row>
    <row r="24" spans="1:19" ht="13.5" customHeight="1">
      <c r="A24" s="356"/>
      <c r="B24" s="27" t="s">
        <v>39</v>
      </c>
      <c r="C24" s="328" t="s">
        <v>40</v>
      </c>
      <c r="D24" s="328"/>
      <c r="E24" s="328"/>
      <c r="F24" s="28" t="s">
        <v>6</v>
      </c>
      <c r="G24" s="40">
        <f>IF($L$2="Old Tax Regime",'Extra Ded. '!E21,0)</f>
        <v>0</v>
      </c>
      <c r="H24" s="27" t="s">
        <v>41</v>
      </c>
      <c r="I24" s="327" t="s">
        <v>42</v>
      </c>
      <c r="J24" s="327"/>
      <c r="K24" s="327"/>
      <c r="L24" s="28" t="s">
        <v>6</v>
      </c>
      <c r="M24" s="40">
        <f>IF($L$2="Old Tax Regime",'Extra Ded. '!I6,0)</f>
        <v>0</v>
      </c>
      <c r="N24" s="363"/>
      <c r="O24" s="364"/>
    </row>
    <row r="25" spans="1:19" ht="13.5" customHeight="1">
      <c r="A25" s="356"/>
      <c r="B25" s="27" t="s">
        <v>43</v>
      </c>
      <c r="C25" s="328" t="s">
        <v>310</v>
      </c>
      <c r="D25" s="328"/>
      <c r="E25" s="328"/>
      <c r="F25" s="28" t="s">
        <v>6</v>
      </c>
      <c r="G25" s="40">
        <f>IF($L$2="Old Tax Regime",'GA55'!Q27,0)</f>
        <v>69944</v>
      </c>
      <c r="H25" s="27" t="s">
        <v>44</v>
      </c>
      <c r="I25" s="327" t="s">
        <v>45</v>
      </c>
      <c r="J25" s="327"/>
      <c r="K25" s="327"/>
      <c r="L25" s="28" t="s">
        <v>6</v>
      </c>
      <c r="M25" s="40">
        <f>IF($L$2="Old Tax Regime",'Extra Ded. '!I8,0)</f>
        <v>0</v>
      </c>
      <c r="N25" s="363"/>
      <c r="O25" s="364"/>
    </row>
    <row r="26" spans="1:19" ht="13.5" customHeight="1">
      <c r="A26" s="356"/>
      <c r="B26" s="27" t="s">
        <v>46</v>
      </c>
      <c r="C26" s="328" t="s">
        <v>47</v>
      </c>
      <c r="D26" s="328"/>
      <c r="E26" s="328"/>
      <c r="F26" s="28" t="s">
        <v>6</v>
      </c>
      <c r="G26" s="41">
        <f>IF($L$2="Old Tax Regime",'GA55'!AA27,0)</f>
        <v>220</v>
      </c>
      <c r="H26" s="27" t="s">
        <v>48</v>
      </c>
      <c r="I26" s="365" t="s">
        <v>49</v>
      </c>
      <c r="J26" s="365"/>
      <c r="K26" s="365"/>
      <c r="L26" s="28" t="s">
        <v>6</v>
      </c>
      <c r="M26" s="40">
        <f>IF($L$2="Old Tax Regime",'Extra Ded. '!E15,0)</f>
        <v>0</v>
      </c>
      <c r="N26" s="363"/>
      <c r="O26" s="364"/>
    </row>
    <row r="27" spans="1:19" ht="13.5" customHeight="1" thickBot="1">
      <c r="A27" s="356"/>
      <c r="B27" s="27" t="s">
        <v>50</v>
      </c>
      <c r="C27" s="328" t="s">
        <v>51</v>
      </c>
      <c r="D27" s="328"/>
      <c r="E27" s="328"/>
      <c r="F27" s="28" t="s">
        <v>6</v>
      </c>
      <c r="G27" s="41">
        <f>IF($L$2="Old Tax Regime",'Extra Ded. '!E17,0)</f>
        <v>0</v>
      </c>
      <c r="H27" s="27" t="s">
        <v>52</v>
      </c>
      <c r="I27" s="370" t="s">
        <v>309</v>
      </c>
      <c r="J27" s="370"/>
      <c r="K27" s="370"/>
      <c r="L27" s="28" t="s">
        <v>6</v>
      </c>
      <c r="M27" s="40">
        <f>IF($L$2="Old Tax Regime",'Extra Ded. '!I13,0)</f>
        <v>0</v>
      </c>
      <c r="N27" s="363"/>
      <c r="O27" s="364"/>
    </row>
    <row r="28" spans="1:19" ht="13.5" customHeight="1">
      <c r="A28" s="356"/>
      <c r="B28" s="27" t="s">
        <v>53</v>
      </c>
      <c r="C28" s="328" t="s">
        <v>54</v>
      </c>
      <c r="D28" s="328"/>
      <c r="E28" s="328"/>
      <c r="F28" s="28" t="s">
        <v>6</v>
      </c>
      <c r="G28" s="41">
        <f>IF($L$2="Old Tax Regime",'Extra Ded. '!E12,0)</f>
        <v>125985</v>
      </c>
      <c r="H28" s="27" t="s">
        <v>55</v>
      </c>
      <c r="I28" s="365" t="s">
        <v>56</v>
      </c>
      <c r="J28" s="365"/>
      <c r="K28" s="365"/>
      <c r="L28" s="28" t="s">
        <v>6</v>
      </c>
      <c r="M28" s="40">
        <f>IF($L$2="Old Tax Regime",'Extra Ded. '!E22,0)</f>
        <v>0</v>
      </c>
      <c r="N28" s="363"/>
      <c r="O28" s="364"/>
      <c r="Q28" s="291" t="s">
        <v>210</v>
      </c>
      <c r="R28" s="292"/>
      <c r="S28" s="293"/>
    </row>
    <row r="29" spans="1:19" ht="13.5" customHeight="1">
      <c r="A29" s="356"/>
      <c r="B29" s="27" t="s">
        <v>57</v>
      </c>
      <c r="C29" s="328" t="s">
        <v>58</v>
      </c>
      <c r="D29" s="328"/>
      <c r="E29" s="328"/>
      <c r="F29" s="28" t="s">
        <v>6</v>
      </c>
      <c r="G29" s="40">
        <f>IF($L$2="Old Tax Regime",'Extra Ded. '!E14,0)</f>
        <v>14008</v>
      </c>
      <c r="H29" s="27" t="s">
        <v>59</v>
      </c>
      <c r="I29" s="365" t="s">
        <v>60</v>
      </c>
      <c r="J29" s="365"/>
      <c r="K29" s="365"/>
      <c r="L29" s="28" t="s">
        <v>6</v>
      </c>
      <c r="M29" s="40">
        <f>IF($L$2="Old Tax Regime",'Extra Ded. '!I10,0)</f>
        <v>0</v>
      </c>
      <c r="N29" s="363"/>
      <c r="O29" s="364"/>
      <c r="Q29" s="294"/>
      <c r="R29" s="295"/>
      <c r="S29" s="296"/>
    </row>
    <row r="30" spans="1:19" ht="13.5" customHeight="1">
      <c r="A30" s="356"/>
      <c r="B30" s="27" t="s">
        <v>61</v>
      </c>
      <c r="C30" s="366" t="s">
        <v>306</v>
      </c>
      <c r="D30" s="366"/>
      <c r="E30" s="366"/>
      <c r="F30" s="28" t="s">
        <v>6</v>
      </c>
      <c r="G30" s="42">
        <f>IF($L$2="Old Tax Regime",'Extra Ded. '!I12,0)</f>
        <v>0</v>
      </c>
      <c r="H30" s="367" t="s">
        <v>94</v>
      </c>
      <c r="I30" s="368"/>
      <c r="J30" s="368"/>
      <c r="K30" s="369"/>
      <c r="L30" s="28" t="s">
        <v>6</v>
      </c>
      <c r="M30" s="46">
        <f>SUM(G20:G30)+SUM(M20:M29)</f>
        <v>276157</v>
      </c>
      <c r="N30" s="363"/>
      <c r="O30" s="364"/>
      <c r="Q30" s="294"/>
      <c r="R30" s="295"/>
      <c r="S30" s="296"/>
    </row>
    <row r="31" spans="1:19" ht="13.5" customHeight="1">
      <c r="A31" s="356"/>
      <c r="B31" s="316" t="s">
        <v>62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5" t="s">
        <v>6</v>
      </c>
      <c r="O31" s="6">
        <f>IF($L$2="Old Tax Regime",IF(M30&lt;150001,ROUND(M30,0),150000),0)</f>
        <v>150000</v>
      </c>
      <c r="Q31" s="294"/>
      <c r="R31" s="295"/>
      <c r="S31" s="296"/>
    </row>
    <row r="32" spans="1:19" ht="13.5" customHeight="1">
      <c r="A32" s="356"/>
      <c r="B32" s="371" t="s">
        <v>312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5" t="s">
        <v>6</v>
      </c>
      <c r="O32" s="32">
        <v>0</v>
      </c>
      <c r="Q32" s="294"/>
      <c r="R32" s="295"/>
      <c r="S32" s="296"/>
    </row>
    <row r="33" spans="1:19" ht="13.5" customHeight="1" thickBot="1">
      <c r="A33" s="356"/>
      <c r="B33" s="375" t="s">
        <v>211</v>
      </c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5" t="s">
        <v>6</v>
      </c>
      <c r="O33" s="10">
        <f>IF(R35="Yes",50000,0)</f>
        <v>0</v>
      </c>
      <c r="Q33" s="297"/>
      <c r="R33" s="298"/>
      <c r="S33" s="299"/>
    </row>
    <row r="34" spans="1:19" ht="20.25" customHeight="1" thickBot="1">
      <c r="A34" s="356"/>
      <c r="B34" s="316" t="s">
        <v>212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5" t="s">
        <v>6</v>
      </c>
      <c r="O34" s="6">
        <f>IF($L$2="Old Tax Regime",SUM(O31:O33),0)</f>
        <v>150000</v>
      </c>
      <c r="Q34" s="44"/>
      <c r="R34" s="45" t="s">
        <v>142</v>
      </c>
      <c r="S34" s="300" t="s">
        <v>143</v>
      </c>
    </row>
    <row r="35" spans="1:19" ht="13.5" customHeight="1">
      <c r="A35" s="356">
        <v>12</v>
      </c>
      <c r="B35" s="357" t="s">
        <v>63</v>
      </c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8"/>
      <c r="Q35" s="44"/>
      <c r="R35" s="302" t="s">
        <v>144</v>
      </c>
      <c r="S35" s="300"/>
    </row>
    <row r="36" spans="1:19" s="29" customFormat="1" ht="13.5" customHeight="1" thickBot="1">
      <c r="A36" s="356"/>
      <c r="B36" s="348" t="s">
        <v>64</v>
      </c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25" t="s">
        <v>6</v>
      </c>
      <c r="O36" s="6">
        <f>IF($L$2="Old Tax Regime",'Extra Ded. '!I15,0)</f>
        <v>0</v>
      </c>
      <c r="Q36" s="19"/>
      <c r="R36" s="303"/>
      <c r="S36" s="301"/>
    </row>
    <row r="37" spans="1:19" s="29" customFormat="1" ht="13.5" customHeight="1">
      <c r="A37" s="356"/>
      <c r="B37" s="348" t="s">
        <v>65</v>
      </c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25" t="s">
        <v>6</v>
      </c>
      <c r="O37" s="6">
        <f>IF($L$2="Old Tax Regime",'Extra Ded. '!I16,0)</f>
        <v>0</v>
      </c>
    </row>
    <row r="38" spans="1:19" s="29" customFormat="1" ht="13.5" customHeight="1">
      <c r="A38" s="356"/>
      <c r="B38" s="348" t="s">
        <v>66</v>
      </c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25" t="s">
        <v>6</v>
      </c>
      <c r="O38" s="6">
        <f>IF($L$2="Old Tax Regime",'Extra Ded. '!I17,0)</f>
        <v>0</v>
      </c>
    </row>
    <row r="39" spans="1:19" s="29" customFormat="1" ht="13.5" customHeight="1">
      <c r="A39" s="356"/>
      <c r="B39" s="348" t="s">
        <v>67</v>
      </c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25" t="s">
        <v>6</v>
      </c>
      <c r="O39" s="6">
        <f>IF($L$2="Old Tax Regime",'Extra Ded. '!I18,0)</f>
        <v>0</v>
      </c>
      <c r="S39" s="159" t="s">
        <v>463</v>
      </c>
    </row>
    <row r="40" spans="1:19" s="29" customFormat="1" ht="13.5" customHeight="1">
      <c r="A40" s="356"/>
      <c r="B40" s="348" t="s">
        <v>68</v>
      </c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25" t="s">
        <v>6</v>
      </c>
      <c r="O40" s="32">
        <f>IF($L$2="Old Tax Regime",'Extra Ded. '!I19,0)</f>
        <v>0</v>
      </c>
      <c r="S40" s="158" t="s">
        <v>464</v>
      </c>
    </row>
    <row r="41" spans="1:19" s="29" customFormat="1" ht="13.5" customHeight="1">
      <c r="A41" s="356"/>
      <c r="B41" s="348" t="s">
        <v>69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25" t="s">
        <v>6</v>
      </c>
      <c r="O41" s="6">
        <f>IF($L$2="Old Tax Regime",'Extra Ded. '!I20,0)</f>
        <v>0</v>
      </c>
    </row>
    <row r="42" spans="1:19" s="29" customFormat="1" ht="13.5" customHeight="1">
      <c r="A42" s="356"/>
      <c r="B42" s="348" t="s">
        <v>70</v>
      </c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25" t="s">
        <v>6</v>
      </c>
      <c r="O42" s="6">
        <f>IF($L$2="Old Tax Regime",IF('Extra Ded. '!I21&lt;10001,ROUND('Extra Ded. '!I21,0),10000),0)</f>
        <v>2000</v>
      </c>
    </row>
    <row r="43" spans="1:19" s="29" customFormat="1" ht="13.5" customHeight="1">
      <c r="A43" s="356"/>
      <c r="B43" s="348" t="s">
        <v>71</v>
      </c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25" t="s">
        <v>6</v>
      </c>
      <c r="O43" s="6">
        <f>IF($L$2="Old Tax Regime",'Extra Ded. '!I22,0)</f>
        <v>0</v>
      </c>
    </row>
    <row r="44" spans="1:19" ht="13.5" customHeight="1">
      <c r="A44" s="356"/>
      <c r="B44" s="372" t="s">
        <v>72</v>
      </c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5" t="s">
        <v>6</v>
      </c>
      <c r="O44" s="11">
        <f>SUM(O36:O43)</f>
        <v>2000</v>
      </c>
    </row>
    <row r="45" spans="1:19" ht="13.5" customHeight="1">
      <c r="A45" s="31">
        <v>13</v>
      </c>
      <c r="B45" s="373" t="s">
        <v>73</v>
      </c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5" t="s">
        <v>6</v>
      </c>
      <c r="O45" s="6">
        <f>O34+O44</f>
        <v>152000</v>
      </c>
    </row>
    <row r="46" spans="1:19" ht="13.5" customHeight="1">
      <c r="A46" s="31">
        <v>14</v>
      </c>
      <c r="B46" s="374" t="s">
        <v>74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5" t="s">
        <v>6</v>
      </c>
      <c r="O46" s="6">
        <f>(O17-O45)</f>
        <v>567544</v>
      </c>
    </row>
    <row r="47" spans="1:19" ht="13.5" customHeight="1">
      <c r="A47" s="31">
        <v>15</v>
      </c>
      <c r="B47" s="373" t="s">
        <v>75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5" t="s">
        <v>6</v>
      </c>
      <c r="O47" s="6">
        <f>ROUND(O46,-1)</f>
        <v>567540</v>
      </c>
    </row>
    <row r="48" spans="1:19" ht="13.5" customHeight="1">
      <c r="A48" s="356">
        <v>16</v>
      </c>
      <c r="B48" s="348" t="s">
        <v>76</v>
      </c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94"/>
    </row>
    <row r="49" spans="1:34" ht="13.5" customHeight="1">
      <c r="A49" s="356"/>
      <c r="B49" s="395" t="s">
        <v>77</v>
      </c>
      <c r="C49" s="395"/>
      <c r="D49" s="395"/>
      <c r="E49" s="395"/>
      <c r="F49" s="396" t="s">
        <v>78</v>
      </c>
      <c r="G49" s="396"/>
      <c r="H49" s="396"/>
      <c r="I49" s="396"/>
      <c r="J49" s="395" t="s">
        <v>79</v>
      </c>
      <c r="K49" s="395"/>
      <c r="L49" s="395"/>
      <c r="M49" s="395"/>
      <c r="N49" s="12"/>
      <c r="O49" s="13"/>
    </row>
    <row r="50" spans="1:34" ht="13.5" customHeight="1">
      <c r="A50" s="356"/>
      <c r="B50" s="379" t="s">
        <v>80</v>
      </c>
      <c r="C50" s="379"/>
      <c r="D50" s="379"/>
      <c r="E50" s="14">
        <v>0</v>
      </c>
      <c r="F50" s="379" t="str">
        <f>IF($L$2="Old Tax Regime","Up to Rs. 3,00,000","Up to Rs. 2,50,000")</f>
        <v>Up to Rs. 3,00,000</v>
      </c>
      <c r="G50" s="379"/>
      <c r="H50" s="379"/>
      <c r="I50" s="14">
        <v>0</v>
      </c>
      <c r="J50" s="379" t="str">
        <f>IF($L$2="Old Tax Regime","","Up to Rs. 2,50,000")</f>
        <v/>
      </c>
      <c r="K50" s="379"/>
      <c r="L50" s="379"/>
      <c r="M50" s="14">
        <v>0</v>
      </c>
      <c r="N50" s="5" t="s">
        <v>6</v>
      </c>
      <c r="O50" s="30">
        <v>0</v>
      </c>
    </row>
    <row r="51" spans="1:34" ht="13.5" customHeight="1">
      <c r="A51" s="356"/>
      <c r="B51" s="379" t="s">
        <v>81</v>
      </c>
      <c r="C51" s="379"/>
      <c r="D51" s="379"/>
      <c r="E51" s="14">
        <v>0.05</v>
      </c>
      <c r="F51" s="379" t="str">
        <f>IF($L$2="Old Tax Regime","3,00,001 to 5,00,000"," 2,50,001 to  5,00,000")</f>
        <v>3,00,001 to 5,00,000</v>
      </c>
      <c r="G51" s="379"/>
      <c r="H51" s="379"/>
      <c r="I51" s="14">
        <v>0.05</v>
      </c>
      <c r="J51" s="379" t="str">
        <f>IF($L$2="Old Tax Regime","Up to Rs. 5,00,000","2,50,001 to  5,00,000")</f>
        <v>Up to Rs. 5,00,000</v>
      </c>
      <c r="K51" s="379"/>
      <c r="L51" s="379"/>
      <c r="M51" s="114" t="str">
        <f>IF($L$2="Old Tax Regime","0%","5%")</f>
        <v>0%</v>
      </c>
      <c r="N51" s="5" t="s">
        <v>6</v>
      </c>
      <c r="O51" s="30">
        <f>IF($L$2="Old Tax Regime",ROUND(IF(O47&lt;=250000,0,IF(O47&gt;=500000,12500,IF(O47&lt;=500000,0+(O47-250000)*0.05))),0),ROUND(IF(O47&lt;250001,0,IF(O47&gt;500000,12500,((O47-250000)*0.05))),0))</f>
        <v>12500</v>
      </c>
    </row>
    <row r="52" spans="1:34" ht="13.5" customHeight="1">
      <c r="A52" s="356"/>
      <c r="B52" s="379" t="str">
        <f>IF($L$2="Old Tax Regime","5,00,001 to 10,00,000","5,00,001  to  7,50,000")</f>
        <v>5,00,001 to 10,00,000</v>
      </c>
      <c r="C52" s="379"/>
      <c r="D52" s="379"/>
      <c r="E52" s="14" t="str">
        <f>IF($L$2="Old Tax Regime","20%","10%")</f>
        <v>20%</v>
      </c>
      <c r="F52" s="379" t="str">
        <f>IF($L$2="Old Tax Regime","5,00,001 to 10,00,000","5,00,001  to  7,50,000")</f>
        <v>5,00,001 to 10,00,000</v>
      </c>
      <c r="G52" s="379"/>
      <c r="H52" s="379"/>
      <c r="I52" s="14" t="str">
        <f>IF($L$2="Old Tax Regime","20%","10%")</f>
        <v>20%</v>
      </c>
      <c r="J52" s="379" t="str">
        <f>IF($L$2="Old Tax Regime","5,00,001 to 10,00,000","5,00,001  to  7,50,000")</f>
        <v>5,00,001 to 10,00,000</v>
      </c>
      <c r="K52" s="379"/>
      <c r="L52" s="379"/>
      <c r="M52" s="14" t="str">
        <f>IF($L$2="Old Tax Regime","20%","10%")</f>
        <v>20%</v>
      </c>
      <c r="N52" s="5" t="s">
        <v>6</v>
      </c>
      <c r="O52" s="30">
        <f>IF($L$2="Old Tax Regime",ROUND(IF(O47&lt;=500000,0,IF(O47&gt;=1000000,100000,IF(O47&lt;=1000000,(O47-500000)*0.2,"0"))),0),ROUND(IF(O47&lt;500001,0,IF(O47&gt;750000,25000,((O47-500000)*0.1))),0))</f>
        <v>13508</v>
      </c>
    </row>
    <row r="53" spans="1:34" ht="13.5" customHeight="1">
      <c r="A53" s="356"/>
      <c r="B53" s="379" t="str">
        <f>IF($L$2="Old Tax Regime","Above  10,00,000"," 7,50,001 to  10,00,000")</f>
        <v>Above  10,00,000</v>
      </c>
      <c r="C53" s="380"/>
      <c r="D53" s="380"/>
      <c r="E53" s="14" t="str">
        <f>IF($L$2="Old Tax Regime","30%","15%")</f>
        <v>30%</v>
      </c>
      <c r="F53" s="379" t="str">
        <f>IF($L$2="Old Tax Regime","Above  10,00,000"," 7,50,001 to  10,00,000")</f>
        <v>Above  10,00,000</v>
      </c>
      <c r="G53" s="379"/>
      <c r="H53" s="379"/>
      <c r="I53" s="14" t="str">
        <f>IF($L$2="Old Tax Regime","30%","15%")</f>
        <v>30%</v>
      </c>
      <c r="J53" s="379" t="str">
        <f>IF($L$2="Old Tax Regime","Above  10,00,000"," 7,50,001 to  10,00,000")</f>
        <v>Above  10,00,000</v>
      </c>
      <c r="K53" s="379"/>
      <c r="L53" s="379"/>
      <c r="M53" s="14" t="str">
        <f>IF($L$2="Old Tax Regime","30%","15%")</f>
        <v>30%</v>
      </c>
      <c r="N53" s="5" t="s">
        <v>6</v>
      </c>
      <c r="O53" s="30">
        <f>IF($L$2="Old Tax Regime",ROUND(IF(O47&gt;1000000,(O47-1000000)*0.3,"0"),0),ROUND(IF(O47&lt;750001,0,IF(O47&gt;1000000,37500,((O47-750000)*0.15))),0))</f>
        <v>0</v>
      </c>
    </row>
    <row r="54" spans="1:34" ht="13.5" customHeight="1">
      <c r="A54" s="356"/>
      <c r="B54" s="379" t="str">
        <f>IF($L$2="Old Tax Regime"," ","10,00,001 to  12,50,000")</f>
        <v xml:space="preserve"> </v>
      </c>
      <c r="C54" s="380"/>
      <c r="D54" s="380"/>
      <c r="E54" s="14" t="str">
        <f>IF($L$2="Old Tax Regime"," ","20%")</f>
        <v xml:space="preserve"> </v>
      </c>
      <c r="F54" s="379" t="str">
        <f>IF($L$2="Old Tax Regime"," ","10,00,001 to  12,50,000")</f>
        <v xml:space="preserve"> </v>
      </c>
      <c r="G54" s="379"/>
      <c r="H54" s="379"/>
      <c r="I54" s="14" t="str">
        <f>IF($L$2="Old Tax Regime"," ","20%")</f>
        <v xml:space="preserve"> </v>
      </c>
      <c r="J54" s="379" t="str">
        <f>IF($L$2="Old Tax Regime"," ","10,00,001 to  12,50,000")</f>
        <v xml:space="preserve"> </v>
      </c>
      <c r="K54" s="379"/>
      <c r="L54" s="379"/>
      <c r="M54" s="14" t="str">
        <f>IF($L$2="Old Tax Regime"," ","20%")</f>
        <v xml:space="preserve"> </v>
      </c>
      <c r="N54" s="113" t="str">
        <f>IF($L$2="Old Tax Regime"," ","रु.")</f>
        <v xml:space="preserve"> </v>
      </c>
      <c r="O54" s="30" t="str">
        <f>IF($L$2="Old Tax Regime","",ROUND(IF(O47&lt;1000001,0,IF(O47&gt;1250000,50000,((O47-1000000)*0.2))),0))</f>
        <v/>
      </c>
    </row>
    <row r="55" spans="1:34" ht="13.5" customHeight="1">
      <c r="A55" s="356"/>
      <c r="B55" s="379" t="str">
        <f>IF($L$2="Old Tax Regime"," ","12,50,001 to  15,00,000")</f>
        <v xml:space="preserve"> </v>
      </c>
      <c r="C55" s="380"/>
      <c r="D55" s="380"/>
      <c r="E55" s="14" t="str">
        <f>IF($L$2="Old Tax Regime"," ","25%")</f>
        <v xml:space="preserve"> </v>
      </c>
      <c r="F55" s="379" t="str">
        <f>IF($L$2="Old Tax Regime"," ","12,50,001 to  15,00,000")</f>
        <v xml:space="preserve"> </v>
      </c>
      <c r="G55" s="379"/>
      <c r="H55" s="379"/>
      <c r="I55" s="14" t="str">
        <f>IF($L$2="Old Tax Regime"," ","25%")</f>
        <v xml:space="preserve"> </v>
      </c>
      <c r="J55" s="379" t="str">
        <f>IF($L$2="Old Tax Regime"," ","12,50,001 to  15,00,000")</f>
        <v xml:space="preserve"> </v>
      </c>
      <c r="K55" s="379"/>
      <c r="L55" s="379"/>
      <c r="M55" s="14" t="str">
        <f>IF($L$2="Old Tax Regime"," ","25%")</f>
        <v xml:space="preserve"> </v>
      </c>
      <c r="N55" s="113" t="str">
        <f>IF($L$2="Old Tax Regime"," ","रु.")</f>
        <v xml:space="preserve"> </v>
      </c>
      <c r="O55" s="30" t="str">
        <f>IF($L$2="Old Tax Regime","",ROUND(IF(O47&lt;1250001,0,IF(O47&gt;1500000,62500,((O47-1250000)*0.25))),0))</f>
        <v/>
      </c>
    </row>
    <row r="56" spans="1:34" ht="13.5" customHeight="1">
      <c r="A56" s="356"/>
      <c r="B56" s="379" t="str">
        <f>IF($L$2="Old Tax Regime"," ","Above Rs. 15,00,000")</f>
        <v xml:space="preserve"> </v>
      </c>
      <c r="C56" s="380"/>
      <c r="D56" s="380"/>
      <c r="E56" s="14" t="str">
        <f>IF($L$2="Old Tax Regime"," ","30%")</f>
        <v xml:space="preserve"> </v>
      </c>
      <c r="F56" s="379" t="str">
        <f>IF($L$2="Old Tax Regime"," ","Above Rs. 15,00,000")</f>
        <v xml:space="preserve"> </v>
      </c>
      <c r="G56" s="379"/>
      <c r="H56" s="379"/>
      <c r="I56" s="14" t="str">
        <f>IF($L$2="Old Tax Regime"," ","30%")</f>
        <v xml:space="preserve"> </v>
      </c>
      <c r="J56" s="379" t="str">
        <f>IF($L$2="Old Tax Regime"," ","Above Rs. 15,00,000")</f>
        <v xml:space="preserve"> </v>
      </c>
      <c r="K56" s="379"/>
      <c r="L56" s="379"/>
      <c r="M56" s="14" t="str">
        <f>IF($L$2="Old Tax Regime"," ","30%")</f>
        <v xml:space="preserve"> </v>
      </c>
      <c r="N56" s="113" t="str">
        <f>IF($L$2="Old Tax Regime"," ","रु.")</f>
        <v xml:space="preserve"> </v>
      </c>
      <c r="O56" s="30" t="str">
        <f>IF($L$2="Old Tax Regime","",ROUND(IF(O47&lt;1500001,0,(O47-1500000)*0.3),0))</f>
        <v/>
      </c>
    </row>
    <row r="57" spans="1:34" ht="13.5" customHeight="1">
      <c r="A57" s="356"/>
      <c r="B57" s="376" t="s">
        <v>82</v>
      </c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5" t="s">
        <v>6</v>
      </c>
      <c r="O57" s="26">
        <f>SUM(O50:O56)</f>
        <v>26008</v>
      </c>
      <c r="AH57">
        <f>ROUND(IF(O47&lt;250001,0,IF(O47&gt;500000,12500,((O47-250000)*0.05))),0)+ROUND(IF(O47&lt;500001,0,IF(O47&gt;750000,25000,((O47-500000)*0.1))),0)+ROUND(IF(O47&lt;750001,0,IF(O47&gt;1000000,37500,((O47-750000)*0.15))),0)+ROUND(IF(O47&lt;1000001,0,IF(O47&gt;1250000,50000,((O47-1000000)*0.2))),0)+ROUND(IF(O47&lt;1250001,0,IF(O47&gt;1500000,62500,((O47-1250000)*0.25))),0)+ROUND(IF(O47&lt;1500001,0,(O47-1500000)*0.3),0)</f>
        <v>19254</v>
      </c>
    </row>
    <row r="58" spans="1:34" ht="13.5" customHeight="1">
      <c r="A58" s="356"/>
      <c r="B58" s="377" t="s">
        <v>83</v>
      </c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5" t="s">
        <v>6</v>
      </c>
      <c r="O58" s="26">
        <f>IF(O47&gt;500000,0,IF(O57&lt;12500,O57,12500))</f>
        <v>0</v>
      </c>
    </row>
    <row r="59" spans="1:34" ht="13.5" customHeight="1">
      <c r="A59" s="356"/>
      <c r="B59" s="378" t="s">
        <v>84</v>
      </c>
      <c r="C59" s="378"/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5" t="s">
        <v>6</v>
      </c>
      <c r="O59" s="26">
        <f>O57-O58</f>
        <v>26008</v>
      </c>
    </row>
    <row r="60" spans="1:34" ht="13.5" customHeight="1">
      <c r="A60" s="356"/>
      <c r="B60" s="15" t="s">
        <v>85</v>
      </c>
      <c r="C60" s="377" t="s">
        <v>145</v>
      </c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5" t="s">
        <v>6</v>
      </c>
      <c r="O60" s="26">
        <f>ROUND((O59*0.04),0)</f>
        <v>1040</v>
      </c>
    </row>
    <row r="61" spans="1:34" ht="13.5" customHeight="1">
      <c r="A61" s="356"/>
      <c r="B61" s="386" t="s">
        <v>86</v>
      </c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8"/>
      <c r="N61" s="5" t="s">
        <v>6</v>
      </c>
      <c r="O61" s="26">
        <f>SUM(O59:O60)</f>
        <v>27048</v>
      </c>
    </row>
    <row r="62" spans="1:34" ht="13.5" customHeight="1">
      <c r="A62" s="31">
        <v>17</v>
      </c>
      <c r="B62" s="330" t="s">
        <v>87</v>
      </c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5" t="s">
        <v>6</v>
      </c>
      <c r="O62" s="26">
        <f>'Extra Ded. '!I24</f>
        <v>0</v>
      </c>
    </row>
    <row r="63" spans="1:34" ht="13.5" customHeight="1">
      <c r="A63" s="31">
        <v>18</v>
      </c>
      <c r="B63" s="389" t="s">
        <v>88</v>
      </c>
      <c r="C63" s="389"/>
      <c r="D63" s="389"/>
      <c r="E63" s="389"/>
      <c r="F63" s="389"/>
      <c r="G63" s="389"/>
      <c r="H63" s="389"/>
      <c r="I63" s="389"/>
      <c r="J63" s="389"/>
      <c r="K63" s="389"/>
      <c r="L63" s="389"/>
      <c r="M63" s="389"/>
      <c r="N63" s="5" t="s">
        <v>6</v>
      </c>
      <c r="O63" s="6">
        <f>O61-O62</f>
        <v>27048</v>
      </c>
    </row>
    <row r="64" spans="1:34" ht="48.75" customHeight="1">
      <c r="A64" s="356">
        <v>19</v>
      </c>
      <c r="B64" s="390" t="s">
        <v>89</v>
      </c>
      <c r="C64" s="390"/>
      <c r="D64" s="390"/>
      <c r="E64" s="391" t="s">
        <v>313</v>
      </c>
      <c r="F64" s="391"/>
      <c r="G64" s="391"/>
      <c r="H64" s="392" t="s">
        <v>314</v>
      </c>
      <c r="I64" s="393"/>
      <c r="J64" s="112" t="s">
        <v>315</v>
      </c>
      <c r="K64" s="392" t="s">
        <v>316</v>
      </c>
      <c r="L64" s="393"/>
      <c r="M64" s="391" t="s">
        <v>90</v>
      </c>
      <c r="N64" s="391"/>
      <c r="O64" s="50" t="s">
        <v>91</v>
      </c>
    </row>
    <row r="65" spans="1:15" s="47" customFormat="1" ht="22.5" customHeight="1">
      <c r="A65" s="356"/>
      <c r="B65" s="390"/>
      <c r="C65" s="390"/>
      <c r="D65" s="390"/>
      <c r="E65" s="381">
        <f>SUM('GA55'!BZ12:BZ18)</f>
        <v>14000</v>
      </c>
      <c r="F65" s="381"/>
      <c r="G65" s="381"/>
      <c r="H65" s="381">
        <f>SUM('GA55'!BZ19:BZ21)</f>
        <v>6000</v>
      </c>
      <c r="I65" s="381"/>
      <c r="J65" s="49">
        <f>'GA55'!BZ22</f>
        <v>2000</v>
      </c>
      <c r="K65" s="381">
        <f>'GA55'!BZ23</f>
        <v>2000</v>
      </c>
      <c r="L65" s="381"/>
      <c r="M65" s="382">
        <f>'GA55'!BZ33</f>
        <v>0</v>
      </c>
      <c r="N65" s="382"/>
      <c r="O65" s="115">
        <f>SUM(E65,H65,J65,K65,M65)</f>
        <v>24000</v>
      </c>
    </row>
    <row r="66" spans="1:15" ht="21" customHeight="1" thickBot="1">
      <c r="A66" s="383" t="str">
        <f>IF(O63&gt;O65,"Income Tax Payable","Income Tax Refundable")</f>
        <v>Income Tax Payable</v>
      </c>
      <c r="B66" s="384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117" t="s">
        <v>6</v>
      </c>
      <c r="O66" s="116">
        <f>IF(O63&gt;O65,SUM(O63-O65),SUM(O65-O63))</f>
        <v>3048</v>
      </c>
    </row>
    <row r="67" spans="1:15" ht="20.25" customHeight="1" thickTop="1">
      <c r="A67" s="16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9"/>
    </row>
    <row r="68" spans="1:15" ht="17.25" customHeight="1">
      <c r="A68" s="20"/>
      <c r="B68" s="21"/>
      <c r="C68" s="22"/>
      <c r="D68" s="23"/>
      <c r="E68" s="22"/>
      <c r="F68" s="22"/>
      <c r="G68" s="22"/>
      <c r="H68" s="22"/>
      <c r="I68" s="22"/>
      <c r="J68" s="22"/>
      <c r="K68" s="22"/>
      <c r="L68" s="385" t="s">
        <v>92</v>
      </c>
      <c r="M68" s="385"/>
      <c r="N68" s="385"/>
      <c r="O68" s="24"/>
    </row>
  </sheetData>
  <sheetProtection password="8E48" sheet="1" objects="1" scenarios="1" formatColumns="0" formatRows="0"/>
  <mergeCells count="138">
    <mergeCell ref="E65:G65"/>
    <mergeCell ref="H65:I65"/>
    <mergeCell ref="K65:L65"/>
    <mergeCell ref="M65:N65"/>
    <mergeCell ref="A66:M66"/>
    <mergeCell ref="L68:N68"/>
    <mergeCell ref="C60:M60"/>
    <mergeCell ref="B61:M61"/>
    <mergeCell ref="B62:M62"/>
    <mergeCell ref="B63:M63"/>
    <mergeCell ref="A64:A65"/>
    <mergeCell ref="B64:D65"/>
    <mergeCell ref="E64:G64"/>
    <mergeCell ref="H64:I64"/>
    <mergeCell ref="K64:L64"/>
    <mergeCell ref="M64:N64"/>
    <mergeCell ref="A48:A61"/>
    <mergeCell ref="B48:O48"/>
    <mergeCell ref="B49:E49"/>
    <mergeCell ref="F49:I49"/>
    <mergeCell ref="J49:M49"/>
    <mergeCell ref="B50:D50"/>
    <mergeCell ref="F50:H50"/>
    <mergeCell ref="J50:L50"/>
    <mergeCell ref="B57:M57"/>
    <mergeCell ref="B58:M58"/>
    <mergeCell ref="B59:M59"/>
    <mergeCell ref="J51:L51"/>
    <mergeCell ref="B52:D52"/>
    <mergeCell ref="F52:H52"/>
    <mergeCell ref="J52:L52"/>
    <mergeCell ref="B56:D56"/>
    <mergeCell ref="F56:H56"/>
    <mergeCell ref="J56:L56"/>
    <mergeCell ref="B51:D51"/>
    <mergeCell ref="F51:H51"/>
    <mergeCell ref="B53:D53"/>
    <mergeCell ref="F53:H53"/>
    <mergeCell ref="J53:L53"/>
    <mergeCell ref="B54:D54"/>
    <mergeCell ref="F54:H54"/>
    <mergeCell ref="J54:L54"/>
    <mergeCell ref="B55:D55"/>
    <mergeCell ref="F55:H55"/>
    <mergeCell ref="J55:L55"/>
    <mergeCell ref="B42:M42"/>
    <mergeCell ref="B43:M43"/>
    <mergeCell ref="B44:M44"/>
    <mergeCell ref="B45:M45"/>
    <mergeCell ref="B46:M46"/>
    <mergeCell ref="B47:M47"/>
    <mergeCell ref="B33:M33"/>
    <mergeCell ref="B34:M34"/>
    <mergeCell ref="A35:A44"/>
    <mergeCell ref="B35:O35"/>
    <mergeCell ref="B36:M36"/>
    <mergeCell ref="B37:M37"/>
    <mergeCell ref="B38:M38"/>
    <mergeCell ref="B39:M39"/>
    <mergeCell ref="B40:M40"/>
    <mergeCell ref="B41:M41"/>
    <mergeCell ref="I25:K25"/>
    <mergeCell ref="B17:M17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C30:E30"/>
    <mergeCell ref="H30:K30"/>
    <mergeCell ref="B31:M31"/>
    <mergeCell ref="C26:E26"/>
    <mergeCell ref="I26:K26"/>
    <mergeCell ref="C27:E27"/>
    <mergeCell ref="I27:K27"/>
    <mergeCell ref="C28:E28"/>
    <mergeCell ref="I28:K28"/>
    <mergeCell ref="B32:M32"/>
    <mergeCell ref="A1:O1"/>
    <mergeCell ref="C2:E2"/>
    <mergeCell ref="F2:G2"/>
    <mergeCell ref="H2:I2"/>
    <mergeCell ref="J2:K2"/>
    <mergeCell ref="L2:O2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A11:A13"/>
    <mergeCell ref="B11:H11"/>
    <mergeCell ref="I11:J11"/>
    <mergeCell ref="K11:M11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Q28:S33"/>
    <mergeCell ref="S34:S36"/>
    <mergeCell ref="R35:R36"/>
    <mergeCell ref="B3:C3"/>
    <mergeCell ref="D3:H3"/>
    <mergeCell ref="J3:L3"/>
    <mergeCell ref="N3:O3"/>
    <mergeCell ref="B4:M4"/>
    <mergeCell ref="B10:M10"/>
    <mergeCell ref="B15:D15"/>
    <mergeCell ref="E15:F15"/>
    <mergeCell ref="G15:H15"/>
    <mergeCell ref="J15:M15"/>
    <mergeCell ref="B16:D16"/>
    <mergeCell ref="E16:F16"/>
    <mergeCell ref="G16:H16"/>
    <mergeCell ref="J16:M16"/>
    <mergeCell ref="B14:M14"/>
    <mergeCell ref="I22:K22"/>
    <mergeCell ref="C23:E23"/>
    <mergeCell ref="I23:K23"/>
    <mergeCell ref="C24:E24"/>
    <mergeCell ref="I24:K24"/>
    <mergeCell ref="C25:E25"/>
  </mergeCells>
  <conditionalFormatting sqref="B65:D65">
    <cfRule type="iconSet" priority="8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B65:D65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6:O66">
    <cfRule type="expression" dxfId="6" priority="3">
      <formula>$A66="Income Tax Payable"</formula>
    </cfRule>
    <cfRule type="expression" dxfId="5" priority="2">
      <formula>$A66="Income Tax Refundable"</formula>
    </cfRule>
  </conditionalFormatting>
  <conditionalFormatting sqref="L2:O2">
    <cfRule type="cellIs" dxfId="4" priority="1" operator="equal">
      <formula>"New Tax Regime"</formula>
    </cfRule>
  </conditionalFormatting>
  <dataValidations count="2">
    <dataValidation type="list" allowBlank="1" showInputMessage="1" showErrorMessage="1" sqref="R35">
      <formula1>"Yes, No"</formula1>
    </dataValidation>
    <dataValidation type="list" allowBlank="1" showInputMessage="1" showErrorMessage="1" sqref="L2:O2">
      <formula1>"Old Tax Regime, New Tax Regime"</formula1>
    </dataValidation>
  </dataValidations>
  <pageMargins left="0.45" right="0.25" top="0" bottom="0" header="0" footer="0"/>
  <pageSetup paperSize="9" scale="8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40"/>
  <sheetViews>
    <sheetView showGridLines="0" showRowColHeaders="0" view="pageBreakPreview" zoomScale="110" zoomScaleSheetLayoutView="110" workbookViewId="0">
      <selection activeCell="O23" sqref="O23"/>
    </sheetView>
  </sheetViews>
  <sheetFormatPr defaultRowHeight="15"/>
  <cols>
    <col min="1" max="1" width="9" style="34"/>
    <col min="2" max="2" width="8.5" style="34" customWidth="1"/>
    <col min="3" max="3" width="8" style="34" customWidth="1"/>
    <col min="4" max="4" width="5.5" style="34" customWidth="1"/>
    <col min="5" max="5" width="11.5" style="34" customWidth="1"/>
    <col min="6" max="6" width="17.375" style="34" customWidth="1"/>
    <col min="7" max="7" width="7" style="34" customWidth="1"/>
    <col min="8" max="8" width="6.625" style="34" customWidth="1"/>
    <col min="9" max="9" width="7.875" style="34" customWidth="1"/>
    <col min="10" max="10" width="6.625" style="34" customWidth="1"/>
    <col min="11" max="11" width="8.375" style="34" customWidth="1"/>
    <col min="12" max="12" width="6.75" style="34" customWidth="1"/>
    <col min="13" max="17" width="9" style="34"/>
    <col min="18" max="18" width="16.75" style="34" customWidth="1"/>
    <col min="19" max="16384" width="9" style="34"/>
  </cols>
  <sheetData>
    <row r="1" spans="2:18" ht="13.5" customHeight="1">
      <c r="B1" s="405" t="s">
        <v>317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</row>
    <row r="2" spans="2:18" ht="11.25" customHeight="1">
      <c r="B2" s="406" t="s">
        <v>318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2:18" ht="11.25" customHeight="1">
      <c r="B3" s="407" t="s">
        <v>319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</row>
    <row r="4" spans="2:18" ht="18" customHeight="1" thickBot="1">
      <c r="B4" s="407" t="s">
        <v>320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</row>
    <row r="5" spans="2:18" ht="16.5" thickTop="1" thickBot="1">
      <c r="B5" s="408" t="s">
        <v>321</v>
      </c>
      <c r="C5" s="408"/>
      <c r="D5" s="408"/>
      <c r="E5" s="408"/>
      <c r="F5" s="408"/>
      <c r="G5" s="408" t="s">
        <v>322</v>
      </c>
      <c r="H5" s="408"/>
      <c r="I5" s="408"/>
      <c r="J5" s="408"/>
      <c r="K5" s="408"/>
      <c r="L5" s="408"/>
    </row>
    <row r="6" spans="2:18" ht="14.25" customHeight="1" thickTop="1" thickBot="1">
      <c r="B6" s="397" t="str">
        <f>IF('Master Data'!E6="","",UPPER('Master Data'!E6))</f>
        <v>USHA PALIYA</v>
      </c>
      <c r="C6" s="398"/>
      <c r="D6" s="398"/>
      <c r="E6" s="398"/>
      <c r="F6" s="399"/>
      <c r="G6" s="400" t="str">
        <f>IF('Master Data'!C4="","",UPPER('Master Data'!C4))</f>
        <v>HEERALAL JAT</v>
      </c>
      <c r="H6" s="400"/>
      <c r="I6" s="400"/>
      <c r="J6" s="400"/>
      <c r="K6" s="400"/>
      <c r="L6" s="400"/>
    </row>
    <row r="7" spans="2:18" ht="14.25" customHeight="1" thickTop="1" thickBot="1">
      <c r="B7" s="401"/>
      <c r="C7" s="402"/>
      <c r="D7" s="402"/>
      <c r="E7" s="402"/>
      <c r="F7" s="403"/>
      <c r="G7" s="400" t="str">
        <f>IF('Master Data'!C6="","",UPPER('Master Data'!C6))</f>
        <v>PS KOTWALI</v>
      </c>
      <c r="H7" s="400"/>
      <c r="I7" s="400"/>
      <c r="J7" s="400"/>
      <c r="K7" s="400"/>
      <c r="L7" s="400"/>
    </row>
    <row r="8" spans="2:18" ht="14.25" customHeight="1" thickTop="1" thickBot="1">
      <c r="B8" s="404" t="s">
        <v>323</v>
      </c>
      <c r="C8" s="404"/>
      <c r="D8" s="404"/>
      <c r="E8" s="404" t="s">
        <v>324</v>
      </c>
      <c r="F8" s="404"/>
      <c r="G8" s="404" t="s">
        <v>325</v>
      </c>
      <c r="H8" s="404"/>
      <c r="I8" s="404"/>
      <c r="J8" s="404" t="s">
        <v>326</v>
      </c>
      <c r="K8" s="404"/>
      <c r="L8" s="404"/>
    </row>
    <row r="9" spans="2:18" ht="13.5" customHeight="1" thickTop="1" thickBot="1">
      <c r="B9" s="414"/>
      <c r="C9" s="415"/>
      <c r="D9" s="415"/>
      <c r="E9" s="416"/>
      <c r="F9" s="416"/>
      <c r="G9" s="417" t="str">
        <f>IF('Master Data'!C7="","",UPPER('Master Data'!C7))</f>
        <v>ABCDE5555H</v>
      </c>
      <c r="H9" s="417"/>
      <c r="I9" s="417"/>
      <c r="J9" s="417" t="str">
        <f>IF('Master Data'!E7="","",UPPER('Master Data'!E7))</f>
        <v>51XXXXXXXXX96</v>
      </c>
      <c r="K9" s="417"/>
      <c r="L9" s="417"/>
    </row>
    <row r="10" spans="2:18" ht="13.5" customHeight="1" thickTop="1" thickBot="1">
      <c r="B10" s="418" t="s">
        <v>327</v>
      </c>
      <c r="C10" s="418"/>
      <c r="D10" s="418"/>
      <c r="E10" s="418"/>
      <c r="F10" s="418"/>
      <c r="G10" s="412" t="s">
        <v>328</v>
      </c>
      <c r="H10" s="412"/>
      <c r="I10" s="412" t="s">
        <v>329</v>
      </c>
      <c r="J10" s="412"/>
      <c r="K10" s="412"/>
      <c r="L10" s="412"/>
    </row>
    <row r="11" spans="2:18" ht="14.25" customHeight="1" thickTop="1" thickBot="1">
      <c r="B11" s="144" t="s">
        <v>330</v>
      </c>
      <c r="C11" s="409" t="s">
        <v>331</v>
      </c>
      <c r="D11" s="409"/>
      <c r="E11" s="409"/>
      <c r="F11" s="409"/>
      <c r="G11" s="410" t="s">
        <v>433</v>
      </c>
      <c r="H11" s="410"/>
      <c r="I11" s="411" t="s">
        <v>332</v>
      </c>
      <c r="J11" s="411"/>
      <c r="K11" s="412" t="s">
        <v>333</v>
      </c>
      <c r="L11" s="412"/>
    </row>
    <row r="12" spans="2:18" ht="14.25" customHeight="1" thickTop="1" thickBot="1">
      <c r="B12" s="144" t="s">
        <v>334</v>
      </c>
      <c r="C12" s="409" t="s">
        <v>335</v>
      </c>
      <c r="D12" s="409"/>
      <c r="E12" s="144" t="s">
        <v>336</v>
      </c>
      <c r="F12" s="145">
        <v>306401</v>
      </c>
      <c r="G12" s="410"/>
      <c r="H12" s="410"/>
      <c r="I12" s="413" t="s">
        <v>434</v>
      </c>
      <c r="J12" s="413"/>
      <c r="K12" s="413" t="s">
        <v>435</v>
      </c>
      <c r="L12" s="413"/>
    </row>
    <row r="13" spans="2:18" ht="17.25" customHeight="1" thickTop="1" thickBot="1">
      <c r="B13" s="412" t="s">
        <v>337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</row>
    <row r="14" spans="2:18" ht="25.5" customHeight="1" thickTop="1" thickBot="1">
      <c r="B14" s="118" t="s">
        <v>338</v>
      </c>
      <c r="C14" s="422" t="s">
        <v>339</v>
      </c>
      <c r="D14" s="422"/>
      <c r="E14" s="422"/>
      <c r="F14" s="118" t="s">
        <v>340</v>
      </c>
      <c r="G14" s="411" t="s">
        <v>341</v>
      </c>
      <c r="H14" s="411"/>
      <c r="I14" s="411"/>
      <c r="J14" s="404" t="s">
        <v>342</v>
      </c>
      <c r="K14" s="404"/>
      <c r="L14" s="404"/>
      <c r="R14" s="159" t="s">
        <v>463</v>
      </c>
    </row>
    <row r="15" spans="2:18" ht="14.1" customHeight="1" thickTop="1" thickBot="1">
      <c r="B15" s="140" t="s">
        <v>436</v>
      </c>
      <c r="C15" s="419"/>
      <c r="D15" s="419"/>
      <c r="E15" s="419"/>
      <c r="F15" s="119"/>
      <c r="G15" s="420">
        <f>SUM('GA55'!BZ12:BZ14)</f>
        <v>6000</v>
      </c>
      <c r="H15" s="420"/>
      <c r="I15" s="420"/>
      <c r="J15" s="421">
        <f>G15+F15</f>
        <v>6000</v>
      </c>
      <c r="K15" s="421"/>
      <c r="L15" s="421"/>
      <c r="R15" s="158" t="s">
        <v>464</v>
      </c>
    </row>
    <row r="16" spans="2:18" ht="14.1" customHeight="1" thickTop="1" thickBot="1">
      <c r="B16" s="140" t="s">
        <v>437</v>
      </c>
      <c r="C16" s="419"/>
      <c r="D16" s="419"/>
      <c r="E16" s="419"/>
      <c r="F16" s="119"/>
      <c r="G16" s="420">
        <f>SUM('GA55'!BZ15:BZ17)</f>
        <v>6000</v>
      </c>
      <c r="H16" s="420"/>
      <c r="I16" s="420"/>
      <c r="J16" s="421">
        <f t="shared" ref="J16:J18" si="0">G16+F16</f>
        <v>6000</v>
      </c>
      <c r="K16" s="421"/>
      <c r="L16" s="421"/>
    </row>
    <row r="17" spans="2:12" ht="14.1" customHeight="1" thickTop="1" thickBot="1">
      <c r="B17" s="146" t="s">
        <v>438</v>
      </c>
      <c r="C17" s="419"/>
      <c r="D17" s="419"/>
      <c r="E17" s="419"/>
      <c r="F17" s="119"/>
      <c r="G17" s="420">
        <f>SUM('GA55'!BZ18:BZ20)</f>
        <v>6000</v>
      </c>
      <c r="H17" s="420"/>
      <c r="I17" s="420"/>
      <c r="J17" s="421">
        <f t="shared" si="0"/>
        <v>6000</v>
      </c>
      <c r="K17" s="421"/>
      <c r="L17" s="421"/>
    </row>
    <row r="18" spans="2:12" ht="14.1" customHeight="1" thickTop="1" thickBot="1">
      <c r="B18" s="146" t="s">
        <v>439</v>
      </c>
      <c r="C18" s="419"/>
      <c r="D18" s="419"/>
      <c r="E18" s="419"/>
      <c r="F18" s="119"/>
      <c r="G18" s="420">
        <f>SUM('GA55'!BZ21:BZ23)+SUM('GA55'!BZ33)</f>
        <v>6000</v>
      </c>
      <c r="H18" s="420"/>
      <c r="I18" s="420"/>
      <c r="J18" s="421">
        <f t="shared" si="0"/>
        <v>6000</v>
      </c>
      <c r="K18" s="421"/>
      <c r="L18" s="421"/>
    </row>
    <row r="19" spans="2:12" ht="15.95" customHeight="1" thickTop="1" thickBot="1">
      <c r="B19" s="412" t="s">
        <v>343</v>
      </c>
      <c r="C19" s="412"/>
      <c r="D19" s="412"/>
      <c r="E19" s="412"/>
      <c r="F19" s="120">
        <f>SUM(F15:F18)</f>
        <v>0</v>
      </c>
      <c r="G19" s="431">
        <f>SUM(G15:G18)</f>
        <v>24000</v>
      </c>
      <c r="H19" s="431"/>
      <c r="I19" s="431"/>
      <c r="J19" s="431">
        <f>SUM(J15:J18)</f>
        <v>24000</v>
      </c>
      <c r="K19" s="431"/>
      <c r="L19" s="431"/>
    </row>
    <row r="20" spans="2:12" ht="18" customHeight="1" thickTop="1">
      <c r="B20" s="423" t="s">
        <v>344</v>
      </c>
      <c r="C20" s="424"/>
      <c r="D20" s="424"/>
      <c r="E20" s="424"/>
      <c r="F20" s="424"/>
      <c r="G20" s="424"/>
      <c r="H20" s="424"/>
      <c r="I20" s="424"/>
      <c r="J20" s="424"/>
      <c r="K20" s="424"/>
      <c r="L20" s="425"/>
    </row>
    <row r="21" spans="2:12" ht="18" customHeight="1" thickBot="1">
      <c r="B21" s="426" t="s">
        <v>345</v>
      </c>
      <c r="C21" s="427"/>
      <c r="D21" s="427"/>
      <c r="E21" s="427"/>
      <c r="F21" s="427"/>
      <c r="G21" s="427"/>
      <c r="H21" s="427"/>
      <c r="I21" s="427"/>
      <c r="J21" s="427"/>
      <c r="K21" s="427"/>
      <c r="L21" s="428"/>
    </row>
    <row r="22" spans="2:12" ht="15" customHeight="1" thickTop="1" thickBot="1">
      <c r="B22" s="429" t="s">
        <v>247</v>
      </c>
      <c r="C22" s="430" t="s">
        <v>346</v>
      </c>
      <c r="D22" s="430"/>
      <c r="E22" s="430" t="s">
        <v>347</v>
      </c>
      <c r="F22" s="430"/>
      <c r="G22" s="430"/>
      <c r="H22" s="430"/>
      <c r="I22" s="430"/>
      <c r="J22" s="430"/>
      <c r="K22" s="430"/>
      <c r="L22" s="430"/>
    </row>
    <row r="23" spans="2:12" ht="26.25" customHeight="1" thickTop="1" thickBot="1">
      <c r="B23" s="429"/>
      <c r="C23" s="430"/>
      <c r="D23" s="430"/>
      <c r="E23" s="121" t="s">
        <v>348</v>
      </c>
      <c r="F23" s="121" t="s">
        <v>349</v>
      </c>
      <c r="G23" s="430" t="s">
        <v>350</v>
      </c>
      <c r="H23" s="430"/>
      <c r="I23" s="430"/>
      <c r="J23" s="430" t="s">
        <v>351</v>
      </c>
      <c r="K23" s="430"/>
      <c r="L23" s="430"/>
    </row>
    <row r="24" spans="2:12" ht="14.1" customHeight="1" thickTop="1" thickBot="1">
      <c r="B24" s="122">
        <v>1</v>
      </c>
      <c r="C24" s="432">
        <f>'GA55'!BZ12</f>
        <v>2000</v>
      </c>
      <c r="D24" s="432"/>
      <c r="E24" s="123"/>
      <c r="F24" s="123"/>
      <c r="G24" s="433"/>
      <c r="H24" s="433"/>
      <c r="I24" s="433"/>
      <c r="J24" s="434" t="str">
        <f>IF(E24&gt;"0","Yes","-")</f>
        <v>-</v>
      </c>
      <c r="K24" s="434"/>
      <c r="L24" s="434"/>
    </row>
    <row r="25" spans="2:12" ht="14.1" customHeight="1" thickTop="1" thickBot="1">
      <c r="B25" s="122">
        <v>2</v>
      </c>
      <c r="C25" s="432">
        <f>'GA55'!BZ13</f>
        <v>2000</v>
      </c>
      <c r="D25" s="432"/>
      <c r="E25" s="123"/>
      <c r="F25" s="123"/>
      <c r="G25" s="433"/>
      <c r="H25" s="433"/>
      <c r="I25" s="433"/>
      <c r="J25" s="434" t="str">
        <f t="shared" ref="J25:J36" si="1">IF(E25&gt;"0","Yes","-")</f>
        <v>-</v>
      </c>
      <c r="K25" s="434"/>
      <c r="L25" s="434"/>
    </row>
    <row r="26" spans="2:12" ht="14.1" customHeight="1" thickTop="1" thickBot="1">
      <c r="B26" s="122">
        <v>3</v>
      </c>
      <c r="C26" s="432">
        <f>'GA55'!BZ14</f>
        <v>2000</v>
      </c>
      <c r="D26" s="432"/>
      <c r="E26" s="123"/>
      <c r="F26" s="123"/>
      <c r="G26" s="433"/>
      <c r="H26" s="433"/>
      <c r="I26" s="433"/>
      <c r="J26" s="434" t="str">
        <f t="shared" si="1"/>
        <v>-</v>
      </c>
      <c r="K26" s="434"/>
      <c r="L26" s="434"/>
    </row>
    <row r="27" spans="2:12" ht="14.1" customHeight="1" thickTop="1" thickBot="1">
      <c r="B27" s="122">
        <v>4</v>
      </c>
      <c r="C27" s="432">
        <f>'GA55'!BZ15</f>
        <v>2000</v>
      </c>
      <c r="D27" s="432"/>
      <c r="E27" s="123"/>
      <c r="F27" s="123"/>
      <c r="G27" s="433"/>
      <c r="H27" s="433"/>
      <c r="I27" s="433"/>
      <c r="J27" s="434" t="str">
        <f t="shared" si="1"/>
        <v>-</v>
      </c>
      <c r="K27" s="434"/>
      <c r="L27" s="434"/>
    </row>
    <row r="28" spans="2:12" ht="14.1" customHeight="1" thickTop="1" thickBot="1">
      <c r="B28" s="122">
        <v>5</v>
      </c>
      <c r="C28" s="432">
        <f>'GA55'!BZ16</f>
        <v>2000</v>
      </c>
      <c r="D28" s="432"/>
      <c r="E28" s="123"/>
      <c r="F28" s="123"/>
      <c r="G28" s="433"/>
      <c r="H28" s="433"/>
      <c r="I28" s="433"/>
      <c r="J28" s="434" t="str">
        <f t="shared" si="1"/>
        <v>-</v>
      </c>
      <c r="K28" s="434"/>
      <c r="L28" s="434"/>
    </row>
    <row r="29" spans="2:12" ht="14.1" customHeight="1" thickTop="1" thickBot="1">
      <c r="B29" s="122">
        <v>6</v>
      </c>
      <c r="C29" s="432">
        <f>'GA55'!BZ17</f>
        <v>2000</v>
      </c>
      <c r="D29" s="432"/>
      <c r="E29" s="123"/>
      <c r="F29" s="123"/>
      <c r="G29" s="433"/>
      <c r="H29" s="433"/>
      <c r="I29" s="433"/>
      <c r="J29" s="434" t="str">
        <f t="shared" si="1"/>
        <v>-</v>
      </c>
      <c r="K29" s="434"/>
      <c r="L29" s="434"/>
    </row>
    <row r="30" spans="2:12" ht="14.1" customHeight="1" thickTop="1" thickBot="1">
      <c r="B30" s="122">
        <v>7</v>
      </c>
      <c r="C30" s="432">
        <f>'GA55'!BZ18</f>
        <v>2000</v>
      </c>
      <c r="D30" s="432"/>
      <c r="E30" s="123"/>
      <c r="F30" s="123"/>
      <c r="G30" s="433"/>
      <c r="H30" s="433"/>
      <c r="I30" s="433"/>
      <c r="J30" s="434" t="str">
        <f t="shared" si="1"/>
        <v>-</v>
      </c>
      <c r="K30" s="434"/>
      <c r="L30" s="434"/>
    </row>
    <row r="31" spans="2:12" ht="14.1" customHeight="1" thickTop="1" thickBot="1">
      <c r="B31" s="122">
        <v>8</v>
      </c>
      <c r="C31" s="432">
        <f>'GA55'!BZ19</f>
        <v>2000</v>
      </c>
      <c r="D31" s="432"/>
      <c r="E31" s="123"/>
      <c r="F31" s="123"/>
      <c r="G31" s="433"/>
      <c r="H31" s="433"/>
      <c r="I31" s="433"/>
      <c r="J31" s="434" t="str">
        <f t="shared" si="1"/>
        <v>-</v>
      </c>
      <c r="K31" s="434"/>
      <c r="L31" s="434"/>
    </row>
    <row r="32" spans="2:12" ht="14.1" customHeight="1" thickTop="1" thickBot="1">
      <c r="B32" s="122">
        <v>9</v>
      </c>
      <c r="C32" s="432">
        <f>'GA55'!BZ20</f>
        <v>2000</v>
      </c>
      <c r="D32" s="432"/>
      <c r="E32" s="123"/>
      <c r="F32" s="123"/>
      <c r="G32" s="433"/>
      <c r="H32" s="433"/>
      <c r="I32" s="433"/>
      <c r="J32" s="434" t="str">
        <f t="shared" si="1"/>
        <v>-</v>
      </c>
      <c r="K32" s="434"/>
      <c r="L32" s="434"/>
    </row>
    <row r="33" spans="2:12" ht="14.1" customHeight="1" thickTop="1" thickBot="1">
      <c r="B33" s="122">
        <v>10</v>
      </c>
      <c r="C33" s="432">
        <f>'GA55'!BZ21</f>
        <v>2000</v>
      </c>
      <c r="D33" s="432"/>
      <c r="E33" s="123"/>
      <c r="F33" s="123"/>
      <c r="G33" s="433"/>
      <c r="H33" s="433"/>
      <c r="I33" s="433"/>
      <c r="J33" s="434" t="str">
        <f t="shared" si="1"/>
        <v>-</v>
      </c>
      <c r="K33" s="434"/>
      <c r="L33" s="434"/>
    </row>
    <row r="34" spans="2:12" ht="14.1" customHeight="1" thickTop="1" thickBot="1">
      <c r="B34" s="122">
        <v>11</v>
      </c>
      <c r="C34" s="432">
        <f>'GA55'!BZ22</f>
        <v>2000</v>
      </c>
      <c r="D34" s="432"/>
      <c r="E34" s="123"/>
      <c r="F34" s="123"/>
      <c r="G34" s="433"/>
      <c r="H34" s="433"/>
      <c r="I34" s="433"/>
      <c r="J34" s="434" t="str">
        <f t="shared" si="1"/>
        <v>-</v>
      </c>
      <c r="K34" s="434"/>
      <c r="L34" s="434"/>
    </row>
    <row r="35" spans="2:12" ht="14.1" customHeight="1" thickTop="1" thickBot="1">
      <c r="B35" s="122">
        <v>12</v>
      </c>
      <c r="C35" s="432">
        <f>'GA55'!BZ23</f>
        <v>2000</v>
      </c>
      <c r="D35" s="432"/>
      <c r="E35" s="123"/>
      <c r="F35" s="123"/>
      <c r="G35" s="433"/>
      <c r="H35" s="433"/>
      <c r="I35" s="433"/>
      <c r="J35" s="434" t="str">
        <f t="shared" si="1"/>
        <v>-</v>
      </c>
      <c r="K35" s="434"/>
      <c r="L35" s="434"/>
    </row>
    <row r="36" spans="2:12" ht="14.1" customHeight="1" thickTop="1" thickBot="1">
      <c r="B36" s="122">
        <v>13</v>
      </c>
      <c r="C36" s="432">
        <f>'GA55'!BZ33</f>
        <v>0</v>
      </c>
      <c r="D36" s="432"/>
      <c r="E36" s="123"/>
      <c r="F36" s="123"/>
      <c r="G36" s="433"/>
      <c r="H36" s="433"/>
      <c r="I36" s="433"/>
      <c r="J36" s="434" t="str">
        <f t="shared" si="1"/>
        <v>-</v>
      </c>
      <c r="K36" s="434"/>
      <c r="L36" s="434"/>
    </row>
    <row r="37" spans="2:12" ht="15" customHeight="1" thickTop="1" thickBot="1">
      <c r="B37" s="124" t="s">
        <v>352</v>
      </c>
      <c r="C37" s="437">
        <f>SUM(C24:D36)</f>
        <v>24000</v>
      </c>
      <c r="D37" s="437"/>
      <c r="E37" s="438"/>
      <c r="F37" s="438"/>
      <c r="G37" s="438"/>
      <c r="H37" s="438"/>
      <c r="I37" s="438"/>
      <c r="J37" s="438"/>
      <c r="K37" s="438"/>
      <c r="L37" s="438"/>
    </row>
    <row r="38" spans="2:12" ht="18" customHeight="1" thickTop="1" thickBot="1">
      <c r="B38" s="439" t="s">
        <v>440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</row>
    <row r="39" spans="2:12" ht="18" customHeight="1" thickTop="1" thickBot="1">
      <c r="B39" s="440" t="s">
        <v>441</v>
      </c>
      <c r="C39" s="440"/>
      <c r="D39" s="440"/>
      <c r="E39" s="440"/>
      <c r="F39" s="440"/>
      <c r="G39" s="440"/>
      <c r="H39" s="440"/>
      <c r="I39" s="440"/>
      <c r="J39" s="440"/>
      <c r="K39" s="440"/>
      <c r="L39" s="440"/>
    </row>
    <row r="40" spans="2:12" ht="18" customHeight="1" thickTop="1" thickBot="1">
      <c r="B40" s="435" t="s">
        <v>247</v>
      </c>
      <c r="C40" s="436" t="s">
        <v>442</v>
      </c>
      <c r="D40" s="436"/>
      <c r="E40" s="435" t="s">
        <v>443</v>
      </c>
      <c r="F40" s="435"/>
      <c r="G40" s="435"/>
      <c r="H40" s="435"/>
      <c r="I40" s="435"/>
      <c r="J40" s="435"/>
      <c r="K40" s="435"/>
      <c r="L40" s="435"/>
    </row>
    <row r="41" spans="2:12" ht="39" customHeight="1" thickTop="1" thickBot="1">
      <c r="B41" s="435"/>
      <c r="C41" s="436"/>
      <c r="D41" s="436"/>
      <c r="E41" s="435" t="s">
        <v>444</v>
      </c>
      <c r="F41" s="435"/>
      <c r="G41" s="435" t="s">
        <v>445</v>
      </c>
      <c r="H41" s="435"/>
      <c r="I41" s="435" t="s">
        <v>446</v>
      </c>
      <c r="J41" s="435"/>
      <c r="K41" s="435" t="s">
        <v>447</v>
      </c>
      <c r="L41" s="435"/>
    </row>
    <row r="42" spans="2:12" ht="14.1" customHeight="1" thickTop="1" thickBot="1">
      <c r="B42" s="147">
        <v>1</v>
      </c>
      <c r="C42" s="459"/>
      <c r="D42" s="459"/>
      <c r="E42" s="460"/>
      <c r="F42" s="460"/>
      <c r="G42" s="461"/>
      <c r="H42" s="461"/>
      <c r="I42" s="457"/>
      <c r="J42" s="457"/>
      <c r="K42" s="458" t="str">
        <f>IF(C42&gt;"0","Yes","-")</f>
        <v>-</v>
      </c>
      <c r="L42" s="458"/>
    </row>
    <row r="43" spans="2:12" ht="14.1" customHeight="1" thickTop="1" thickBot="1">
      <c r="B43" s="147">
        <v>2</v>
      </c>
      <c r="C43" s="459"/>
      <c r="D43" s="459"/>
      <c r="E43" s="460"/>
      <c r="F43" s="460"/>
      <c r="G43" s="461"/>
      <c r="H43" s="461"/>
      <c r="I43" s="457"/>
      <c r="J43" s="457"/>
      <c r="K43" s="458" t="str">
        <f t="shared" ref="K43:K53" si="2">IF(C43&gt;"0","Yes","-")</f>
        <v>-</v>
      </c>
      <c r="L43" s="458"/>
    </row>
    <row r="44" spans="2:12" ht="14.1" customHeight="1" thickTop="1" thickBot="1">
      <c r="B44" s="147">
        <v>3</v>
      </c>
      <c r="C44" s="459"/>
      <c r="D44" s="459"/>
      <c r="E44" s="460"/>
      <c r="F44" s="460"/>
      <c r="G44" s="461"/>
      <c r="H44" s="461"/>
      <c r="I44" s="457"/>
      <c r="J44" s="457"/>
      <c r="K44" s="458" t="str">
        <f t="shared" si="2"/>
        <v>-</v>
      </c>
      <c r="L44" s="458"/>
    </row>
    <row r="45" spans="2:12" ht="14.1" customHeight="1" thickTop="1" thickBot="1">
      <c r="B45" s="147">
        <v>4</v>
      </c>
      <c r="C45" s="459"/>
      <c r="D45" s="459"/>
      <c r="E45" s="460"/>
      <c r="F45" s="460"/>
      <c r="G45" s="461"/>
      <c r="H45" s="461"/>
      <c r="I45" s="457"/>
      <c r="J45" s="457"/>
      <c r="K45" s="458" t="str">
        <f t="shared" si="2"/>
        <v>-</v>
      </c>
      <c r="L45" s="458"/>
    </row>
    <row r="46" spans="2:12" ht="14.1" customHeight="1" thickTop="1" thickBot="1">
      <c r="B46" s="147">
        <v>5</v>
      </c>
      <c r="C46" s="459"/>
      <c r="D46" s="459"/>
      <c r="E46" s="460"/>
      <c r="F46" s="460"/>
      <c r="G46" s="461"/>
      <c r="H46" s="461"/>
      <c r="I46" s="457"/>
      <c r="J46" s="457"/>
      <c r="K46" s="458" t="str">
        <f t="shared" si="2"/>
        <v>-</v>
      </c>
      <c r="L46" s="458"/>
    </row>
    <row r="47" spans="2:12" ht="14.1" customHeight="1" thickTop="1" thickBot="1">
      <c r="B47" s="147">
        <v>6</v>
      </c>
      <c r="C47" s="459"/>
      <c r="D47" s="459"/>
      <c r="E47" s="460"/>
      <c r="F47" s="460"/>
      <c r="G47" s="461"/>
      <c r="H47" s="461"/>
      <c r="I47" s="457"/>
      <c r="J47" s="457"/>
      <c r="K47" s="458" t="str">
        <f t="shared" si="2"/>
        <v>-</v>
      </c>
      <c r="L47" s="458"/>
    </row>
    <row r="48" spans="2:12" ht="14.1" customHeight="1" thickTop="1" thickBot="1">
      <c r="B48" s="147">
        <v>7</v>
      </c>
      <c r="C48" s="459"/>
      <c r="D48" s="459"/>
      <c r="E48" s="460"/>
      <c r="F48" s="460"/>
      <c r="G48" s="461"/>
      <c r="H48" s="461"/>
      <c r="I48" s="457"/>
      <c r="J48" s="457"/>
      <c r="K48" s="458" t="str">
        <f t="shared" si="2"/>
        <v>-</v>
      </c>
      <c r="L48" s="458"/>
    </row>
    <row r="49" spans="2:12" ht="14.1" customHeight="1" thickTop="1" thickBot="1">
      <c r="B49" s="147">
        <v>8</v>
      </c>
      <c r="C49" s="459"/>
      <c r="D49" s="459"/>
      <c r="E49" s="460"/>
      <c r="F49" s="460"/>
      <c r="G49" s="461"/>
      <c r="H49" s="461"/>
      <c r="I49" s="457"/>
      <c r="J49" s="457"/>
      <c r="K49" s="458" t="str">
        <f t="shared" si="2"/>
        <v>-</v>
      </c>
      <c r="L49" s="458"/>
    </row>
    <row r="50" spans="2:12" ht="14.1" customHeight="1" thickTop="1" thickBot="1">
      <c r="B50" s="147">
        <v>9</v>
      </c>
      <c r="C50" s="459"/>
      <c r="D50" s="459"/>
      <c r="E50" s="460"/>
      <c r="F50" s="460"/>
      <c r="G50" s="461"/>
      <c r="H50" s="461"/>
      <c r="I50" s="457"/>
      <c r="J50" s="457"/>
      <c r="K50" s="458" t="str">
        <f t="shared" si="2"/>
        <v>-</v>
      </c>
      <c r="L50" s="458"/>
    </row>
    <row r="51" spans="2:12" ht="14.1" customHeight="1" thickTop="1" thickBot="1">
      <c r="B51" s="147">
        <v>10</v>
      </c>
      <c r="C51" s="459"/>
      <c r="D51" s="459"/>
      <c r="E51" s="460"/>
      <c r="F51" s="460"/>
      <c r="G51" s="461"/>
      <c r="H51" s="461"/>
      <c r="I51" s="457"/>
      <c r="J51" s="457"/>
      <c r="K51" s="458" t="str">
        <f t="shared" si="2"/>
        <v>-</v>
      </c>
      <c r="L51" s="458"/>
    </row>
    <row r="52" spans="2:12" ht="14.1" customHeight="1" thickTop="1" thickBot="1">
      <c r="B52" s="147">
        <v>11</v>
      </c>
      <c r="C52" s="459"/>
      <c r="D52" s="459"/>
      <c r="E52" s="460"/>
      <c r="F52" s="460"/>
      <c r="G52" s="461"/>
      <c r="H52" s="461"/>
      <c r="I52" s="457"/>
      <c r="J52" s="457"/>
      <c r="K52" s="458" t="str">
        <f t="shared" si="2"/>
        <v>-</v>
      </c>
      <c r="L52" s="458"/>
    </row>
    <row r="53" spans="2:12" ht="14.1" customHeight="1" thickTop="1" thickBot="1">
      <c r="B53" s="147">
        <v>12</v>
      </c>
      <c r="C53" s="459"/>
      <c r="D53" s="459"/>
      <c r="E53" s="460"/>
      <c r="F53" s="460"/>
      <c r="G53" s="461"/>
      <c r="H53" s="461"/>
      <c r="I53" s="457"/>
      <c r="J53" s="457"/>
      <c r="K53" s="458" t="str">
        <f t="shared" si="2"/>
        <v>-</v>
      </c>
      <c r="L53" s="458"/>
    </row>
    <row r="54" spans="2:12" ht="15.95" customHeight="1" thickTop="1" thickBot="1">
      <c r="B54" s="148" t="s">
        <v>352</v>
      </c>
      <c r="C54" s="462">
        <f>SUM(C42:D53)</f>
        <v>0</v>
      </c>
      <c r="D54" s="462"/>
      <c r="E54" s="462"/>
      <c r="F54" s="462"/>
      <c r="G54" s="462"/>
      <c r="H54" s="462"/>
      <c r="I54" s="462"/>
      <c r="J54" s="462"/>
      <c r="K54" s="462"/>
      <c r="L54" s="462"/>
    </row>
    <row r="55" spans="2:12" ht="18" customHeight="1" thickTop="1">
      <c r="B55" s="469" t="s">
        <v>448</v>
      </c>
      <c r="C55" s="469"/>
      <c r="D55" s="469"/>
      <c r="E55" s="469"/>
      <c r="F55" s="469"/>
      <c r="G55" s="469"/>
      <c r="H55" s="469"/>
      <c r="I55" s="469"/>
      <c r="J55" s="469"/>
      <c r="K55" s="469"/>
      <c r="L55" s="469"/>
    </row>
    <row r="56" spans="2:12" ht="15.95" customHeight="1">
      <c r="B56" s="470" t="s">
        <v>353</v>
      </c>
      <c r="C56" s="470"/>
      <c r="D56" s="470"/>
      <c r="E56" s="470"/>
      <c r="F56" s="470"/>
      <c r="G56" s="470"/>
      <c r="H56" s="470"/>
      <c r="I56" s="470"/>
      <c r="J56" s="470"/>
      <c r="K56" s="470"/>
      <c r="L56" s="470"/>
    </row>
    <row r="57" spans="2:12" ht="18" customHeight="1">
      <c r="B57" s="125" t="s">
        <v>354</v>
      </c>
      <c r="C57" s="471" t="str">
        <f>B6&amp;","</f>
        <v>USHA PALIYA,</v>
      </c>
      <c r="D57" s="471"/>
      <c r="E57" s="471"/>
      <c r="F57" s="126" t="s">
        <v>355</v>
      </c>
      <c r="G57" s="472"/>
      <c r="H57" s="472"/>
      <c r="I57" s="472"/>
      <c r="J57" s="472"/>
      <c r="K57" s="473" t="s">
        <v>356</v>
      </c>
      <c r="L57" s="473"/>
    </row>
    <row r="58" spans="2:12" ht="18" customHeight="1">
      <c r="B58" s="477" t="s">
        <v>357</v>
      </c>
      <c r="C58" s="477"/>
      <c r="D58" s="472" t="s">
        <v>488</v>
      </c>
      <c r="E58" s="472"/>
      <c r="F58" s="472"/>
      <c r="G58" s="474" t="s">
        <v>358</v>
      </c>
      <c r="H58" s="474"/>
      <c r="I58" s="474"/>
      <c r="J58" s="474"/>
      <c r="K58" s="474"/>
      <c r="L58" s="474"/>
    </row>
    <row r="59" spans="2:12" ht="18" customHeight="1">
      <c r="B59" s="127" t="s">
        <v>461</v>
      </c>
      <c r="C59" s="157">
        <f>J19</f>
        <v>24000</v>
      </c>
      <c r="D59" s="476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Twenty-Four Thousand  Rupees</v>
      </c>
      <c r="E59" s="476"/>
      <c r="F59" s="476"/>
      <c r="G59" s="476"/>
      <c r="H59" s="476"/>
      <c r="I59" s="463" t="s">
        <v>360</v>
      </c>
      <c r="J59" s="463"/>
      <c r="K59" s="463"/>
      <c r="L59" s="463"/>
    </row>
    <row r="60" spans="2:12" ht="18" customHeight="1">
      <c r="B60" s="464" t="s">
        <v>361</v>
      </c>
      <c r="C60" s="464"/>
      <c r="D60" s="464"/>
      <c r="E60" s="464"/>
      <c r="F60" s="464"/>
      <c r="G60" s="464"/>
      <c r="H60" s="464"/>
      <c r="I60" s="464"/>
      <c r="J60" s="464"/>
      <c r="K60" s="464"/>
      <c r="L60" s="464"/>
    </row>
    <row r="61" spans="2:12" ht="18" customHeight="1">
      <c r="B61" s="464" t="s">
        <v>362</v>
      </c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2" ht="18" customHeight="1">
      <c r="B62" s="466" t="s">
        <v>363</v>
      </c>
      <c r="C62" s="466"/>
      <c r="D62" s="475" t="str">
        <f>G7</f>
        <v>PS KOTWALI</v>
      </c>
      <c r="E62" s="475"/>
      <c r="F62" s="465"/>
      <c r="G62" s="465"/>
      <c r="H62" s="465"/>
      <c r="I62" s="465"/>
      <c r="J62" s="465"/>
      <c r="K62" s="465"/>
      <c r="L62" s="465"/>
    </row>
    <row r="63" spans="2:12" ht="18" customHeight="1">
      <c r="B63" s="466" t="s">
        <v>364</v>
      </c>
      <c r="C63" s="466"/>
      <c r="D63" s="467">
        <f ca="1">TODAY()</f>
        <v>44891</v>
      </c>
      <c r="E63" s="467"/>
      <c r="F63" s="468" t="s">
        <v>365</v>
      </c>
      <c r="G63" s="468"/>
      <c r="H63" s="468"/>
      <c r="I63" s="468"/>
      <c r="J63" s="468"/>
      <c r="K63" s="468"/>
      <c r="L63" s="468"/>
    </row>
    <row r="64" spans="2:12" ht="18" customHeight="1">
      <c r="B64" s="466" t="s">
        <v>366</v>
      </c>
      <c r="C64" s="466"/>
      <c r="D64" s="478" t="str">
        <f>D58</f>
        <v>Superintendent of Police</v>
      </c>
      <c r="E64" s="478"/>
      <c r="F64" s="128" t="s">
        <v>367</v>
      </c>
      <c r="G64" s="479" t="str">
        <f>B6</f>
        <v>USHA PALIYA</v>
      </c>
      <c r="H64" s="479"/>
      <c r="I64" s="479"/>
      <c r="J64" s="479"/>
      <c r="K64" s="479"/>
      <c r="L64" s="479"/>
    </row>
    <row r="65" spans="2:13" ht="18" customHeight="1" thickBot="1">
      <c r="B65" s="480" t="s">
        <v>368</v>
      </c>
      <c r="C65" s="480"/>
      <c r="D65" s="480"/>
      <c r="E65" s="480"/>
      <c r="F65" s="480"/>
      <c r="G65" s="480"/>
      <c r="H65" s="480"/>
      <c r="I65" s="480"/>
      <c r="J65" s="480"/>
      <c r="K65" s="480"/>
      <c r="L65" s="480"/>
      <c r="M65" s="129"/>
    </row>
    <row r="66" spans="2:13" ht="18.75" customHeight="1" thickTop="1" thickBot="1">
      <c r="B66" s="452" t="s">
        <v>369</v>
      </c>
      <c r="C66" s="452"/>
      <c r="D66" s="452"/>
      <c r="E66" s="452"/>
      <c r="F66" s="452"/>
      <c r="G66" s="452"/>
      <c r="H66" s="452"/>
      <c r="I66" s="452"/>
      <c r="J66" s="452"/>
      <c r="K66" s="452"/>
      <c r="L66" s="452"/>
      <c r="M66" s="129"/>
    </row>
    <row r="67" spans="2:13" ht="14.1" customHeight="1" thickTop="1" thickBot="1">
      <c r="B67" s="453" t="s">
        <v>370</v>
      </c>
      <c r="C67" s="453"/>
      <c r="D67" s="453"/>
      <c r="E67" s="453"/>
      <c r="F67" s="453"/>
      <c r="G67" s="487"/>
      <c r="H67" s="487"/>
      <c r="I67" s="481"/>
      <c r="J67" s="481"/>
      <c r="K67" s="482"/>
      <c r="L67" s="482"/>
    </row>
    <row r="68" spans="2:13" ht="14.1" customHeight="1" thickTop="1" thickBot="1">
      <c r="B68" s="448" t="s">
        <v>371</v>
      </c>
      <c r="C68" s="448"/>
      <c r="D68" s="448"/>
      <c r="E68" s="448"/>
      <c r="F68" s="448"/>
      <c r="G68" s="442">
        <f>COMPUTATION!O4</f>
        <v>821211</v>
      </c>
      <c r="H68" s="442"/>
      <c r="I68" s="481"/>
      <c r="J68" s="481"/>
      <c r="K68" s="482"/>
      <c r="L68" s="482"/>
    </row>
    <row r="69" spans="2:13" ht="14.1" customHeight="1" thickTop="1" thickBot="1">
      <c r="B69" s="484" t="s">
        <v>372</v>
      </c>
      <c r="C69" s="484"/>
      <c r="D69" s="484"/>
      <c r="E69" s="484"/>
      <c r="F69" s="484"/>
      <c r="G69" s="483"/>
      <c r="H69" s="483"/>
      <c r="I69" s="481"/>
      <c r="J69" s="481"/>
      <c r="K69" s="482"/>
      <c r="L69" s="482"/>
    </row>
    <row r="70" spans="2:13" ht="14.1" customHeight="1" thickTop="1" thickBot="1">
      <c r="B70" s="448" t="s">
        <v>373</v>
      </c>
      <c r="C70" s="448"/>
      <c r="D70" s="448"/>
      <c r="E70" s="448"/>
      <c r="F70" s="448"/>
      <c r="G70" s="485">
        <v>0</v>
      </c>
      <c r="H70" s="485"/>
      <c r="I70" s="481"/>
      <c r="J70" s="481"/>
      <c r="K70" s="482"/>
      <c r="L70" s="482"/>
    </row>
    <row r="71" spans="2:13" ht="14.1" customHeight="1" thickTop="1" thickBot="1">
      <c r="B71" s="450" t="s">
        <v>374</v>
      </c>
      <c r="C71" s="450"/>
      <c r="D71" s="450"/>
      <c r="E71" s="450"/>
      <c r="F71" s="450"/>
      <c r="G71" s="449"/>
      <c r="H71" s="449"/>
      <c r="I71" s="486">
        <f>G68+G69+G70</f>
        <v>821211</v>
      </c>
      <c r="J71" s="486"/>
      <c r="K71" s="482"/>
      <c r="L71" s="482"/>
    </row>
    <row r="72" spans="2:13" ht="14.1" customHeight="1" thickTop="1" thickBot="1">
      <c r="B72" s="448" t="s">
        <v>375</v>
      </c>
      <c r="C72" s="448"/>
      <c r="D72" s="448"/>
      <c r="E72" s="448"/>
      <c r="F72" s="448"/>
      <c r="G72" s="449"/>
      <c r="H72" s="449"/>
      <c r="I72" s="454"/>
      <c r="J72" s="454"/>
      <c r="K72" s="482"/>
      <c r="L72" s="482"/>
    </row>
    <row r="73" spans="2:13" ht="14.1" customHeight="1" thickTop="1" thickBot="1">
      <c r="B73" s="489" t="s">
        <v>376</v>
      </c>
      <c r="C73" s="490"/>
      <c r="D73" s="490"/>
      <c r="E73" s="490"/>
      <c r="F73" s="491"/>
      <c r="G73" s="449"/>
      <c r="H73" s="449"/>
      <c r="I73" s="454"/>
      <c r="J73" s="454"/>
      <c r="K73" s="482"/>
      <c r="L73" s="482"/>
    </row>
    <row r="74" spans="2:13" ht="14.1" customHeight="1" thickTop="1" thickBot="1">
      <c r="B74" s="451" t="s">
        <v>377</v>
      </c>
      <c r="C74" s="451"/>
      <c r="D74" s="451"/>
      <c r="E74" s="130">
        <f>COMPUTATION!O5</f>
        <v>0</v>
      </c>
      <c r="F74" s="130">
        <f>E74</f>
        <v>0</v>
      </c>
      <c r="G74" s="449"/>
      <c r="H74" s="449"/>
      <c r="I74" s="454"/>
      <c r="J74" s="454"/>
      <c r="K74" s="482"/>
      <c r="L74" s="482"/>
    </row>
    <row r="75" spans="2:13" ht="14.1" customHeight="1" thickTop="1" thickBot="1">
      <c r="B75" s="452" t="s">
        <v>378</v>
      </c>
      <c r="C75" s="452"/>
      <c r="D75" s="452"/>
      <c r="E75" s="131"/>
      <c r="F75" s="132">
        <v>0</v>
      </c>
      <c r="G75" s="442">
        <f>F74+F75</f>
        <v>0</v>
      </c>
      <c r="H75" s="442"/>
      <c r="I75" s="454"/>
      <c r="J75" s="454"/>
      <c r="K75" s="482"/>
      <c r="L75" s="482"/>
    </row>
    <row r="76" spans="2:13" ht="14.1" customHeight="1" thickTop="1" thickBot="1">
      <c r="B76" s="453" t="s">
        <v>379</v>
      </c>
      <c r="C76" s="453"/>
      <c r="D76" s="453"/>
      <c r="E76" s="453"/>
      <c r="F76" s="453"/>
      <c r="G76" s="454"/>
      <c r="H76" s="454"/>
      <c r="I76" s="486">
        <f>I71-G75</f>
        <v>821211</v>
      </c>
      <c r="J76" s="486"/>
      <c r="K76" s="482"/>
      <c r="L76" s="482"/>
    </row>
    <row r="77" spans="2:13" ht="14.1" customHeight="1" thickTop="1" thickBot="1">
      <c r="B77" s="441" t="s">
        <v>380</v>
      </c>
      <c r="C77" s="441"/>
      <c r="D77" s="441"/>
      <c r="E77" s="441"/>
      <c r="F77" s="441"/>
      <c r="G77" s="454"/>
      <c r="H77" s="454"/>
      <c r="I77" s="492"/>
      <c r="J77" s="493"/>
      <c r="K77" s="482"/>
      <c r="L77" s="482"/>
    </row>
    <row r="78" spans="2:13" ht="14.1" customHeight="1" thickTop="1" thickBot="1">
      <c r="B78" s="488" t="s">
        <v>381</v>
      </c>
      <c r="C78" s="488"/>
      <c r="D78" s="448" t="s">
        <v>382</v>
      </c>
      <c r="E78" s="448"/>
      <c r="F78" s="448"/>
      <c r="G78" s="447">
        <f>COMPUTATION!K9</f>
        <v>50000</v>
      </c>
      <c r="H78" s="447"/>
      <c r="I78" s="494"/>
      <c r="J78" s="495"/>
      <c r="K78" s="482"/>
      <c r="L78" s="482"/>
    </row>
    <row r="79" spans="2:13" ht="14.1" customHeight="1" thickTop="1" thickBot="1">
      <c r="B79" s="488" t="s">
        <v>383</v>
      </c>
      <c r="C79" s="488"/>
      <c r="D79" s="448" t="s">
        <v>384</v>
      </c>
      <c r="E79" s="448"/>
      <c r="F79" s="448"/>
      <c r="G79" s="447">
        <f>COMPUTATION!K7</f>
        <v>0</v>
      </c>
      <c r="H79" s="447"/>
      <c r="I79" s="494"/>
      <c r="J79" s="495"/>
      <c r="K79" s="482"/>
      <c r="L79" s="482"/>
    </row>
    <row r="80" spans="2:13" ht="14.1" customHeight="1" thickTop="1" thickBot="1">
      <c r="B80" s="488" t="s">
        <v>385</v>
      </c>
      <c r="C80" s="488"/>
      <c r="D80" s="448" t="s">
        <v>386</v>
      </c>
      <c r="E80" s="448"/>
      <c r="F80" s="448"/>
      <c r="G80" s="443">
        <f>COMPUTATION!K8</f>
        <v>0</v>
      </c>
      <c r="H80" s="443"/>
      <c r="I80" s="496"/>
      <c r="J80" s="497"/>
      <c r="K80" s="482"/>
      <c r="L80" s="482"/>
    </row>
    <row r="81" spans="2:12" ht="14.1" customHeight="1" thickTop="1" thickBot="1">
      <c r="B81" s="441" t="s">
        <v>387</v>
      </c>
      <c r="C81" s="441"/>
      <c r="D81" s="441"/>
      <c r="E81" s="441"/>
      <c r="F81" s="441"/>
      <c r="G81" s="133"/>
      <c r="H81" s="134"/>
      <c r="I81" s="442">
        <f>G79+G80+G78</f>
        <v>50000</v>
      </c>
      <c r="J81" s="442"/>
      <c r="K81" s="482"/>
      <c r="L81" s="482"/>
    </row>
    <row r="82" spans="2:12" ht="14.1" customHeight="1" thickTop="1" thickBot="1">
      <c r="B82" s="444" t="s">
        <v>449</v>
      </c>
      <c r="C82" s="445"/>
      <c r="D82" s="445"/>
      <c r="E82" s="445"/>
      <c r="F82" s="446"/>
      <c r="G82" s="135"/>
      <c r="H82" s="136"/>
      <c r="I82" s="481"/>
      <c r="J82" s="481"/>
      <c r="K82" s="498">
        <f>I76-I81</f>
        <v>771211</v>
      </c>
      <c r="L82" s="498"/>
    </row>
    <row r="83" spans="2:12" ht="14.1" customHeight="1" thickTop="1" thickBot="1">
      <c r="B83" s="441" t="s">
        <v>450</v>
      </c>
      <c r="C83" s="441"/>
      <c r="D83" s="441"/>
      <c r="E83" s="441"/>
      <c r="F83" s="441"/>
      <c r="G83" s="135"/>
      <c r="H83" s="136"/>
      <c r="I83" s="481"/>
      <c r="J83" s="481"/>
      <c r="K83" s="515"/>
      <c r="L83" s="516"/>
    </row>
    <row r="84" spans="2:12" ht="14.1" customHeight="1" thickTop="1" thickBot="1">
      <c r="B84" s="455" t="s">
        <v>451</v>
      </c>
      <c r="C84" s="456"/>
      <c r="D84" s="455" t="s">
        <v>452</v>
      </c>
      <c r="E84" s="456"/>
      <c r="F84" s="149" t="s">
        <v>453</v>
      </c>
      <c r="G84" s="135"/>
      <c r="H84" s="136"/>
      <c r="I84" s="481"/>
      <c r="J84" s="481"/>
      <c r="K84" s="517"/>
      <c r="L84" s="518"/>
    </row>
    <row r="85" spans="2:12" ht="14.1" customHeight="1" thickTop="1" thickBot="1">
      <c r="B85" s="442">
        <f>COMPUTATION!D13</f>
        <v>0</v>
      </c>
      <c r="C85" s="442"/>
      <c r="D85" s="442">
        <f>COMPUTATION!F13</f>
        <v>53667</v>
      </c>
      <c r="E85" s="442"/>
      <c r="F85" s="132">
        <f>COMPUTATION!I13</f>
        <v>0</v>
      </c>
      <c r="G85" s="447">
        <f>SUM(B85+D85+F85)</f>
        <v>53667</v>
      </c>
      <c r="H85" s="447"/>
      <c r="I85" s="481"/>
      <c r="J85" s="481"/>
      <c r="K85" s="519"/>
      <c r="L85" s="520"/>
    </row>
    <row r="86" spans="2:12" ht="14.1" customHeight="1" thickTop="1" thickBot="1">
      <c r="B86" s="455" t="s">
        <v>454</v>
      </c>
      <c r="C86" s="456"/>
      <c r="D86" s="442">
        <f>COMPUTATION!K11</f>
        <v>0</v>
      </c>
      <c r="E86" s="442"/>
      <c r="F86" s="150" t="s">
        <v>455</v>
      </c>
      <c r="G86" s="447">
        <f>SUM(D86-G85)</f>
        <v>-53667</v>
      </c>
      <c r="H86" s="447"/>
      <c r="I86" s="481"/>
      <c r="J86" s="481"/>
      <c r="K86" s="498">
        <f>K82+G86</f>
        <v>717544</v>
      </c>
      <c r="L86" s="498"/>
    </row>
    <row r="87" spans="2:12" ht="14.1" customHeight="1" thickTop="1" thickBot="1">
      <c r="B87" s="441" t="s">
        <v>388</v>
      </c>
      <c r="C87" s="441"/>
      <c r="D87" s="441"/>
      <c r="E87" s="441"/>
      <c r="F87" s="441"/>
      <c r="G87" s="507"/>
      <c r="H87" s="508"/>
      <c r="I87" s="481"/>
      <c r="J87" s="481"/>
      <c r="K87" s="151"/>
      <c r="L87" s="152"/>
    </row>
    <row r="88" spans="2:12" ht="14.1" customHeight="1" thickTop="1" thickBot="1">
      <c r="B88" s="513" t="s">
        <v>456</v>
      </c>
      <c r="C88" s="513"/>
      <c r="D88" s="513"/>
      <c r="E88" s="513"/>
      <c r="F88" s="137">
        <f>COMPUTATION!I16</f>
        <v>0</v>
      </c>
      <c r="G88" s="509"/>
      <c r="H88" s="510"/>
      <c r="I88" s="481"/>
      <c r="J88" s="481"/>
      <c r="K88" s="151"/>
      <c r="L88" s="152"/>
    </row>
    <row r="89" spans="2:12" ht="14.1" customHeight="1" thickTop="1" thickBot="1">
      <c r="B89" s="513" t="s">
        <v>304</v>
      </c>
      <c r="C89" s="513"/>
      <c r="D89" s="513"/>
      <c r="E89" s="513"/>
      <c r="F89" s="153">
        <f>COMPUTATION!I15</f>
        <v>0</v>
      </c>
      <c r="G89" s="511"/>
      <c r="H89" s="512"/>
      <c r="I89" s="481"/>
      <c r="J89" s="481"/>
      <c r="K89" s="151"/>
      <c r="L89" s="152"/>
    </row>
    <row r="90" spans="2:12" ht="14.1" customHeight="1" thickTop="1" thickBot="1">
      <c r="B90" s="521" t="s">
        <v>389</v>
      </c>
      <c r="C90" s="521"/>
      <c r="D90" s="521"/>
      <c r="E90" s="521"/>
      <c r="F90" s="153">
        <f>COMPUTATION!E15</f>
        <v>2000</v>
      </c>
      <c r="G90" s="447">
        <f>F88+F89+F90</f>
        <v>2000</v>
      </c>
      <c r="H90" s="447"/>
      <c r="I90" s="442">
        <f>F88+F89+F90</f>
        <v>2000</v>
      </c>
      <c r="J90" s="442"/>
      <c r="K90" s="154"/>
      <c r="L90" s="155"/>
    </row>
    <row r="91" spans="2:12" ht="18" customHeight="1" thickTop="1" thickBot="1">
      <c r="B91" s="499" t="s">
        <v>390</v>
      </c>
      <c r="C91" s="500"/>
      <c r="D91" s="500"/>
      <c r="E91" s="500"/>
      <c r="F91" s="500"/>
      <c r="G91" s="500"/>
      <c r="H91" s="500"/>
      <c r="I91" s="500"/>
      <c r="J91" s="501"/>
      <c r="K91" s="498">
        <f>K86+I90</f>
        <v>719544</v>
      </c>
      <c r="L91" s="498"/>
    </row>
    <row r="92" spans="2:12" ht="14.1" customHeight="1" thickTop="1" thickBot="1">
      <c r="B92" s="499" t="s">
        <v>391</v>
      </c>
      <c r="C92" s="500"/>
      <c r="D92" s="500"/>
      <c r="E92" s="500"/>
      <c r="F92" s="500"/>
      <c r="G92" s="500"/>
      <c r="H92" s="500"/>
      <c r="I92" s="500"/>
      <c r="J92" s="500"/>
      <c r="K92" s="500"/>
      <c r="L92" s="501"/>
    </row>
    <row r="93" spans="2:12" ht="14.1" customHeight="1" thickTop="1" thickBot="1">
      <c r="B93" s="502" t="s">
        <v>392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4"/>
    </row>
    <row r="94" spans="2:12" ht="21" customHeight="1" thickTop="1" thickBot="1">
      <c r="B94" s="505" t="s">
        <v>393</v>
      </c>
      <c r="C94" s="505"/>
      <c r="D94" s="505"/>
      <c r="E94" s="505"/>
      <c r="F94" s="505"/>
      <c r="G94" s="514"/>
      <c r="H94" s="514"/>
      <c r="I94" s="506" t="s">
        <v>394</v>
      </c>
      <c r="J94" s="506"/>
      <c r="K94" s="506" t="s">
        <v>395</v>
      </c>
      <c r="L94" s="506"/>
    </row>
    <row r="95" spans="2:12" ht="14.1" customHeight="1" thickTop="1" thickBot="1">
      <c r="B95" s="524" t="s">
        <v>396</v>
      </c>
      <c r="C95" s="138">
        <v>1</v>
      </c>
      <c r="D95" s="525" t="s">
        <v>397</v>
      </c>
      <c r="E95" s="526" t="str">
        <f>COMPUTATION!C25</f>
        <v>सामान्य प्रावधायी निधि  GPF) / GPF - 2004</v>
      </c>
      <c r="F95" s="526"/>
      <c r="G95" s="523">
        <f>COMPUTATION!G25</f>
        <v>69944</v>
      </c>
      <c r="H95" s="523"/>
      <c r="I95" s="527"/>
      <c r="J95" s="528"/>
      <c r="K95" s="539"/>
      <c r="L95" s="540"/>
    </row>
    <row r="96" spans="2:12" ht="14.1" customHeight="1" thickTop="1" thickBot="1">
      <c r="B96" s="524"/>
      <c r="C96" s="138">
        <v>2</v>
      </c>
      <c r="D96" s="525"/>
      <c r="E96" s="533" t="s">
        <v>398</v>
      </c>
      <c r="F96" s="533"/>
      <c r="G96" s="523">
        <f>COMPUTATION!G20</f>
        <v>60000</v>
      </c>
      <c r="H96" s="523"/>
      <c r="I96" s="529"/>
      <c r="J96" s="530"/>
      <c r="K96" s="541"/>
      <c r="L96" s="542"/>
    </row>
    <row r="97" spans="2:12" ht="14.1" customHeight="1" thickTop="1" thickBot="1">
      <c r="B97" s="524"/>
      <c r="C97" s="138">
        <v>3</v>
      </c>
      <c r="D97" s="525"/>
      <c r="E97" s="533" t="s">
        <v>399</v>
      </c>
      <c r="F97" s="533"/>
      <c r="G97" s="523">
        <f>COMPUTATION!G26</f>
        <v>220</v>
      </c>
      <c r="H97" s="523"/>
      <c r="I97" s="529"/>
      <c r="J97" s="530"/>
      <c r="K97" s="541"/>
      <c r="L97" s="542"/>
    </row>
    <row r="98" spans="2:12" ht="14.1" customHeight="1" thickTop="1" thickBot="1">
      <c r="B98" s="524"/>
      <c r="C98" s="138">
        <v>4</v>
      </c>
      <c r="D98" s="525"/>
      <c r="E98" s="533" t="s">
        <v>400</v>
      </c>
      <c r="F98" s="533"/>
      <c r="G98" s="523">
        <f>COMPUTATION!G21+COMPUTATION!G29+COMPUTATION!G27+COMPUTATION!M26</f>
        <v>20008</v>
      </c>
      <c r="H98" s="523"/>
      <c r="I98" s="529"/>
      <c r="J98" s="530"/>
      <c r="K98" s="541"/>
      <c r="L98" s="542"/>
    </row>
    <row r="99" spans="2:12" ht="14.1" customHeight="1" thickTop="1" thickBot="1">
      <c r="B99" s="524"/>
      <c r="C99" s="138">
        <v>5</v>
      </c>
      <c r="D99" s="525"/>
      <c r="E99" s="533" t="s">
        <v>401</v>
      </c>
      <c r="F99" s="533"/>
      <c r="G99" s="523">
        <f>COMPUTATION!G23</f>
        <v>0</v>
      </c>
      <c r="H99" s="523"/>
      <c r="I99" s="529"/>
      <c r="J99" s="530"/>
      <c r="K99" s="541"/>
      <c r="L99" s="542"/>
    </row>
    <row r="100" spans="2:12" ht="14.1" customHeight="1" thickTop="1" thickBot="1">
      <c r="B100" s="524"/>
      <c r="C100" s="138">
        <v>6</v>
      </c>
      <c r="D100" s="525"/>
      <c r="E100" s="533" t="s">
        <v>402</v>
      </c>
      <c r="F100" s="533"/>
      <c r="G100" s="523">
        <f>COMPUTATION!G28</f>
        <v>125985</v>
      </c>
      <c r="H100" s="523"/>
      <c r="I100" s="529"/>
      <c r="J100" s="530"/>
      <c r="K100" s="541"/>
      <c r="L100" s="542"/>
    </row>
    <row r="101" spans="2:12" ht="14.1" customHeight="1" thickTop="1" thickBot="1">
      <c r="B101" s="524"/>
      <c r="C101" s="138">
        <v>7</v>
      </c>
      <c r="D101" s="525"/>
      <c r="E101" s="448" t="s">
        <v>457</v>
      </c>
      <c r="F101" s="448"/>
      <c r="G101" s="523">
        <f>COMPUTATION!M24+COMPUTATION!M25</f>
        <v>0</v>
      </c>
      <c r="H101" s="523"/>
      <c r="I101" s="529"/>
      <c r="J101" s="530"/>
      <c r="K101" s="541"/>
      <c r="L101" s="542"/>
    </row>
    <row r="102" spans="2:12" ht="14.1" customHeight="1" thickTop="1" thickBot="1">
      <c r="B102" s="524"/>
      <c r="C102" s="138">
        <v>8</v>
      </c>
      <c r="D102" s="525"/>
      <c r="E102" s="526" t="s">
        <v>403</v>
      </c>
      <c r="F102" s="526"/>
      <c r="G102" s="523">
        <f>COMPUTATION!M20+COMPUTATION!M21</f>
        <v>0</v>
      </c>
      <c r="H102" s="523"/>
      <c r="I102" s="529"/>
      <c r="J102" s="530"/>
      <c r="K102" s="541"/>
      <c r="L102" s="542"/>
    </row>
    <row r="103" spans="2:12" ht="14.1" customHeight="1" thickTop="1" thickBot="1">
      <c r="B103" s="524"/>
      <c r="C103" s="138">
        <v>9</v>
      </c>
      <c r="D103" s="525"/>
      <c r="E103" s="533" t="s">
        <v>404</v>
      </c>
      <c r="F103" s="533"/>
      <c r="G103" s="523">
        <f>COMPUTATION!M23</f>
        <v>0</v>
      </c>
      <c r="H103" s="523"/>
      <c r="I103" s="529"/>
      <c r="J103" s="530"/>
      <c r="K103" s="541"/>
      <c r="L103" s="542"/>
    </row>
    <row r="104" spans="2:12" ht="14.1" customHeight="1" thickTop="1" thickBot="1">
      <c r="B104" s="524"/>
      <c r="C104" s="138">
        <v>10</v>
      </c>
      <c r="D104" s="525"/>
      <c r="E104" s="533" t="s">
        <v>405</v>
      </c>
      <c r="F104" s="533"/>
      <c r="G104" s="523">
        <f>COMPUTATION!G24+COMPUTATION!M22</f>
        <v>0</v>
      </c>
      <c r="H104" s="523"/>
      <c r="I104" s="529"/>
      <c r="J104" s="530"/>
      <c r="K104" s="541"/>
      <c r="L104" s="542"/>
    </row>
    <row r="105" spans="2:12" ht="14.1" customHeight="1" thickTop="1" thickBot="1">
      <c r="B105" s="524"/>
      <c r="C105" s="138">
        <v>11</v>
      </c>
      <c r="D105" s="525"/>
      <c r="E105" s="448" t="s">
        <v>406</v>
      </c>
      <c r="F105" s="448"/>
      <c r="G105" s="523">
        <f>COMPUTATION!M28</f>
        <v>0</v>
      </c>
      <c r="H105" s="523"/>
      <c r="I105" s="529"/>
      <c r="J105" s="530"/>
      <c r="K105" s="541"/>
      <c r="L105" s="542"/>
    </row>
    <row r="106" spans="2:12" ht="14.1" customHeight="1" thickTop="1" thickBot="1">
      <c r="B106" s="524"/>
      <c r="C106" s="138">
        <v>12</v>
      </c>
      <c r="D106" s="525"/>
      <c r="E106" s="533" t="s">
        <v>407</v>
      </c>
      <c r="F106" s="533"/>
      <c r="G106" s="523">
        <f>COMPUTATION!M29</f>
        <v>0</v>
      </c>
      <c r="H106" s="523"/>
      <c r="I106" s="531"/>
      <c r="J106" s="532"/>
      <c r="K106" s="543"/>
      <c r="L106" s="544"/>
    </row>
    <row r="107" spans="2:12" ht="14.1" customHeight="1" thickTop="1" thickBot="1">
      <c r="B107" s="524"/>
      <c r="C107" s="138">
        <v>13</v>
      </c>
      <c r="D107" s="525"/>
      <c r="E107" s="448" t="s">
        <v>408</v>
      </c>
      <c r="F107" s="448"/>
      <c r="G107" s="523">
        <f>COMPUTATION!M27</f>
        <v>0</v>
      </c>
      <c r="H107" s="523"/>
      <c r="I107" s="498">
        <f>SUM(G95:H108)</f>
        <v>276157</v>
      </c>
      <c r="J107" s="498"/>
      <c r="K107" s="538">
        <f>IF(I107&lt;=150000, I107, 150000)</f>
        <v>150000</v>
      </c>
      <c r="L107" s="538"/>
    </row>
    <row r="108" spans="2:12" ht="14.1" customHeight="1" thickTop="1" thickBot="1">
      <c r="B108" s="524"/>
      <c r="C108" s="522" t="s">
        <v>462</v>
      </c>
      <c r="D108" s="522"/>
      <c r="E108" s="522"/>
      <c r="F108" s="522"/>
      <c r="G108" s="523">
        <f>COMPUTATION!G30</f>
        <v>0</v>
      </c>
      <c r="H108" s="523"/>
      <c r="I108" s="486" t="s">
        <v>458</v>
      </c>
      <c r="J108" s="486"/>
      <c r="K108" s="498">
        <f>SUM(K107+G108)</f>
        <v>150000</v>
      </c>
      <c r="L108" s="498"/>
    </row>
    <row r="109" spans="2:12" ht="18" customHeight="1" thickTop="1">
      <c r="B109" s="156"/>
      <c r="C109" s="156"/>
      <c r="D109" s="156"/>
      <c r="E109" s="156"/>
      <c r="F109" s="156"/>
      <c r="G109" s="156"/>
      <c r="H109" s="156"/>
      <c r="I109" s="534" t="s">
        <v>459</v>
      </c>
      <c r="J109" s="534"/>
      <c r="K109" s="534"/>
      <c r="L109" s="156"/>
    </row>
    <row r="110" spans="2:12" ht="18" customHeight="1" thickBot="1">
      <c r="B110" s="534" t="s">
        <v>460</v>
      </c>
      <c r="C110" s="534"/>
      <c r="D110" s="534"/>
      <c r="E110" s="534"/>
      <c r="F110" s="534"/>
      <c r="G110" s="534"/>
      <c r="H110" s="534"/>
      <c r="I110" s="534"/>
      <c r="J110" s="534"/>
      <c r="K110" s="534"/>
      <c r="L110" s="534"/>
    </row>
    <row r="111" spans="2:12" ht="18" customHeight="1" thickTop="1" thickBot="1">
      <c r="B111" s="547" t="s">
        <v>409</v>
      </c>
      <c r="C111" s="547"/>
      <c r="D111" s="547"/>
      <c r="E111" s="547"/>
      <c r="F111" s="547"/>
      <c r="G111" s="537" t="s">
        <v>394</v>
      </c>
      <c r="H111" s="537"/>
      <c r="I111" s="537" t="s">
        <v>410</v>
      </c>
      <c r="J111" s="537"/>
      <c r="K111" s="537" t="s">
        <v>395</v>
      </c>
      <c r="L111" s="537"/>
    </row>
    <row r="112" spans="2:12" ht="18" customHeight="1" thickTop="1" thickBot="1">
      <c r="B112" s="139">
        <v>1</v>
      </c>
      <c r="C112" s="545" t="s">
        <v>411</v>
      </c>
      <c r="D112" s="545"/>
      <c r="E112" s="545"/>
      <c r="F112" s="545"/>
      <c r="G112" s="535">
        <f>COMPUTATION!O36</f>
        <v>0</v>
      </c>
      <c r="H112" s="535"/>
      <c r="I112" s="536">
        <f>G112</f>
        <v>0</v>
      </c>
      <c r="J112" s="536"/>
      <c r="K112" s="546"/>
      <c r="L112" s="546"/>
    </row>
    <row r="113" spans="2:12" ht="18" customHeight="1" thickTop="1" thickBot="1">
      <c r="B113" s="139">
        <v>2</v>
      </c>
      <c r="C113" s="545" t="s">
        <v>412</v>
      </c>
      <c r="D113" s="545"/>
      <c r="E113" s="545"/>
      <c r="F113" s="545"/>
      <c r="G113" s="535">
        <f>COMPUTATION!O37</f>
        <v>0</v>
      </c>
      <c r="H113" s="535"/>
      <c r="I113" s="536">
        <f t="shared" ref="I113:I119" si="3">G113</f>
        <v>0</v>
      </c>
      <c r="J113" s="536"/>
      <c r="K113" s="546"/>
      <c r="L113" s="546"/>
    </row>
    <row r="114" spans="2:12" ht="18" customHeight="1" thickTop="1" thickBot="1">
      <c r="B114" s="139">
        <v>3</v>
      </c>
      <c r="C114" s="545" t="s">
        <v>413</v>
      </c>
      <c r="D114" s="545"/>
      <c r="E114" s="545"/>
      <c r="F114" s="545"/>
      <c r="G114" s="535">
        <f>COMPUTATION!O38</f>
        <v>0</v>
      </c>
      <c r="H114" s="535"/>
      <c r="I114" s="536">
        <f t="shared" si="3"/>
        <v>0</v>
      </c>
      <c r="J114" s="536"/>
      <c r="K114" s="546"/>
      <c r="L114" s="546"/>
    </row>
    <row r="115" spans="2:12" ht="18" customHeight="1" thickTop="1" thickBot="1">
      <c r="B115" s="139">
        <v>4</v>
      </c>
      <c r="C115" s="545" t="s">
        <v>414</v>
      </c>
      <c r="D115" s="545"/>
      <c r="E115" s="545"/>
      <c r="F115" s="545"/>
      <c r="G115" s="535">
        <f>COMPUTATION!O39</f>
        <v>0</v>
      </c>
      <c r="H115" s="535"/>
      <c r="I115" s="536">
        <f t="shared" si="3"/>
        <v>0</v>
      </c>
      <c r="J115" s="536"/>
      <c r="K115" s="546"/>
      <c r="L115" s="546"/>
    </row>
    <row r="116" spans="2:12" ht="18" customHeight="1" thickTop="1" thickBot="1">
      <c r="B116" s="139">
        <v>5</v>
      </c>
      <c r="C116" s="545" t="s">
        <v>415</v>
      </c>
      <c r="D116" s="545"/>
      <c r="E116" s="545"/>
      <c r="F116" s="545"/>
      <c r="G116" s="535">
        <f>COMPUTATION!O40</f>
        <v>0</v>
      </c>
      <c r="H116" s="535"/>
      <c r="I116" s="536">
        <f t="shared" si="3"/>
        <v>0</v>
      </c>
      <c r="J116" s="536"/>
      <c r="K116" s="546"/>
      <c r="L116" s="546"/>
    </row>
    <row r="117" spans="2:12" ht="16.5" thickTop="1" thickBot="1">
      <c r="B117" s="139">
        <v>6</v>
      </c>
      <c r="C117" s="545" t="s">
        <v>416</v>
      </c>
      <c r="D117" s="545"/>
      <c r="E117" s="545"/>
      <c r="F117" s="545"/>
      <c r="G117" s="535">
        <f>COMPUTATION!O43</f>
        <v>0</v>
      </c>
      <c r="H117" s="535"/>
      <c r="I117" s="536">
        <f t="shared" si="3"/>
        <v>0</v>
      </c>
      <c r="J117" s="536"/>
      <c r="K117" s="546"/>
      <c r="L117" s="546"/>
    </row>
    <row r="118" spans="2:12" ht="16.5" thickTop="1" thickBot="1">
      <c r="B118" s="139">
        <v>7</v>
      </c>
      <c r="C118" s="545" t="s">
        <v>417</v>
      </c>
      <c r="D118" s="545"/>
      <c r="E118" s="545"/>
      <c r="F118" s="545"/>
      <c r="G118" s="535">
        <f>COMPUTATION!O43</f>
        <v>0</v>
      </c>
      <c r="H118" s="535"/>
      <c r="I118" s="536">
        <f t="shared" si="3"/>
        <v>0</v>
      </c>
      <c r="J118" s="536"/>
      <c r="K118" s="546"/>
      <c r="L118" s="546"/>
    </row>
    <row r="119" spans="2:12" ht="16.5" thickTop="1" thickBot="1">
      <c r="B119" s="139">
        <v>8</v>
      </c>
      <c r="C119" s="545" t="s">
        <v>418</v>
      </c>
      <c r="D119" s="545"/>
      <c r="E119" s="545"/>
      <c r="F119" s="545"/>
      <c r="G119" s="535">
        <f>COMPUTATION!O41</f>
        <v>0</v>
      </c>
      <c r="H119" s="535"/>
      <c r="I119" s="536">
        <f t="shared" si="3"/>
        <v>0</v>
      </c>
      <c r="J119" s="536"/>
      <c r="K119" s="546"/>
      <c r="L119" s="546"/>
    </row>
    <row r="120" spans="2:12" ht="16.5" thickTop="1" thickBot="1">
      <c r="B120" s="140">
        <v>9</v>
      </c>
      <c r="C120" s="411" t="s">
        <v>419</v>
      </c>
      <c r="D120" s="411"/>
      <c r="E120" s="411"/>
      <c r="F120" s="411"/>
      <c r="G120" s="536">
        <f>COMPUTATION!O42</f>
        <v>2000</v>
      </c>
      <c r="H120" s="536"/>
      <c r="I120" s="536">
        <f>G120</f>
        <v>2000</v>
      </c>
      <c r="J120" s="536"/>
      <c r="K120" s="548">
        <f>ROUND(SUM(I112:J120),0)</f>
        <v>2000</v>
      </c>
      <c r="L120" s="548"/>
    </row>
    <row r="121" spans="2:12" ht="16.5" thickTop="1" thickBot="1">
      <c r="B121" s="549" t="s">
        <v>420</v>
      </c>
      <c r="C121" s="550"/>
      <c r="D121" s="550"/>
      <c r="E121" s="550"/>
      <c r="F121" s="550"/>
      <c r="G121" s="550"/>
      <c r="H121" s="550"/>
      <c r="I121" s="550"/>
      <c r="J121" s="551"/>
      <c r="K121" s="536">
        <f>ROUND((K108+K120),0)</f>
        <v>152000</v>
      </c>
      <c r="L121" s="536"/>
    </row>
    <row r="122" spans="2:12" ht="16.5" thickTop="1" thickBot="1">
      <c r="B122" s="552" t="s">
        <v>421</v>
      </c>
      <c r="C122" s="553"/>
      <c r="D122" s="553"/>
      <c r="E122" s="554" t="s">
        <v>422</v>
      </c>
      <c r="F122" s="554"/>
      <c r="G122" s="554"/>
      <c r="H122" s="554"/>
      <c r="I122" s="554"/>
      <c r="J122" s="555"/>
      <c r="K122" s="536">
        <f>ROUND((K91-K121),-1)</f>
        <v>567540</v>
      </c>
      <c r="L122" s="536"/>
    </row>
    <row r="123" spans="2:12" ht="16.5" thickTop="1" thickBot="1">
      <c r="B123" s="558" t="s">
        <v>423</v>
      </c>
      <c r="C123" s="559"/>
      <c r="D123" s="559"/>
      <c r="E123" s="559"/>
      <c r="F123" s="559"/>
      <c r="G123" s="560"/>
      <c r="H123" s="560"/>
      <c r="I123" s="556"/>
      <c r="J123" s="557"/>
      <c r="K123" s="536">
        <f>COMPUTATION!O57</f>
        <v>26008</v>
      </c>
      <c r="L123" s="536"/>
    </row>
    <row r="124" spans="2:12" ht="16.5" thickTop="1" thickBot="1">
      <c r="B124" s="561" t="s">
        <v>424</v>
      </c>
      <c r="C124" s="562"/>
      <c r="D124" s="562"/>
      <c r="E124" s="562"/>
      <c r="F124" s="562"/>
      <c r="G124" s="562"/>
      <c r="H124" s="562"/>
      <c r="I124" s="562"/>
      <c r="J124" s="563"/>
      <c r="K124" s="564">
        <f>COMPUTATION!O58</f>
        <v>0</v>
      </c>
      <c r="L124" s="565"/>
    </row>
    <row r="125" spans="2:12" ht="16.5" thickTop="1" thickBot="1">
      <c r="B125" s="552" t="s">
        <v>425</v>
      </c>
      <c r="C125" s="556"/>
      <c r="D125" s="556"/>
      <c r="E125" s="556"/>
      <c r="F125" s="556"/>
      <c r="G125" s="556"/>
      <c r="H125" s="556"/>
      <c r="I125" s="556"/>
      <c r="J125" s="557"/>
      <c r="K125" s="536">
        <f>K123-K124</f>
        <v>26008</v>
      </c>
      <c r="L125" s="536"/>
    </row>
    <row r="126" spans="2:12" ht="16.5" thickTop="1" thickBot="1">
      <c r="B126" s="552" t="s">
        <v>426</v>
      </c>
      <c r="C126" s="556"/>
      <c r="D126" s="556"/>
      <c r="E126" s="556"/>
      <c r="F126" s="556"/>
      <c r="G126" s="556"/>
      <c r="H126" s="556"/>
      <c r="I126" s="556"/>
      <c r="J126" s="557"/>
      <c r="K126" s="536">
        <f>ROUND((K125*0.04),0)</f>
        <v>1040</v>
      </c>
      <c r="L126" s="536"/>
    </row>
    <row r="127" spans="2:12" ht="16.5" thickTop="1" thickBot="1">
      <c r="B127" s="552" t="s">
        <v>427</v>
      </c>
      <c r="C127" s="556"/>
      <c r="D127" s="556"/>
      <c r="E127" s="556"/>
      <c r="F127" s="556"/>
      <c r="G127" s="556"/>
      <c r="H127" s="556"/>
      <c r="I127" s="556"/>
      <c r="J127" s="557"/>
      <c r="K127" s="536">
        <f>K125+K126</f>
        <v>27048</v>
      </c>
      <c r="L127" s="536"/>
    </row>
    <row r="128" spans="2:12" ht="16.5" thickTop="1" thickBot="1">
      <c r="B128" s="552" t="s">
        <v>428</v>
      </c>
      <c r="C128" s="556"/>
      <c r="D128" s="556"/>
      <c r="E128" s="556"/>
      <c r="F128" s="556"/>
      <c r="G128" s="556"/>
      <c r="H128" s="556"/>
      <c r="I128" s="556"/>
      <c r="J128" s="557"/>
      <c r="K128" s="536">
        <f>COMPUTATION!O62</f>
        <v>0</v>
      </c>
      <c r="L128" s="536"/>
    </row>
    <row r="129" spans="2:12" ht="16.5" thickTop="1" thickBot="1">
      <c r="B129" s="552" t="s">
        <v>429</v>
      </c>
      <c r="C129" s="556"/>
      <c r="D129" s="556"/>
      <c r="E129" s="556"/>
      <c r="F129" s="556"/>
      <c r="G129" s="556"/>
      <c r="H129" s="556"/>
      <c r="I129" s="556"/>
      <c r="J129" s="557"/>
      <c r="K129" s="536">
        <f>K127-K128</f>
        <v>27048</v>
      </c>
      <c r="L129" s="536"/>
    </row>
    <row r="130" spans="2:12" ht="16.5" thickTop="1" thickBot="1">
      <c r="B130" s="571" t="s">
        <v>430</v>
      </c>
      <c r="C130" s="571"/>
      <c r="D130" s="571"/>
      <c r="E130" s="571"/>
      <c r="F130" s="571"/>
      <c r="G130" s="571"/>
      <c r="H130" s="571"/>
      <c r="I130" s="571"/>
      <c r="J130" s="571"/>
      <c r="K130" s="536">
        <f>COMPUTATION!O65</f>
        <v>24000</v>
      </c>
      <c r="L130" s="572"/>
    </row>
    <row r="131" spans="2:12" ht="16.5" thickTop="1" thickBot="1">
      <c r="B131" s="573" t="str">
        <f>IF(K129&gt;K130,"Income Tax Payable",IF(K129&lt;K130,"Income Tax Refundable","Income Tax Payble/Refundable"))</f>
        <v>Income Tax Payable</v>
      </c>
      <c r="C131" s="574"/>
      <c r="D131" s="574"/>
      <c r="E131" s="574"/>
      <c r="F131" s="574"/>
      <c r="G131" s="574"/>
      <c r="H131" s="574"/>
      <c r="I131" s="574"/>
      <c r="J131" s="575"/>
      <c r="K131" s="576">
        <f>IF(K129&gt;K130,K129-K130,K130-K129)</f>
        <v>3048</v>
      </c>
      <c r="L131" s="576"/>
    </row>
    <row r="132" spans="2:12" ht="20.25" thickTop="1">
      <c r="B132" s="566" t="s">
        <v>353</v>
      </c>
      <c r="C132" s="566"/>
      <c r="D132" s="566"/>
      <c r="E132" s="566"/>
      <c r="F132" s="566"/>
      <c r="G132" s="566"/>
      <c r="H132" s="566"/>
      <c r="I132" s="566"/>
      <c r="J132" s="566"/>
      <c r="K132" s="566"/>
      <c r="L132" s="566"/>
    </row>
    <row r="133" spans="2:12">
      <c r="B133" s="141" t="s">
        <v>354</v>
      </c>
      <c r="C133" s="478" t="str">
        <f>B6&amp;","</f>
        <v>USHA PALIYA,</v>
      </c>
      <c r="D133" s="478"/>
      <c r="E133" s="478"/>
      <c r="F133" s="142" t="s">
        <v>355</v>
      </c>
      <c r="G133" s="567" t="str">
        <f>IF(G57="","",G57)</f>
        <v/>
      </c>
      <c r="H133" s="567"/>
      <c r="I133" s="567"/>
      <c r="J133" s="567"/>
      <c r="K133" s="568" t="s">
        <v>356</v>
      </c>
      <c r="L133" s="568"/>
    </row>
    <row r="134" spans="2:12">
      <c r="B134" s="569" t="s">
        <v>357</v>
      </c>
      <c r="C134" s="569"/>
      <c r="D134" s="478" t="str">
        <f>D58</f>
        <v>Superintendent of Police</v>
      </c>
      <c r="E134" s="478"/>
      <c r="F134" s="478"/>
      <c r="G134" s="570" t="s">
        <v>358</v>
      </c>
      <c r="H134" s="570"/>
      <c r="I134" s="570"/>
      <c r="J134" s="570"/>
      <c r="K134" s="570"/>
      <c r="L134" s="570"/>
    </row>
    <row r="135" spans="2:12">
      <c r="B135" s="141" t="s">
        <v>359</v>
      </c>
      <c r="C135" s="143">
        <f>K130</f>
        <v>24000</v>
      </c>
      <c r="D135" s="468" t="str">
        <f>D59</f>
        <v>Twenty-Four Thousand  Rupees</v>
      </c>
      <c r="E135" s="468"/>
      <c r="F135" s="468"/>
      <c r="G135" s="468"/>
      <c r="H135" s="468"/>
      <c r="I135" s="570" t="s">
        <v>431</v>
      </c>
      <c r="J135" s="570"/>
      <c r="K135" s="570"/>
      <c r="L135" s="570"/>
    </row>
    <row r="136" spans="2:12">
      <c r="B136" s="464" t="s">
        <v>432</v>
      </c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>
      <c r="B137" s="465" t="s">
        <v>363</v>
      </c>
      <c r="C137" s="465"/>
      <c r="D137" s="580" t="str">
        <f>D62</f>
        <v>PS KOTWALI</v>
      </c>
      <c r="E137" s="580"/>
      <c r="F137" s="465"/>
      <c r="G137" s="465"/>
      <c r="H137" s="465"/>
      <c r="I137" s="465"/>
      <c r="J137" s="465"/>
      <c r="K137" s="465"/>
      <c r="L137" s="465"/>
    </row>
    <row r="138" spans="2:12">
      <c r="B138" s="577" t="s">
        <v>364</v>
      </c>
      <c r="C138" s="577"/>
      <c r="D138" s="467">
        <f ca="1">TODAY()</f>
        <v>44891</v>
      </c>
      <c r="E138" s="467"/>
      <c r="F138" s="578" t="s">
        <v>365</v>
      </c>
      <c r="G138" s="578"/>
      <c r="H138" s="578"/>
      <c r="I138" s="578"/>
      <c r="J138" s="578"/>
      <c r="K138" s="578"/>
      <c r="L138" s="578"/>
    </row>
    <row r="139" spans="2:12" ht="19.5" customHeight="1">
      <c r="B139" s="577" t="s">
        <v>366</v>
      </c>
      <c r="C139" s="577"/>
      <c r="D139" s="469" t="str">
        <f>D134</f>
        <v>Superintendent of Police</v>
      </c>
      <c r="E139" s="469"/>
      <c r="F139" s="128" t="s">
        <v>367</v>
      </c>
      <c r="G139" s="579" t="str">
        <f>B6</f>
        <v>USHA PALIYA</v>
      </c>
      <c r="H139" s="579"/>
      <c r="I139" s="579"/>
      <c r="J139" s="579"/>
      <c r="K139" s="579"/>
      <c r="L139" s="579"/>
    </row>
    <row r="140" spans="2:1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</row>
  </sheetData>
  <sheetProtection password="8E48" sheet="1" objects="1" scenarios="1" formatColumns="0" formatRows="0"/>
  <mergeCells count="366">
    <mergeCell ref="B138:C138"/>
    <mergeCell ref="D138:E138"/>
    <mergeCell ref="F138:L138"/>
    <mergeCell ref="B139:C139"/>
    <mergeCell ref="D139:E139"/>
    <mergeCell ref="G139:L139"/>
    <mergeCell ref="D135:H135"/>
    <mergeCell ref="I135:L135"/>
    <mergeCell ref="B136:L136"/>
    <mergeCell ref="B137:C137"/>
    <mergeCell ref="D137:E137"/>
    <mergeCell ref="F137:L137"/>
    <mergeCell ref="B132:L132"/>
    <mergeCell ref="C133:E133"/>
    <mergeCell ref="G133:J133"/>
    <mergeCell ref="K133:L133"/>
    <mergeCell ref="B134:C134"/>
    <mergeCell ref="D134:F134"/>
    <mergeCell ref="G134:L134"/>
    <mergeCell ref="B129:J129"/>
    <mergeCell ref="K129:L129"/>
    <mergeCell ref="B130:J130"/>
    <mergeCell ref="K130:L130"/>
    <mergeCell ref="B131:J131"/>
    <mergeCell ref="K131:L131"/>
    <mergeCell ref="B126:J126"/>
    <mergeCell ref="K126:L126"/>
    <mergeCell ref="B127:J127"/>
    <mergeCell ref="K127:L127"/>
    <mergeCell ref="B128:J128"/>
    <mergeCell ref="K128:L128"/>
    <mergeCell ref="B123:J123"/>
    <mergeCell ref="K123:L123"/>
    <mergeCell ref="B124:J124"/>
    <mergeCell ref="K124:L124"/>
    <mergeCell ref="B125:J125"/>
    <mergeCell ref="K125:L125"/>
    <mergeCell ref="K120:L120"/>
    <mergeCell ref="B121:J121"/>
    <mergeCell ref="K121:L121"/>
    <mergeCell ref="B122:D122"/>
    <mergeCell ref="E122:J122"/>
    <mergeCell ref="K122:L122"/>
    <mergeCell ref="C119:F119"/>
    <mergeCell ref="G119:H119"/>
    <mergeCell ref="I119:J119"/>
    <mergeCell ref="C120:F120"/>
    <mergeCell ref="G120:H120"/>
    <mergeCell ref="I120:J120"/>
    <mergeCell ref="C117:F117"/>
    <mergeCell ref="G117:H117"/>
    <mergeCell ref="I117:J117"/>
    <mergeCell ref="C118:F118"/>
    <mergeCell ref="G118:H118"/>
    <mergeCell ref="I118:J118"/>
    <mergeCell ref="K111:L111"/>
    <mergeCell ref="C112:F112"/>
    <mergeCell ref="G112:H112"/>
    <mergeCell ref="I112:J112"/>
    <mergeCell ref="K112:L119"/>
    <mergeCell ref="C113:F113"/>
    <mergeCell ref="G113:H113"/>
    <mergeCell ref="I113:J113"/>
    <mergeCell ref="C114:F114"/>
    <mergeCell ref="G114:H114"/>
    <mergeCell ref="C115:F115"/>
    <mergeCell ref="G115:H115"/>
    <mergeCell ref="I115:J115"/>
    <mergeCell ref="C116:F116"/>
    <mergeCell ref="I114:J114"/>
    <mergeCell ref="B111:F111"/>
    <mergeCell ref="I109:K109"/>
    <mergeCell ref="B110:L110"/>
    <mergeCell ref="E105:F105"/>
    <mergeCell ref="G105:H105"/>
    <mergeCell ref="E106:F106"/>
    <mergeCell ref="G106:H106"/>
    <mergeCell ref="E107:F107"/>
    <mergeCell ref="G107:H107"/>
    <mergeCell ref="G116:H116"/>
    <mergeCell ref="I116:J116"/>
    <mergeCell ref="G111:H111"/>
    <mergeCell ref="I111:J111"/>
    <mergeCell ref="K107:L107"/>
    <mergeCell ref="K108:L108"/>
    <mergeCell ref="K95:L106"/>
    <mergeCell ref="G97:H97"/>
    <mergeCell ref="G95:H95"/>
    <mergeCell ref="G101:H101"/>
    <mergeCell ref="E102:F102"/>
    <mergeCell ref="G102:H102"/>
    <mergeCell ref="E103:F103"/>
    <mergeCell ref="G103:H103"/>
    <mergeCell ref="E104:F104"/>
    <mergeCell ref="G104:H104"/>
    <mergeCell ref="B90:E90"/>
    <mergeCell ref="B91:J91"/>
    <mergeCell ref="I107:J107"/>
    <mergeCell ref="C108:F108"/>
    <mergeCell ref="G108:H108"/>
    <mergeCell ref="I108:J108"/>
    <mergeCell ref="B95:B108"/>
    <mergeCell ref="D95:D107"/>
    <mergeCell ref="E95:F95"/>
    <mergeCell ref="I95:J106"/>
    <mergeCell ref="E96:F96"/>
    <mergeCell ref="E97:F97"/>
    <mergeCell ref="E98:F98"/>
    <mergeCell ref="E100:F100"/>
    <mergeCell ref="G100:H100"/>
    <mergeCell ref="E101:F101"/>
    <mergeCell ref="G98:H98"/>
    <mergeCell ref="E99:F99"/>
    <mergeCell ref="G99:H99"/>
    <mergeCell ref="G96:H96"/>
    <mergeCell ref="I76:J76"/>
    <mergeCell ref="B77:F77"/>
    <mergeCell ref="I77:J80"/>
    <mergeCell ref="B78:C78"/>
    <mergeCell ref="K91:L91"/>
    <mergeCell ref="B92:L92"/>
    <mergeCell ref="B93:L93"/>
    <mergeCell ref="B94:F94"/>
    <mergeCell ref="K94:L94"/>
    <mergeCell ref="B86:C86"/>
    <mergeCell ref="D86:E86"/>
    <mergeCell ref="B87:F87"/>
    <mergeCell ref="G87:H89"/>
    <mergeCell ref="B88:E88"/>
    <mergeCell ref="B89:E89"/>
    <mergeCell ref="G94:H94"/>
    <mergeCell ref="I94:J94"/>
    <mergeCell ref="G90:H90"/>
    <mergeCell ref="I90:J90"/>
    <mergeCell ref="I82:J89"/>
    <mergeCell ref="K82:L82"/>
    <mergeCell ref="G86:H86"/>
    <mergeCell ref="K86:L86"/>
    <mergeCell ref="K83:L85"/>
    <mergeCell ref="B64:C64"/>
    <mergeCell ref="D64:E64"/>
    <mergeCell ref="G64:L64"/>
    <mergeCell ref="B65:L65"/>
    <mergeCell ref="B66:L66"/>
    <mergeCell ref="B67:F67"/>
    <mergeCell ref="I67:J70"/>
    <mergeCell ref="K67:L81"/>
    <mergeCell ref="B68:F68"/>
    <mergeCell ref="G69:H69"/>
    <mergeCell ref="G68:H68"/>
    <mergeCell ref="B69:F69"/>
    <mergeCell ref="B70:F70"/>
    <mergeCell ref="G70:H70"/>
    <mergeCell ref="I71:J71"/>
    <mergeCell ref="G67:H67"/>
    <mergeCell ref="B79:C79"/>
    <mergeCell ref="D79:F79"/>
    <mergeCell ref="B80:C80"/>
    <mergeCell ref="D80:F80"/>
    <mergeCell ref="B81:F81"/>
    <mergeCell ref="I81:J81"/>
    <mergeCell ref="I72:J75"/>
    <mergeCell ref="B73:F73"/>
    <mergeCell ref="I59:L59"/>
    <mergeCell ref="B60:L60"/>
    <mergeCell ref="B61:L61"/>
    <mergeCell ref="F62:L62"/>
    <mergeCell ref="B63:C63"/>
    <mergeCell ref="D63:E63"/>
    <mergeCell ref="F63:L63"/>
    <mergeCell ref="B55:L55"/>
    <mergeCell ref="B56:L56"/>
    <mergeCell ref="C57:E57"/>
    <mergeCell ref="G57:J57"/>
    <mergeCell ref="K57:L57"/>
    <mergeCell ref="G58:L58"/>
    <mergeCell ref="B62:C62"/>
    <mergeCell ref="D62:E62"/>
    <mergeCell ref="D59:H59"/>
    <mergeCell ref="B58:C58"/>
    <mergeCell ref="D58:F58"/>
    <mergeCell ref="C54:D54"/>
    <mergeCell ref="E54:L54"/>
    <mergeCell ref="K53:L53"/>
    <mergeCell ref="I51:J51"/>
    <mergeCell ref="K51:L51"/>
    <mergeCell ref="C52:D52"/>
    <mergeCell ref="E52:F52"/>
    <mergeCell ref="I52:J52"/>
    <mergeCell ref="K52:L52"/>
    <mergeCell ref="I53:J53"/>
    <mergeCell ref="C53:D53"/>
    <mergeCell ref="E53:F53"/>
    <mergeCell ref="G53:H53"/>
    <mergeCell ref="G51:H51"/>
    <mergeCell ref="G52:H52"/>
    <mergeCell ref="C51:D51"/>
    <mergeCell ref="E51:F51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G50:H50"/>
    <mergeCell ref="G49:H49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I43:J43"/>
    <mergeCell ref="K43:L43"/>
    <mergeCell ref="C44:D44"/>
    <mergeCell ref="E44:F44"/>
    <mergeCell ref="G44:H44"/>
    <mergeCell ref="I44:J44"/>
    <mergeCell ref="K44:L44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B83:F83"/>
    <mergeCell ref="D85:E85"/>
    <mergeCell ref="G80:H80"/>
    <mergeCell ref="B82:F82"/>
    <mergeCell ref="G78:H78"/>
    <mergeCell ref="G79:H79"/>
    <mergeCell ref="D78:F78"/>
    <mergeCell ref="G75:H75"/>
    <mergeCell ref="G71:H74"/>
    <mergeCell ref="B72:F72"/>
    <mergeCell ref="B71:F71"/>
    <mergeCell ref="B74:D74"/>
    <mergeCell ref="B75:D75"/>
    <mergeCell ref="B76:F76"/>
    <mergeCell ref="G76:H77"/>
    <mergeCell ref="B84:C84"/>
    <mergeCell ref="D84:E84"/>
    <mergeCell ref="B85:C85"/>
    <mergeCell ref="G85:H85"/>
    <mergeCell ref="B40:B41"/>
    <mergeCell ref="C40:D41"/>
    <mergeCell ref="E40:L40"/>
    <mergeCell ref="E41:F41"/>
    <mergeCell ref="C37:D37"/>
    <mergeCell ref="E37:L37"/>
    <mergeCell ref="B38:L38"/>
    <mergeCell ref="B39:L39"/>
    <mergeCell ref="C36:D36"/>
    <mergeCell ref="G36:I36"/>
    <mergeCell ref="J36:L36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</mergeCells>
  <conditionalFormatting sqref="E73:E74">
    <cfRule type="containsBlanks" dxfId="3" priority="4">
      <formula>LEN(TRIM(E73))=0</formula>
    </cfRule>
  </conditionalFormatting>
  <conditionalFormatting sqref="E95:E96">
    <cfRule type="containsBlanks" dxfId="2" priority="3">
      <formula>LEN(TRIM(E95))=0</formula>
    </cfRule>
  </conditionalFormatting>
  <conditionalFormatting sqref="B131:L131">
    <cfRule type="expression" dxfId="1" priority="1">
      <formula>$B131="Income Tax Refundable"</formula>
    </cfRule>
    <cfRule type="expression" dxfId="0" priority="2">
      <formula>$B131="Income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" right="0.3" top="0.2" bottom="0.2" header="0.3" footer="0.3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Master Data</vt:lpstr>
      <vt:lpstr>Extra Ded. </vt:lpstr>
      <vt:lpstr>GA55</vt:lpstr>
      <vt:lpstr>COMPUTATION</vt:lpstr>
      <vt:lpstr>Form No. 16</vt:lpstr>
      <vt:lpstr>city</vt:lpstr>
      <vt:lpstr>month</vt:lpstr>
      <vt:lpstr>month1</vt:lpstr>
      <vt:lpstr>om</vt:lpstr>
      <vt:lpstr>pay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2022-11-26T16:50:59Z</cp:lastPrinted>
  <dcterms:created xsi:type="dcterms:W3CDTF">2022-02-26T13:16:14Z</dcterms:created>
  <dcterms:modified xsi:type="dcterms:W3CDTF">2022-11-26T16:58:48Z</dcterms:modified>
</cp:coreProperties>
</file>