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30" windowWidth="23580" windowHeight="9990"/>
  </bookViews>
  <sheets>
    <sheet name="Master Data" sheetId="2" r:id="rId1"/>
    <sheet name="Extra Ded. " sheetId="4" r:id="rId2"/>
    <sheet name="GA55" sheetId="5" r:id="rId3"/>
    <sheet name="COMPUTATION" sheetId="6" r:id="rId4"/>
    <sheet name="Form No. 16" sheetId="11" r:id="rId5"/>
  </sheets>
  <externalReferences>
    <externalReference r:id="rId6"/>
    <externalReference r:id="rId7"/>
    <externalReference r:id="rId8"/>
  </externalReferences>
  <definedNames>
    <definedName name="CCA">'GA55'!$AR$8:$AR$12</definedName>
    <definedName name="cities">'GA55'!$P$5:$P$9</definedName>
    <definedName name="gp">'GA55'!$AN$5:$AN$6</definedName>
    <definedName name="level">'GA55'!$AU$8:$AU$28</definedName>
    <definedName name="Month">'GA55'!$AX$12:$AX$23</definedName>
    <definedName name="Month1">'GA55'!$AS$8:$AS$19</definedName>
    <definedName name="pay">'GA55'!$AP$5:$AP$6</definedName>
    <definedName name="_xlnm.Print_Area" localSheetId="3" xml:space="preserve">                                     COMPUTATION!$A$1:$O$69</definedName>
    <definedName name="_xlnm.Print_Area" localSheetId="4">'Form No. 16'!$B$1:$L$120</definedName>
    <definedName name="_xlnm.Print_Area" localSheetId="2" xml:space="preserve">                            'GA55'!$A$1:$AC$30</definedName>
    <definedName name="ram">'GA55'!$AX$12:$BJ$32</definedName>
    <definedName name="und">'GA55'!$AQ$5:$AQ$6</definedName>
    <definedName name="ye">'GA55'!$AO$5:$AO$6</definedName>
  </definedNames>
  <calcPr calcId="124519"/>
</workbook>
</file>

<file path=xl/calcChain.xml><?xml version="1.0" encoding="utf-8"?>
<calcChain xmlns="http://schemas.openxmlformats.org/spreadsheetml/2006/main">
  <c r="G31" i="6"/>
  <c r="C31"/>
  <c r="G21"/>
  <c r="O34"/>
  <c r="O7" i="5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O6"/>
  <c r="L6"/>
  <c r="I104" i="11"/>
  <c r="G18"/>
  <c r="BX27" i="5"/>
  <c r="BX30"/>
  <c r="G17" i="11"/>
  <c r="G16"/>
  <c r="G15"/>
  <c r="AR23" i="5"/>
  <c r="AZ18"/>
  <c r="BU16" l="1"/>
  <c r="BU17" s="1"/>
  <c r="BU18" s="1"/>
  <c r="BU19" s="1"/>
  <c r="BU20" s="1"/>
  <c r="BU21" s="1"/>
  <c r="BU22" s="1"/>
  <c r="BU23" s="1"/>
  <c r="B8"/>
  <c r="W24"/>
  <c r="W25"/>
  <c r="W26"/>
  <c r="BM32"/>
  <c r="BM31"/>
  <c r="BM30"/>
  <c r="BU13"/>
  <c r="BU14" s="1"/>
  <c r="BU15" s="1"/>
  <c r="BU12"/>
  <c r="BA12" s="1"/>
  <c r="BB32"/>
  <c r="BA32"/>
  <c r="BI31"/>
  <c r="BH31"/>
  <c r="BB31"/>
  <c r="BA31"/>
  <c r="BI30"/>
  <c r="BH30"/>
  <c r="BB30"/>
  <c r="BA30"/>
  <c r="H26"/>
  <c r="BA25"/>
  <c r="BC29" s="1"/>
  <c r="H25"/>
  <c r="H24"/>
  <c r="BH23"/>
  <c r="BH22"/>
  <c r="BH21"/>
  <c r="BH20"/>
  <c r="BH19"/>
  <c r="BH18"/>
  <c r="BH17"/>
  <c r="BH16"/>
  <c r="BH15"/>
  <c r="BH14"/>
  <c r="BH13"/>
  <c r="BH12"/>
  <c r="BH11"/>
  <c r="BH10"/>
  <c r="G5"/>
  <c r="H5"/>
  <c r="I5"/>
  <c r="J5"/>
  <c r="F5"/>
  <c r="BA16" l="1"/>
  <c r="BC25"/>
  <c r="U5"/>
  <c r="O5"/>
  <c r="P5"/>
  <c r="Q5"/>
  <c r="R5"/>
  <c r="S5"/>
  <c r="T5"/>
  <c r="N5"/>
  <c r="BD29"/>
  <c r="BI29" s="1"/>
  <c r="BA13"/>
  <c r="BC12"/>
  <c r="BC9"/>
  <c r="BA24"/>
  <c r="BI24" s="1"/>
  <c r="AS24"/>
  <c r="BF23"/>
  <c r="BF22"/>
  <c r="BF21"/>
  <c r="BF20"/>
  <c r="BF19"/>
  <c r="BF18"/>
  <c r="BF17"/>
  <c r="AZ17"/>
  <c r="BF16"/>
  <c r="AZ16"/>
  <c r="BF15"/>
  <c r="AZ15"/>
  <c r="BF14"/>
  <c r="BF13"/>
  <c r="BM12"/>
  <c r="BM13" s="1"/>
  <c r="BM14" s="1"/>
  <c r="BM15" s="1"/>
  <c r="BL12"/>
  <c r="BL13" s="1"/>
  <c r="BL14" s="1"/>
  <c r="BL15" s="1"/>
  <c r="BF12"/>
  <c r="BC11"/>
  <c r="BA11"/>
  <c r="BA10"/>
  <c r="BC10" s="1"/>
  <c r="AM5"/>
  <c r="BN32"/>
  <c r="AX32"/>
  <c r="BN31"/>
  <c r="AX31"/>
  <c r="BN30"/>
  <c r="BX29"/>
  <c r="BN29"/>
  <c r="AX29"/>
  <c r="BX28"/>
  <c r="BN28"/>
  <c r="BD28"/>
  <c r="AX28"/>
  <c r="BN27"/>
  <c r="BD27"/>
  <c r="AX27"/>
  <c r="BX26"/>
  <c r="BN26"/>
  <c r="AX26"/>
  <c r="BX25"/>
  <c r="BN25"/>
  <c r="AX25"/>
  <c r="BX24"/>
  <c r="BN24"/>
  <c r="BD24"/>
  <c r="AX24"/>
  <c r="AS25"/>
  <c r="BJ12"/>
  <c r="BD11"/>
  <c r="BB11"/>
  <c r="BL10"/>
  <c r="BB10"/>
  <c r="BD10" s="1"/>
  <c r="BJ10"/>
  <c r="AZ3"/>
  <c r="AZ1" s="1"/>
  <c r="AR30" l="1"/>
  <c r="BA15"/>
  <c r="BC15" s="1"/>
  <c r="BA14"/>
  <c r="BC14" s="1"/>
  <c r="BG21"/>
  <c r="BG18"/>
  <c r="BG16"/>
  <c r="BG12"/>
  <c r="BG30"/>
  <c r="BG19"/>
  <c r="BG13"/>
  <c r="BG31"/>
  <c r="BG22"/>
  <c r="BG20"/>
  <c r="BG17"/>
  <c r="BG14"/>
  <c r="BG23"/>
  <c r="BG15"/>
  <c r="BG11"/>
  <c r="BG10"/>
  <c r="BE28"/>
  <c r="BN12"/>
  <c r="BO12" s="1"/>
  <c r="B6" s="1"/>
  <c r="K6" s="1"/>
  <c r="BD25"/>
  <c r="BC32"/>
  <c r="BD32" s="1"/>
  <c r="BE32"/>
  <c r="BC30"/>
  <c r="BD30" s="1"/>
  <c r="BC31"/>
  <c r="BD31" s="1"/>
  <c r="BE31"/>
  <c r="BM16"/>
  <c r="BM17" s="1"/>
  <c r="BM18" s="1"/>
  <c r="BM19" s="1"/>
  <c r="BM20" s="1"/>
  <c r="BM21" s="1"/>
  <c r="BM22" s="1"/>
  <c r="BM23" s="1"/>
  <c r="BE30"/>
  <c r="BL16"/>
  <c r="BL17" s="1"/>
  <c r="BL18" s="1"/>
  <c r="BL19" s="1"/>
  <c r="BL20" s="1"/>
  <c r="BL21" s="1"/>
  <c r="BL22" s="1"/>
  <c r="BL23" s="1"/>
  <c r="BL24" s="1"/>
  <c r="BL25" s="1"/>
  <c r="BL26" s="1"/>
  <c r="BL27" s="1"/>
  <c r="BL28" s="1"/>
  <c r="BL29" s="1"/>
  <c r="BL30" s="1"/>
  <c r="BJ11"/>
  <c r="BB13"/>
  <c r="BE13" s="1"/>
  <c r="AX30"/>
  <c r="BB12"/>
  <c r="BE12" s="1"/>
  <c r="BO32"/>
  <c r="B26" s="1"/>
  <c r="BB14" l="1"/>
  <c r="BE14" s="1"/>
  <c r="BQ32"/>
  <c r="BQ12"/>
  <c r="C6" s="1"/>
  <c r="H6" s="1"/>
  <c r="BC16"/>
  <c r="C26"/>
  <c r="D26"/>
  <c r="P26"/>
  <c r="T26"/>
  <c r="N26"/>
  <c r="S26"/>
  <c r="R26"/>
  <c r="V26"/>
  <c r="Y26"/>
  <c r="E26"/>
  <c r="Q26"/>
  <c r="U26"/>
  <c r="G26"/>
  <c r="K26"/>
  <c r="F26"/>
  <c r="M26" s="1"/>
  <c r="J26"/>
  <c r="I26"/>
  <c r="BO30"/>
  <c r="B24" s="1"/>
  <c r="BL31"/>
  <c r="BJ13"/>
  <c r="BC13"/>
  <c r="AZ20"/>
  <c r="AZ21" s="1"/>
  <c r="BO24"/>
  <c r="B18" s="1"/>
  <c r="BX14"/>
  <c r="BD14"/>
  <c r="BJ14"/>
  <c r="BX12"/>
  <c r="BD12"/>
  <c r="BD13"/>
  <c r="BX13"/>
  <c r="BJ15"/>
  <c r="BB15"/>
  <c r="BE15" s="1"/>
  <c r="BN13"/>
  <c r="BO13" s="1"/>
  <c r="B7" s="1"/>
  <c r="L35" l="1"/>
  <c r="X6"/>
  <c r="BA17"/>
  <c r="BC17" s="1"/>
  <c r="N18"/>
  <c r="U18"/>
  <c r="S18"/>
  <c r="E18"/>
  <c r="R18"/>
  <c r="D18"/>
  <c r="P18"/>
  <c r="K18"/>
  <c r="BQ24"/>
  <c r="C18" s="1"/>
  <c r="K7"/>
  <c r="BQ13"/>
  <c r="C7" s="1"/>
  <c r="H7" s="1"/>
  <c r="U24"/>
  <c r="D24"/>
  <c r="E24"/>
  <c r="N24"/>
  <c r="K24"/>
  <c r="I24"/>
  <c r="BQ30"/>
  <c r="C24" s="1"/>
  <c r="J24"/>
  <c r="BO31"/>
  <c r="B25" s="1"/>
  <c r="BL32"/>
  <c r="BN14"/>
  <c r="BO14" s="1"/>
  <c r="BX15"/>
  <c r="BD15"/>
  <c r="BO25"/>
  <c r="B19" s="1"/>
  <c r="W18" l="1"/>
  <c r="H18"/>
  <c r="X7"/>
  <c r="BA18"/>
  <c r="BC18" s="1"/>
  <c r="BC26"/>
  <c r="BD26" s="1"/>
  <c r="BI26" s="1"/>
  <c r="K8"/>
  <c r="BQ14"/>
  <c r="C8" s="1"/>
  <c r="H8" s="1"/>
  <c r="E19"/>
  <c r="S19"/>
  <c r="D19"/>
  <c r="R19"/>
  <c r="P19"/>
  <c r="U19"/>
  <c r="N19"/>
  <c r="T19"/>
  <c r="K19"/>
  <c r="BQ25"/>
  <c r="C19" s="1"/>
  <c r="H19" s="1"/>
  <c r="E25"/>
  <c r="D25"/>
  <c r="BQ31"/>
  <c r="C25" s="1"/>
  <c r="K25"/>
  <c r="BO26"/>
  <c r="B20" s="1"/>
  <c r="BJ16"/>
  <c r="BJ17" s="1"/>
  <c r="BJ18" s="1"/>
  <c r="BJ19" s="1"/>
  <c r="BJ20" s="1"/>
  <c r="BJ21" s="1"/>
  <c r="BJ22" s="1"/>
  <c r="BJ23" s="1"/>
  <c r="BB16"/>
  <c r="BE16" s="1"/>
  <c r="BN15"/>
  <c r="BO15" s="1"/>
  <c r="B9" s="1"/>
  <c r="W19" l="1"/>
  <c r="X8"/>
  <c r="BA19"/>
  <c r="BC19" s="1"/>
  <c r="P20"/>
  <c r="N20"/>
  <c r="U20"/>
  <c r="E20"/>
  <c r="S20"/>
  <c r="D20"/>
  <c r="R20"/>
  <c r="K20"/>
  <c r="BQ26"/>
  <c r="C20" s="1"/>
  <c r="BQ15"/>
  <c r="C9" s="1"/>
  <c r="H9" s="1"/>
  <c r="K9"/>
  <c r="BD16"/>
  <c r="BX16"/>
  <c r="BB17"/>
  <c r="BE17" s="1"/>
  <c r="E6" s="1"/>
  <c r="BO27"/>
  <c r="B21" s="1"/>
  <c r="BN16"/>
  <c r="BO16" s="1"/>
  <c r="B10" s="1"/>
  <c r="W20" l="1"/>
  <c r="H20"/>
  <c r="X9"/>
  <c r="BA20"/>
  <c r="BC20" s="1"/>
  <c r="I18"/>
  <c r="J18"/>
  <c r="E21"/>
  <c r="N21"/>
  <c r="T21"/>
  <c r="D21"/>
  <c r="S21"/>
  <c r="R21"/>
  <c r="P21"/>
  <c r="U21"/>
  <c r="BQ27"/>
  <c r="C21" s="1"/>
  <c r="K21"/>
  <c r="BQ16"/>
  <c r="C10" s="1"/>
  <c r="H10" s="1"/>
  <c r="K10"/>
  <c r="BD17"/>
  <c r="D6" s="1"/>
  <c r="BX17"/>
  <c r="BN17"/>
  <c r="BO17" s="1"/>
  <c r="B11" s="1"/>
  <c r="BO28"/>
  <c r="B22" s="1"/>
  <c r="BB18"/>
  <c r="BE18" s="1"/>
  <c r="E7" s="1"/>
  <c r="W21" l="1"/>
  <c r="H21"/>
  <c r="X10"/>
  <c r="BA21"/>
  <c r="BC21" s="1"/>
  <c r="K11"/>
  <c r="BQ17"/>
  <c r="C11" s="1"/>
  <c r="H11" s="1"/>
  <c r="R22"/>
  <c r="P22"/>
  <c r="U22"/>
  <c r="N22"/>
  <c r="T22"/>
  <c r="D22"/>
  <c r="S22"/>
  <c r="K22"/>
  <c r="J22"/>
  <c r="BQ28"/>
  <c r="C22" s="1"/>
  <c r="H22" s="1"/>
  <c r="I22"/>
  <c r="J19"/>
  <c r="I19"/>
  <c r="BX18"/>
  <c r="E66" i="6" s="1"/>
  <c r="BD18" i="5"/>
  <c r="D7" s="1"/>
  <c r="BN18"/>
  <c r="BO18" s="1"/>
  <c r="B12" s="1"/>
  <c r="BB19"/>
  <c r="BE19" s="1"/>
  <c r="E8" s="1"/>
  <c r="BO29"/>
  <c r="B23" s="1"/>
  <c r="W22" l="1"/>
  <c r="X11"/>
  <c r="N6"/>
  <c r="I6"/>
  <c r="J6"/>
  <c r="U6"/>
  <c r="BA22"/>
  <c r="BC22" s="1"/>
  <c r="E23"/>
  <c r="N23"/>
  <c r="U23"/>
  <c r="D23"/>
  <c r="AX41" s="1"/>
  <c r="S23"/>
  <c r="R23"/>
  <c r="P23"/>
  <c r="K23"/>
  <c r="J23"/>
  <c r="BQ29"/>
  <c r="C23" s="1"/>
  <c r="I23"/>
  <c r="K12"/>
  <c r="BQ18"/>
  <c r="C12" s="1"/>
  <c r="H12" s="1"/>
  <c r="BB20"/>
  <c r="BE20" s="1"/>
  <c r="E9" s="1"/>
  <c r="BD19"/>
  <c r="D8" s="1"/>
  <c r="BX19"/>
  <c r="BN19"/>
  <c r="BO19" s="1"/>
  <c r="B13" s="1"/>
  <c r="W23" l="1"/>
  <c r="H23"/>
  <c r="X12"/>
  <c r="N7"/>
  <c r="J7"/>
  <c r="U7"/>
  <c r="I7"/>
  <c r="BA23"/>
  <c r="BC23" s="1"/>
  <c r="J21"/>
  <c r="I21"/>
  <c r="E13"/>
  <c r="D13"/>
  <c r="BQ19"/>
  <c r="C13" s="1"/>
  <c r="H13" s="1"/>
  <c r="K13"/>
  <c r="BB21"/>
  <c r="BE21" s="1"/>
  <c r="E10" s="1"/>
  <c r="BN20"/>
  <c r="BO20" s="1"/>
  <c r="B14" s="1"/>
  <c r="BD20"/>
  <c r="D9" s="1"/>
  <c r="BX20"/>
  <c r="X13" l="1"/>
  <c r="I8"/>
  <c r="U8"/>
  <c r="N8"/>
  <c r="J8"/>
  <c r="E14"/>
  <c r="D14"/>
  <c r="BQ20"/>
  <c r="C14" s="1"/>
  <c r="H14" s="1"/>
  <c r="K14"/>
  <c r="I11"/>
  <c r="U11"/>
  <c r="J11"/>
  <c r="N11"/>
  <c r="BB22"/>
  <c r="BE22" s="1"/>
  <c r="E11" s="1"/>
  <c r="BB23"/>
  <c r="BE23" s="1"/>
  <c r="E12" s="1"/>
  <c r="BN21"/>
  <c r="BO21" s="1"/>
  <c r="B15" s="1"/>
  <c r="BX21"/>
  <c r="H66" i="6" s="1"/>
  <c r="BD21" i="5"/>
  <c r="D10" s="1"/>
  <c r="X14" l="1"/>
  <c r="N10"/>
  <c r="J10"/>
  <c r="I10"/>
  <c r="U10"/>
  <c r="N9"/>
  <c r="I9"/>
  <c r="J9"/>
  <c r="U9"/>
  <c r="I12"/>
  <c r="J12"/>
  <c r="U12"/>
  <c r="N12"/>
  <c r="E15"/>
  <c r="D15"/>
  <c r="K15"/>
  <c r="BQ21"/>
  <c r="C15" s="1"/>
  <c r="BD22"/>
  <c r="D11" s="1"/>
  <c r="BX22"/>
  <c r="J66" i="6" s="1"/>
  <c r="BN22" i="5"/>
  <c r="BO22" s="1"/>
  <c r="B16" s="1"/>
  <c r="BD23"/>
  <c r="D12" s="1"/>
  <c r="BX23"/>
  <c r="H15" l="1"/>
  <c r="K66" i="6"/>
  <c r="BX32" i="5"/>
  <c r="X15"/>
  <c r="U13"/>
  <c r="J13"/>
  <c r="I13"/>
  <c r="N13"/>
  <c r="N16"/>
  <c r="E16"/>
  <c r="D16"/>
  <c r="U16"/>
  <c r="K16"/>
  <c r="I16"/>
  <c r="BQ22"/>
  <c r="C16" s="1"/>
  <c r="H16" s="1"/>
  <c r="J16"/>
  <c r="BN23"/>
  <c r="BO23" s="1"/>
  <c r="B17" s="1"/>
  <c r="M66" i="6" l="1"/>
  <c r="O66" s="1"/>
  <c r="X16" i="5"/>
  <c r="E17"/>
  <c r="D17"/>
  <c r="U17"/>
  <c r="N17"/>
  <c r="BQ23"/>
  <c r="C17" s="1"/>
  <c r="H17" s="1"/>
  <c r="K17"/>
  <c r="I17"/>
  <c r="J17"/>
  <c r="J14"/>
  <c r="N14"/>
  <c r="U14"/>
  <c r="I14"/>
  <c r="B5" i="6"/>
  <c r="J4"/>
  <c r="E31"/>
  <c r="I19" i="4"/>
  <c r="T14" i="6"/>
  <c r="O41" l="1"/>
  <c r="O43"/>
  <c r="M28"/>
  <c r="M30"/>
  <c r="X17" i="5"/>
  <c r="J15"/>
  <c r="N15"/>
  <c r="I15"/>
  <c r="U15"/>
  <c r="E22"/>
  <c r="N57" i="6"/>
  <c r="N56"/>
  <c r="N55"/>
  <c r="Z26" i="5"/>
  <c r="AA26" s="1"/>
  <c r="I20" l="1"/>
  <c r="J20"/>
  <c r="S24"/>
  <c r="R24"/>
  <c r="V24"/>
  <c r="Q24"/>
  <c r="P24"/>
  <c r="T24"/>
  <c r="Y24"/>
  <c r="T23"/>
  <c r="Y23"/>
  <c r="V23"/>
  <c r="Q23"/>
  <c r="G23"/>
  <c r="F23"/>
  <c r="G24"/>
  <c r="F24"/>
  <c r="G30" i="6"/>
  <c r="AA24"/>
  <c r="M24" i="5" l="1"/>
  <c r="M23"/>
  <c r="J15" i="11" l="1"/>
  <c r="G113"/>
  <c r="J24"/>
  <c r="B6"/>
  <c r="G47" s="1"/>
  <c r="D118"/>
  <c r="D47"/>
  <c r="G6"/>
  <c r="G7"/>
  <c r="D45" s="1"/>
  <c r="D117" s="1"/>
  <c r="J9"/>
  <c r="G9"/>
  <c r="E9"/>
  <c r="I97"/>
  <c r="D46"/>
  <c r="D114"/>
  <c r="D119" s="1"/>
  <c r="J37"/>
  <c r="C37"/>
  <c r="J36"/>
  <c r="J35"/>
  <c r="J34"/>
  <c r="J33"/>
  <c r="J32"/>
  <c r="J31"/>
  <c r="J30"/>
  <c r="J29"/>
  <c r="J28"/>
  <c r="J27"/>
  <c r="J26"/>
  <c r="J25"/>
  <c r="F19"/>
  <c r="C40" l="1"/>
  <c r="C113"/>
  <c r="G119"/>
  <c r="J16" l="1"/>
  <c r="AA3" i="5"/>
  <c r="O37" i="6"/>
  <c r="G92" i="11" s="1"/>
  <c r="I92" s="1"/>
  <c r="O63" i="6"/>
  <c r="K108" i="11" s="1"/>
  <c r="L2" i="6" l="1"/>
  <c r="M22"/>
  <c r="J17" i="11" l="1"/>
  <c r="O44" i="6"/>
  <c r="G98" i="11" s="1"/>
  <c r="I98" s="1"/>
  <c r="O42" i="6"/>
  <c r="G99" i="11" s="1"/>
  <c r="I99" s="1"/>
  <c r="O40" i="6"/>
  <c r="G95" i="11" s="1"/>
  <c r="I95" s="1"/>
  <c r="O39" i="6"/>
  <c r="G94" i="11" s="1"/>
  <c r="I94" s="1"/>
  <c r="O38" i="6"/>
  <c r="G93" i="11" s="1"/>
  <c r="I93" s="1"/>
  <c r="G87"/>
  <c r="M29" i="6"/>
  <c r="G86" i="11" s="1"/>
  <c r="G88"/>
  <c r="M27" i="6"/>
  <c r="M26"/>
  <c r="M25"/>
  <c r="M24"/>
  <c r="M23"/>
  <c r="G29"/>
  <c r="G81" i="11" s="1"/>
  <c r="G28" i="6"/>
  <c r="G25"/>
  <c r="G24"/>
  <c r="G80" i="11" s="1"/>
  <c r="G23" i="6"/>
  <c r="J51"/>
  <c r="AA54"/>
  <c r="AA55"/>
  <c r="AA56"/>
  <c r="Y60"/>
  <c r="M52"/>
  <c r="M53"/>
  <c r="M57"/>
  <c r="I57"/>
  <c r="E57"/>
  <c r="M56"/>
  <c r="I56"/>
  <c r="E56"/>
  <c r="M55"/>
  <c r="I55"/>
  <c r="E55"/>
  <c r="M54"/>
  <c r="I54"/>
  <c r="E54"/>
  <c r="I53"/>
  <c r="E53"/>
  <c r="J57"/>
  <c r="F57"/>
  <c r="B57"/>
  <c r="J56"/>
  <c r="F56"/>
  <c r="B56"/>
  <c r="J55"/>
  <c r="F55"/>
  <c r="B55"/>
  <c r="J54"/>
  <c r="F54"/>
  <c r="B54"/>
  <c r="J53"/>
  <c r="F53"/>
  <c r="B53"/>
  <c r="J52"/>
  <c r="F52"/>
  <c r="F51"/>
  <c r="AA31"/>
  <c r="E17"/>
  <c r="I16"/>
  <c r="I17"/>
  <c r="G69" i="11" l="1"/>
  <c r="G85"/>
  <c r="G84"/>
  <c r="AA32" i="6"/>
  <c r="AA33" s="1"/>
  <c r="G100" i="11" s="1"/>
  <c r="I100" s="1"/>
  <c r="AB32" i="6"/>
  <c r="I14" l="1"/>
  <c r="F65" i="11" s="1"/>
  <c r="F14" i="6"/>
  <c r="D65" i="11" s="1"/>
  <c r="K10" i="6"/>
  <c r="G61" i="11" s="1"/>
  <c r="K9" i="6"/>
  <c r="G63" i="11" s="1"/>
  <c r="K8" i="6"/>
  <c r="G62" i="11" s="1"/>
  <c r="I64" l="1"/>
  <c r="E16" i="6"/>
  <c r="F71" i="11" s="1"/>
  <c r="K12" i="6"/>
  <c r="A1"/>
  <c r="N3"/>
  <c r="J3"/>
  <c r="D3"/>
  <c r="S29" i="5"/>
  <c r="C29"/>
  <c r="K3"/>
  <c r="G3"/>
  <c r="R3"/>
  <c r="C3"/>
  <c r="U2"/>
  <c r="M2"/>
  <c r="D2"/>
  <c r="B1"/>
  <c r="H27" l="1"/>
  <c r="D27"/>
  <c r="K27"/>
  <c r="C27"/>
  <c r="E27"/>
  <c r="X27"/>
  <c r="L27"/>
  <c r="D14" i="6"/>
  <c r="F70" i="11"/>
  <c r="O17" i="6"/>
  <c r="O10"/>
  <c r="G71" i="11" l="1"/>
  <c r="I71"/>
  <c r="K14" i="6"/>
  <c r="O15" s="1"/>
  <c r="B65" i="11"/>
  <c r="I65" s="1"/>
  <c r="I66" s="1"/>
  <c r="C24" l="1"/>
  <c r="Q22" i="5" l="1"/>
  <c r="V22"/>
  <c r="Y22"/>
  <c r="G22"/>
  <c r="F22"/>
  <c r="BS10"/>
  <c r="Z24"/>
  <c r="AA24" s="1"/>
  <c r="M22" l="1"/>
  <c r="P7"/>
  <c r="T7"/>
  <c r="S7"/>
  <c r="Y7"/>
  <c r="W7"/>
  <c r="R7"/>
  <c r="V7"/>
  <c r="Q7"/>
  <c r="Y6"/>
  <c r="V6"/>
  <c r="R6"/>
  <c r="P6"/>
  <c r="S6"/>
  <c r="Q6"/>
  <c r="T6"/>
  <c r="G6"/>
  <c r="F6"/>
  <c r="G7"/>
  <c r="F7"/>
  <c r="C25" i="11"/>
  <c r="C26"/>
  <c r="M6" i="5" l="1"/>
  <c r="S8"/>
  <c r="R8"/>
  <c r="V8"/>
  <c r="Q8"/>
  <c r="P8"/>
  <c r="T8"/>
  <c r="Y8"/>
  <c r="W8"/>
  <c r="M7"/>
  <c r="G8"/>
  <c r="F8"/>
  <c r="BI12" s="1"/>
  <c r="C27" i="11"/>
  <c r="Z6" i="5" l="1"/>
  <c r="AA6" s="1"/>
  <c r="R9"/>
  <c r="V9"/>
  <c r="Q9"/>
  <c r="Y9"/>
  <c r="W9"/>
  <c r="P9"/>
  <c r="T9"/>
  <c r="S9"/>
  <c r="M8"/>
  <c r="G9"/>
  <c r="F9"/>
  <c r="C28" i="11"/>
  <c r="BI10" i="5" l="1"/>
  <c r="BI11"/>
  <c r="BI13"/>
  <c r="Z7" s="1"/>
  <c r="AA7" s="1"/>
  <c r="M9"/>
  <c r="W10"/>
  <c r="W11" s="1"/>
  <c r="C29" i="11"/>
  <c r="P11" i="5" l="1"/>
  <c r="T11"/>
  <c r="S11"/>
  <c r="Y11"/>
  <c r="R11"/>
  <c r="V11"/>
  <c r="Q11"/>
  <c r="Q10"/>
  <c r="P10"/>
  <c r="T10"/>
  <c r="S10"/>
  <c r="R10"/>
  <c r="V10"/>
  <c r="Y10"/>
  <c r="G10"/>
  <c r="F10"/>
  <c r="BI14" s="1"/>
  <c r="Z8" s="1"/>
  <c r="AA8" s="1"/>
  <c r="G11"/>
  <c r="F11"/>
  <c r="BI15" s="1"/>
  <c r="Z9" s="1"/>
  <c r="AA9" s="1"/>
  <c r="C30" i="11"/>
  <c r="W12" i="5"/>
  <c r="M10" l="1"/>
  <c r="S12"/>
  <c r="R12"/>
  <c r="V12"/>
  <c r="Q12"/>
  <c r="P12"/>
  <c r="T12"/>
  <c r="Y12"/>
  <c r="M11"/>
  <c r="G12"/>
  <c r="F12"/>
  <c r="BI16" s="1"/>
  <c r="C31" i="11"/>
  <c r="Z10" i="5" l="1"/>
  <c r="AA10" s="1"/>
  <c r="R13"/>
  <c r="V13"/>
  <c r="Q13"/>
  <c r="Y13"/>
  <c r="P13"/>
  <c r="T13"/>
  <c r="S13"/>
  <c r="W13"/>
  <c r="M12"/>
  <c r="G13"/>
  <c r="F13"/>
  <c r="BI17" s="1"/>
  <c r="Z11" s="1"/>
  <c r="AA11" s="1"/>
  <c r="C32" i="11"/>
  <c r="W14" i="5" l="1"/>
  <c r="Q14"/>
  <c r="P14"/>
  <c r="T14"/>
  <c r="S14"/>
  <c r="R14"/>
  <c r="V14"/>
  <c r="Y14"/>
  <c r="M13"/>
  <c r="G14"/>
  <c r="F14"/>
  <c r="BI18" s="1"/>
  <c r="Z12" s="1"/>
  <c r="AA12" s="1"/>
  <c r="C33" i="11"/>
  <c r="W15" i="5" l="1"/>
  <c r="P15"/>
  <c r="T15"/>
  <c r="S15"/>
  <c r="Y15"/>
  <c r="R15"/>
  <c r="V15"/>
  <c r="Q15"/>
  <c r="M14"/>
  <c r="G15"/>
  <c r="BD7" s="1"/>
  <c r="F15"/>
  <c r="BI19" s="1"/>
  <c r="Z13" s="1"/>
  <c r="AA13" s="1"/>
  <c r="C34" i="11"/>
  <c r="C36" s="1"/>
  <c r="W16" i="5" l="1"/>
  <c r="S16"/>
  <c r="R16"/>
  <c r="V16"/>
  <c r="Q16"/>
  <c r="P16"/>
  <c r="T16"/>
  <c r="Y16"/>
  <c r="M15"/>
  <c r="G16"/>
  <c r="F16"/>
  <c r="BI20" s="1"/>
  <c r="Z14" s="1"/>
  <c r="AA14" s="1"/>
  <c r="C35" i="11"/>
  <c r="M16" i="5" l="1"/>
  <c r="W17"/>
  <c r="R17" l="1"/>
  <c r="V17"/>
  <c r="Q17"/>
  <c r="Y17"/>
  <c r="P17"/>
  <c r="T17"/>
  <c r="S17"/>
  <c r="G17"/>
  <c r="F17"/>
  <c r="BI21" s="1"/>
  <c r="Z15" s="1"/>
  <c r="AA15" s="1"/>
  <c r="M17" l="1"/>
  <c r="Q18"/>
  <c r="T18"/>
  <c r="V18"/>
  <c r="Y18"/>
  <c r="Y19"/>
  <c r="V19"/>
  <c r="Q19"/>
  <c r="G18"/>
  <c r="F18"/>
  <c r="BI22" s="1"/>
  <c r="Z16" s="1"/>
  <c r="AA16" s="1"/>
  <c r="G19"/>
  <c r="F19"/>
  <c r="Z22"/>
  <c r="AA22" s="1"/>
  <c r="BI32" l="1"/>
  <c r="BI23"/>
  <c r="Z17" s="1"/>
  <c r="AA17" s="1"/>
  <c r="Z23"/>
  <c r="AA23" s="1"/>
  <c r="W27"/>
  <c r="M19"/>
  <c r="Z19" s="1"/>
  <c r="AA19" s="1"/>
  <c r="V20"/>
  <c r="Q20"/>
  <c r="T20"/>
  <c r="Y20"/>
  <c r="V21"/>
  <c r="Q21"/>
  <c r="Y21"/>
  <c r="M18"/>
  <c r="Z18" s="1"/>
  <c r="AA18" s="1"/>
  <c r="G20"/>
  <c r="F20"/>
  <c r="G21"/>
  <c r="F21"/>
  <c r="M20" l="1"/>
  <c r="Z20" s="1"/>
  <c r="AA20" s="1"/>
  <c r="N25"/>
  <c r="N27" s="1"/>
  <c r="U25"/>
  <c r="M21"/>
  <c r="Z21" s="1"/>
  <c r="AA21" s="1"/>
  <c r="R25"/>
  <c r="R27" s="1"/>
  <c r="V25"/>
  <c r="V27" s="1"/>
  <c r="Q25"/>
  <c r="Q27" s="1"/>
  <c r="Y25"/>
  <c r="Y27" s="1"/>
  <c r="G27" i="6" s="1"/>
  <c r="G78" i="11" s="1"/>
  <c r="P25" i="5"/>
  <c r="T25"/>
  <c r="O27"/>
  <c r="S25"/>
  <c r="S27" s="1"/>
  <c r="I25"/>
  <c r="I27" s="1"/>
  <c r="J25"/>
  <c r="J27" s="1"/>
  <c r="G25"/>
  <c r="F25"/>
  <c r="F27" s="1"/>
  <c r="G77" i="11" l="1"/>
  <c r="AB23" i="6"/>
  <c r="O33"/>
  <c r="O5"/>
  <c r="G26"/>
  <c r="G76" i="11" s="1"/>
  <c r="P27" i="5"/>
  <c r="G22" i="6" s="1"/>
  <c r="G79" i="11" s="1"/>
  <c r="G89"/>
  <c r="I89" s="1"/>
  <c r="K89" s="1"/>
  <c r="G27" i="5"/>
  <c r="O6" i="6" s="1"/>
  <c r="E57" i="11" s="1"/>
  <c r="F57" s="1"/>
  <c r="G58" s="1"/>
  <c r="T27" i="5"/>
  <c r="G82" i="11" s="1"/>
  <c r="U27" i="5"/>
  <c r="AB40" i="6" s="1"/>
  <c r="C38" i="11"/>
  <c r="K110"/>
  <c r="C115" s="1"/>
  <c r="M25" i="5"/>
  <c r="AB38" i="6" l="1"/>
  <c r="G96" i="11"/>
  <c r="I96" s="1"/>
  <c r="K100" s="1"/>
  <c r="Z25" i="5"/>
  <c r="M27"/>
  <c r="AA23" i="6" s="1"/>
  <c r="Z23" s="1"/>
  <c r="Z24"/>
  <c r="AB24" s="1"/>
  <c r="AC27" s="1"/>
  <c r="AA29" s="1"/>
  <c r="AB35" s="1"/>
  <c r="G90" i="11" s="1"/>
  <c r="J18"/>
  <c r="J19" s="1"/>
  <c r="C42" s="1"/>
  <c r="G19"/>
  <c r="O45" i="6" l="1"/>
  <c r="AA25" i="5"/>
  <c r="AA27" s="1"/>
  <c r="Z27"/>
  <c r="AA27" i="6"/>
  <c r="M21" s="1"/>
  <c r="G83" i="11" s="1"/>
  <c r="D42"/>
  <c r="D115"/>
  <c r="O4" i="6"/>
  <c r="G51" i="11" s="1"/>
  <c r="I54" s="1"/>
  <c r="I59" s="1"/>
  <c r="M31" i="6" l="1"/>
  <c r="O32" s="1"/>
  <c r="O35" s="1"/>
  <c r="O46" s="1"/>
  <c r="I88" i="11"/>
  <c r="K88" s="1"/>
  <c r="I90" s="1"/>
  <c r="K90" s="1"/>
  <c r="K101" s="1"/>
  <c r="O7" i="6"/>
  <c r="O11" s="1"/>
  <c r="O16" s="1"/>
  <c r="O18" s="1"/>
  <c r="K67" i="11"/>
  <c r="K72" s="1"/>
  <c r="O47" i="6" l="1"/>
  <c r="O48" s="1"/>
  <c r="K102" i="11"/>
  <c r="K103" s="1"/>
  <c r="X59" i="6" l="1"/>
  <c r="AB55"/>
  <c r="AC53"/>
  <c r="Z52"/>
  <c r="X52"/>
  <c r="AB54"/>
  <c r="Z59"/>
  <c r="AB53"/>
  <c r="AE53" s="1"/>
  <c r="X53"/>
  <c r="AA53" s="1"/>
  <c r="AD55"/>
  <c r="Y53"/>
  <c r="AD54"/>
  <c r="AC54"/>
  <c r="AC55"/>
  <c r="AB51"/>
  <c r="AD56"/>
  <c r="Y59"/>
  <c r="AB52"/>
  <c r="AE52" s="1"/>
  <c r="AB56"/>
  <c r="AD52"/>
  <c r="AD51"/>
  <c r="AD53"/>
  <c r="Y52"/>
  <c r="Z53"/>
  <c r="AC56"/>
  <c r="AC51"/>
  <c r="X51"/>
  <c r="AC52"/>
  <c r="Y51"/>
  <c r="AE54" l="1"/>
  <c r="O55" s="1"/>
  <c r="AA51"/>
  <c r="AE56"/>
  <c r="O57" s="1"/>
  <c r="AA52"/>
  <c r="O53" s="1"/>
  <c r="AE55"/>
  <c r="O56" s="1"/>
  <c r="Z57"/>
  <c r="AD57"/>
  <c r="AB57"/>
  <c r="AE51"/>
  <c r="Y57"/>
  <c r="X57"/>
  <c r="AC57"/>
  <c r="O54"/>
  <c r="O52" l="1"/>
  <c r="O58" s="1"/>
  <c r="O59" s="1"/>
  <c r="K105" i="11" s="1"/>
  <c r="K106" s="1"/>
  <c r="K107" s="1"/>
  <c r="K109" s="1"/>
  <c r="AA57" i="6"/>
  <c r="AE57"/>
  <c r="K111" i="11" l="1"/>
  <c r="B111"/>
  <c r="O60" i="6"/>
  <c r="O61" s="1"/>
  <c r="O62" s="1"/>
  <c r="O64" s="1"/>
  <c r="A67" l="1"/>
  <c r="O67"/>
</calcChain>
</file>

<file path=xl/sharedStrings.xml><?xml version="1.0" encoding="utf-8"?>
<sst xmlns="http://schemas.openxmlformats.org/spreadsheetml/2006/main" count="599" uniqueCount="463">
  <si>
    <t>EMPLOYEE  PERSONAL  DETAIL</t>
  </si>
  <si>
    <t>YES</t>
  </si>
  <si>
    <t>OCT</t>
  </si>
  <si>
    <t>JAN</t>
  </si>
  <si>
    <t>GPF</t>
  </si>
  <si>
    <t>Jaipur (U.A.)</t>
  </si>
  <si>
    <t>Regular Pay</t>
  </si>
  <si>
    <t>Under 60</t>
  </si>
  <si>
    <t>NO</t>
  </si>
  <si>
    <t>NPS</t>
  </si>
  <si>
    <t>Ajmer</t>
  </si>
  <si>
    <t>Fix Pay</t>
  </si>
  <si>
    <t>foadykax HkÙkk %&amp;</t>
  </si>
  <si>
    <t>MAR</t>
  </si>
  <si>
    <t>Bikaner</t>
  </si>
  <si>
    <t>APR</t>
  </si>
  <si>
    <t>Jodhpur</t>
  </si>
  <si>
    <t>MAY</t>
  </si>
  <si>
    <t>Kota</t>
  </si>
  <si>
    <t>JUN</t>
  </si>
  <si>
    <t>JUL</t>
  </si>
  <si>
    <t>Heeralal jat</t>
  </si>
  <si>
    <t>Designation :-</t>
  </si>
  <si>
    <t>Sr Teacher</t>
  </si>
  <si>
    <t>AUG</t>
  </si>
  <si>
    <t>Posting Place :-</t>
  </si>
  <si>
    <t>DDO Name :-</t>
  </si>
  <si>
    <t>SEP</t>
  </si>
  <si>
    <t>UID AADHAR No. :-</t>
  </si>
  <si>
    <t>TAN NO. :-</t>
  </si>
  <si>
    <t>NOV</t>
  </si>
  <si>
    <t>GPF No. :-</t>
  </si>
  <si>
    <t>SI No. :-</t>
  </si>
  <si>
    <t>DEC</t>
  </si>
  <si>
    <t>PRAN No. :-</t>
  </si>
  <si>
    <t>Bank A/C No. :-</t>
  </si>
  <si>
    <t xml:space="preserve">Tax Calculate From Month  :-
</t>
  </si>
  <si>
    <t xml:space="preserve">To Month  :-
</t>
  </si>
  <si>
    <t>Wash All.</t>
  </si>
  <si>
    <t>Handi. All.</t>
  </si>
  <si>
    <t>CCA</t>
  </si>
  <si>
    <t>SI</t>
  </si>
  <si>
    <t>L.I.C.</t>
  </si>
  <si>
    <t>Income Tax Deduction By Salary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</si>
  <si>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</si>
  <si>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</si>
  <si>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</si>
  <si>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</si>
  <si>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</si>
  <si>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</si>
  <si>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</si>
  <si>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</si>
  <si>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</si>
  <si>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</si>
  <si>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</si>
  <si>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</si>
  <si>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other-1</t>
  </si>
  <si>
    <t>other-2</t>
  </si>
  <si>
    <r>
      <rPr>
        <b/>
        <sz val="16"/>
        <rFont val="Calibri"/>
        <family val="2"/>
        <scheme val="minor"/>
      </rPr>
      <t>Office Name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</si>
  <si>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r>
      <rPr>
        <b/>
        <sz val="16"/>
        <rFont val="Calibri"/>
        <family val="2"/>
        <scheme val="minor"/>
      </rPr>
      <t>Employee Name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</si>
  <si>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r>
      <rPr>
        <b/>
        <sz val="16"/>
        <rFont val="Calibri"/>
        <family val="2"/>
        <scheme val="minor"/>
      </rPr>
      <t>Personal Employee ID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</si>
  <si>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r>
      <rPr>
        <b/>
        <sz val="16"/>
        <rFont val="Calibri"/>
        <family val="2"/>
        <scheme val="minor"/>
      </rPr>
      <t>PAN No.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</si>
  <si>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t>School Name :-</t>
  </si>
  <si>
    <r>
      <rPr>
        <b/>
        <sz val="16"/>
        <rFont val="Calibri"/>
        <family val="2"/>
        <scheme val="minor"/>
      </rPr>
      <t>%</t>
    </r>
    <r>
      <rPr>
        <b/>
        <sz val="16"/>
        <rFont val="Kruti Dev 010"/>
      </rPr>
      <t xml:space="preserve">                            </t>
    </r>
    <r>
      <rPr>
        <b/>
        <sz val="16"/>
        <rFont val="Calibri"/>
        <family val="2"/>
        <scheme val="minor"/>
      </rPr>
      <t>GPF / NPS :-</t>
    </r>
    <r>
      <rPr>
        <b/>
        <sz val="16"/>
        <rFont val="Kruti Dev 010"/>
      </rPr>
      <t xml:space="preserve"> </t>
    </r>
  </si>
  <si>
    <t>First Unlock Cell Entry Fill Up Then Click On Go to Next Sheet Button</t>
  </si>
  <si>
    <t>S.N.</t>
  </si>
  <si>
    <t>Month</t>
  </si>
  <si>
    <t>DA</t>
  </si>
  <si>
    <t>HRA</t>
  </si>
  <si>
    <t>Bonus</t>
  </si>
  <si>
    <t>N.P.S. By Govt.</t>
  </si>
  <si>
    <t>TOTAL</t>
  </si>
  <si>
    <t>Income Tax</t>
  </si>
  <si>
    <t>Total Ded.</t>
  </si>
  <si>
    <t>NET PAY</t>
  </si>
  <si>
    <t>Enc.  DATE</t>
  </si>
  <si>
    <t>No</t>
  </si>
  <si>
    <t>Yes</t>
  </si>
  <si>
    <t>Above 60</t>
  </si>
  <si>
    <t>FEB</t>
  </si>
  <si>
    <t>L-1</t>
  </si>
  <si>
    <t>L-2</t>
  </si>
  <si>
    <t>L-3</t>
  </si>
  <si>
    <t>L-4</t>
  </si>
  <si>
    <t>L-5</t>
  </si>
  <si>
    <t>L-6</t>
  </si>
  <si>
    <t>L-7</t>
  </si>
  <si>
    <t>L-8</t>
  </si>
  <si>
    <t>L-9</t>
  </si>
  <si>
    <t>L-10</t>
  </si>
  <si>
    <t>L-11</t>
  </si>
  <si>
    <t>L-12</t>
  </si>
  <si>
    <t>L-13</t>
  </si>
  <si>
    <t>L-14</t>
  </si>
  <si>
    <t>L-15</t>
  </si>
  <si>
    <t>L-16</t>
  </si>
  <si>
    <t>L-17</t>
  </si>
  <si>
    <t>L-18</t>
  </si>
  <si>
    <t>L-19</t>
  </si>
  <si>
    <t>L-20</t>
  </si>
  <si>
    <t>L-21</t>
  </si>
  <si>
    <t>PL Surrender</t>
  </si>
  <si>
    <t>Employee Name :-</t>
  </si>
  <si>
    <t>GPF Loan</t>
  </si>
  <si>
    <t>SI Loan</t>
  </si>
  <si>
    <t>PD Head Select Yes/No :-</t>
  </si>
  <si>
    <r>
      <t xml:space="preserve">Use  Button For going to Next Sheet </t>
    </r>
    <r>
      <rPr>
        <b/>
        <sz val="18"/>
        <color rgb="FFFFFF00"/>
        <rFont val="Wingdings"/>
        <charset val="2"/>
      </rPr>
      <t>H</t>
    </r>
  </si>
  <si>
    <t>PAN No. :-</t>
  </si>
  <si>
    <t>SI No.</t>
  </si>
  <si>
    <t>Bank A/C.</t>
  </si>
  <si>
    <r>
      <t xml:space="preserve">TOTAL </t>
    </r>
    <r>
      <rPr>
        <b/>
        <sz val="10"/>
        <color theme="1"/>
        <rFont val="Wingdings"/>
        <charset val="2"/>
      </rPr>
      <t>F</t>
    </r>
  </si>
  <si>
    <t>Signature of Employee</t>
  </si>
  <si>
    <t>Signature of DDO</t>
  </si>
  <si>
    <t>GPF / NPS</t>
  </si>
  <si>
    <t>Usha Paliya</t>
  </si>
  <si>
    <t>Mahatma Gandhi Govt. School (English Medium) Bar, PALI</t>
  </si>
  <si>
    <t>M.G.G.S. Bar</t>
  </si>
  <si>
    <t>PAN :</t>
  </si>
  <si>
    <t>E</t>
  </si>
  <si>
    <t>(i)</t>
  </si>
  <si>
    <t>(xi)</t>
  </si>
  <si>
    <t>(ii)</t>
  </si>
  <si>
    <t>(xii)</t>
  </si>
  <si>
    <t>(iii)</t>
  </si>
  <si>
    <t>(xiii)</t>
  </si>
  <si>
    <t>(iv)</t>
  </si>
  <si>
    <t>(xiv)</t>
  </si>
  <si>
    <t>(v)</t>
  </si>
  <si>
    <t>(xv)</t>
  </si>
  <si>
    <t>(vi)</t>
  </si>
  <si>
    <t>(xvi)</t>
  </si>
  <si>
    <t>(vii)</t>
  </si>
  <si>
    <t>(xvii)</t>
  </si>
  <si>
    <t>(viii)</t>
  </si>
  <si>
    <t>(xviii)</t>
  </si>
  <si>
    <t>(ix)</t>
  </si>
  <si>
    <t>(xix)</t>
  </si>
  <si>
    <t>(x)</t>
  </si>
  <si>
    <t>(xx)</t>
  </si>
  <si>
    <t>Up to Rs. 2,50,000</t>
  </si>
  <si>
    <t xml:space="preserve">आप विद्यमान आयकर दर या नवीन आयकर दर दोनों में से किसी एक विकल्प को चुनकर आयकर गणना प्रपत्र तैयार कर सकते है।  </t>
  </si>
  <si>
    <t>2,50,001  to  5,00,000</t>
  </si>
  <si>
    <t>old</t>
  </si>
  <si>
    <t>New</t>
  </si>
  <si>
    <t>H</t>
  </si>
  <si>
    <t xml:space="preserve">यदि आप NPS कार्मिक है और Section US 80CCD (1B) के अंतर्गत अधिकतम 50,000 की छूट लेना चाहते है तो यहाँ नीचे बॉक्स में क्लिक करे। </t>
  </si>
  <si>
    <t>abcde1234h</t>
  </si>
  <si>
    <t>RJPAxxxxxxxx4272</t>
  </si>
  <si>
    <t>EMPLOYEE  PAY  DETAIL</t>
  </si>
  <si>
    <t>Above 80</t>
  </si>
  <si>
    <t>FORM NO. 16</t>
  </si>
  <si>
    <t>[(See Rule 31(1)(a)]</t>
  </si>
  <si>
    <t>PART-A</t>
  </si>
  <si>
    <t>Certificate under section 203 of the income-tax act, 1961 for Tax deducted at source on Salary.</t>
  </si>
  <si>
    <t>Name and address of the Employer</t>
  </si>
  <si>
    <t>Name and adress of the Employee</t>
  </si>
  <si>
    <t>PAN of the Deductor</t>
  </si>
  <si>
    <t>TAN of  the Deductor</t>
  </si>
  <si>
    <t>PAN of the Employee</t>
  </si>
  <si>
    <t>Employee Ref No.</t>
  </si>
  <si>
    <t>CIT (TDS)</t>
  </si>
  <si>
    <t>Assess. Year</t>
  </si>
  <si>
    <t>Peroid with the Employer</t>
  </si>
  <si>
    <t>Adress</t>
  </si>
  <si>
    <t>From</t>
  </si>
  <si>
    <t>To</t>
  </si>
  <si>
    <t>City</t>
  </si>
  <si>
    <t>PIN Code</t>
  </si>
  <si>
    <t>Summary of amount paid/credited and tax deducted at source thereon in respect of the employee</t>
  </si>
  <si>
    <t>Quarters</t>
  </si>
  <si>
    <t>Receipt Numbers of original quarterly statements of TDS under sub-secion (3) of section 200</t>
  </si>
  <si>
    <t>Amount paid/ credited</t>
  </si>
  <si>
    <t>Amount of tax deducted (Rs.)</t>
  </si>
  <si>
    <t>Amount of tax deposited/ remitted (Rs.)</t>
  </si>
  <si>
    <t>TOTAL (Rs.)</t>
  </si>
  <si>
    <t>I. Details of tax deducted and deposited in the Central Government account through book adjustment</t>
  </si>
  <si>
    <t>(The Deductor to provide payment-wise details of tax deducted and deposited with respect to the deductee)</t>
  </si>
  <si>
    <r>
      <t xml:space="preserve">Tax Deposited in respect of the deductee </t>
    </r>
    <r>
      <rPr>
        <b/>
        <sz val="10"/>
        <color indexed="8"/>
        <rFont val="Rupee Foradian"/>
        <family val="2"/>
      </rPr>
      <t>(Rs)</t>
    </r>
  </si>
  <si>
    <t>Book identification number (BIN)</t>
  </si>
  <si>
    <t>Receipt numbers of form No. 24G</t>
  </si>
  <si>
    <t>DDO serial number in Form No. 24G</t>
  </si>
  <si>
    <t>Date of transfer voucher (dd/mm/yyyy)</t>
  </si>
  <si>
    <t>Status of matching with Form No. 24G</t>
  </si>
  <si>
    <t>Total</t>
  </si>
  <si>
    <t>Verification</t>
  </si>
  <si>
    <t>I</t>
  </si>
  <si>
    <t xml:space="preserve">Son/Daughter of </t>
  </si>
  <si>
    <t xml:space="preserve">working in the </t>
  </si>
  <si>
    <t xml:space="preserve">capacity of </t>
  </si>
  <si>
    <t xml:space="preserve">(designation) do hereby certify that a sum of </t>
  </si>
  <si>
    <t>Rs.</t>
  </si>
  <si>
    <t xml:space="preserve">(in words) has been deducted </t>
  </si>
  <si>
    <t>Place</t>
  </si>
  <si>
    <t>Date</t>
  </si>
  <si>
    <t>Signature of person responsible for deduction of tax</t>
  </si>
  <si>
    <t>Designation</t>
  </si>
  <si>
    <t>PART- B (Annexure)</t>
  </si>
  <si>
    <t>DETAILS OF SALARY PAID AND ANY OTHER INCOME AND TAX DEDUCTED</t>
  </si>
  <si>
    <t>1. Gross salary</t>
  </si>
  <si>
    <t>(a) Salary as per provisions contained in section 17(1)</t>
  </si>
  <si>
    <t>(b) Value of perquisites u/s 17(2) (as per Form No. 12BA, wherever applicable)</t>
  </si>
  <si>
    <t>(c) Profits in lieu of salary under section 17(3) (as per Form No. 12BA, wherever applicable)</t>
  </si>
  <si>
    <t>(d) Total  (a+b+c)</t>
  </si>
  <si>
    <t>2. Less: Allowance to the extent exempt u/s 10 House Rent Allowance</t>
  </si>
  <si>
    <t>Allowance</t>
  </si>
  <si>
    <t>House Rent Allow. US10 (13 A)</t>
  </si>
  <si>
    <t>US10 (14)</t>
  </si>
  <si>
    <t>3. Balance (1 - 2)</t>
  </si>
  <si>
    <t>4. Deductions: U/s 16</t>
  </si>
  <si>
    <t>(a)</t>
  </si>
  <si>
    <t>Standard Deduction (u/s 16 (ia)</t>
  </si>
  <si>
    <t>(b)</t>
  </si>
  <si>
    <t>Entertainment allowance</t>
  </si>
  <si>
    <t>(c)</t>
  </si>
  <si>
    <t>Tax on employment</t>
  </si>
  <si>
    <t>5. Aggregate of 4 (a) and (b)</t>
  </si>
  <si>
    <t>6. Income chargeable under the head "salaries" (3-5)</t>
  </si>
  <si>
    <t xml:space="preserve">7. Add: Any other income reported by employee </t>
  </si>
  <si>
    <t>Income</t>
  </si>
  <si>
    <t>From House Property</t>
  </si>
  <si>
    <t>Saving Bank A/C interest</t>
  </si>
  <si>
    <t>8. Gross total income (6+7)</t>
  </si>
  <si>
    <t>9. Deductions under Chapter VI A</t>
  </si>
  <si>
    <t>(A) Section 80C, 80CCC and 80CCD</t>
  </si>
  <si>
    <t>(a) Section 80C</t>
  </si>
  <si>
    <t>Gross Amount</t>
  </si>
  <si>
    <t>Deductible Amount</t>
  </si>
  <si>
    <t>A</t>
  </si>
  <si>
    <t>(A)</t>
  </si>
  <si>
    <t>State Insurance</t>
  </si>
  <si>
    <t>Gr. Acc. Insurance</t>
  </si>
  <si>
    <t>LIC + ULIP + PLI</t>
  </si>
  <si>
    <t>PPF</t>
  </si>
  <si>
    <t>Home Loan Installment (Capital)</t>
  </si>
  <si>
    <t>Tution Fee</t>
  </si>
  <si>
    <t>NSC + Interest on NSC</t>
  </si>
  <si>
    <t>Sukanya Samridhi A/C</t>
  </si>
  <si>
    <t>Fixed Deposit above 5 years</t>
  </si>
  <si>
    <t>Mutual Fund</t>
  </si>
  <si>
    <t>(B) Section 80CCD(2)</t>
  </si>
  <si>
    <t>(C) Section 80CCD(1B)  (RS.-50000/-)</t>
  </si>
  <si>
    <t>Qualifying amount</t>
  </si>
  <si>
    <t>U/S 80D</t>
  </si>
  <si>
    <t>U/S 80DD</t>
  </si>
  <si>
    <t>U/S 80DDB</t>
  </si>
  <si>
    <t>U/S 80E</t>
  </si>
  <si>
    <t>U/S 80G</t>
  </si>
  <si>
    <t>U/S 80GG</t>
  </si>
  <si>
    <t>U/S 80GGA</t>
  </si>
  <si>
    <t>U/S 80U</t>
  </si>
  <si>
    <t xml:space="preserve">10. Aggregate of deductible amount under chapter VIA </t>
  </si>
  <si>
    <t>11. Total income (8-10)</t>
  </si>
  <si>
    <t>(Roundup Figures of Rs 10)</t>
  </si>
  <si>
    <t>12. Tax on total income</t>
  </si>
  <si>
    <t>13. Rebate U/s 87 A (Taxable Income below Rs. 5,00,000/-)</t>
  </si>
  <si>
    <t>14. Tax payable (12-13)</t>
  </si>
  <si>
    <t>15. Education &amp; Health cess @ 4% (on tax computed at S.No. 12)</t>
  </si>
  <si>
    <t>16. Tax payable (14+15) [Round off U/s 288 B]</t>
  </si>
  <si>
    <t>17. Less:- Relief under section 89 (Attach Form 10E)</t>
  </si>
  <si>
    <t>18. Tax payable (14-15)</t>
  </si>
  <si>
    <t>19. Tax deducted at source u/s 192 (1)</t>
  </si>
  <si>
    <t>The Commissioner of Income Tax, Pali</t>
  </si>
  <si>
    <t>PALI</t>
  </si>
  <si>
    <t>PRINCIPAL</t>
  </si>
  <si>
    <t>and is based on the books of account, documents, TDS statement, TDS deposited and other available records.</t>
  </si>
  <si>
    <t xml:space="preserve">and deposited to the credit of the Central Govt.. I further certify that the information given above is true, complete and correct </t>
  </si>
  <si>
    <t>Full name :</t>
  </si>
  <si>
    <t>(B) Other Sections (e.g. 80E, 80G etc.) under Chapter VIA</t>
  </si>
  <si>
    <t xml:space="preserve">(in words) has beeen deducted and </t>
  </si>
  <si>
    <t>deposited to the  credit of the Central Government. I further certify that the information given above is true, complete and correct and is based on the books of account, documents, TDS statement, TDS deposited and other available records.</t>
  </si>
  <si>
    <t>US 80TTA [Exempt Saving Bank Int. Max. RS. 10,000/-]</t>
  </si>
  <si>
    <t>https://www.youtube.com/watch?v=kSG6hPX7VSQ</t>
  </si>
  <si>
    <t>https://www.youtube.com/watch?v=NWwIhkhEUoc</t>
  </si>
  <si>
    <t xml:space="preserve">अधिक जानकारी के लिए ऊपर Youtube video का लिंक दिया गया है। </t>
  </si>
  <si>
    <t>https://www.youtube.com/watch?v=TJ5dWmZplAk</t>
  </si>
  <si>
    <r>
      <rPr>
        <b/>
        <sz val="20"/>
        <color rgb="FFFF0000"/>
        <rFont val="Wingdings"/>
        <charset val="2"/>
      </rPr>
      <t>E</t>
    </r>
    <r>
      <rPr>
        <b/>
        <sz val="12"/>
        <color rgb="FFCC00FF"/>
        <rFont val="Calibri"/>
        <family val="2"/>
        <scheme val="minor"/>
      </rPr>
      <t xml:space="preserve"> अधिक जानकारी के लिए देखें </t>
    </r>
    <r>
      <rPr>
        <b/>
        <sz val="14"/>
        <color rgb="FFCC00FF"/>
        <rFont val="Calibri"/>
        <family val="2"/>
        <scheme val="minor"/>
      </rPr>
      <t xml:space="preserve">Youtube </t>
    </r>
    <r>
      <rPr>
        <b/>
        <sz val="12"/>
        <color rgb="FFCC00FF"/>
        <rFont val="Calibri"/>
        <family val="2"/>
        <scheme val="minor"/>
      </rPr>
      <t>वीडियो</t>
    </r>
  </si>
  <si>
    <t>GPF 2004 (NPS)</t>
  </si>
  <si>
    <t>(xxi)</t>
  </si>
  <si>
    <r>
      <rPr>
        <b/>
        <sz val="13"/>
        <color theme="1"/>
        <rFont val="Calibri"/>
        <family val="2"/>
        <scheme val="minor"/>
      </rPr>
      <t>यदि आपको बोनस मिला है तो जितने माह का बोनस मिला है वो माह सलेक्ट करे</t>
    </r>
    <r>
      <rPr>
        <b/>
        <sz val="13"/>
        <color theme="1"/>
        <rFont val="Kruti Dev 010"/>
      </rPr>
      <t xml:space="preserve">     </t>
    </r>
    <r>
      <rPr>
        <b/>
        <sz val="13"/>
        <color rgb="FF400E3C"/>
        <rFont val="Wingdings"/>
        <charset val="2"/>
      </rPr>
      <t>F</t>
    </r>
  </si>
  <si>
    <t xml:space="preserve">विकलांग भत्ता  :- </t>
  </si>
  <si>
    <t xml:space="preserve">आप किस आयु वर्ग श्रेणी में आते है ? </t>
  </si>
  <si>
    <t xml:space="preserve">क्या आपने समर्पित वेतन उठाया है ? </t>
  </si>
  <si>
    <r>
      <t xml:space="preserve">    7th PAY  HRA </t>
    </r>
    <r>
      <rPr>
        <b/>
        <sz val="12"/>
        <rFont val="Calibri"/>
        <family val="2"/>
        <scheme val="minor"/>
      </rPr>
      <t>प्रतिशत में सलेक्ट करे :-</t>
    </r>
    <r>
      <rPr>
        <b/>
        <sz val="14"/>
        <rFont val="Calibri"/>
        <family val="2"/>
        <scheme val="minor"/>
      </rPr>
      <t xml:space="preserve"> </t>
    </r>
  </si>
  <si>
    <t xml:space="preserve">यदि हा तो माह सलेक्ट करे  :- </t>
  </si>
  <si>
    <t xml:space="preserve">क्या आपको बोनस मिला है :- </t>
  </si>
  <si>
    <t xml:space="preserve">आपको अभी कोनसा वेतन मिल रहा है :- </t>
  </si>
  <si>
    <r>
      <t xml:space="preserve"> </t>
    </r>
    <r>
      <rPr>
        <b/>
        <sz val="16"/>
        <rFont val="Calibri"/>
        <family val="2"/>
        <scheme val="minor"/>
      </rPr>
      <t xml:space="preserve">CCA </t>
    </r>
    <r>
      <rPr>
        <b/>
        <sz val="12"/>
        <rFont val="Calibri"/>
        <family val="2"/>
        <scheme val="minor"/>
      </rPr>
      <t>लागू हो तो</t>
    </r>
    <r>
      <rPr>
        <b/>
        <sz val="16"/>
        <rFont val="Calibri"/>
        <family val="2"/>
        <scheme val="minor"/>
      </rPr>
      <t xml:space="preserve"> CITY</t>
    </r>
    <r>
      <rPr>
        <b/>
        <sz val="16"/>
        <rFont val="Kruti Dev 010"/>
      </rPr>
      <t xml:space="preserve"> </t>
    </r>
    <r>
      <rPr>
        <b/>
        <sz val="12"/>
        <rFont val="Calibri"/>
        <family val="2"/>
        <scheme val="minor"/>
      </rPr>
      <t>सलेक्ट करे :-</t>
    </r>
    <r>
      <rPr>
        <b/>
        <sz val="16"/>
        <rFont val="Kruti Dev 010"/>
      </rPr>
      <t xml:space="preserve">  </t>
    </r>
  </si>
  <si>
    <t xml:space="preserve">पे मेट्रिक्स के अनुसार पे लेवल लिखे  :- </t>
  </si>
  <si>
    <t xml:space="preserve">यदि वितीय वर्ष  2020-21 में मूल वेतन में परिवर्तन हुआ है तो लिखे : - </t>
  </si>
  <si>
    <r>
      <rPr>
        <b/>
        <sz val="11"/>
        <color rgb="FFFF0000"/>
        <rFont val="Kruti Dev 010"/>
      </rPr>
      <t xml:space="preserve">यदि मूल वेतन में कोई परिवर्तन हुआ है जैसे एसीपी या अन्य कारणों से तो </t>
    </r>
    <r>
      <rPr>
        <b/>
        <sz val="14"/>
        <color rgb="FFFF0000"/>
        <rFont val="Kruti Dev 010"/>
      </rPr>
      <t xml:space="preserve"> </t>
    </r>
    <r>
      <rPr>
        <b/>
        <sz val="11"/>
        <color rgb="FF0000FF"/>
        <rFont val="Calibri"/>
        <family val="2"/>
        <scheme val="minor"/>
      </rPr>
      <t>(इन्क्रीमेंट के अलावा )</t>
    </r>
    <r>
      <rPr>
        <b/>
        <sz val="14"/>
        <color rgb="FFFF0000"/>
        <rFont val="Kruti Dev 010"/>
      </rPr>
      <t xml:space="preserve"> </t>
    </r>
    <r>
      <rPr>
        <b/>
        <sz val="11"/>
        <color rgb="FFFF0000"/>
        <rFont val="Calibri"/>
        <family val="2"/>
        <scheme val="minor"/>
      </rPr>
      <t>( माह सलेक्ट करे )</t>
    </r>
  </si>
  <si>
    <t>आयकर गणना प्रपत्र वर्ष -</t>
  </si>
  <si>
    <t xml:space="preserve">( कर निर्धारण वर्ष - </t>
  </si>
  <si>
    <t>नाम कर्मचारी :-</t>
  </si>
  <si>
    <t>पद :-</t>
  </si>
  <si>
    <t xml:space="preserve">गृह किराया धारा 10 (13-A) के अंतर्गत व धारा  10(14) के अंतर्गत  अन्य भत्ते जो कर मुक्त है  </t>
  </si>
  <si>
    <t xml:space="preserve">शेष ( 2-3) </t>
  </si>
  <si>
    <t xml:space="preserve">  (i) मनोरंजन भत्ता धारा  16  (ii) के अंतर्गत </t>
  </si>
  <si>
    <t xml:space="preserve">                                                      शेष ( 4-5) </t>
  </si>
  <si>
    <t xml:space="preserve"> गृह सम्पति से आय : (1) स्वयं के उपभोग में शून्य :-</t>
  </si>
  <si>
    <t>किराये का 30%</t>
  </si>
  <si>
    <t xml:space="preserve">गृह ऋण पर ब्याज </t>
  </si>
  <si>
    <t xml:space="preserve">गृह कर </t>
  </si>
  <si>
    <t>योग 7 (ब)</t>
  </si>
  <si>
    <t>(2) प्राप्त किराया रु .</t>
  </si>
  <si>
    <t xml:space="preserve">शेष -/+  (7 (अ)  एवं योग 7 (ब) का ) :- </t>
  </si>
  <si>
    <t xml:space="preserve">बचत खाते पर ब्याज : </t>
  </si>
  <si>
    <t>अन्य आय :</t>
  </si>
  <si>
    <t xml:space="preserve">एफडी व अन्य आय पर प्राप्त ब्याज राशि </t>
  </si>
  <si>
    <r>
      <rPr>
        <sz val="11"/>
        <rFont val="Calibri"/>
        <family val="2"/>
        <scheme val="minor"/>
      </rPr>
      <t xml:space="preserve">Bonds </t>
    </r>
    <r>
      <rPr>
        <sz val="10"/>
        <rFont val="Calibri"/>
        <family val="2"/>
        <scheme val="minor"/>
      </rPr>
      <t xml:space="preserve">से प्राप्त ब्याज </t>
    </r>
  </si>
  <si>
    <t xml:space="preserve">कुल शेष - / + (6 एवं 7) :- </t>
  </si>
  <si>
    <t xml:space="preserve">योग (8 + 9)  </t>
  </si>
  <si>
    <t xml:space="preserve">सकल आय </t>
  </si>
  <si>
    <t>रु.</t>
  </si>
  <si>
    <t xml:space="preserve">घटाए कटोतियाँ :- धारा  US 80C, 80CCC,80CCD (1)  </t>
  </si>
  <si>
    <t>(A) अधिकतम सीमा 1,50,000/- (धारा 80CCE), धारा 80CCD(2), तथा धारा 80CCD(1B) के अतिरिक्त</t>
  </si>
  <si>
    <t>राज्य बीमा (SI)</t>
  </si>
  <si>
    <t>जीवन बीमा प्रीमियम (LIC)</t>
  </si>
  <si>
    <t>राष्ट्रीय बचत पत्र (NSC)</t>
  </si>
  <si>
    <t>लोक भविष्य निधि (PPF)</t>
  </si>
  <si>
    <t>राष्ट्रीय बचत पत्र स्कीम (NSS)</t>
  </si>
  <si>
    <t>सामान्य प्रावधायी निधि  (GPF)</t>
  </si>
  <si>
    <t>सामूहिक बीमा प्रीमियम  (G.Ins.)</t>
  </si>
  <si>
    <t xml:space="preserve">यू एल आई पी / वार्षिक प्लान </t>
  </si>
  <si>
    <t>गृह ऋण किस्त (HBA Premium)</t>
  </si>
  <si>
    <t>वेतन के अतिरिक्त जीवन बीमा  (Extra LIC)</t>
  </si>
  <si>
    <t>पेंशन प्लान हेतु योगदान  (धारा 80ccc)</t>
  </si>
  <si>
    <r>
      <t xml:space="preserve">पेंशन योजना में योगदान  </t>
    </r>
    <r>
      <rPr>
        <b/>
        <sz val="10"/>
        <rFont val="Calibri"/>
        <family val="2"/>
        <scheme val="minor"/>
      </rPr>
      <t>ECPF धारा  80ccd(1)</t>
    </r>
    <r>
      <rPr>
        <sz val="10"/>
        <rFont val="Calibri"/>
        <family val="2"/>
        <scheme val="minor"/>
      </rPr>
      <t xml:space="preserve">
</t>
    </r>
  </si>
  <si>
    <t xml:space="preserve">राष्ट्रीय बचत पत्र पर अदत ब्याज </t>
  </si>
  <si>
    <t>टियुशन फ़ीस</t>
  </si>
  <si>
    <t xml:space="preserve">इक्विटी लिंक सेविंग स्कीम </t>
  </si>
  <si>
    <t>स्थगत वार्षिकी (Defferred Annuty)</t>
  </si>
  <si>
    <t>पी.एल.आई . (PLI)</t>
  </si>
  <si>
    <t>अन्य जमाराशि (धारा 80 C के अंतर्गत) म्यूच्यूअल फण्ड</t>
  </si>
  <si>
    <t>सुकन्या समृद्धि योजना में जमा राशि</t>
  </si>
  <si>
    <t>अन्य व फिक्स डिपोजिट  (5 वर्ष हेतु )</t>
  </si>
  <si>
    <t xml:space="preserve">अधिकतम कटोती राशि 1.50 लाख तक :- </t>
  </si>
  <si>
    <t xml:space="preserve">(B) घटाइये धारा  80CCD(2) नियोक्ता द्वारा  पेंशन अंशदान की राशि  (अधिकतम वेतन का 10%)  पृथक से छुट </t>
  </si>
  <si>
    <t>(ब) घटाइये</t>
  </si>
  <si>
    <t>(C) घटाइये - धारा  80CCD (1B) नवीन पेंशन योजना में अतिरिक्त अंशदान  (अधिकतम 50,000 रु. )</t>
  </si>
  <si>
    <t xml:space="preserve">योग 11(A+B+C)      </t>
  </si>
  <si>
    <t>अन्य कटोतियाँ</t>
  </si>
  <si>
    <t>1. धारा 80 D चिकित्सा बीमा प्रीमियम  (स्वयं पति पत्नि व बच्चों के लिए रु. 25,000 माता - पिता के लिए रु. 25,000 , सीनियर सिटीजन रु. 50,000 )</t>
  </si>
  <si>
    <t>2. धारा 80DD विकलांग आश्रितों के चिकित्सा उपचार (अधिकतम 75,000 तथा 80% या अधिक विकलांगता ( 1,25,000)</t>
  </si>
  <si>
    <t>3. धारा  80DDB विशिष्ट रोगों के उपचार हेतु छुट  (अधिकतम रु. 40,000, सीनियर सिटीजन हेतु रु. 1,00,000)</t>
  </si>
  <si>
    <t xml:space="preserve">4. धारा  80E उच्च शिक्षा हेतु लिए गए ऋण का ब्याज </t>
  </si>
  <si>
    <t>5. धारा 80G धर्मार्थ संस्थाओ आदि को दिए दान ( क श्रेणी में  100 प्रतिशत एव ख श्रेणी में 50 प्रतिशत)   (केंद्र एव राज्य सरकार के फण्ड में )</t>
  </si>
  <si>
    <t>6. धारा 80U स्थाई रूप से शारीरिक असमर्थता की दशा में  (अधिकतम  75,000 तथा अधिनियम 1995 के अनुसार 1,25,000)</t>
  </si>
  <si>
    <t>7. धारा 80 TTA बचत खाते पर अधिकतम ब्याज पर 10,000 194(IA)  ,  ( वरिष्ठ नागरिकों के लिए ब्याज पर छुट 50000 तक )</t>
  </si>
  <si>
    <t xml:space="preserve">8. धारा 80 GGA अनुमोदित वैज्ञानिक, सामाजिक, ग्रामीण विकास आदि हेतु दिया गया दान </t>
  </si>
  <si>
    <t>कुल योग 12 ( 1 से 8 तक )</t>
  </si>
  <si>
    <t>कुल कटोती ( 11 + 12)</t>
  </si>
  <si>
    <t>कर योग्य आय ( 10 - 13 )</t>
  </si>
  <si>
    <t>कुल आय की राशि को सम्पूर्ण करना ( दस के गुणांक में ) धारा  288A</t>
  </si>
  <si>
    <t xml:space="preserve">आयकर की गणना उपर्युक्त कॉलम  15 के आधार पर </t>
  </si>
  <si>
    <t xml:space="preserve">सामान्य नागरिक </t>
  </si>
  <si>
    <t>वरिष्ठ नागरिक (60 से 80 वर्ष तक)</t>
  </si>
  <si>
    <t xml:space="preserve">80 वर्ष या अधिक आयु </t>
  </si>
  <si>
    <t xml:space="preserve">(1) योग आयकर </t>
  </si>
  <si>
    <r>
      <rPr>
        <b/>
        <sz val="10"/>
        <rFont val="Calibri"/>
        <family val="2"/>
        <scheme val="minor"/>
      </rPr>
      <t>(2)</t>
    </r>
    <r>
      <rPr>
        <sz val="10"/>
        <rFont val="Calibri"/>
        <family val="2"/>
        <scheme val="minor"/>
      </rPr>
      <t xml:space="preserve"> छुट धारा 87(A)  (5 लाख की कर योग्य आय पर आयकर की छुट अधिकतम रु. </t>
    </r>
    <r>
      <rPr>
        <b/>
        <sz val="10"/>
        <rFont val="Calibri"/>
        <family val="2"/>
        <scheme val="minor"/>
      </rPr>
      <t>12500</t>
    </r>
    <r>
      <rPr>
        <sz val="10"/>
        <rFont val="Calibri"/>
        <family val="2"/>
        <scheme val="minor"/>
      </rPr>
      <t>/- तक)</t>
    </r>
  </si>
  <si>
    <t>(3) शेष आयकर  (1-2)</t>
  </si>
  <si>
    <t>4)</t>
  </si>
  <si>
    <t xml:space="preserve"> घटाइये :-   राहत धारा  89 के तहत  </t>
  </si>
  <si>
    <t xml:space="preserve">                                                             कुल आयकर  (3-4)</t>
  </si>
  <si>
    <t xml:space="preserve">कुल शेष आयकर </t>
  </si>
  <si>
    <t xml:space="preserve">आयकर कटौती 
 का विवरण </t>
  </si>
  <si>
    <t xml:space="preserve">हस्ताक्षर कार्मिक </t>
  </si>
  <si>
    <t xml:space="preserve">कुलयोग कॉलम 19 </t>
  </si>
  <si>
    <t>Pay received</t>
  </si>
  <si>
    <t>Deducations</t>
  </si>
  <si>
    <t xml:space="preserve">वेतन ड्रा मानचित्र </t>
  </si>
  <si>
    <r>
      <t>योग  (</t>
    </r>
    <r>
      <rPr>
        <b/>
        <sz val="12"/>
        <rFont val="Calibri"/>
        <family val="2"/>
        <scheme val="minor"/>
      </rPr>
      <t xml:space="preserve"> i</t>
    </r>
    <r>
      <rPr>
        <b/>
        <sz val="10"/>
        <rFont val="Calibri"/>
        <family val="2"/>
        <scheme val="minor"/>
      </rPr>
      <t xml:space="preserve"> से </t>
    </r>
    <r>
      <rPr>
        <b/>
        <sz val="12"/>
        <rFont val="Calibri"/>
        <family val="2"/>
        <scheme val="minor"/>
      </rPr>
      <t>xxi</t>
    </r>
    <r>
      <rPr>
        <b/>
        <sz val="10"/>
        <rFont val="Calibri"/>
        <family val="2"/>
        <scheme val="minor"/>
      </rPr>
      <t xml:space="preserve"> )</t>
    </r>
  </si>
  <si>
    <t xml:space="preserve">टी.डी.एस. 
की राशि </t>
  </si>
  <si>
    <t>Old Tax Regime</t>
  </si>
  <si>
    <r>
      <t xml:space="preserve">नई व पुराणी आयकर दर  सलेक्ट करे  </t>
    </r>
    <r>
      <rPr>
        <b/>
        <sz val="16"/>
        <color rgb="FFCC00FF"/>
        <rFont val="Wingdings"/>
        <charset val="2"/>
      </rPr>
      <t>H</t>
    </r>
  </si>
  <si>
    <r>
      <t xml:space="preserve">2.  स्टैण्डर्ड डीडेक्सन </t>
    </r>
    <r>
      <rPr>
        <b/>
        <sz val="12"/>
        <color rgb="FFFFC000"/>
        <rFont val="Calibri"/>
        <family val="2"/>
        <scheme val="minor"/>
      </rPr>
      <t>(Standard Deduction</t>
    </r>
    <r>
      <rPr>
        <b/>
        <sz val="11"/>
        <color rgb="FFFFC000"/>
        <rFont val="Calibri"/>
        <family val="2"/>
        <scheme val="minor"/>
      </rPr>
      <t>)  50,000 (अधिकतम )</t>
    </r>
  </si>
  <si>
    <t xml:space="preserve">3. मनोरंजन भत्ता धारा  16  (ii) के अंतर्गत </t>
  </si>
  <si>
    <r>
      <t xml:space="preserve"> (</t>
    </r>
    <r>
      <rPr>
        <sz val="12"/>
        <rFont val="Calibri"/>
        <family val="2"/>
        <scheme val="minor"/>
      </rPr>
      <t xml:space="preserve">ii) </t>
    </r>
    <r>
      <rPr>
        <sz val="10"/>
        <rFont val="Calibri"/>
        <family val="2"/>
        <scheme val="minor"/>
      </rPr>
      <t>व्यवसाय कर</t>
    </r>
    <r>
      <rPr>
        <sz val="12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 धारा  16  (iii) के अंतर्गत </t>
    </r>
  </si>
  <si>
    <r>
      <t xml:space="preserve"> (</t>
    </r>
    <r>
      <rPr>
        <sz val="12"/>
        <rFont val="Calibri"/>
        <family val="2"/>
        <scheme val="minor"/>
      </rPr>
      <t xml:space="preserve">iii) </t>
    </r>
    <r>
      <rPr>
        <sz val="10"/>
        <rFont val="Calibri"/>
        <family val="2"/>
        <scheme val="minor"/>
      </rPr>
      <t>स्टैण्डर्ड डीडेक्सन</t>
    </r>
    <r>
      <rPr>
        <sz val="12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(Standard Deduction)  50,000  (अधिकतम )</t>
    </r>
  </si>
  <si>
    <t xml:space="preserve">4. व्यवसाय कर  धारा  16  (iii) के अंतर्गत  </t>
  </si>
  <si>
    <t xml:space="preserve">5. गृह सम्पति से प्राप्त किराया  - आय </t>
  </si>
  <si>
    <t xml:space="preserve">6. गृहकर </t>
  </si>
  <si>
    <t>7. गृह ऋण की मूल किस्त यहाँ लिखनी है, जो छूट लेनी हैI</t>
  </si>
  <si>
    <t>8. गृह ऋण की किस्त पर ब्याज जो छूट लेना है, यहाँ लिखें I</t>
  </si>
  <si>
    <t>10. पी.एल.आई. (PLI)</t>
  </si>
  <si>
    <t>11. टियुशन फ़ीस (Tution Fees)</t>
  </si>
  <si>
    <t>12.  यू एल आई पी / वार्षिक प्लान</t>
  </si>
  <si>
    <t>13.  राष्ट्रीय बचत पत्र (NSC)</t>
  </si>
  <si>
    <t xml:space="preserve">14.  राष्ट्रीय बचत पत्र पर अदत ब्याज </t>
  </si>
  <si>
    <t>15.  लोक भविष्य निधि (PPF)</t>
  </si>
  <si>
    <t xml:space="preserve">16.  राष्ट्रीय बचत पत्र स्कीम (NSS) </t>
  </si>
  <si>
    <t xml:space="preserve">18.   Bonds से ब्याज </t>
  </si>
  <si>
    <t>19.   अन्य आय :</t>
  </si>
  <si>
    <t>वेतन कटौती से अतिरिक्त कटौतिया जिसके तहत आप आयकर में छूट लेना चाहते है, तथा अतिरिक्त (अन्य) आय को यहाँ इन्द्राज करेंI</t>
  </si>
  <si>
    <t>1. मकान किराया भत्ता (यदि रसीद के माध्यम से छूट लेनी हो तो राशि लिखे )</t>
  </si>
  <si>
    <r>
      <rPr>
        <b/>
        <sz val="11"/>
        <color rgb="FF002060"/>
        <rFont val="Calibri"/>
        <family val="2"/>
        <scheme val="minor"/>
      </rPr>
      <t>9. जीवन बीमा प्रीमियम  (जो वेतन से नहीं काटा गया है )</t>
    </r>
    <r>
      <rPr>
        <b/>
        <sz val="11"/>
        <color theme="3" tint="0.39997558519241921"/>
        <rFont val="Calibri"/>
        <family val="2"/>
        <scheme val="minor"/>
      </rPr>
      <t xml:space="preserve"> </t>
    </r>
    <r>
      <rPr>
        <b/>
        <sz val="11"/>
        <color rgb="FF33CC33"/>
        <rFont val="Calibri"/>
        <family val="2"/>
        <scheme val="minor"/>
      </rPr>
      <t>LIC</t>
    </r>
  </si>
  <si>
    <r>
      <t xml:space="preserve">17.  सुकन्या समृद्धि योजना में जमा राशि </t>
    </r>
    <r>
      <rPr>
        <b/>
        <sz val="14"/>
        <rFont val="Calibri"/>
        <family val="2"/>
        <scheme val="minor"/>
      </rPr>
      <t xml:space="preserve"> (SSY)</t>
    </r>
  </si>
  <si>
    <r>
      <t xml:space="preserve">22. </t>
    </r>
    <r>
      <rPr>
        <b/>
        <sz val="10"/>
        <rFont val="Calibri"/>
        <family val="2"/>
        <scheme val="minor"/>
      </rPr>
      <t>स्थगत वार्षिकी</t>
    </r>
    <r>
      <rPr>
        <b/>
        <sz val="11"/>
        <rFont val="Calibri"/>
        <family val="2"/>
        <scheme val="minor"/>
      </rPr>
      <t xml:space="preserve"> (Defferred Annuty)</t>
    </r>
  </si>
  <si>
    <r>
      <rPr>
        <b/>
        <sz val="11"/>
        <rFont val="Calibri"/>
        <family val="2"/>
        <scheme val="minor"/>
      </rPr>
      <t>20.</t>
    </r>
    <r>
      <rPr>
        <b/>
        <sz val="10"/>
        <rFont val="Calibri"/>
        <family val="2"/>
        <scheme val="minor"/>
      </rPr>
      <t xml:space="preserve">  इक्विटी लिंक सेविंग स्कीम </t>
    </r>
  </si>
  <si>
    <r>
      <rPr>
        <b/>
        <sz val="11"/>
        <rFont val="Calibri"/>
        <family val="2"/>
        <scheme val="minor"/>
      </rPr>
      <t>21.</t>
    </r>
    <r>
      <rPr>
        <b/>
        <sz val="10"/>
        <rFont val="Calibri"/>
        <family val="2"/>
        <scheme val="minor"/>
      </rPr>
      <t xml:space="preserve">  गृह किराया धारा 10 (13-A) के अंतर्गत व धारा  10(14) के अंतर्गत  अन्य भत्ते जो कर मुक्त है </t>
    </r>
  </si>
  <si>
    <r>
      <t xml:space="preserve">23. </t>
    </r>
    <r>
      <rPr>
        <b/>
        <sz val="10"/>
        <rFont val="Calibri"/>
        <family val="2"/>
        <scheme val="minor"/>
      </rPr>
      <t>वेतन के अलावा जमा कराया गया आयकर</t>
    </r>
    <r>
      <rPr>
        <b/>
        <sz val="11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 xml:space="preserve"> (TDS)</t>
    </r>
  </si>
  <si>
    <t>25.   अन्य कोई छुट जो धारा 10 (13-A) के अंतर्गत व धारा  10(14) के अंतर्गत आती हो तो यहाँ लिखे एवं अन्य कर मुक्त भत्ता यहाँ लिखे I</t>
  </si>
  <si>
    <r>
      <rPr>
        <b/>
        <sz val="11"/>
        <rFont val="Calibri"/>
        <family val="2"/>
        <scheme val="minor"/>
      </rPr>
      <t>26.</t>
    </r>
    <r>
      <rPr>
        <b/>
        <sz val="10"/>
        <rFont val="Calibri"/>
        <family val="2"/>
        <scheme val="minor"/>
      </rPr>
      <t xml:space="preserve">  धारा 80CCC पेंशन प्लान हेतु अंशदान </t>
    </r>
  </si>
  <si>
    <r>
      <rPr>
        <b/>
        <sz val="11"/>
        <rFont val="Calibri"/>
        <family val="2"/>
        <scheme val="minor"/>
      </rPr>
      <t>27.</t>
    </r>
    <r>
      <rPr>
        <b/>
        <sz val="10"/>
        <rFont val="Calibri"/>
        <family val="2"/>
        <scheme val="minor"/>
      </rPr>
      <t xml:space="preserve">  अन्य जमा राशि  (धारा 80 सी के अंतर्गत) व   म्यूच्यूअल फण्ड </t>
    </r>
  </si>
  <si>
    <r>
      <rPr>
        <b/>
        <sz val="11"/>
        <rFont val="Calibri"/>
        <family val="2"/>
        <scheme val="minor"/>
      </rPr>
      <t>30.</t>
    </r>
    <r>
      <rPr>
        <b/>
        <sz val="10"/>
        <rFont val="Calibri"/>
        <family val="2"/>
        <scheme val="minor"/>
      </rPr>
      <t xml:space="preserve">   धारा </t>
    </r>
    <r>
      <rPr>
        <b/>
        <sz val="12"/>
        <rFont val="Calibri"/>
        <family val="2"/>
        <scheme val="minor"/>
      </rPr>
      <t>80DD</t>
    </r>
    <r>
      <rPr>
        <b/>
        <sz val="10"/>
        <rFont val="Calibri"/>
        <family val="2"/>
        <scheme val="minor"/>
      </rPr>
      <t xml:space="preserve"> विकलांग आश्रितों के चिकित्सा उपचार</t>
    </r>
    <r>
      <rPr>
        <b/>
        <sz val="14"/>
        <rFont val="Kruti Dev 010"/>
      </rPr>
      <t xml:space="preserve"> </t>
    </r>
  </si>
  <si>
    <r>
      <rPr>
        <b/>
        <sz val="11"/>
        <rFont val="Calibri"/>
        <family val="2"/>
        <scheme val="minor"/>
      </rPr>
      <t>29.</t>
    </r>
    <r>
      <rPr>
        <b/>
        <sz val="10"/>
        <rFont val="Calibri"/>
        <family val="2"/>
        <scheme val="minor"/>
      </rPr>
      <t xml:space="preserve">   धारा </t>
    </r>
    <r>
      <rPr>
        <b/>
        <sz val="12"/>
        <rFont val="Calibri"/>
        <family val="2"/>
        <scheme val="minor"/>
      </rPr>
      <t>80 D</t>
    </r>
    <r>
      <rPr>
        <b/>
        <sz val="10"/>
        <rFont val="Calibri"/>
        <family val="2"/>
        <scheme val="minor"/>
      </rPr>
      <t xml:space="preserve"> चिकित्सा बीमा प्रीमियम </t>
    </r>
  </si>
  <si>
    <r>
      <rPr>
        <b/>
        <sz val="11"/>
        <rFont val="Calibri"/>
        <family val="2"/>
        <scheme val="minor"/>
      </rPr>
      <t>28.</t>
    </r>
    <r>
      <rPr>
        <b/>
        <sz val="10"/>
        <rFont val="Calibri"/>
        <family val="2"/>
        <scheme val="minor"/>
      </rPr>
      <t xml:space="preserve">   धारा </t>
    </r>
    <r>
      <rPr>
        <b/>
        <sz val="12"/>
        <rFont val="Calibri"/>
        <family val="2"/>
        <scheme val="minor"/>
      </rPr>
      <t xml:space="preserve">80CCD(1B) </t>
    </r>
    <r>
      <rPr>
        <b/>
        <sz val="10"/>
        <rFont val="Calibri"/>
        <family val="2"/>
        <scheme val="minor"/>
      </rPr>
      <t>- नवीन पेंशन योजना में अतिरिक्त अंशदान  (अधिकतम रुपये 50,000)</t>
    </r>
  </si>
  <si>
    <r>
      <rPr>
        <b/>
        <sz val="11"/>
        <rFont val="Calibri"/>
        <family val="2"/>
        <scheme val="minor"/>
      </rPr>
      <t>31.</t>
    </r>
    <r>
      <rPr>
        <b/>
        <sz val="10"/>
        <rFont val="Calibri"/>
        <family val="2"/>
        <scheme val="minor"/>
      </rPr>
      <t xml:space="preserve">  धारा  </t>
    </r>
    <r>
      <rPr>
        <b/>
        <sz val="12"/>
        <rFont val="Calibri"/>
        <family val="2"/>
        <scheme val="minor"/>
      </rPr>
      <t>80DDB</t>
    </r>
    <r>
      <rPr>
        <b/>
        <sz val="10"/>
        <rFont val="Calibri"/>
        <family val="2"/>
        <scheme val="minor"/>
      </rPr>
      <t xml:space="preserve"> विशिष्ट रोगों के उपचार हेतु छुट</t>
    </r>
  </si>
  <si>
    <r>
      <rPr>
        <b/>
        <sz val="11"/>
        <rFont val="Calibri"/>
        <family val="2"/>
        <scheme val="minor"/>
      </rPr>
      <t xml:space="preserve">32.   </t>
    </r>
    <r>
      <rPr>
        <b/>
        <sz val="10"/>
        <rFont val="Calibri"/>
        <family val="2"/>
        <scheme val="minor"/>
      </rPr>
      <t xml:space="preserve">धारा </t>
    </r>
    <r>
      <rPr>
        <b/>
        <sz val="12"/>
        <rFont val="Calibri"/>
        <family val="2"/>
        <scheme val="minor"/>
      </rPr>
      <t xml:space="preserve"> 80E</t>
    </r>
    <r>
      <rPr>
        <b/>
        <sz val="10"/>
        <rFont val="Calibri"/>
        <family val="2"/>
        <scheme val="minor"/>
      </rPr>
      <t xml:space="preserve"> उच्च शिक्षा हेतु लिए गए ऋण का ब्याज </t>
    </r>
  </si>
  <si>
    <r>
      <rPr>
        <b/>
        <sz val="11"/>
        <rFont val="Calibri"/>
        <family val="2"/>
        <scheme val="minor"/>
      </rPr>
      <t>33.</t>
    </r>
    <r>
      <rPr>
        <b/>
        <sz val="10"/>
        <rFont val="Calibri"/>
        <family val="2"/>
        <scheme val="minor"/>
      </rPr>
      <t xml:space="preserve">  धारा </t>
    </r>
    <r>
      <rPr>
        <b/>
        <sz val="12"/>
        <rFont val="Calibri"/>
        <family val="2"/>
        <scheme val="minor"/>
      </rPr>
      <t>80G</t>
    </r>
    <r>
      <rPr>
        <b/>
        <sz val="10"/>
        <rFont val="Calibri"/>
        <family val="2"/>
        <scheme val="minor"/>
      </rPr>
      <t xml:space="preserve"> धर्मार्थ संस्थाओ आदि को दिए दान ( क श्रेणी में  100 प्रतिशत एव ख श्रेणी में 50 प्रतिशत)</t>
    </r>
  </si>
  <si>
    <r>
      <rPr>
        <b/>
        <sz val="11"/>
        <rFont val="Calibri"/>
        <family val="2"/>
        <scheme val="minor"/>
      </rPr>
      <t xml:space="preserve">34. </t>
    </r>
    <r>
      <rPr>
        <b/>
        <sz val="10"/>
        <rFont val="Calibri"/>
        <family val="2"/>
        <scheme val="minor"/>
      </rPr>
      <t xml:space="preserve">  धारा </t>
    </r>
    <r>
      <rPr>
        <b/>
        <sz val="12"/>
        <rFont val="Calibri"/>
        <family val="2"/>
        <scheme val="minor"/>
      </rPr>
      <t>80U</t>
    </r>
    <r>
      <rPr>
        <b/>
        <sz val="10"/>
        <rFont val="Calibri"/>
        <family val="2"/>
        <scheme val="minor"/>
      </rPr>
      <t xml:space="preserve"> स्थाई रूप से शारीरिक असमर्थता की दशा में </t>
    </r>
  </si>
  <si>
    <r>
      <rPr>
        <b/>
        <sz val="11"/>
        <color rgb="FF400E3C"/>
        <rFont val="Calibri"/>
        <family val="2"/>
        <scheme val="minor"/>
      </rPr>
      <t xml:space="preserve">35. </t>
    </r>
    <r>
      <rPr>
        <b/>
        <sz val="10"/>
        <color rgb="FF400E3C"/>
        <rFont val="Calibri"/>
        <family val="2"/>
        <scheme val="minor"/>
      </rPr>
      <t xml:space="preserve">  धारा </t>
    </r>
    <r>
      <rPr>
        <b/>
        <sz val="12"/>
        <color rgb="FF400E3C"/>
        <rFont val="Calibri"/>
        <family val="2"/>
        <scheme val="minor"/>
      </rPr>
      <t>80 TTA</t>
    </r>
    <r>
      <rPr>
        <b/>
        <sz val="10"/>
        <color rgb="FF400E3C"/>
        <rFont val="Calibri"/>
        <family val="2"/>
        <scheme val="minor"/>
      </rPr>
      <t xml:space="preserve"> बचत खाते पर अधिकतम ब्याज पर 10,000 तक छुट  </t>
    </r>
    <r>
      <rPr>
        <b/>
        <sz val="12"/>
        <color rgb="FF400E3C"/>
        <rFont val="Calibri"/>
        <family val="2"/>
        <scheme val="minor"/>
      </rPr>
      <t>194(IA)</t>
    </r>
    <r>
      <rPr>
        <b/>
        <sz val="10"/>
        <color rgb="FF400E3C"/>
        <rFont val="Calibri"/>
        <family val="2"/>
        <scheme val="minor"/>
      </rPr>
      <t xml:space="preserve"> </t>
    </r>
  </si>
  <si>
    <r>
      <rPr>
        <b/>
        <sz val="11"/>
        <rFont val="Calibri"/>
        <family val="2"/>
        <scheme val="minor"/>
      </rPr>
      <t xml:space="preserve">36. </t>
    </r>
    <r>
      <rPr>
        <b/>
        <sz val="10"/>
        <rFont val="Calibri"/>
        <family val="2"/>
        <scheme val="minor"/>
      </rPr>
      <t xml:space="preserve">  धारा </t>
    </r>
    <r>
      <rPr>
        <b/>
        <sz val="12"/>
        <rFont val="Calibri"/>
        <family val="2"/>
        <scheme val="minor"/>
      </rPr>
      <t>80 GGA</t>
    </r>
    <r>
      <rPr>
        <b/>
        <sz val="10"/>
        <rFont val="Calibri"/>
        <family val="2"/>
        <scheme val="minor"/>
      </rPr>
      <t xml:space="preserve"> अनुमोदित वैज्ञानिक, सामाजिक, ग्रामीण विकास आदि हेतु दिया गया दान </t>
    </r>
  </si>
  <si>
    <r>
      <rPr>
        <b/>
        <sz val="11"/>
        <rFont val="Calibri"/>
        <family val="2"/>
        <scheme val="minor"/>
      </rPr>
      <t>37.</t>
    </r>
    <r>
      <rPr>
        <b/>
        <sz val="10"/>
        <rFont val="Calibri"/>
        <family val="2"/>
        <scheme val="minor"/>
      </rPr>
      <t xml:space="preserve">  एफडी आदि अन्य जमा पर प्राप्त कुल ब्याज (पीपीएफ को छोड़कर)</t>
    </r>
  </si>
  <si>
    <t>38. राहत धारा  89 के तहत  (अगर छुट लेनी है तो राशि लिखे )</t>
  </si>
  <si>
    <t>Section US 80CCD (1B)
Yes/No</t>
  </si>
  <si>
    <t>गृह ऋण पर ब्याज</t>
  </si>
  <si>
    <t>गृहकर</t>
  </si>
  <si>
    <t xml:space="preserve"> धारा 80G धर्मार्थ संस्थाओ आदि को दिए दान ( क श्रेणी में  100 प्रतिशत)</t>
  </si>
  <si>
    <t xml:space="preserve"> धारा 80G धर्मार्थ संस्थाओ आदि को दिए दान ( ख श्रेणी में  50 प्रतिशत)</t>
  </si>
  <si>
    <r>
      <t xml:space="preserve">24.  </t>
    </r>
    <r>
      <rPr>
        <b/>
        <sz val="10"/>
        <rFont val="Calibri"/>
        <family val="2"/>
        <scheme val="minor"/>
      </rPr>
      <t>अन्य व फिक्स डिपोजिट  (5 वर्ष हेतु )  (धारा 80 सी के अंतर्गत )</t>
    </r>
  </si>
  <si>
    <t xml:space="preserve">अन्य आय </t>
  </si>
  <si>
    <r>
      <rPr>
        <b/>
        <sz val="12"/>
        <color rgb="FF7030A0"/>
        <rFont val="Kruti Dev 010"/>
      </rPr>
      <t>परम पूज्य गुरुदेव श्री श्री</t>
    </r>
    <r>
      <rPr>
        <b/>
        <sz val="14"/>
        <color rgb="FF7030A0"/>
        <rFont val="Kruti Dev 010"/>
      </rPr>
      <t xml:space="preserve"> </t>
    </r>
    <r>
      <rPr>
        <b/>
        <sz val="16"/>
        <color rgb="FF7030A0"/>
        <rFont val="Kruti Dev 010"/>
      </rPr>
      <t>1008</t>
    </r>
    <r>
      <rPr>
        <b/>
        <sz val="14"/>
        <color rgb="FF7030A0"/>
        <rFont val="Kruti Dev 010"/>
      </rPr>
      <t xml:space="preserve"> </t>
    </r>
    <r>
      <rPr>
        <b/>
        <sz val="12"/>
        <color rgb="FF7030A0"/>
        <rFont val="Kruti Dev 010"/>
      </rPr>
      <t xml:space="preserve">वासुदेवजी महाराज </t>
    </r>
  </si>
  <si>
    <t xml:space="preserve">Gazetted / Non-Gazetted :- </t>
  </si>
  <si>
    <t>Gazetted</t>
  </si>
  <si>
    <r>
      <t xml:space="preserve">    7th PAY New HRA @  </t>
    </r>
    <r>
      <rPr>
        <b/>
        <sz val="14"/>
        <rFont val="Calibri"/>
        <family val="2"/>
        <scheme val="minor"/>
      </rPr>
      <t xml:space="preserve"> 1 जुलाई 2021 से :-</t>
    </r>
  </si>
  <si>
    <r>
      <rPr>
        <b/>
        <sz val="16"/>
        <rFont val="Calibri"/>
        <family val="2"/>
        <scheme val="minor"/>
      </rPr>
      <t>CCA</t>
    </r>
    <r>
      <rPr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लागु हो तो</t>
    </r>
    <r>
      <rPr>
        <sz val="12"/>
        <rFont val="Calibri"/>
        <family val="2"/>
        <scheme val="minor"/>
      </rPr>
      <t xml:space="preserve"> </t>
    </r>
    <r>
      <rPr>
        <b/>
        <sz val="16"/>
        <rFont val="Calibri"/>
        <family val="2"/>
        <scheme val="minor"/>
      </rPr>
      <t xml:space="preserve"> select Yes / No   :-</t>
    </r>
  </si>
  <si>
    <t xml:space="preserve">यदि कार्मिक के डीए 28 % हो गया हो तो नीचे ऑप्शन में यह सेलेक्ट करें   </t>
  </si>
  <si>
    <t>Increase DA from July 2021</t>
  </si>
  <si>
    <t>पिछले सेशन 2020-21 में यदि जनवरी 2021 या फरवरी 2021 का वेतन उस वित्तिय वर्ष नहीं मिलकर यदि वर्तमान वित्तीय वर्ष में मिला हो तो माह सलेक्ट करें।</t>
  </si>
  <si>
    <t>NPS कार्मिक ने यदि RGHS का ऑप्शन दिया हो तो Yes सेलेक्ट करें :-</t>
  </si>
  <si>
    <t>Group Insurance Rate @ :-</t>
  </si>
  <si>
    <r>
      <t xml:space="preserve">किसी कारणवश  </t>
    </r>
    <r>
      <rPr>
        <b/>
        <sz val="14"/>
        <color rgb="FFFF0000"/>
        <rFont val="Cambria"/>
        <family val="1"/>
        <scheme val="major"/>
      </rPr>
      <t>March-20</t>
    </r>
    <r>
      <rPr>
        <b/>
        <sz val="12"/>
        <color rgb="FFFF0000"/>
        <rFont val="Cambria"/>
        <family val="1"/>
        <scheme val="major"/>
      </rPr>
      <t xml:space="preserve"> का </t>
    </r>
    <r>
      <rPr>
        <b/>
        <sz val="14"/>
        <color rgb="FFFF0000"/>
        <rFont val="Cambria"/>
        <family val="1"/>
        <scheme val="major"/>
      </rPr>
      <t>Freeze</t>
    </r>
    <r>
      <rPr>
        <b/>
        <sz val="12"/>
        <color rgb="FFFF0000"/>
        <rFont val="Cambria"/>
        <family val="1"/>
        <scheme val="major"/>
      </rPr>
      <t xml:space="preserve"> वेतन इस वितीय वर्ष में मिला है   </t>
    </r>
  </si>
  <si>
    <t>HRA Arrear</t>
  </si>
  <si>
    <t xml:space="preserve">DA Arrear </t>
  </si>
  <si>
    <t>Fixation arear</t>
  </si>
  <si>
    <t>PL Surrender Arrear</t>
  </si>
  <si>
    <r>
      <t xml:space="preserve">BASIC On 01 March 2021   </t>
    </r>
    <r>
      <rPr>
        <b/>
        <sz val="12"/>
        <color rgb="FFFF0000"/>
        <rFont val="Wingdings"/>
        <charset val="2"/>
      </rPr>
      <t>F</t>
    </r>
  </si>
  <si>
    <t>RPMF / RGHS</t>
  </si>
  <si>
    <t>GPF-2004 Dedc. Show in US 80c</t>
  </si>
  <si>
    <t>SI Int.</t>
  </si>
  <si>
    <t>HITKARI NIDHI</t>
  </si>
  <si>
    <t>Other</t>
  </si>
  <si>
    <t>Group Ins.</t>
  </si>
  <si>
    <t>T.V. NO.</t>
  </si>
  <si>
    <t>2021-2022</t>
  </si>
  <si>
    <t>2022-2023)</t>
  </si>
  <si>
    <t>आय : वर्ष  202122  में प्राप्त कुल आय ( कर योग्य मूल्यों सहित )</t>
  </si>
  <si>
    <t xml:space="preserve">सितम्बर  2021
तक कुल राशि </t>
  </si>
  <si>
    <t xml:space="preserve">अक्टूम्बर 21 से दिसम्बर 22
तक कुल राशि </t>
  </si>
  <si>
    <t xml:space="preserve">जनवरी 2022
राशि </t>
  </si>
  <si>
    <t xml:space="preserve">फरवरी 2022
राशि </t>
  </si>
  <si>
    <t>2022-23</t>
  </si>
  <si>
    <t>01-4-2021</t>
  </si>
  <si>
    <t>31-03-2022</t>
  </si>
  <si>
    <t>Basic With Grade Pay</t>
  </si>
  <si>
    <t>शिक्षा एवं चिकित्सा उपकर  4% (आयकर पर )</t>
  </si>
  <si>
    <t>Pension Plan (US80ccc+US 80CCD)(1)</t>
  </si>
  <si>
    <t>GPF-2004</t>
  </si>
  <si>
    <r>
      <t>1</t>
    </r>
    <r>
      <rPr>
        <vertAlign val="superscript"/>
        <sz val="10"/>
        <color theme="1"/>
        <rFont val="Calibri"/>
        <family val="2"/>
        <scheme val="minor"/>
      </rPr>
      <t xml:space="preserve">st </t>
    </r>
  </si>
  <si>
    <r>
      <t>2</t>
    </r>
    <r>
      <rPr>
        <vertAlign val="superscript"/>
        <sz val="10"/>
        <color theme="1"/>
        <rFont val="Calibri"/>
        <family val="2"/>
        <scheme val="minor"/>
      </rPr>
      <t>nd</t>
    </r>
    <r>
      <rPr>
        <sz val="10"/>
        <color theme="1"/>
        <rFont val="Calibri"/>
        <family val="2"/>
        <scheme val="minor"/>
      </rPr>
      <t xml:space="preserve"> </t>
    </r>
  </si>
  <si>
    <r>
      <t>3</t>
    </r>
    <r>
      <rPr>
        <vertAlign val="superscript"/>
        <sz val="10"/>
        <color theme="1"/>
        <rFont val="Calibri"/>
        <family val="2"/>
        <scheme val="minor"/>
      </rPr>
      <t xml:space="preserve">rd  </t>
    </r>
  </si>
  <si>
    <r>
      <t>4</t>
    </r>
    <r>
      <rPr>
        <vertAlign val="superscript"/>
        <sz val="10"/>
        <color theme="1"/>
        <rFont val="Calibri"/>
        <family val="2"/>
        <scheme val="minor"/>
      </rPr>
      <t>th</t>
    </r>
    <r>
      <rPr>
        <sz val="10"/>
        <color theme="1"/>
        <rFont val="Calibri"/>
        <family val="2"/>
        <scheme val="minor"/>
      </rPr>
      <t xml:space="preserve"> </t>
    </r>
  </si>
  <si>
    <t>https://youtu.be/-oCqCza25S4</t>
  </si>
</sst>
</file>

<file path=xl/styles.xml><?xml version="1.0" encoding="utf-8"?>
<styleSheet xmlns="http://schemas.openxmlformats.org/spreadsheetml/2006/main">
  <numFmts count="6">
    <numFmt numFmtId="164" formatCode="[$-409]mmm/yy;@"/>
    <numFmt numFmtId="165" formatCode="dd/mm/yyyy"/>
    <numFmt numFmtId="166" formatCode="\L\-\ 0"/>
    <numFmt numFmtId="167" formatCode="0000\ 0000\ 0000\ "/>
    <numFmt numFmtId="168" formatCode="&quot;Rs.&quot;\ #,##0;&quot;Rs.&quot;\ \-#,##0"/>
    <numFmt numFmtId="169" formatCode="_ &quot;Rs.&quot;\ * #,##0.00_ ;_ &quot;Rs.&quot;\ * \-#,##0.00_ ;_ &quot;Rs.&quot;\ * &quot;-&quot;??_ ;_ @_ "/>
  </numFmts>
  <fonts count="19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C0C03E"/>
      <name val="Kruti Dev 010"/>
    </font>
    <font>
      <b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FF00"/>
      <name val="Kruti Dev 010"/>
    </font>
    <font>
      <b/>
      <sz val="13"/>
      <color theme="1"/>
      <name val="Comic Sans MS"/>
      <family val="4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FF0000"/>
      <name val="Wingdings"/>
      <charset val="2"/>
    </font>
    <font>
      <b/>
      <sz val="18"/>
      <color rgb="FF166D07"/>
      <name val="Calibri"/>
      <family val="2"/>
      <scheme val="minor"/>
    </font>
    <font>
      <b/>
      <sz val="16"/>
      <color rgb="FFFF0000"/>
      <name val="Kruti Dev 010"/>
    </font>
    <font>
      <b/>
      <i/>
      <u/>
      <sz val="14"/>
      <color theme="5" tint="0.79998168889431442"/>
      <name val="Calibri"/>
      <family val="2"/>
      <scheme val="minor"/>
    </font>
    <font>
      <b/>
      <i/>
      <u/>
      <sz val="18"/>
      <color rgb="FF00B0F0"/>
      <name val="Calibri"/>
      <family val="2"/>
      <scheme val="minor"/>
    </font>
    <font>
      <sz val="11"/>
      <color theme="5" tint="0.3999755851924192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5" tint="0.3999755851924192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name val="Kruti Dev 010"/>
    </font>
    <font>
      <sz val="11"/>
      <color theme="3" tint="-0.499984740745262"/>
      <name val="Kruti Dev 010"/>
    </font>
    <font>
      <b/>
      <sz val="14"/>
      <color theme="1"/>
      <name val="Kruti Dev 010"/>
    </font>
    <font>
      <b/>
      <sz val="14"/>
      <name val="Kruti Dev 010"/>
    </font>
    <font>
      <b/>
      <i/>
      <u/>
      <sz val="18"/>
      <color theme="7" tint="-0.499984740745262"/>
      <name val="Calibri"/>
      <family val="2"/>
      <scheme val="minor"/>
    </font>
    <font>
      <b/>
      <i/>
      <u/>
      <sz val="16"/>
      <color theme="7" tint="-0.499984740745262"/>
      <name val="Calibri"/>
      <family val="2"/>
      <scheme val="minor"/>
    </font>
    <font>
      <b/>
      <i/>
      <u/>
      <sz val="16"/>
      <color theme="4" tint="0.79998168889431442"/>
      <name val="Calibri"/>
      <family val="2"/>
      <scheme val="minor"/>
    </font>
    <font>
      <b/>
      <sz val="14"/>
      <color rgb="FFFFFF00"/>
      <name val="Kruti Dev 010"/>
    </font>
    <font>
      <sz val="16"/>
      <color theme="1"/>
      <name val="Kruti Dev 010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6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i/>
      <u/>
      <sz val="16"/>
      <color rgb="FF002060"/>
      <name val="Calibri"/>
      <family val="2"/>
      <scheme val="minor"/>
    </font>
    <font>
      <b/>
      <i/>
      <u/>
      <sz val="15"/>
      <color rgb="FF002060"/>
      <name val="Calibri"/>
      <family val="2"/>
      <scheme val="minor"/>
    </font>
    <font>
      <b/>
      <sz val="14"/>
      <color theme="1"/>
      <name val="Cambria"/>
      <family val="1"/>
      <scheme val="major"/>
    </font>
    <font>
      <b/>
      <sz val="14"/>
      <color rgb="FF7030A0"/>
      <name val="Kruti Dev 010"/>
    </font>
    <font>
      <b/>
      <sz val="16"/>
      <color rgb="FF400E3C"/>
      <name val="Calibri"/>
      <family val="2"/>
      <scheme val="minor"/>
    </font>
    <font>
      <b/>
      <sz val="13"/>
      <color theme="1"/>
      <name val="Cambria"/>
      <family val="1"/>
      <scheme val="major"/>
    </font>
    <font>
      <b/>
      <i/>
      <sz val="16"/>
      <color theme="0"/>
      <name val="Calibri"/>
      <family val="2"/>
      <scheme val="minor"/>
    </font>
    <font>
      <b/>
      <sz val="18"/>
      <color rgb="FFFFFF00"/>
      <name val="Wingdings"/>
      <charset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rgb="FFFF0000"/>
      <name val="Kruti Dev 010"/>
    </font>
    <font>
      <b/>
      <sz val="14"/>
      <color rgb="FFFFC000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1"/>
      <color theme="1"/>
      <name val="Kruti Dev 010"/>
    </font>
    <font>
      <b/>
      <i/>
      <u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Wingdings"/>
      <charset val="2"/>
    </font>
    <font>
      <b/>
      <i/>
      <sz val="12"/>
      <color theme="1"/>
      <name val="Calibri"/>
      <family val="2"/>
      <scheme val="minor"/>
    </font>
    <font>
      <b/>
      <sz val="12"/>
      <color theme="1"/>
      <name val="Kruti Dev 010"/>
    </font>
    <font>
      <sz val="12"/>
      <color theme="1"/>
      <name val="Calibri"/>
      <family val="2"/>
      <scheme val="minor"/>
    </font>
    <font>
      <b/>
      <i/>
      <u/>
      <sz val="14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24"/>
      <color rgb="FF7030A0"/>
      <name val="Wingdings"/>
      <charset val="2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sz val="12"/>
      <name val="DevLys 010"/>
    </font>
    <font>
      <sz val="10"/>
      <name val="Kruti Dev 010"/>
    </font>
    <font>
      <sz val="10"/>
      <name val="DevLys 010"/>
    </font>
    <font>
      <b/>
      <sz val="12"/>
      <name val="DevLys 010"/>
    </font>
    <font>
      <b/>
      <sz val="10"/>
      <name val="Arial"/>
      <family val="2"/>
    </font>
    <font>
      <sz val="12"/>
      <name val="Arial"/>
      <family val="2"/>
    </font>
    <font>
      <i/>
      <sz val="11"/>
      <name val="Calibri"/>
      <family val="2"/>
      <scheme val="minor"/>
    </font>
    <font>
      <sz val="9"/>
      <name val="Times New Roman"/>
      <family val="1"/>
    </font>
    <font>
      <b/>
      <i/>
      <sz val="11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b/>
      <sz val="9"/>
      <name val="Arial"/>
      <family val="2"/>
    </font>
    <font>
      <sz val="12"/>
      <color rgb="FF000000"/>
      <name val="Kruti Dev 010"/>
    </font>
    <font>
      <sz val="10"/>
      <color rgb="FF000000"/>
      <name val="Kruti Dev 010"/>
    </font>
    <font>
      <b/>
      <sz val="13"/>
      <color rgb="FF000000"/>
      <name val="Kruti Dev 010"/>
    </font>
    <font>
      <b/>
      <sz val="12"/>
      <color rgb="FF000000"/>
      <name val="Kruti Dev 010"/>
    </font>
    <font>
      <b/>
      <sz val="10"/>
      <color rgb="FF000000"/>
      <name val="Kruti Dev 010"/>
    </font>
    <font>
      <b/>
      <i/>
      <sz val="10"/>
      <color rgb="FF000000"/>
      <name val="Kruti Dev 010"/>
    </font>
    <font>
      <b/>
      <sz val="12"/>
      <color rgb="FFCC00FF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3"/>
      <color rgb="FF002060"/>
      <name val="Cambria"/>
      <family val="1"/>
      <scheme val="major"/>
    </font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6"/>
      <color rgb="FF990033"/>
      <name val="Wingdings"/>
      <charset val="2"/>
    </font>
    <font>
      <b/>
      <sz val="12"/>
      <color rgb="FF990033"/>
      <name val="Calibri"/>
      <family val="2"/>
      <scheme val="minor"/>
    </font>
    <font>
      <b/>
      <i/>
      <sz val="12"/>
      <color rgb="FF990033"/>
      <name val="Calibri"/>
      <family val="2"/>
      <scheme val="minor"/>
    </font>
    <font>
      <sz val="12"/>
      <color indexed="8"/>
      <name val="Times New Roman"/>
      <family val="1"/>
    </font>
    <font>
      <u/>
      <sz val="11"/>
      <color theme="10"/>
      <name val="Calibri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11"/>
      <color indexed="8"/>
      <name val="Times New Roman"/>
      <family val="1"/>
    </font>
    <font>
      <sz val="8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0"/>
      <color indexed="8"/>
      <name val="Rupee Foradian"/>
      <family val="2"/>
    </font>
    <font>
      <sz val="8"/>
      <color theme="1"/>
      <name val="Calibri"/>
      <family val="2"/>
      <scheme val="minor"/>
    </font>
    <font>
      <sz val="10"/>
      <color indexed="8"/>
      <name val="Rupee Foradian"/>
      <family val="2"/>
    </font>
    <font>
      <b/>
      <sz val="12"/>
      <color indexed="8"/>
      <name val="Cambria"/>
      <family val="1"/>
      <scheme val="major"/>
    </font>
    <font>
      <b/>
      <sz val="10"/>
      <color indexed="8"/>
      <name val="Cambria"/>
      <family val="1"/>
      <scheme val="major"/>
    </font>
    <font>
      <b/>
      <sz val="10"/>
      <color indexed="8"/>
      <name val="Calibri"/>
      <family val="2"/>
      <scheme val="minor"/>
    </font>
    <font>
      <b/>
      <sz val="11"/>
      <color indexed="8"/>
      <name val="Cambria"/>
      <family val="1"/>
      <scheme val="major"/>
    </font>
    <font>
      <i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i/>
      <sz val="10"/>
      <color indexed="8"/>
      <name val="Times New Roman"/>
      <family val="1"/>
    </font>
    <font>
      <i/>
      <sz val="8"/>
      <color indexed="8"/>
      <name val="Times New Roman"/>
      <family val="1"/>
    </font>
    <font>
      <i/>
      <sz val="10"/>
      <name val="Times New Roman"/>
      <family val="1"/>
    </font>
    <font>
      <b/>
      <i/>
      <u/>
      <sz val="14"/>
      <color indexed="8"/>
      <name val="Times New Roman"/>
      <family val="1"/>
    </font>
    <font>
      <b/>
      <sz val="11"/>
      <color rgb="FF0000FF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6"/>
      <color rgb="FF166D07"/>
      <name val="Calibri"/>
      <family val="2"/>
      <scheme val="minor"/>
    </font>
    <font>
      <b/>
      <u/>
      <sz val="14"/>
      <color rgb="FFCC0099"/>
      <name val="Calibri"/>
      <family val="2"/>
    </font>
    <font>
      <b/>
      <sz val="12"/>
      <color rgb="FF400E3C"/>
      <name val="Calibri"/>
      <family val="2"/>
      <scheme val="minor"/>
    </font>
    <font>
      <b/>
      <u/>
      <sz val="12"/>
      <color rgb="FF33CC33"/>
      <name val="Calibri"/>
      <family val="2"/>
    </font>
    <font>
      <b/>
      <u/>
      <sz val="14"/>
      <color rgb="FFFFC000"/>
      <name val="Calibri"/>
      <family val="2"/>
    </font>
    <font>
      <b/>
      <sz val="11"/>
      <color theme="7" tint="0.59999389629810485"/>
      <name val="Calibri"/>
      <family val="2"/>
      <scheme val="minor"/>
    </font>
    <font>
      <b/>
      <sz val="14"/>
      <color rgb="FFCC00FF"/>
      <name val="Calibri"/>
      <family val="2"/>
      <scheme val="minor"/>
    </font>
    <font>
      <b/>
      <sz val="20"/>
      <color rgb="FFFF0000"/>
      <name val="Wingdings"/>
      <charset val="2"/>
    </font>
    <font>
      <b/>
      <u/>
      <sz val="16"/>
      <color rgb="FF0000FF"/>
      <name val="Calibri"/>
      <family val="2"/>
      <scheme val="minor"/>
    </font>
    <font>
      <i/>
      <sz val="7.5"/>
      <name val="Times New Roman"/>
      <family val="1"/>
    </font>
    <font>
      <b/>
      <sz val="13"/>
      <color theme="1"/>
      <name val="Kruti Dev 010"/>
    </font>
    <font>
      <b/>
      <sz val="13"/>
      <color rgb="FF400E3C"/>
      <name val="Wingdings"/>
      <charset val="2"/>
    </font>
    <font>
      <b/>
      <sz val="10"/>
      <color rgb="FF0000FF"/>
      <name val="Calibri"/>
      <family val="2"/>
      <scheme val="minor"/>
    </font>
    <font>
      <b/>
      <sz val="11"/>
      <color rgb="FFFF0000"/>
      <name val="Kruti Dev 010"/>
    </font>
    <font>
      <b/>
      <sz val="10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2"/>
      <color rgb="FFCC00FF"/>
      <name val="Kruti Dev 010"/>
    </font>
    <font>
      <b/>
      <sz val="16"/>
      <color rgb="FFCC00FF"/>
      <name val="Wingdings"/>
      <charset val="2"/>
    </font>
    <font>
      <b/>
      <sz val="16"/>
      <color rgb="FF0000FF"/>
      <name val="Calibri"/>
      <family val="2"/>
      <scheme val="minor"/>
    </font>
    <font>
      <b/>
      <sz val="12"/>
      <color rgb="FFFFC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33CC33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CC0099"/>
      <name val="Calibri"/>
      <family val="2"/>
      <scheme val="minor"/>
    </font>
    <font>
      <b/>
      <sz val="11"/>
      <color rgb="FF400E3C"/>
      <name val="Calibri"/>
      <family val="2"/>
      <scheme val="minor"/>
    </font>
    <font>
      <b/>
      <sz val="10"/>
      <color rgb="FF400E3C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6"/>
      <color rgb="FFFF0000"/>
      <name val="Cambria"/>
      <family val="1"/>
      <scheme val="major"/>
    </font>
    <font>
      <b/>
      <sz val="11"/>
      <color theme="0"/>
      <name val="Calibri"/>
      <family val="2"/>
      <scheme val="minor"/>
    </font>
    <font>
      <b/>
      <sz val="16"/>
      <color rgb="FF7030A0"/>
      <name val="Kruti Dev 010"/>
    </font>
    <font>
      <b/>
      <sz val="12"/>
      <color rgb="FF7030A0"/>
      <name val="Kruti Dev 010"/>
    </font>
    <font>
      <b/>
      <sz val="13"/>
      <color rgb="FFFFFF00"/>
      <name val="Calibri"/>
      <family val="2"/>
      <scheme val="minor"/>
    </font>
    <font>
      <b/>
      <sz val="14"/>
      <color rgb="FFFFFF00"/>
      <name val="Cambria"/>
      <family val="1"/>
      <scheme val="major"/>
    </font>
    <font>
      <b/>
      <sz val="12"/>
      <color rgb="FFCC0099"/>
      <name val="Calibri"/>
      <family val="2"/>
      <scheme val="minor"/>
    </font>
    <font>
      <b/>
      <sz val="12"/>
      <color rgb="FFFF0000"/>
      <name val="Cambria"/>
      <family val="1"/>
      <scheme val="major"/>
    </font>
    <font>
      <b/>
      <sz val="14"/>
      <color rgb="FFFF0000"/>
      <name val="Cambria"/>
      <family val="1"/>
      <scheme val="maj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6"/>
      <color theme="0" tint="-0.34998626667073579"/>
      <name val="Calibri"/>
      <family val="2"/>
      <scheme val="minor"/>
    </font>
    <font>
      <sz val="14"/>
      <color theme="0" tint="-0.34998626667073579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sz val="16"/>
      <color theme="0" tint="-0.34998626667073579"/>
      <name val="Kruti Dev 010"/>
    </font>
    <font>
      <sz val="11"/>
      <color theme="0" tint="-0.34998626667073579"/>
      <name val="Kruti Dev 010"/>
    </font>
    <font>
      <sz val="12"/>
      <color theme="0" tint="-0.34998626667073579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9"/>
      <color indexed="8"/>
      <name val="Times New Roman"/>
      <family val="1"/>
    </font>
    <font>
      <b/>
      <i/>
      <sz val="9"/>
      <color theme="1"/>
      <name val="Times New Roman"/>
      <family val="1"/>
    </font>
    <font>
      <vertAlign val="superscript"/>
      <sz val="10"/>
      <color theme="1"/>
      <name val="Calibri"/>
      <family val="2"/>
      <scheme val="minor"/>
    </font>
    <font>
      <b/>
      <u/>
      <sz val="14"/>
      <color theme="10"/>
      <name val="Calibri"/>
      <family val="2"/>
    </font>
    <font>
      <b/>
      <u/>
      <sz val="14"/>
      <color rgb="FFFFFF00"/>
      <name val="Calibri"/>
      <family val="2"/>
    </font>
    <font>
      <b/>
      <sz val="14"/>
      <color rgb="FFFFFF00"/>
      <name val="Calibri"/>
      <family val="2"/>
      <scheme val="minor"/>
    </font>
    <font>
      <b/>
      <u/>
      <sz val="14"/>
      <color rgb="FF0000FF"/>
      <name val="Calibri"/>
      <family val="2"/>
    </font>
    <font>
      <b/>
      <i/>
      <u/>
      <sz val="14"/>
      <color rgb="FF002060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-0.499984740745262"/>
        <bgColor auto="1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gradientFill type="path" left="0.5" right="0.5" top="0.5" bottom="0.5">
        <stop position="0">
          <color theme="0"/>
        </stop>
        <stop position="1">
          <color theme="0"/>
        </stop>
      </gradientFill>
    </fill>
    <fill>
      <gradientFill degree="135">
        <stop position="0">
          <color theme="0"/>
        </stop>
        <stop position="1">
          <color theme="9" tint="0.40000610370189521"/>
        </stop>
      </gradientFill>
    </fill>
    <fill>
      <patternFill patternType="solid">
        <fgColor theme="6" tint="0.79998168889431442"/>
        <bgColor indexed="64"/>
      </patternFill>
    </fill>
    <fill>
      <gradientFill>
        <stop position="0">
          <color theme="7" tint="0.40000610370189521"/>
        </stop>
        <stop position="1">
          <color theme="9" tint="-0.25098422193060094"/>
        </stop>
      </gradientFill>
    </fill>
    <fill>
      <gradientFill type="path" left="0.5" right="0.5" top="0.5" bottom="0.5">
        <stop position="0">
          <color theme="8" tint="0.40000610370189521"/>
        </stop>
        <stop position="1">
          <color rgb="FF00B050"/>
        </stop>
      </gradientFill>
    </fill>
    <fill>
      <gradientFill>
        <stop position="0">
          <color theme="5" tint="0.40000610370189521"/>
        </stop>
        <stop position="1">
          <color theme="6" tint="0.40000610370189521"/>
        </stop>
      </gradientFill>
    </fill>
    <fill>
      <gradientFill degree="45">
        <stop position="0">
          <color theme="0"/>
        </stop>
        <stop position="1">
          <color theme="4"/>
        </stop>
      </gradientFill>
    </fill>
    <fill>
      <gradientFill type="path" left="0.5" right="0.5" top="0.5" bottom="0.5">
        <stop position="0">
          <color theme="2" tint="-0.49803155613879818"/>
        </stop>
        <stop position="1">
          <color theme="5" tint="-0.25098422193060094"/>
        </stop>
      </gradientFill>
    </fill>
    <fill>
      <gradientFill degree="45">
        <stop position="0">
          <color theme="0"/>
        </stop>
        <stop position="1">
          <color theme="0"/>
        </stop>
      </gradientFill>
    </fill>
    <fill>
      <patternFill patternType="solid">
        <fgColor rgb="FF400E3C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rgb="FF92D050"/>
        </stop>
        <stop position="1">
          <color theme="4"/>
        </stop>
      </gradientFill>
    </fill>
    <fill>
      <gradientFill>
        <stop position="0">
          <color theme="3" tint="0.40000610370189521"/>
        </stop>
        <stop position="1">
          <color rgb="FF400E3C"/>
        </stop>
      </gradientFill>
    </fill>
    <fill>
      <gradientFill degree="90">
        <stop position="0">
          <color rgb="FF400E3C"/>
        </stop>
        <stop position="1">
          <color theme="6" tint="-0.25098422193060094"/>
        </stop>
      </gradientFill>
    </fill>
    <fill>
      <gradientFill>
        <stop position="0">
          <color rgb="FF400E3C"/>
        </stop>
        <stop position="1">
          <color theme="6" tint="-0.25098422193060094"/>
        </stop>
      </gradient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gradientFill type="path" left="0.5" right="0.5" top="0.5" bottom="0.5">
        <stop position="0">
          <color rgb="FF400E3C"/>
        </stop>
        <stop position="1">
          <color theme="6" tint="-0.25098422193060094"/>
        </stop>
      </gradientFill>
    </fill>
    <fill>
      <gradientFill degree="45">
        <stop position="0">
          <color theme="5" tint="0.59999389629810485"/>
        </stop>
        <stop position="1">
          <color theme="8" tint="0.59999389629810485"/>
        </stop>
      </gradient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499984740745262"/>
        <bgColor auto="1"/>
      </patternFill>
    </fill>
    <fill>
      <patternFill patternType="solid">
        <fgColor theme="6" tint="-0.499984740745262"/>
        <bgColor auto="1"/>
      </patternFill>
    </fill>
    <fill>
      <patternFill patternType="solid">
        <fgColor rgb="FF6600FF"/>
        <bgColor theme="7" tint="-0.24994659260841701"/>
      </patternFill>
    </fill>
    <fill>
      <patternFill patternType="solid">
        <fgColor rgb="FFCC3300"/>
        <bgColor auto="1"/>
      </patternFill>
    </fill>
    <fill>
      <patternFill patternType="solid">
        <fgColor rgb="FF993366"/>
        <bgColor auto="1"/>
      </patternFill>
    </fill>
    <fill>
      <patternFill patternType="solid">
        <fgColor rgb="FF663300"/>
        <bgColor rgb="FF400E3C"/>
      </patternFill>
    </fill>
    <fill>
      <patternFill patternType="solid">
        <fgColor rgb="FF663300"/>
        <bgColor auto="1"/>
      </patternFill>
    </fill>
    <fill>
      <patternFill patternType="solid">
        <fgColor rgb="FF33CC33"/>
        <bgColor auto="1"/>
      </patternFill>
    </fill>
    <fill>
      <patternFill patternType="solid">
        <fgColor rgb="FF003300"/>
        <bgColor auto="1"/>
      </patternFill>
    </fill>
    <fill>
      <patternFill patternType="solid">
        <fgColor rgb="FFFFFF00"/>
        <bgColor auto="1"/>
      </patternFill>
    </fill>
    <fill>
      <patternFill patternType="solid">
        <fgColor rgb="FF92D050"/>
        <bgColor auto="1"/>
      </patternFill>
    </fill>
    <fill>
      <patternFill patternType="solid">
        <fgColor rgb="FF0070C0"/>
        <bgColor auto="1"/>
      </patternFill>
    </fill>
    <fill>
      <patternFill patternType="solid">
        <fgColor theme="5" tint="0.59999389629810485"/>
        <bgColor indexed="64"/>
      </patternFill>
    </fill>
    <fill>
      <gradientFill degree="90">
        <stop position="0">
          <color theme="4" tint="0.40000610370189521"/>
        </stop>
        <stop position="1">
          <color theme="4"/>
        </stop>
      </gradientFill>
    </fill>
    <fill>
      <patternFill patternType="solid">
        <fgColor theme="9" tint="0.59999389629810485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auto="1"/>
      </patternFill>
    </fill>
  </fills>
  <borders count="96">
    <border>
      <left/>
      <right/>
      <top/>
      <bottom/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/>
      <right/>
      <top/>
      <bottom style="double">
        <color rgb="FF00B050"/>
      </bottom>
      <diagonal/>
    </border>
    <border>
      <left style="double">
        <color rgb="FF00B050"/>
      </left>
      <right/>
      <top style="double">
        <color rgb="FF00B050"/>
      </top>
      <bottom style="double">
        <color rgb="FF00B050"/>
      </bottom>
      <diagonal/>
    </border>
    <border>
      <left/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B050"/>
      </left>
      <right/>
      <top style="double">
        <color rgb="FF00B050"/>
      </top>
      <bottom/>
      <diagonal/>
    </border>
    <border>
      <left/>
      <right/>
      <top style="double">
        <color rgb="FF00B050"/>
      </top>
      <bottom/>
      <diagonal/>
    </border>
    <border>
      <left/>
      <right style="double">
        <color rgb="FF00B050"/>
      </right>
      <top style="double">
        <color rgb="FF00B050"/>
      </top>
      <bottom/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/>
      <diagonal/>
    </border>
    <border>
      <left style="double">
        <color rgb="FF7030A0"/>
      </left>
      <right style="double">
        <color rgb="FF7030A0"/>
      </right>
      <top style="double">
        <color rgb="FF7030A0"/>
      </top>
      <bottom style="double">
        <color rgb="FF7030A0"/>
      </bottom>
      <diagonal/>
    </border>
    <border>
      <left style="double">
        <color theme="9" tint="-0.499984740745262"/>
      </left>
      <right style="double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  <border>
      <left style="double">
        <color theme="5" tint="-0.249977111117893"/>
      </left>
      <right style="double">
        <color theme="5" tint="-0.249977111117893"/>
      </right>
      <top style="double">
        <color theme="5" tint="-0.249977111117893"/>
      </top>
      <bottom style="double">
        <color theme="5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double">
        <color rgb="FF0000FF"/>
      </right>
      <top style="double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/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double">
        <color rgb="FF0000FF"/>
      </bottom>
      <diagonal/>
    </border>
    <border>
      <left/>
      <right/>
      <top/>
      <bottom style="double">
        <color rgb="FF0000FF"/>
      </bottom>
      <diagonal/>
    </border>
    <border>
      <left style="double">
        <color rgb="FF33CC33"/>
      </left>
      <right style="double">
        <color rgb="FF33CC33"/>
      </right>
      <top style="double">
        <color rgb="FF33CC33"/>
      </top>
      <bottom style="double">
        <color rgb="FF33CC33"/>
      </bottom>
      <diagonal/>
    </border>
    <border>
      <left style="thin">
        <color indexed="64"/>
      </left>
      <right style="double">
        <color theme="9" tint="-0.499984740745262"/>
      </right>
      <top style="thin">
        <color indexed="64"/>
      </top>
      <bottom style="thin">
        <color indexed="64"/>
      </bottom>
      <diagonal/>
    </border>
    <border>
      <left style="double">
        <color theme="9" tint="-0.499984740745262"/>
      </left>
      <right style="double">
        <color theme="9" tint="-0.499984740745262"/>
      </right>
      <top style="thin">
        <color indexed="64"/>
      </top>
      <bottom style="thin">
        <color indexed="64"/>
      </bottom>
      <diagonal/>
    </border>
    <border>
      <left style="double">
        <color theme="9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FF"/>
      </left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/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 style="double">
        <color rgb="FF0000FF"/>
      </left>
      <right/>
      <top style="double">
        <color rgb="FF0000FF"/>
      </top>
      <bottom style="double">
        <color rgb="FF0000FF"/>
      </bottom>
      <diagonal/>
    </border>
    <border>
      <left style="double">
        <color rgb="FF00B050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/>
      <top style="double">
        <color rgb="FF00B050"/>
      </top>
      <bottom style="double">
        <color rgb="FF00B050"/>
      </bottom>
      <diagonal/>
    </border>
    <border>
      <left style="double">
        <color rgb="FFCC0099"/>
      </left>
      <right style="double">
        <color rgb="FFCC0099"/>
      </right>
      <top style="double">
        <color rgb="FFCC0099"/>
      </top>
      <bottom style="double">
        <color rgb="FFCC0099"/>
      </bottom>
      <diagonal/>
    </border>
    <border>
      <left style="double">
        <color rgb="FFCC0099"/>
      </left>
      <right/>
      <top style="double">
        <color rgb="FFCC0099"/>
      </top>
      <bottom/>
      <diagonal/>
    </border>
    <border>
      <left/>
      <right/>
      <top style="double">
        <color rgb="FFCC0099"/>
      </top>
      <bottom/>
      <diagonal/>
    </border>
    <border>
      <left/>
      <right style="double">
        <color rgb="FFCC0099"/>
      </right>
      <top style="double">
        <color rgb="FFCC0099"/>
      </top>
      <bottom/>
      <diagonal/>
    </border>
    <border>
      <left style="double">
        <color rgb="FFCC0099"/>
      </left>
      <right/>
      <top/>
      <bottom style="double">
        <color rgb="FFCC0099"/>
      </bottom>
      <diagonal/>
    </border>
    <border>
      <left/>
      <right/>
      <top/>
      <bottom style="double">
        <color rgb="FFCC0099"/>
      </bottom>
      <diagonal/>
    </border>
    <border>
      <left/>
      <right style="double">
        <color rgb="FFCC0099"/>
      </right>
      <top/>
      <bottom style="double">
        <color rgb="FFCC0099"/>
      </bottom>
      <diagonal/>
    </border>
    <border>
      <left style="double">
        <color rgb="FFCC0099"/>
      </left>
      <right/>
      <top/>
      <bottom/>
      <diagonal/>
    </border>
    <border>
      <left/>
      <right style="double">
        <color rgb="FFCC0099"/>
      </right>
      <top/>
      <bottom/>
      <diagonal/>
    </border>
    <border>
      <left style="double">
        <color rgb="FF0000FF"/>
      </left>
      <right/>
      <top style="double">
        <color rgb="FF0000FF"/>
      </top>
      <bottom/>
      <diagonal/>
    </border>
    <border>
      <left/>
      <right style="double">
        <color rgb="FF0000FF"/>
      </right>
      <top style="double">
        <color rgb="FF0000FF"/>
      </top>
      <bottom/>
      <diagonal/>
    </border>
    <border>
      <left style="double">
        <color rgb="FF0000FF"/>
      </left>
      <right/>
      <top/>
      <bottom/>
      <diagonal/>
    </border>
    <border>
      <left/>
      <right style="double">
        <color rgb="FF0000FF"/>
      </right>
      <top/>
      <bottom/>
      <diagonal/>
    </border>
    <border>
      <left style="double">
        <color rgb="FF0000FF"/>
      </left>
      <right/>
      <top/>
      <bottom style="double">
        <color rgb="FF0000FF"/>
      </bottom>
      <diagonal/>
    </border>
    <border>
      <left/>
      <right style="double">
        <color rgb="FF0000FF"/>
      </right>
      <top/>
      <bottom style="double">
        <color rgb="FF0000FF"/>
      </bottom>
      <diagonal/>
    </border>
    <border>
      <left style="double">
        <color rgb="FFCC0099"/>
      </left>
      <right/>
      <top style="double">
        <color rgb="FFCC0099"/>
      </top>
      <bottom style="double">
        <color rgb="FFCC0099"/>
      </bottom>
      <diagonal/>
    </border>
    <border>
      <left/>
      <right/>
      <top style="double">
        <color rgb="FFCC0099"/>
      </top>
      <bottom style="double">
        <color rgb="FFCC0099"/>
      </bottom>
      <diagonal/>
    </border>
    <border>
      <left/>
      <right style="double">
        <color rgb="FFCC0099"/>
      </right>
      <top style="double">
        <color rgb="FFCC0099"/>
      </top>
      <bottom style="double">
        <color rgb="FFCC0099"/>
      </bottom>
      <diagonal/>
    </border>
    <border>
      <left/>
      <right/>
      <top style="double">
        <color rgb="FF0000FF"/>
      </top>
      <bottom style="double">
        <color rgb="FF0000FF"/>
      </bottom>
      <diagonal/>
    </border>
    <border>
      <left/>
      <right style="double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/>
      <right style="thin">
        <color rgb="FF0000FF"/>
      </right>
      <top/>
      <bottom style="thin">
        <color rgb="FF0000FF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double">
        <color rgb="FF00B050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3CC33"/>
      </left>
      <right/>
      <top style="double">
        <color rgb="FF33CC33"/>
      </top>
      <bottom/>
      <diagonal/>
    </border>
    <border>
      <left/>
      <right/>
      <top style="double">
        <color rgb="FF33CC33"/>
      </top>
      <bottom/>
      <diagonal/>
    </border>
    <border>
      <left/>
      <right style="double">
        <color rgb="FF00B050"/>
      </right>
      <top style="double">
        <color rgb="FF33CC33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protection locked="0"/>
    </xf>
    <xf numFmtId="0" fontId="51" fillId="0" borderId="0">
      <alignment vertical="center"/>
    </xf>
    <xf numFmtId="0" fontId="51" fillId="0" borderId="0">
      <protection locked="0"/>
    </xf>
    <xf numFmtId="0" fontId="51" fillId="0" borderId="0">
      <alignment vertical="center"/>
    </xf>
    <xf numFmtId="0" fontId="104" fillId="0" borderId="0" applyNumberFormat="0" applyFill="0" applyBorder="0" applyAlignment="0" applyProtection="0">
      <alignment vertical="top"/>
      <protection locked="0"/>
    </xf>
    <xf numFmtId="0" fontId="161" fillId="46" borderId="90" applyNumberFormat="0" applyAlignment="0" applyProtection="0"/>
  </cellStyleXfs>
  <cellXfs count="708">
    <xf numFmtId="0" fontId="0" fillId="0" borderId="0" xfId="0"/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12" fillId="2" borderId="0" xfId="0" applyFont="1" applyFill="1" applyBorder="1" applyAlignment="1" applyProtection="1">
      <alignment vertical="center" wrapText="1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17" fillId="2" borderId="0" xfId="0" applyFont="1" applyFill="1" applyAlignment="1" applyProtection="1">
      <alignment vertical="center"/>
      <protection hidden="1"/>
    </xf>
    <xf numFmtId="0" fontId="17" fillId="2" borderId="0" xfId="0" applyFont="1" applyFill="1" applyBorder="1" applyAlignment="1" applyProtection="1">
      <alignment vertical="center"/>
      <protection hidden="1"/>
    </xf>
    <xf numFmtId="0" fontId="17" fillId="0" borderId="0" xfId="0" applyFont="1" applyFill="1" applyBorder="1" applyAlignment="1" applyProtection="1">
      <alignment vertical="center"/>
      <protection hidden="1"/>
    </xf>
    <xf numFmtId="0" fontId="19" fillId="2" borderId="0" xfId="0" applyFont="1" applyFill="1" applyAlignment="1" applyProtection="1">
      <alignment horizontal="center" vertical="center"/>
      <protection hidden="1"/>
    </xf>
    <xf numFmtId="0" fontId="19" fillId="2" borderId="0" xfId="0" applyFont="1" applyFill="1" applyBorder="1" applyAlignment="1" applyProtection="1">
      <alignment horizontal="center" vertical="center"/>
      <protection hidden="1"/>
    </xf>
    <xf numFmtId="0" fontId="19" fillId="0" borderId="0" xfId="0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Border="1" applyAlignment="1" applyProtection="1">
      <alignment vertical="center" wrapText="1"/>
      <protection hidden="1"/>
    </xf>
    <xf numFmtId="0" fontId="21" fillId="0" borderId="0" xfId="0" applyFont="1" applyFill="1" applyBorder="1" applyAlignment="1" applyProtection="1">
      <alignment horizontal="center" vertical="center" wrapText="1"/>
      <protection hidden="1"/>
    </xf>
    <xf numFmtId="1" fontId="12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vertical="center"/>
      <protection hidden="1"/>
    </xf>
    <xf numFmtId="0" fontId="10" fillId="2" borderId="0" xfId="0" applyFont="1" applyFill="1" applyBorder="1" applyAlignment="1" applyProtection="1">
      <alignment vertical="center"/>
      <protection hidden="1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right"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30" fillId="2" borderId="0" xfId="0" applyFont="1" applyFill="1" applyBorder="1" applyAlignment="1" applyProtection="1">
      <alignment vertical="center"/>
      <protection hidden="1"/>
    </xf>
    <xf numFmtId="0" fontId="11" fillId="2" borderId="0" xfId="0" applyFont="1" applyFill="1" applyAlignment="1" applyProtection="1">
      <alignment vertical="center" wrapText="1"/>
      <protection hidden="1"/>
    </xf>
    <xf numFmtId="0" fontId="15" fillId="2" borderId="0" xfId="0" applyFont="1" applyFill="1" applyAlignment="1" applyProtection="1">
      <alignment vertical="center" wrapText="1"/>
      <protection hidden="1"/>
    </xf>
    <xf numFmtId="0" fontId="18" fillId="2" borderId="0" xfId="0" applyFont="1" applyFill="1" applyBorder="1" applyAlignment="1" applyProtection="1">
      <alignment horizontal="center" vertical="center"/>
      <protection hidden="1"/>
    </xf>
    <xf numFmtId="0" fontId="16" fillId="2" borderId="0" xfId="0" applyFont="1" applyFill="1" applyAlignment="1" applyProtection="1">
      <alignment vertical="center" wrapText="1"/>
      <protection hidden="1"/>
    </xf>
    <xf numFmtId="0" fontId="12" fillId="2" borderId="0" xfId="0" applyFont="1" applyFill="1" applyAlignment="1" applyProtection="1">
      <alignment horizontal="center" vertical="center" wrapText="1"/>
      <protection hidden="1"/>
    </xf>
    <xf numFmtId="0" fontId="12" fillId="2" borderId="0" xfId="0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35" fillId="0" borderId="0" xfId="0" applyFont="1" applyAlignment="1" applyProtection="1">
      <alignment horizontal="center" vertical="center"/>
      <protection hidden="1"/>
    </xf>
    <xf numFmtId="0" fontId="0" fillId="0" borderId="0" xfId="0" applyFill="1" applyBorder="1" applyProtection="1">
      <protection hidden="1"/>
    </xf>
    <xf numFmtId="166" fontId="3" fillId="6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Protection="1">
      <protection hidden="1"/>
    </xf>
    <xf numFmtId="0" fontId="31" fillId="2" borderId="0" xfId="0" applyFont="1" applyFill="1" applyBorder="1" applyAlignment="1" applyProtection="1">
      <alignment horizontal="center" vertical="center"/>
      <protection hidden="1"/>
    </xf>
    <xf numFmtId="0" fontId="8" fillId="6" borderId="1" xfId="0" applyFont="1" applyFill="1" applyBorder="1" applyAlignment="1" applyProtection="1">
      <alignment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35" fillId="0" borderId="0" xfId="0" applyNumberFormat="1" applyFont="1" applyBorder="1" applyAlignment="1" applyProtection="1">
      <alignment horizontal="center" vertical="center" wrapText="1"/>
      <protection hidden="1"/>
    </xf>
    <xf numFmtId="0" fontId="35" fillId="0" borderId="0" xfId="0" applyFont="1" applyProtection="1">
      <protection hidden="1"/>
    </xf>
    <xf numFmtId="0" fontId="59" fillId="0" borderId="31" xfId="0" applyFont="1" applyBorder="1" applyAlignment="1" applyProtection="1">
      <alignment horizontal="center" vertical="center" wrapText="1"/>
      <protection hidden="1"/>
    </xf>
    <xf numFmtId="0" fontId="59" fillId="0" borderId="10" xfId="0" applyFont="1" applyBorder="1" applyAlignment="1" applyProtection="1">
      <alignment horizontal="center" vertical="center" wrapText="1"/>
      <protection hidden="1"/>
    </xf>
    <xf numFmtId="0" fontId="60" fillId="0" borderId="0" xfId="0" applyFont="1" applyAlignment="1" applyProtection="1">
      <alignment wrapText="1"/>
      <protection hidden="1"/>
    </xf>
    <xf numFmtId="0" fontId="61" fillId="0" borderId="31" xfId="0" applyFont="1" applyBorder="1" applyAlignment="1" applyProtection="1">
      <alignment horizontal="center" vertical="center"/>
      <protection hidden="1"/>
    </xf>
    <xf numFmtId="0" fontId="50" fillId="0" borderId="0" xfId="0" applyFont="1" applyProtection="1">
      <protection hidden="1"/>
    </xf>
    <xf numFmtId="0" fontId="58" fillId="0" borderId="31" xfId="0" applyFont="1" applyBorder="1" applyAlignment="1" applyProtection="1">
      <alignment horizontal="center" vertical="center"/>
      <protection hidden="1"/>
    </xf>
    <xf numFmtId="0" fontId="61" fillId="0" borderId="22" xfId="0" applyFont="1" applyBorder="1" applyAlignment="1" applyProtection="1">
      <alignment horizontal="right" vertical="center"/>
      <protection hidden="1"/>
    </xf>
    <xf numFmtId="1" fontId="59" fillId="0" borderId="10" xfId="0" applyNumberFormat="1" applyFont="1" applyBorder="1" applyAlignment="1" applyProtection="1">
      <alignment horizontal="center" vertical="center"/>
      <protection hidden="1"/>
    </xf>
    <xf numFmtId="1" fontId="61" fillId="0" borderId="22" xfId="0" applyNumberFormat="1" applyFon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34" fillId="0" borderId="0" xfId="0" applyFont="1" applyBorder="1" applyAlignment="1" applyProtection="1">
      <alignment vertical="center" wrapText="1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64" fillId="0" borderId="0" xfId="0" applyFont="1" applyBorder="1" applyAlignment="1" applyProtection="1">
      <alignment horizontal="center" vertical="center" wrapText="1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34" fillId="0" borderId="12" xfId="0" applyFont="1" applyBorder="1" applyAlignment="1" applyProtection="1">
      <alignment vertical="center"/>
      <protection hidden="1"/>
    </xf>
    <xf numFmtId="0" fontId="34" fillId="0" borderId="12" xfId="0" applyFont="1" applyBorder="1" applyAlignment="1" applyProtection="1">
      <alignment vertical="center" wrapText="1"/>
      <protection hidden="1"/>
    </xf>
    <xf numFmtId="0" fontId="34" fillId="0" borderId="12" xfId="0" applyFont="1" applyBorder="1" applyAlignment="1" applyProtection="1">
      <alignment horizontal="center" vertical="center" wrapText="1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65" fillId="0" borderId="0" xfId="0" applyFont="1" applyAlignment="1" applyProtection="1">
      <alignment horizontal="center" vertical="center"/>
      <protection hidden="1"/>
    </xf>
    <xf numFmtId="0" fontId="65" fillId="0" borderId="0" xfId="0" applyFont="1" applyBorder="1" applyAlignment="1" applyProtection="1">
      <alignment horizontal="center" vertical="center" wrapText="1"/>
      <protection hidden="1"/>
    </xf>
    <xf numFmtId="0" fontId="71" fillId="0" borderId="0" xfId="0" applyFont="1" applyAlignment="1" applyProtection="1">
      <alignment horizontal="right" vertical="center"/>
      <protection hidden="1"/>
    </xf>
    <xf numFmtId="0" fontId="52" fillId="0" borderId="0" xfId="0" applyFont="1" applyBorder="1" applyAlignment="1" applyProtection="1">
      <alignment vertical="top" wrapText="1"/>
      <protection hidden="1"/>
    </xf>
    <xf numFmtId="0" fontId="0" fillId="0" borderId="0" xfId="0" applyAlignment="1" applyProtection="1">
      <protection hidden="1"/>
    </xf>
    <xf numFmtId="0" fontId="86" fillId="0" borderId="0" xfId="3" applyFont="1" applyBorder="1" applyAlignment="1" applyProtection="1">
      <protection hidden="1"/>
    </xf>
    <xf numFmtId="0" fontId="87" fillId="0" borderId="0" xfId="3" applyFont="1" applyBorder="1" applyAlignment="1" applyProtection="1">
      <protection hidden="1"/>
    </xf>
    <xf numFmtId="0" fontId="88" fillId="0" borderId="0" xfId="3" applyFont="1" applyBorder="1" applyAlignment="1" applyProtection="1">
      <alignment horizontal="center" vertical="center"/>
      <protection hidden="1"/>
    </xf>
    <xf numFmtId="0" fontId="87" fillId="0" borderId="0" xfId="6" applyFont="1" applyAlignment="1" applyProtection="1">
      <protection hidden="1"/>
    </xf>
    <xf numFmtId="0" fontId="75" fillId="0" borderId="0" xfId="6" applyFont="1" applyProtection="1">
      <alignment vertical="center"/>
      <protection hidden="1"/>
    </xf>
    <xf numFmtId="0" fontId="90" fillId="0" borderId="0" xfId="3" applyFont="1" applyBorder="1" applyAlignment="1" applyProtection="1">
      <alignment horizontal="right"/>
      <protection hidden="1"/>
    </xf>
    <xf numFmtId="0" fontId="87" fillId="0" borderId="0" xfId="3" applyFont="1" applyBorder="1" applyAlignment="1" applyProtection="1">
      <alignment horizontal="right"/>
      <protection hidden="1"/>
    </xf>
    <xf numFmtId="0" fontId="86" fillId="0" borderId="0" xfId="3" applyFont="1" applyFill="1" applyBorder="1" applyAlignment="1" applyProtection="1">
      <protection hidden="1"/>
    </xf>
    <xf numFmtId="0" fontId="89" fillId="0" borderId="0" xfId="3" applyFont="1" applyFill="1" applyAlignment="1" applyProtection="1">
      <alignment vertical="top"/>
      <protection hidden="1"/>
    </xf>
    <xf numFmtId="0" fontId="87" fillId="0" borderId="0" xfId="6" applyFont="1" applyFill="1" applyAlignment="1" applyProtection="1">
      <protection hidden="1"/>
    </xf>
    <xf numFmtId="0" fontId="86" fillId="0" borderId="0" xfId="3" applyFont="1" applyFill="1" applyAlignment="1" applyProtection="1">
      <protection hidden="1"/>
    </xf>
    <xf numFmtId="0" fontId="87" fillId="0" borderId="0" xfId="3" applyFont="1" applyFill="1" applyBorder="1" applyAlignment="1" applyProtection="1">
      <protection hidden="1"/>
    </xf>
    <xf numFmtId="0" fontId="91" fillId="0" borderId="0" xfId="3" applyFont="1" applyFill="1" applyBorder="1" applyAlignment="1" applyProtection="1">
      <alignment vertical="center"/>
      <protection hidden="1"/>
    </xf>
    <xf numFmtId="0" fontId="87" fillId="0" borderId="0" xfId="3" applyFont="1" applyFill="1" applyAlignment="1" applyProtection="1">
      <protection hidden="1"/>
    </xf>
    <xf numFmtId="0" fontId="90" fillId="0" borderId="0" xfId="3" applyFont="1" applyFill="1" applyAlignment="1" applyProtection="1">
      <protection hidden="1"/>
    </xf>
    <xf numFmtId="0" fontId="86" fillId="16" borderId="0" xfId="3" applyFont="1" applyFill="1" applyAlignment="1" applyProtection="1">
      <protection hidden="1"/>
    </xf>
    <xf numFmtId="0" fontId="87" fillId="16" borderId="0" xfId="3" applyFont="1" applyFill="1" applyAlignment="1" applyProtection="1">
      <protection hidden="1"/>
    </xf>
    <xf numFmtId="0" fontId="87" fillId="16" borderId="0" xfId="6" applyFont="1" applyFill="1" applyAlignment="1" applyProtection="1">
      <protection hidden="1"/>
    </xf>
    <xf numFmtId="0" fontId="0" fillId="16" borderId="0" xfId="0" applyFill="1" applyAlignment="1" applyProtection="1">
      <protection hidden="1"/>
    </xf>
    <xf numFmtId="0" fontId="0" fillId="16" borderId="0" xfId="0" applyFill="1" applyProtection="1">
      <protection hidden="1"/>
    </xf>
    <xf numFmtId="0" fontId="90" fillId="16" borderId="0" xfId="3" applyFont="1" applyFill="1" applyAlignment="1" applyProtection="1">
      <alignment horizontal="right"/>
      <protection hidden="1"/>
    </xf>
    <xf numFmtId="0" fontId="87" fillId="16" borderId="0" xfId="3" applyFont="1" applyFill="1" applyAlignment="1" applyProtection="1">
      <alignment horizontal="right"/>
      <protection hidden="1"/>
    </xf>
    <xf numFmtId="0" fontId="90" fillId="16" borderId="0" xfId="3" applyFont="1" applyFill="1" applyAlignment="1" applyProtection="1">
      <protection hidden="1"/>
    </xf>
    <xf numFmtId="2" fontId="87" fillId="16" borderId="0" xfId="3" applyNumberFormat="1" applyFont="1" applyFill="1" applyAlignment="1" applyProtection="1">
      <alignment horizontal="right"/>
      <protection hidden="1"/>
    </xf>
    <xf numFmtId="0" fontId="86" fillId="0" borderId="0" xfId="3" applyFont="1" applyAlignment="1" applyProtection="1">
      <protection hidden="1"/>
    </xf>
    <xf numFmtId="0" fontId="87" fillId="0" borderId="0" xfId="3" applyFont="1" applyAlignment="1" applyProtection="1">
      <protection hidden="1"/>
    </xf>
    <xf numFmtId="0" fontId="90" fillId="0" borderId="0" xfId="3" applyFont="1" applyAlignment="1" applyProtection="1">
      <alignment horizontal="right"/>
      <protection hidden="1"/>
    </xf>
    <xf numFmtId="0" fontId="87" fillId="0" borderId="0" xfId="3" applyFont="1" applyAlignment="1" applyProtection="1">
      <alignment horizontal="right"/>
      <protection hidden="1"/>
    </xf>
    <xf numFmtId="0" fontId="55" fillId="0" borderId="0" xfId="0" applyFont="1" applyProtection="1">
      <protection hidden="1"/>
    </xf>
    <xf numFmtId="0" fontId="55" fillId="0" borderId="0" xfId="0" applyFont="1" applyAlignment="1" applyProtection="1">
      <protection hidden="1"/>
    </xf>
    <xf numFmtId="0" fontId="15" fillId="0" borderId="0" xfId="0" applyFont="1" applyBorder="1" applyAlignment="1" applyProtection="1">
      <alignment vertical="top" wrapText="1"/>
      <protection hidden="1"/>
    </xf>
    <xf numFmtId="0" fontId="37" fillId="0" borderId="0" xfId="0" applyFont="1" applyProtection="1">
      <protection hidden="1"/>
    </xf>
    <xf numFmtId="0" fontId="98" fillId="0" borderId="0" xfId="0" applyFont="1" applyAlignment="1" applyProtection="1">
      <protection hidden="1"/>
    </xf>
    <xf numFmtId="0" fontId="99" fillId="0" borderId="0" xfId="0" applyFont="1" applyAlignment="1" applyProtection="1">
      <protection hidden="1"/>
    </xf>
    <xf numFmtId="1" fontId="0" fillId="0" borderId="0" xfId="0" quotePrefix="1" applyNumberFormat="1" applyProtection="1">
      <protection hidden="1"/>
    </xf>
    <xf numFmtId="1" fontId="0" fillId="0" borderId="0" xfId="0" applyNumberFormat="1" applyAlignment="1" applyProtection="1">
      <protection hidden="1"/>
    </xf>
    <xf numFmtId="1" fontId="0" fillId="0" borderId="0" xfId="0" quotePrefix="1" applyNumberFormat="1" applyAlignment="1" applyProtection="1">
      <protection hidden="1"/>
    </xf>
    <xf numFmtId="0" fontId="52" fillId="0" borderId="0" xfId="0" applyFont="1" applyBorder="1" applyAlignment="1" applyProtection="1">
      <alignment vertical="center" wrapText="1"/>
      <protection hidden="1"/>
    </xf>
    <xf numFmtId="0" fontId="33" fillId="2" borderId="0" xfId="0" applyFont="1" applyFill="1" applyAlignment="1" applyProtection="1">
      <alignment horizontal="center" vertical="center"/>
      <protection hidden="1"/>
    </xf>
    <xf numFmtId="0" fontId="3" fillId="6" borderId="18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hidden="1"/>
    </xf>
    <xf numFmtId="0" fontId="52" fillId="0" borderId="0" xfId="0" applyFont="1" applyBorder="1" applyAlignment="1" applyProtection="1">
      <alignment horizontal="center" vertical="center" wrapText="1"/>
      <protection hidden="1"/>
    </xf>
    <xf numFmtId="0" fontId="8" fillId="3" borderId="0" xfId="0" applyFont="1" applyFill="1" applyAlignment="1" applyProtection="1">
      <protection hidden="1"/>
    </xf>
    <xf numFmtId="164" fontId="0" fillId="0" borderId="0" xfId="0" applyNumberFormat="1" applyProtection="1">
      <protection hidden="1"/>
    </xf>
    <xf numFmtId="0" fontId="0" fillId="2" borderId="0" xfId="0" applyFill="1" applyBorder="1" applyProtection="1">
      <protection hidden="1"/>
    </xf>
    <xf numFmtId="0" fontId="7" fillId="3" borderId="0" xfId="0" applyFont="1" applyFill="1" applyBorder="1" applyAlignment="1" applyProtection="1">
      <alignment horizontal="right" vertical="center"/>
      <protection hidden="1"/>
    </xf>
    <xf numFmtId="49" fontId="7" fillId="3" borderId="0" xfId="0" applyNumberFormat="1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left" vertical="center"/>
      <protection hidden="1"/>
    </xf>
    <xf numFmtId="167" fontId="7" fillId="3" borderId="0" xfId="0" applyNumberFormat="1" applyFont="1" applyFill="1" applyBorder="1" applyAlignment="1" applyProtection="1">
      <alignment horizontal="left" vertical="center"/>
      <protection hidden="1"/>
    </xf>
    <xf numFmtId="3" fontId="7" fillId="3" borderId="0" xfId="0" applyNumberFormat="1" applyFont="1" applyFill="1" applyBorder="1" applyAlignment="1" applyProtection="1">
      <alignment horizontal="left" vertical="center"/>
      <protection hidden="1"/>
    </xf>
    <xf numFmtId="0" fontId="28" fillId="3" borderId="0" xfId="0" applyFont="1" applyFill="1" applyBorder="1" applyAlignment="1" applyProtection="1">
      <alignment horizontal="right"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29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Border="1" applyAlignment="1" applyProtection="1">
      <alignment horizontal="center" vertical="center"/>
      <protection hidden="1"/>
    </xf>
    <xf numFmtId="0" fontId="40" fillId="3" borderId="0" xfId="0" applyFont="1" applyFill="1" applyAlignment="1" applyProtection="1">
      <alignment horizontal="center" vertical="center" wrapText="1"/>
      <protection hidden="1"/>
    </xf>
    <xf numFmtId="0" fontId="27" fillId="2" borderId="0" xfId="0" applyFont="1" applyFill="1" applyProtection="1"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41" fillId="3" borderId="0" xfId="0" applyFont="1" applyFill="1" applyBorder="1" applyAlignment="1" applyProtection="1">
      <alignment vertical="center"/>
      <protection hidden="1"/>
    </xf>
    <xf numFmtId="0" fontId="6" fillId="2" borderId="0" xfId="0" applyFont="1" applyFill="1" applyProtection="1">
      <protection hidden="1"/>
    </xf>
    <xf numFmtId="0" fontId="3" fillId="3" borderId="0" xfId="0" applyFont="1" applyFill="1" applyBorder="1" applyAlignment="1" applyProtection="1">
      <alignment horizontal="right" vertical="center"/>
      <protection hidden="1"/>
    </xf>
    <xf numFmtId="0" fontId="26" fillId="3" borderId="0" xfId="0" applyFont="1" applyFill="1" applyBorder="1" applyAlignment="1" applyProtection="1">
      <alignment horizontal="right" vertical="center"/>
      <protection hidden="1"/>
    </xf>
    <xf numFmtId="0" fontId="0" fillId="2" borderId="0" xfId="0" applyFont="1" applyFill="1" applyProtection="1">
      <protection hidden="1"/>
    </xf>
    <xf numFmtId="164" fontId="14" fillId="3" borderId="0" xfId="0" applyNumberFormat="1" applyFont="1" applyFill="1" applyBorder="1" applyAlignment="1" applyProtection="1">
      <alignment horizontal="center" vertical="center"/>
      <protection hidden="1"/>
    </xf>
    <xf numFmtId="1" fontId="14" fillId="3" borderId="0" xfId="0" applyNumberFormat="1" applyFont="1" applyFill="1" applyBorder="1" applyAlignment="1" applyProtection="1">
      <alignment horizontal="center" vertical="center"/>
      <protection hidden="1"/>
    </xf>
    <xf numFmtId="0" fontId="5" fillId="11" borderId="1" xfId="0" applyFont="1" applyFill="1" applyBorder="1" applyAlignment="1" applyProtection="1">
      <alignment horizontal="center" vertical="center" wrapText="1"/>
      <protection hidden="1"/>
    </xf>
    <xf numFmtId="0" fontId="5" fillId="9" borderId="1" xfId="0" applyFont="1" applyFill="1" applyBorder="1" applyAlignment="1" applyProtection="1">
      <alignment horizontal="center" vertical="center" wrapText="1"/>
      <protection hidden="1"/>
    </xf>
    <xf numFmtId="0" fontId="22" fillId="9" borderId="1" xfId="0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Fill="1" applyBorder="1" applyAlignment="1" applyProtection="1">
      <alignment horizontal="center" vertical="center" wrapText="1"/>
      <protection hidden="1"/>
    </xf>
    <xf numFmtId="1" fontId="12" fillId="12" borderId="1" xfId="0" applyNumberFormat="1" applyFont="1" applyFill="1" applyBorder="1" applyAlignment="1" applyProtection="1">
      <alignment horizontal="center" vertical="center"/>
      <protection hidden="1"/>
    </xf>
    <xf numFmtId="1" fontId="12" fillId="0" borderId="0" xfId="0" applyNumberFormat="1" applyFont="1" applyFill="1" applyBorder="1" applyAlignment="1" applyProtection="1">
      <alignment horizontal="center" vertical="center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2" fontId="23" fillId="0" borderId="0" xfId="0" applyNumberFormat="1" applyFont="1" applyFill="1" applyBorder="1" applyAlignment="1" applyProtection="1">
      <alignment vertical="center" wrapText="1"/>
      <protection hidden="1"/>
    </xf>
    <xf numFmtId="0" fontId="21" fillId="2" borderId="1" xfId="0" applyFont="1" applyFill="1" applyBorder="1" applyAlignment="1" applyProtection="1">
      <alignment horizontal="center" vertical="center" wrapText="1"/>
      <protection hidden="1"/>
    </xf>
    <xf numFmtId="0" fontId="0" fillId="15" borderId="0" xfId="0" applyFill="1" applyProtection="1">
      <protection hidden="1"/>
    </xf>
    <xf numFmtId="0" fontId="0" fillId="23" borderId="0" xfId="0" applyFill="1" applyProtection="1">
      <protection hidden="1"/>
    </xf>
    <xf numFmtId="0" fontId="0" fillId="19" borderId="0" xfId="0" applyFill="1" applyProtection="1">
      <protection hidden="1"/>
    </xf>
    <xf numFmtId="0" fontId="0" fillId="20" borderId="0" xfId="0" applyFill="1" applyAlignment="1" applyProtection="1">
      <protection hidden="1"/>
    </xf>
    <xf numFmtId="0" fontId="7" fillId="16" borderId="10" xfId="0" applyFont="1" applyFill="1" applyBorder="1" applyAlignment="1" applyProtection="1">
      <alignment horizontal="center" vertical="center"/>
      <protection locked="0"/>
    </xf>
    <xf numFmtId="0" fontId="69" fillId="0" borderId="0" xfId="4" applyFont="1" applyFill="1" applyBorder="1" applyAlignment="1" applyProtection="1">
      <alignment horizontal="center" vertical="center"/>
      <protection hidden="1"/>
    </xf>
    <xf numFmtId="1" fontId="5" fillId="0" borderId="42" xfId="4" applyNumberFormat="1" applyFont="1" applyBorder="1" applyAlignment="1" applyProtection="1">
      <alignment horizontal="right" vertical="center"/>
      <protection hidden="1"/>
    </xf>
    <xf numFmtId="2" fontId="5" fillId="0" borderId="0" xfId="4" applyNumberFormat="1" applyFont="1" applyBorder="1" applyAlignment="1" applyProtection="1">
      <alignment horizontal="right" vertical="center"/>
      <protection hidden="1"/>
    </xf>
    <xf numFmtId="2" fontId="72" fillId="0" borderId="0" xfId="4" applyNumberFormat="1" applyFont="1" applyBorder="1" applyAlignment="1" applyProtection="1">
      <alignment horizontal="right" vertical="center"/>
      <protection hidden="1"/>
    </xf>
    <xf numFmtId="0" fontId="74" fillId="0" borderId="0" xfId="4" applyFont="1" applyBorder="1" applyAlignment="1" applyProtection="1">
      <alignment horizontal="center" vertical="center"/>
      <protection hidden="1"/>
    </xf>
    <xf numFmtId="0" fontId="76" fillId="0" borderId="0" xfId="4" applyFont="1" applyBorder="1" applyAlignment="1" applyProtection="1">
      <alignment horizontal="center" vertical="center"/>
      <protection hidden="1"/>
    </xf>
    <xf numFmtId="0" fontId="77" fillId="0" borderId="0" xfId="4" applyFont="1" applyBorder="1" applyAlignment="1" applyProtection="1">
      <alignment horizontal="left" vertical="center"/>
      <protection hidden="1"/>
    </xf>
    <xf numFmtId="0" fontId="79" fillId="0" borderId="0" xfId="4" applyFont="1" applyBorder="1" applyAlignment="1" applyProtection="1">
      <alignment horizontal="left" vertical="center"/>
      <protection hidden="1"/>
    </xf>
    <xf numFmtId="1" fontId="80" fillId="0" borderId="34" xfId="4" applyNumberFormat="1" applyFont="1" applyBorder="1" applyAlignment="1" applyProtection="1">
      <alignment horizontal="right"/>
      <protection hidden="1"/>
    </xf>
    <xf numFmtId="0" fontId="72" fillId="0" borderId="0" xfId="4" applyFont="1" applyBorder="1" applyAlignment="1" applyProtection="1">
      <alignment horizontal="center" vertical="center"/>
      <protection hidden="1"/>
    </xf>
    <xf numFmtId="1" fontId="80" fillId="21" borderId="34" xfId="4" applyNumberFormat="1" applyFont="1" applyFill="1" applyBorder="1" applyAlignment="1" applyProtection="1">
      <alignment horizontal="right"/>
      <protection hidden="1"/>
    </xf>
    <xf numFmtId="1" fontId="82" fillId="0" borderId="34" xfId="4" applyNumberFormat="1" applyFont="1" applyBorder="1" applyAlignment="1" applyProtection="1">
      <alignment horizontal="right"/>
      <protection hidden="1"/>
    </xf>
    <xf numFmtId="1" fontId="72" fillId="0" borderId="42" xfId="4" applyNumberFormat="1" applyFont="1" applyBorder="1" applyAlignment="1" applyProtection="1">
      <alignment horizontal="right" vertical="center"/>
      <protection hidden="1"/>
    </xf>
    <xf numFmtId="1" fontId="67" fillId="0" borderId="42" xfId="4" applyNumberFormat="1" applyFont="1" applyBorder="1" applyAlignment="1" applyProtection="1">
      <alignment horizontal="right" vertical="center"/>
      <protection hidden="1"/>
    </xf>
    <xf numFmtId="2" fontId="83" fillId="0" borderId="0" xfId="4" applyNumberFormat="1" applyFont="1" applyBorder="1" applyAlignment="1" applyProtection="1">
      <alignment horizontal="right" vertical="center"/>
      <protection hidden="1"/>
    </xf>
    <xf numFmtId="0" fontId="74" fillId="0" borderId="0" xfId="4" applyFont="1" applyBorder="1" applyAlignment="1" applyProtection="1">
      <alignment horizontal="left" vertical="center"/>
      <protection hidden="1"/>
    </xf>
    <xf numFmtId="0" fontId="77" fillId="0" borderId="0" xfId="4" applyFont="1" applyBorder="1" applyAlignment="1" applyProtection="1">
      <alignment vertical="center"/>
      <protection hidden="1"/>
    </xf>
    <xf numFmtId="9" fontId="68" fillId="0" borderId="34" xfId="4" applyNumberFormat="1" applyFont="1" applyBorder="1" applyAlignment="1" applyProtection="1">
      <alignment horizontal="center" vertical="center"/>
      <protection hidden="1"/>
    </xf>
    <xf numFmtId="1" fontId="83" fillId="0" borderId="42" xfId="4" applyNumberFormat="1" applyFont="1" applyBorder="1" applyAlignment="1" applyProtection="1">
      <alignment vertical="center"/>
      <protection hidden="1"/>
    </xf>
    <xf numFmtId="2" fontId="72" fillId="0" borderId="0" xfId="4" applyNumberFormat="1" applyFont="1" applyBorder="1" applyAlignment="1" applyProtection="1">
      <alignment vertical="center"/>
      <protection hidden="1"/>
    </xf>
    <xf numFmtId="0" fontId="77" fillId="0" borderId="0" xfId="4" applyFont="1" applyBorder="1" applyAlignment="1" applyProtection="1">
      <alignment horizontal="center" vertical="center" wrapText="1"/>
      <protection hidden="1"/>
    </xf>
    <xf numFmtId="1" fontId="67" fillId="0" borderId="42" xfId="4" applyNumberFormat="1" applyFont="1" applyBorder="1" applyAlignment="1" applyProtection="1">
      <alignment vertical="center" wrapText="1"/>
      <protection hidden="1"/>
    </xf>
    <xf numFmtId="2" fontId="72" fillId="0" borderId="0" xfId="4" applyNumberFormat="1" applyFont="1" applyBorder="1" applyAlignment="1" applyProtection="1">
      <alignment horizontal="right" vertical="center" wrapText="1"/>
      <protection hidden="1"/>
    </xf>
    <xf numFmtId="1" fontId="84" fillId="0" borderId="47" xfId="4" applyNumberFormat="1" applyFont="1" applyBorder="1" applyAlignment="1" applyProtection="1">
      <alignment horizontal="right" vertical="center"/>
      <protection hidden="1"/>
    </xf>
    <xf numFmtId="0" fontId="85" fillId="0" borderId="0" xfId="4" applyFont="1" applyBorder="1" applyAlignment="1" applyProtection="1">
      <alignment horizontal="right" vertical="center"/>
      <protection hidden="1"/>
    </xf>
    <xf numFmtId="0" fontId="0" fillId="0" borderId="0" xfId="0" applyProtection="1">
      <protection locked="0"/>
    </xf>
    <xf numFmtId="0" fontId="37" fillId="0" borderId="0" xfId="0" applyFont="1" applyProtection="1">
      <protection locked="0"/>
    </xf>
    <xf numFmtId="0" fontId="110" fillId="0" borderId="0" xfId="0" applyFont="1" applyBorder="1" applyAlignment="1" applyProtection="1">
      <alignment horizontal="center" vertical="center" wrapText="1"/>
      <protection hidden="1"/>
    </xf>
    <xf numFmtId="49" fontId="109" fillId="0" borderId="49" xfId="0" applyNumberFormat="1" applyFont="1" applyBorder="1" applyAlignment="1" applyProtection="1">
      <alignment horizontal="center" vertical="center" wrapText="1"/>
      <protection locked="0"/>
    </xf>
    <xf numFmtId="168" fontId="106" fillId="29" borderId="59" xfId="0" applyNumberFormat="1" applyFont="1" applyFill="1" applyBorder="1" applyAlignment="1" applyProtection="1">
      <alignment horizontal="center" vertical="center" wrapText="1"/>
      <protection locked="0"/>
    </xf>
    <xf numFmtId="0" fontId="106" fillId="0" borderId="59" xfId="0" applyFont="1" applyFill="1" applyBorder="1" applyAlignment="1" applyProtection="1">
      <alignment horizontal="center" vertical="center" wrapText="1"/>
      <protection hidden="1"/>
    </xf>
    <xf numFmtId="0" fontId="0" fillId="0" borderId="59" xfId="0" applyBorder="1" applyAlignment="1" applyProtection="1">
      <alignment horizontal="center" vertical="center"/>
      <protection hidden="1"/>
    </xf>
    <xf numFmtId="168" fontId="105" fillId="0" borderId="59" xfId="0" applyNumberFormat="1" applyFont="1" applyBorder="1" applyAlignment="1" applyProtection="1">
      <alignment horizontal="center" vertical="center" wrapText="1"/>
      <protection hidden="1"/>
    </xf>
    <xf numFmtId="0" fontId="105" fillId="28" borderId="49" xfId="0" applyFont="1" applyFill="1" applyBorder="1" applyAlignment="1" applyProtection="1">
      <alignment horizontal="center" vertical="center" wrapText="1"/>
      <protection hidden="1"/>
    </xf>
    <xf numFmtId="0" fontId="109" fillId="0" borderId="49" xfId="0" applyFont="1" applyBorder="1" applyAlignment="1" applyProtection="1">
      <alignment horizontal="center" vertical="center" wrapText="1"/>
      <protection hidden="1"/>
    </xf>
    <xf numFmtId="49" fontId="109" fillId="0" borderId="49" xfId="0" applyNumberFormat="1" applyFont="1" applyBorder="1" applyAlignment="1" applyProtection="1">
      <alignment horizontal="center" vertical="center" wrapText="1"/>
      <protection hidden="1"/>
    </xf>
    <xf numFmtId="0" fontId="107" fillId="0" borderId="49" xfId="0" applyFont="1" applyBorder="1" applyAlignment="1" applyProtection="1">
      <alignment vertical="center" wrapText="1"/>
      <protection hidden="1"/>
    </xf>
    <xf numFmtId="0" fontId="94" fillId="0" borderId="0" xfId="0" applyFont="1" applyBorder="1" applyAlignment="1" applyProtection="1">
      <alignment horizontal="center" vertical="center" wrapText="1"/>
      <protection hidden="1"/>
    </xf>
    <xf numFmtId="0" fontId="119" fillId="0" borderId="0" xfId="0" applyFont="1" applyBorder="1" applyAlignment="1" applyProtection="1">
      <alignment horizontal="center" vertical="center" wrapText="1"/>
      <protection hidden="1"/>
    </xf>
    <xf numFmtId="0" fontId="114" fillId="0" borderId="0" xfId="0" applyFont="1" applyBorder="1" applyAlignment="1" applyProtection="1">
      <alignment horizontal="right" vertical="center" wrapText="1"/>
      <protection hidden="1"/>
    </xf>
    <xf numFmtId="2" fontId="110" fillId="0" borderId="0" xfId="0" applyNumberFormat="1" applyFont="1" applyBorder="1" applyAlignment="1" applyProtection="1">
      <alignment horizontal="center" vertical="center" wrapText="1"/>
      <protection hidden="1"/>
    </xf>
    <xf numFmtId="0" fontId="105" fillId="0" borderId="0" xfId="0" applyFont="1" applyBorder="1" applyAlignment="1" applyProtection="1">
      <alignment horizontal="right" vertical="center" wrapText="1"/>
      <protection hidden="1"/>
    </xf>
    <xf numFmtId="169" fontId="109" fillId="0" borderId="53" xfId="0" applyNumberFormat="1" applyFont="1" applyBorder="1" applyAlignment="1" applyProtection="1">
      <alignment horizontal="right" vertical="center" wrapText="1"/>
      <protection hidden="1"/>
    </xf>
    <xf numFmtId="0" fontId="109" fillId="0" borderId="53" xfId="0" applyFont="1" applyBorder="1" applyAlignment="1" applyProtection="1">
      <alignment horizontal="right" vertical="center" wrapText="1"/>
      <protection hidden="1"/>
    </xf>
    <xf numFmtId="0" fontId="109" fillId="0" borderId="53" xfId="0" applyFont="1" applyBorder="1" applyAlignment="1" applyProtection="1">
      <alignment horizontal="center" vertical="center" wrapText="1"/>
      <protection hidden="1"/>
    </xf>
    <xf numFmtId="2" fontId="109" fillId="0" borderId="53" xfId="0" applyNumberFormat="1" applyFont="1" applyBorder="1" applyAlignment="1" applyProtection="1">
      <alignment horizontal="center" vertical="center" wrapText="1"/>
      <protection hidden="1"/>
    </xf>
    <xf numFmtId="0" fontId="110" fillId="0" borderId="53" xfId="0" applyFont="1" applyBorder="1" applyAlignment="1" applyProtection="1">
      <alignment horizontal="center" vertical="center" wrapText="1"/>
      <protection hidden="1"/>
    </xf>
    <xf numFmtId="0" fontId="0" fillId="0" borderId="59" xfId="0" applyBorder="1" applyAlignment="1" applyProtection="1">
      <alignment horizontal="center"/>
      <protection hidden="1"/>
    </xf>
    <xf numFmtId="169" fontId="111" fillId="8" borderId="75" xfId="0" applyNumberFormat="1" applyFont="1" applyFill="1" applyBorder="1" applyAlignment="1" applyProtection="1">
      <alignment vertical="center" wrapText="1"/>
      <protection hidden="1"/>
    </xf>
    <xf numFmtId="169" fontId="111" fillId="8" borderId="76" xfId="0" applyNumberFormat="1" applyFont="1" applyFill="1" applyBorder="1" applyAlignment="1" applyProtection="1">
      <alignment vertical="center" wrapText="1"/>
      <protection hidden="1"/>
    </xf>
    <xf numFmtId="0" fontId="119" fillId="0" borderId="0" xfId="0" applyFont="1" applyBorder="1" applyAlignment="1" applyProtection="1">
      <alignment horizontal="center" wrapText="1"/>
      <protection hidden="1"/>
    </xf>
    <xf numFmtId="1" fontId="111" fillId="0" borderId="0" xfId="0" applyNumberFormat="1" applyFont="1" applyBorder="1" applyAlignment="1" applyProtection="1">
      <alignment horizontal="center" vertical="center" wrapText="1"/>
      <protection hidden="1"/>
    </xf>
    <xf numFmtId="169" fontId="109" fillId="0" borderId="53" xfId="0" applyNumberFormat="1" applyFont="1" applyBorder="1" applyAlignment="1" applyProtection="1">
      <alignment horizontal="right" vertical="center" wrapText="1"/>
      <protection locked="0"/>
    </xf>
    <xf numFmtId="165" fontId="113" fillId="0" borderId="30" xfId="0" applyNumberFormat="1" applyFont="1" applyBorder="1" applyAlignment="1" applyProtection="1">
      <alignment horizontal="center" vertical="center"/>
      <protection hidden="1"/>
    </xf>
    <xf numFmtId="0" fontId="5" fillId="11" borderId="1" xfId="0" applyFont="1" applyFill="1" applyBorder="1" applyAlignment="1" applyProtection="1">
      <alignment horizontal="center" vertical="center" wrapText="1"/>
      <protection locked="0"/>
    </xf>
    <xf numFmtId="0" fontId="22" fillId="9" borderId="1" xfId="0" applyFont="1" applyFill="1" applyBorder="1" applyAlignment="1" applyProtection="1">
      <alignment horizontal="center" vertical="center" wrapText="1"/>
      <protection locked="0"/>
    </xf>
    <xf numFmtId="164" fontId="127" fillId="7" borderId="3" xfId="0" applyNumberFormat="1" applyFont="1" applyFill="1" applyBorder="1" applyAlignment="1" applyProtection="1">
      <alignment horizontal="center" vertical="center"/>
      <protection locked="0"/>
    </xf>
    <xf numFmtId="164" fontId="127" fillId="7" borderId="1" xfId="0" applyNumberFormat="1" applyFont="1" applyFill="1" applyBorder="1" applyAlignment="1" applyProtection="1">
      <alignment horizontal="center" vertical="center"/>
      <protection locked="0"/>
    </xf>
    <xf numFmtId="0" fontId="97" fillId="0" borderId="0" xfId="0" applyFont="1" applyProtection="1">
      <protection hidden="1"/>
    </xf>
    <xf numFmtId="0" fontId="97" fillId="0" borderId="0" xfId="0" applyFont="1" applyProtection="1">
      <protection locked="0"/>
    </xf>
    <xf numFmtId="1" fontId="97" fillId="0" borderId="0" xfId="0" applyNumberFormat="1" applyFont="1" applyProtection="1">
      <protection hidden="1"/>
    </xf>
    <xf numFmtId="164" fontId="14" fillId="3" borderId="0" xfId="0" applyNumberFormat="1" applyFont="1" applyFill="1" applyBorder="1" applyAlignment="1" applyProtection="1">
      <alignment horizontal="center" vertical="center"/>
      <protection hidden="1"/>
    </xf>
    <xf numFmtId="0" fontId="44" fillId="3" borderId="0" xfId="0" applyFont="1" applyFill="1" applyBorder="1" applyAlignment="1" applyProtection="1">
      <alignment horizontal="center" vertical="center" wrapText="1"/>
      <protection hidden="1"/>
    </xf>
    <xf numFmtId="1" fontId="8" fillId="7" borderId="3" xfId="0" applyNumberFormat="1" applyFont="1" applyFill="1" applyBorder="1" applyAlignment="1" applyProtection="1">
      <alignment horizontal="center" vertical="center"/>
      <protection locked="0"/>
    </xf>
    <xf numFmtId="0" fontId="68" fillId="0" borderId="39" xfId="4" applyFont="1" applyBorder="1" applyAlignment="1" applyProtection="1">
      <alignment horizontal="center" vertical="center"/>
      <protection hidden="1"/>
    </xf>
    <xf numFmtId="0" fontId="38" fillId="0" borderId="39" xfId="4" applyFont="1" applyBorder="1" applyAlignment="1" applyProtection="1">
      <alignment horizontal="right" vertical="center"/>
      <protection hidden="1"/>
    </xf>
    <xf numFmtId="1" fontId="68" fillId="0" borderId="34" xfId="4" applyNumberFormat="1" applyFont="1" applyBorder="1" applyAlignment="1" applyProtection="1">
      <alignment horizontal="right" vertical="center"/>
      <protection hidden="1"/>
    </xf>
    <xf numFmtId="0" fontId="68" fillId="0" borderId="34" xfId="4" applyFont="1" applyBorder="1" applyAlignment="1" applyProtection="1">
      <alignment horizontal="center"/>
      <protection hidden="1"/>
    </xf>
    <xf numFmtId="1" fontId="67" fillId="0" borderId="34" xfId="4" applyNumberFormat="1" applyFont="1" applyBorder="1" applyAlignment="1" applyProtection="1">
      <alignment horizontal="center"/>
      <protection hidden="1"/>
    </xf>
    <xf numFmtId="0" fontId="67" fillId="0" borderId="35" xfId="4" applyFont="1" applyBorder="1" applyAlignment="1" applyProtection="1">
      <alignment horizontal="center" vertical="center"/>
      <protection hidden="1"/>
    </xf>
    <xf numFmtId="0" fontId="68" fillId="0" borderId="34" xfId="4" applyFont="1" applyBorder="1" applyAlignment="1" applyProtection="1">
      <alignment horizontal="center" vertical="center"/>
      <protection hidden="1"/>
    </xf>
    <xf numFmtId="0" fontId="68" fillId="0" borderId="34" xfId="4" applyFont="1" applyBorder="1" applyAlignment="1" applyProtection="1">
      <alignment horizontal="right" vertical="center"/>
      <protection hidden="1"/>
    </xf>
    <xf numFmtId="0" fontId="67" fillId="0" borderId="34" xfId="4" applyFont="1" applyBorder="1" applyAlignment="1" applyProtection="1">
      <alignment horizontal="center" vertical="center"/>
      <protection hidden="1"/>
    </xf>
    <xf numFmtId="0" fontId="68" fillId="0" borderId="38" xfId="4" applyFont="1" applyBorder="1" applyAlignment="1" applyProtection="1">
      <alignment horizontal="center" vertical="center"/>
      <protection hidden="1"/>
    </xf>
    <xf numFmtId="0" fontId="68" fillId="0" borderId="44" xfId="4" applyFont="1" applyBorder="1" applyAlignment="1" applyProtection="1">
      <alignment horizontal="center" vertical="center"/>
      <protection hidden="1"/>
    </xf>
    <xf numFmtId="0" fontId="70" fillId="0" borderId="34" xfId="4" applyFont="1" applyBorder="1" applyAlignment="1" applyProtection="1">
      <alignment horizontal="right" vertical="center"/>
      <protection hidden="1"/>
    </xf>
    <xf numFmtId="1" fontId="70" fillId="0" borderId="34" xfId="6" applyNumberFormat="1" applyFont="1" applyBorder="1" applyAlignment="1" applyProtection="1">
      <alignment horizontal="left" vertical="center"/>
      <protection hidden="1"/>
    </xf>
    <xf numFmtId="0" fontId="70" fillId="0" borderId="42" xfId="4" applyFont="1" applyBorder="1" applyAlignment="1" applyProtection="1">
      <alignment horizontal="center" vertical="center" wrapText="1"/>
      <protection hidden="1"/>
    </xf>
    <xf numFmtId="0" fontId="142" fillId="0" borderId="0" xfId="3" applyFont="1" applyBorder="1" applyAlignment="1" applyProtection="1">
      <alignment vertical="center"/>
      <protection hidden="1"/>
    </xf>
    <xf numFmtId="0" fontId="73" fillId="0" borderId="34" xfId="4" applyFont="1" applyBorder="1" applyAlignment="1" applyProtection="1">
      <alignment horizontal="center"/>
      <protection hidden="1"/>
    </xf>
    <xf numFmtId="0" fontId="5" fillId="0" borderId="42" xfId="4" applyFont="1" applyBorder="1" applyAlignment="1" applyProtection="1">
      <alignment vertical="center"/>
      <protection hidden="1"/>
    </xf>
    <xf numFmtId="0" fontId="144" fillId="0" borderId="0" xfId="4" applyFont="1" applyBorder="1" applyAlignment="1" applyProtection="1">
      <alignment horizontal="right" vertical="center"/>
      <protection hidden="1"/>
    </xf>
    <xf numFmtId="0" fontId="72" fillId="0" borderId="0" xfId="4" applyFont="1" applyBorder="1" applyAlignment="1" applyProtection="1">
      <alignment horizontal="right" vertical="center"/>
      <protection hidden="1"/>
    </xf>
    <xf numFmtId="0" fontId="145" fillId="0" borderId="0" xfId="3" applyFont="1" applyBorder="1" applyAlignment="1" applyProtection="1">
      <protection hidden="1"/>
    </xf>
    <xf numFmtId="0" fontId="146" fillId="0" borderId="0" xfId="3" applyFont="1" applyBorder="1" applyAlignment="1" applyProtection="1">
      <alignment horizontal="center" vertical="center"/>
      <protection hidden="1"/>
    </xf>
    <xf numFmtId="0" fontId="145" fillId="0" borderId="0" xfId="6" applyFont="1" applyAlignment="1" applyProtection="1">
      <protection hidden="1"/>
    </xf>
    <xf numFmtId="0" fontId="144" fillId="0" borderId="34" xfId="4" applyFont="1" applyBorder="1" applyAlignment="1" applyProtection="1">
      <alignment horizontal="center" vertical="center" wrapText="1"/>
      <protection hidden="1"/>
    </xf>
    <xf numFmtId="0" fontId="50" fillId="0" borderId="0" xfId="0" applyFont="1" applyProtection="1">
      <protection locked="0"/>
    </xf>
    <xf numFmtId="2" fontId="72" fillId="16" borderId="0" xfId="4" applyNumberFormat="1" applyFont="1" applyFill="1" applyBorder="1" applyAlignment="1" applyProtection="1">
      <alignment vertical="center"/>
      <protection hidden="1"/>
    </xf>
    <xf numFmtId="0" fontId="0" fillId="16" borderId="0" xfId="0" applyFill="1" applyBorder="1" applyProtection="1">
      <protection hidden="1"/>
    </xf>
    <xf numFmtId="0" fontId="77" fillId="16" borderId="0" xfId="4" applyFont="1" applyFill="1" applyBorder="1" applyAlignment="1" applyProtection="1">
      <alignment vertical="center"/>
      <protection hidden="1"/>
    </xf>
    <xf numFmtId="2" fontId="5" fillId="16" borderId="0" xfId="4" applyNumberFormat="1" applyFont="1" applyFill="1" applyBorder="1" applyAlignment="1" applyProtection="1">
      <alignment horizontal="right" vertical="center"/>
      <protection hidden="1"/>
    </xf>
    <xf numFmtId="0" fontId="38" fillId="0" borderId="0" xfId="0" applyFont="1" applyProtection="1">
      <protection hidden="1"/>
    </xf>
    <xf numFmtId="0" fontId="29" fillId="0" borderId="0" xfId="0" applyFont="1" applyBorder="1" applyAlignment="1" applyProtection="1">
      <alignment vertical="center" wrapText="1"/>
      <protection locked="0"/>
    </xf>
    <xf numFmtId="0" fontId="29" fillId="0" borderId="0" xfId="0" applyFont="1" applyBorder="1" applyAlignment="1" applyProtection="1">
      <alignment vertical="center" wrapText="1"/>
      <protection hidden="1"/>
    </xf>
    <xf numFmtId="0" fontId="38" fillId="0" borderId="0" xfId="0" applyFont="1" applyAlignment="1" applyProtection="1">
      <protection hidden="1"/>
    </xf>
    <xf numFmtId="0" fontId="100" fillId="0" borderId="0" xfId="0" applyFont="1" applyBorder="1" applyAlignment="1" applyProtection="1">
      <alignment horizontal="center" vertical="top" wrapText="1"/>
      <protection hidden="1"/>
    </xf>
    <xf numFmtId="1" fontId="80" fillId="0" borderId="34" xfId="4" applyNumberFormat="1" applyFont="1" applyBorder="1" applyAlignment="1" applyProtection="1">
      <alignment horizontal="right"/>
      <protection locked="0"/>
    </xf>
    <xf numFmtId="1" fontId="102" fillId="0" borderId="42" xfId="4" applyNumberFormat="1" applyFont="1" applyBorder="1" applyAlignment="1" applyProtection="1">
      <alignment horizontal="right" vertical="center"/>
      <protection locked="0"/>
    </xf>
    <xf numFmtId="1" fontId="5" fillId="0" borderId="42" xfId="4" applyNumberFormat="1" applyFont="1" applyBorder="1" applyAlignment="1" applyProtection="1">
      <alignment horizontal="right" vertical="center"/>
      <protection locked="0"/>
    </xf>
    <xf numFmtId="0" fontId="159" fillId="0" borderId="53" xfId="0" applyFont="1" applyBorder="1" applyAlignment="1" applyProtection="1">
      <alignment horizontal="center" vertical="center" wrapText="1"/>
      <protection hidden="1"/>
    </xf>
    <xf numFmtId="0" fontId="43" fillId="41" borderId="1" xfId="0" applyFont="1" applyFill="1" applyBorder="1" applyAlignment="1" applyProtection="1">
      <alignment horizontal="center" vertical="center" wrapText="1"/>
      <protection hidden="1"/>
    </xf>
    <xf numFmtId="2" fontId="125" fillId="32" borderId="0" xfId="2" applyNumberFormat="1" applyFont="1" applyFill="1" applyBorder="1" applyAlignment="1" applyProtection="1">
      <alignment horizontal="left" vertical="center"/>
      <protection hidden="1"/>
    </xf>
    <xf numFmtId="2" fontId="22" fillId="31" borderId="0" xfId="1" applyNumberFormat="1" applyFont="1" applyFill="1" applyBorder="1" applyAlignment="1" applyProtection="1">
      <alignment horizontal="left" vertical="center" wrapText="1"/>
      <protection hidden="1"/>
    </xf>
    <xf numFmtId="0" fontId="0" fillId="18" borderId="0" xfId="0" applyFill="1" applyBorder="1" applyAlignment="1" applyProtection="1">
      <alignment horizontal="center"/>
      <protection hidden="1"/>
    </xf>
    <xf numFmtId="0" fontId="0" fillId="20" borderId="0" xfId="0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center" vertical="center"/>
      <protection locked="0"/>
    </xf>
    <xf numFmtId="0" fontId="7" fillId="43" borderId="10" xfId="0" applyFont="1" applyFill="1" applyBorder="1" applyAlignment="1" applyProtection="1">
      <alignment horizontal="center" vertical="center"/>
      <protection hidden="1"/>
    </xf>
    <xf numFmtId="0" fontId="68" fillId="0" borderId="37" xfId="4" applyFont="1" applyBorder="1" applyAlignment="1" applyProtection="1">
      <protection hidden="1"/>
    </xf>
    <xf numFmtId="169" fontId="110" fillId="8" borderId="68" xfId="0" applyNumberFormat="1" applyFont="1" applyFill="1" applyBorder="1" applyAlignment="1" applyProtection="1">
      <alignment vertical="center" wrapText="1"/>
      <protection hidden="1"/>
    </xf>
    <xf numFmtId="169" fontId="110" fillId="8" borderId="69" xfId="0" applyNumberFormat="1" applyFont="1" applyFill="1" applyBorder="1" applyAlignment="1" applyProtection="1">
      <alignment vertical="center" wrapText="1"/>
      <protection hidden="1"/>
    </xf>
    <xf numFmtId="169" fontId="110" fillId="8" borderId="70" xfId="0" applyNumberFormat="1" applyFont="1" applyFill="1" applyBorder="1" applyAlignment="1" applyProtection="1">
      <alignment vertical="center" wrapText="1"/>
      <protection hidden="1"/>
    </xf>
    <xf numFmtId="169" fontId="110" fillId="8" borderId="71" xfId="0" applyNumberFormat="1" applyFont="1" applyFill="1" applyBorder="1" applyAlignment="1" applyProtection="1">
      <alignment vertical="center" wrapText="1"/>
      <protection hidden="1"/>
    </xf>
    <xf numFmtId="169" fontId="110" fillId="8" borderId="72" xfId="0" applyNumberFormat="1" applyFont="1" applyFill="1" applyBorder="1" applyAlignment="1" applyProtection="1">
      <alignment vertical="center" wrapText="1"/>
      <protection hidden="1"/>
    </xf>
    <xf numFmtId="169" fontId="110" fillId="8" borderId="73" xfId="0" applyNumberFormat="1" applyFont="1" applyFill="1" applyBorder="1" applyAlignment="1" applyProtection="1">
      <alignment vertical="center" wrapText="1"/>
      <protection hidden="1"/>
    </xf>
    <xf numFmtId="0" fontId="3" fillId="6" borderId="49" xfId="0" applyFont="1" applyFill="1" applyBorder="1" applyAlignment="1" applyProtection="1">
      <alignment horizontal="center" vertical="center"/>
      <protection locked="0"/>
    </xf>
    <xf numFmtId="0" fontId="166" fillId="46" borderId="90" xfId="8" applyFont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/>
      <protection hidden="1"/>
    </xf>
    <xf numFmtId="164" fontId="59" fillId="0" borderId="10" xfId="0" applyNumberFormat="1" applyFont="1" applyBorder="1" applyAlignment="1" applyProtection="1">
      <alignment horizontal="center" vertical="center" wrapText="1"/>
      <protection locked="0"/>
    </xf>
    <xf numFmtId="1" fontId="60" fillId="0" borderId="10" xfId="0" applyNumberFormat="1" applyFont="1" applyBorder="1" applyAlignment="1" applyProtection="1">
      <alignment horizontal="center" vertical="center" wrapText="1"/>
      <protection locked="0"/>
    </xf>
    <xf numFmtId="165" fontId="113" fillId="0" borderId="30" xfId="0" applyNumberFormat="1" applyFont="1" applyBorder="1" applyAlignment="1" applyProtection="1">
      <alignment horizontal="center" vertical="center" wrapText="1"/>
      <protection locked="0"/>
    </xf>
    <xf numFmtId="0" fontId="111" fillId="0" borderId="59" xfId="0" applyFont="1" applyFill="1" applyBorder="1" applyAlignment="1" applyProtection="1">
      <alignment horizontal="center" vertical="center" wrapText="1"/>
      <protection hidden="1"/>
    </xf>
    <xf numFmtId="0" fontId="169" fillId="0" borderId="0" xfId="0" applyFont="1" applyProtection="1">
      <protection hidden="1"/>
    </xf>
    <xf numFmtId="0" fontId="169" fillId="0" borderId="0" xfId="0" applyFont="1" applyAlignment="1" applyProtection="1">
      <alignment wrapText="1"/>
      <protection hidden="1"/>
    </xf>
    <xf numFmtId="0" fontId="170" fillId="0" borderId="0" xfId="0" applyFont="1" applyProtection="1">
      <protection hidden="1"/>
    </xf>
    <xf numFmtId="0" fontId="171" fillId="0" borderId="0" xfId="0" applyFont="1" applyAlignment="1" applyProtection="1">
      <alignment wrapText="1"/>
      <protection hidden="1"/>
    </xf>
    <xf numFmtId="0" fontId="172" fillId="0" borderId="0" xfId="0" applyFont="1" applyProtection="1">
      <protection hidden="1"/>
    </xf>
    <xf numFmtId="0" fontId="173" fillId="0" borderId="0" xfId="0" applyFont="1" applyAlignment="1" applyProtection="1">
      <alignment wrapText="1"/>
      <protection hidden="1"/>
    </xf>
    <xf numFmtId="0" fontId="172" fillId="0" borderId="0" xfId="0" applyFont="1" applyFill="1" applyProtection="1">
      <protection hidden="1"/>
    </xf>
    <xf numFmtId="0" fontId="172" fillId="0" borderId="0" xfId="0" applyFont="1" applyAlignment="1" applyProtection="1">
      <alignment wrapText="1"/>
      <protection hidden="1"/>
    </xf>
    <xf numFmtId="0" fontId="174" fillId="0" borderId="0" xfId="0" applyFont="1" applyAlignment="1" applyProtection="1">
      <alignment wrapText="1"/>
      <protection hidden="1"/>
    </xf>
    <xf numFmtId="0" fontId="174" fillId="0" borderId="0" xfId="0" applyFont="1" applyProtection="1">
      <protection hidden="1"/>
    </xf>
    <xf numFmtId="0" fontId="175" fillId="0" borderId="0" xfId="0" applyFont="1" applyAlignment="1" applyProtection="1">
      <alignment wrapText="1"/>
      <protection hidden="1"/>
    </xf>
    <xf numFmtId="0" fontId="174" fillId="0" borderId="0" xfId="0" applyFont="1" applyAlignment="1" applyProtection="1">
      <alignment horizontal="center" vertical="center" wrapText="1"/>
      <protection hidden="1"/>
    </xf>
    <xf numFmtId="0" fontId="174" fillId="0" borderId="0" xfId="0" applyFont="1" applyAlignment="1" applyProtection="1">
      <alignment horizontal="center" vertical="center"/>
      <protection hidden="1"/>
    </xf>
    <xf numFmtId="0" fontId="176" fillId="0" borderId="0" xfId="0" applyFont="1" applyFill="1" applyAlignment="1" applyProtection="1">
      <alignment wrapText="1"/>
      <protection hidden="1"/>
    </xf>
    <xf numFmtId="17" fontId="172" fillId="0" borderId="0" xfId="0" applyNumberFormat="1" applyFont="1" applyProtection="1">
      <protection hidden="1"/>
    </xf>
    <xf numFmtId="17" fontId="172" fillId="0" borderId="0" xfId="0" applyNumberFormat="1" applyFont="1" applyFill="1" applyBorder="1" applyProtection="1">
      <protection hidden="1"/>
    </xf>
    <xf numFmtId="0" fontId="172" fillId="0" borderId="5" xfId="0" applyFont="1" applyFill="1" applyBorder="1" applyProtection="1">
      <protection hidden="1"/>
    </xf>
    <xf numFmtId="0" fontId="172" fillId="0" borderId="6" xfId="0" applyFont="1" applyFill="1" applyBorder="1" applyProtection="1">
      <protection hidden="1"/>
    </xf>
    <xf numFmtId="14" fontId="172" fillId="0" borderId="6" xfId="0" applyNumberFormat="1" applyFont="1" applyFill="1" applyBorder="1" applyProtection="1">
      <protection hidden="1"/>
    </xf>
    <xf numFmtId="0" fontId="172" fillId="0" borderId="7" xfId="0" applyFont="1" applyFill="1" applyBorder="1" applyProtection="1">
      <protection hidden="1"/>
    </xf>
    <xf numFmtId="0" fontId="172" fillId="0" borderId="0" xfId="0" applyFont="1" applyFill="1" applyBorder="1" applyProtection="1">
      <protection hidden="1"/>
    </xf>
    <xf numFmtId="0" fontId="172" fillId="0" borderId="8" xfId="0" applyFont="1" applyFill="1" applyBorder="1" applyProtection="1">
      <protection hidden="1"/>
    </xf>
    <xf numFmtId="1" fontId="172" fillId="0" borderId="0" xfId="0" applyNumberFormat="1" applyFont="1" applyFill="1" applyBorder="1" applyProtection="1">
      <protection hidden="1"/>
    </xf>
    <xf numFmtId="0" fontId="172" fillId="0" borderId="9" xfId="0" applyFont="1" applyFill="1" applyBorder="1" applyProtection="1">
      <protection hidden="1"/>
    </xf>
    <xf numFmtId="164" fontId="172" fillId="0" borderId="0" xfId="0" applyNumberFormat="1" applyFont="1" applyProtection="1">
      <protection hidden="1"/>
    </xf>
    <xf numFmtId="0" fontId="177" fillId="0" borderId="0" xfId="0" applyFont="1" applyFill="1" applyBorder="1" applyProtection="1">
      <protection hidden="1"/>
    </xf>
    <xf numFmtId="0" fontId="172" fillId="4" borderId="0" xfId="0" applyFont="1" applyFill="1" applyProtection="1">
      <protection hidden="1"/>
    </xf>
    <xf numFmtId="0" fontId="172" fillId="0" borderId="0" xfId="0" applyFont="1" applyFill="1" applyBorder="1" applyAlignment="1" applyProtection="1">
      <alignment horizontal="center" vertical="center"/>
      <protection hidden="1"/>
    </xf>
    <xf numFmtId="1" fontId="172" fillId="0" borderId="9" xfId="0" applyNumberFormat="1" applyFont="1" applyFill="1" applyBorder="1" applyProtection="1">
      <protection hidden="1"/>
    </xf>
    <xf numFmtId="14" fontId="172" fillId="0" borderId="0" xfId="0" applyNumberFormat="1" applyFont="1" applyFill="1" applyBorder="1" applyProtection="1">
      <protection hidden="1"/>
    </xf>
    <xf numFmtId="14" fontId="172" fillId="0" borderId="0" xfId="0" applyNumberFormat="1" applyFont="1" applyProtection="1">
      <protection hidden="1"/>
    </xf>
    <xf numFmtId="1" fontId="172" fillId="0" borderId="0" xfId="0" applyNumberFormat="1" applyFont="1" applyProtection="1">
      <protection hidden="1"/>
    </xf>
    <xf numFmtId="164" fontId="172" fillId="0" borderId="0" xfId="0" applyNumberFormat="1" applyFont="1" applyFill="1" applyBorder="1" applyProtection="1">
      <protection hidden="1"/>
    </xf>
    <xf numFmtId="1" fontId="176" fillId="0" borderId="0" xfId="0" applyNumberFormat="1" applyFont="1" applyFill="1" applyBorder="1" applyProtection="1">
      <protection hidden="1"/>
    </xf>
    <xf numFmtId="0" fontId="172" fillId="0" borderId="0" xfId="0" applyFont="1" applyBorder="1" applyProtection="1">
      <protection hidden="1"/>
    </xf>
    <xf numFmtId="0" fontId="178" fillId="0" borderId="0" xfId="0" applyFont="1" applyAlignment="1" applyProtection="1">
      <alignment wrapText="1"/>
      <protection hidden="1"/>
    </xf>
    <xf numFmtId="0" fontId="179" fillId="0" borderId="8" xfId="0" applyFont="1" applyFill="1" applyBorder="1" applyProtection="1">
      <protection hidden="1"/>
    </xf>
    <xf numFmtId="0" fontId="179" fillId="0" borderId="0" xfId="0" applyFont="1" applyBorder="1" applyProtection="1">
      <protection hidden="1"/>
    </xf>
    <xf numFmtId="0" fontId="179" fillId="0" borderId="0" xfId="0" applyFont="1" applyFill="1" applyBorder="1" applyProtection="1">
      <protection hidden="1"/>
    </xf>
    <xf numFmtId="0" fontId="179" fillId="0" borderId="9" xfId="0" applyFont="1" applyFill="1" applyBorder="1" applyProtection="1">
      <protection hidden="1"/>
    </xf>
    <xf numFmtId="0" fontId="179" fillId="0" borderId="0" xfId="0" applyFont="1" applyFill="1" applyProtection="1">
      <protection hidden="1"/>
    </xf>
    <xf numFmtId="14" fontId="179" fillId="0" borderId="0" xfId="0" applyNumberFormat="1" applyFont="1" applyFill="1" applyBorder="1" applyProtection="1">
      <protection hidden="1"/>
    </xf>
    <xf numFmtId="1" fontId="179" fillId="0" borderId="0" xfId="0" applyNumberFormat="1" applyFont="1" applyProtection="1">
      <protection hidden="1"/>
    </xf>
    <xf numFmtId="14" fontId="179" fillId="0" borderId="0" xfId="0" applyNumberFormat="1" applyFont="1" applyProtection="1">
      <protection hidden="1"/>
    </xf>
    <xf numFmtId="0" fontId="180" fillId="0" borderId="0" xfId="0" applyFont="1" applyAlignment="1" applyProtection="1">
      <protection hidden="1"/>
    </xf>
    <xf numFmtId="1" fontId="173" fillId="0" borderId="0" xfId="0" applyNumberFormat="1" applyFont="1" applyAlignment="1" applyProtection="1">
      <alignment wrapText="1"/>
      <protection hidden="1"/>
    </xf>
    <xf numFmtId="0" fontId="181" fillId="0" borderId="10" xfId="0" applyFont="1" applyBorder="1" applyAlignment="1" applyProtection="1">
      <alignment horizontal="center" vertical="center" wrapText="1"/>
      <protection hidden="1"/>
    </xf>
    <xf numFmtId="0" fontId="59" fillId="0" borderId="10" xfId="0" applyFont="1" applyBorder="1" applyAlignment="1" applyProtection="1">
      <alignment horizontal="center" vertical="center" wrapText="1"/>
      <protection locked="0"/>
    </xf>
    <xf numFmtId="0" fontId="111" fillId="26" borderId="59" xfId="0" applyFont="1" applyFill="1" applyBorder="1" applyAlignment="1" applyProtection="1">
      <alignment horizontal="center" vertical="center" wrapText="1"/>
      <protection locked="0"/>
    </xf>
    <xf numFmtId="0" fontId="58" fillId="0" borderId="59" xfId="0" applyFont="1" applyBorder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7" fillId="34" borderId="19" xfId="0" applyFont="1" applyFill="1" applyBorder="1" applyAlignment="1" applyProtection="1">
      <alignment horizontal="right" vertical="center"/>
      <protection hidden="1"/>
    </xf>
    <xf numFmtId="0" fontId="7" fillId="14" borderId="19" xfId="0" applyFont="1" applyFill="1" applyBorder="1" applyAlignment="1" applyProtection="1">
      <alignment horizontal="left" vertical="center"/>
      <protection locked="0"/>
    </xf>
    <xf numFmtId="0" fontId="7" fillId="5" borderId="19" xfId="0" applyFont="1" applyFill="1" applyBorder="1" applyAlignment="1" applyProtection="1">
      <alignment horizontal="left" vertical="center"/>
      <protection locked="0"/>
    </xf>
    <xf numFmtId="49" fontId="7" fillId="5" borderId="19" xfId="0" applyNumberFormat="1" applyFont="1" applyFill="1" applyBorder="1" applyAlignment="1" applyProtection="1">
      <alignment horizontal="left" vertical="center"/>
      <protection locked="0"/>
    </xf>
    <xf numFmtId="0" fontId="20" fillId="2" borderId="0" xfId="0" applyFont="1" applyFill="1" applyBorder="1" applyAlignment="1" applyProtection="1">
      <alignment horizontal="center" vertical="center" wrapText="1"/>
      <protection hidden="1"/>
    </xf>
    <xf numFmtId="1" fontId="7" fillId="5" borderId="19" xfId="0" applyNumberFormat="1" applyFont="1" applyFill="1" applyBorder="1" applyAlignment="1" applyProtection="1">
      <alignment horizontal="left" vertical="center"/>
      <protection locked="0"/>
    </xf>
    <xf numFmtId="17" fontId="47" fillId="47" borderId="91" xfId="0" applyNumberFormat="1" applyFont="1" applyFill="1" applyBorder="1" applyAlignment="1" applyProtection="1">
      <alignment horizontal="center" vertical="center"/>
      <protection hidden="1"/>
    </xf>
    <xf numFmtId="17" fontId="47" fillId="47" borderId="92" xfId="0" applyNumberFormat="1" applyFont="1" applyFill="1" applyBorder="1" applyAlignment="1" applyProtection="1">
      <alignment horizontal="center" vertical="center"/>
      <protection hidden="1"/>
    </xf>
    <xf numFmtId="17" fontId="47" fillId="47" borderId="93" xfId="0" applyNumberFormat="1" applyFont="1" applyFill="1" applyBorder="1" applyAlignment="1" applyProtection="1">
      <alignment horizontal="center" vertical="center"/>
      <protection hidden="1"/>
    </xf>
    <xf numFmtId="0" fontId="29" fillId="37" borderId="1" xfId="0" applyFont="1" applyFill="1" applyBorder="1" applyAlignment="1" applyProtection="1">
      <alignment horizontal="right" vertical="center"/>
      <protection hidden="1"/>
    </xf>
    <xf numFmtId="0" fontId="24" fillId="37" borderId="1" xfId="0" applyFont="1" applyFill="1" applyBorder="1" applyAlignment="1" applyProtection="1">
      <alignment horizontal="right" vertical="center"/>
      <protection hidden="1"/>
    </xf>
    <xf numFmtId="0" fontId="7" fillId="37" borderId="1" xfId="0" applyFont="1" applyFill="1" applyBorder="1" applyAlignment="1" applyProtection="1">
      <alignment horizontal="right" vertical="center"/>
      <protection hidden="1"/>
    </xf>
    <xf numFmtId="0" fontId="42" fillId="41" borderId="3" xfId="0" applyFont="1" applyFill="1" applyBorder="1" applyAlignment="1" applyProtection="1">
      <alignment horizontal="right" vertical="center" wrapText="1"/>
      <protection hidden="1"/>
    </xf>
    <xf numFmtId="0" fontId="42" fillId="41" borderId="58" xfId="0" applyFont="1" applyFill="1" applyBorder="1" applyAlignment="1" applyProtection="1">
      <alignment horizontal="right" vertical="center" wrapText="1"/>
      <protection hidden="1"/>
    </xf>
    <xf numFmtId="0" fontId="42" fillId="41" borderId="4" xfId="0" applyFont="1" applyFill="1" applyBorder="1" applyAlignment="1" applyProtection="1">
      <alignment horizontal="right" vertical="center" wrapText="1"/>
      <protection hidden="1"/>
    </xf>
    <xf numFmtId="0" fontId="5" fillId="37" borderId="15" xfId="0" applyFont="1" applyFill="1" applyBorder="1" applyAlignment="1" applyProtection="1">
      <alignment horizontal="right" vertical="center"/>
      <protection hidden="1"/>
    </xf>
    <xf numFmtId="0" fontId="5" fillId="37" borderId="16" xfId="0" applyFont="1" applyFill="1" applyBorder="1" applyAlignment="1" applyProtection="1">
      <alignment horizontal="right" vertical="center"/>
      <protection hidden="1"/>
    </xf>
    <xf numFmtId="0" fontId="5" fillId="37" borderId="17" xfId="0" applyFont="1" applyFill="1" applyBorder="1" applyAlignment="1" applyProtection="1">
      <alignment horizontal="right" vertical="center"/>
      <protection hidden="1"/>
    </xf>
    <xf numFmtId="0" fontId="28" fillId="37" borderId="1" xfId="0" applyFont="1" applyFill="1" applyBorder="1" applyAlignment="1" applyProtection="1">
      <alignment horizontal="right" vertical="center"/>
      <protection hidden="1"/>
    </xf>
    <xf numFmtId="0" fontId="160" fillId="44" borderId="0" xfId="0" applyFont="1" applyFill="1" applyAlignment="1" applyProtection="1">
      <alignment horizontal="center" vertical="center" wrapText="1"/>
      <protection hidden="1"/>
    </xf>
    <xf numFmtId="0" fontId="164" fillId="2" borderId="0" xfId="0" applyFont="1" applyFill="1" applyAlignment="1" applyProtection="1">
      <alignment horizontal="center" vertical="center" wrapText="1"/>
      <protection hidden="1"/>
    </xf>
    <xf numFmtId="0" fontId="165" fillId="3" borderId="92" xfId="0" applyFont="1" applyFill="1" applyBorder="1" applyAlignment="1" applyProtection="1">
      <alignment horizontal="right" vertical="center" wrapText="1"/>
      <protection hidden="1"/>
    </xf>
    <xf numFmtId="0" fontId="3" fillId="6" borderId="15" xfId="0" applyFont="1" applyFill="1" applyBorder="1" applyAlignment="1" applyProtection="1">
      <alignment horizontal="center" vertical="center"/>
      <protection locked="0"/>
    </xf>
    <xf numFmtId="0" fontId="3" fillId="6" borderId="56" xfId="0" applyFont="1" applyFill="1" applyBorder="1" applyAlignment="1" applyProtection="1">
      <alignment horizontal="center" vertical="center"/>
      <protection locked="0"/>
    </xf>
    <xf numFmtId="0" fontId="52" fillId="40" borderId="0" xfId="0" applyFont="1" applyFill="1" applyBorder="1" applyAlignment="1" applyProtection="1">
      <alignment horizontal="center" vertical="center" wrapText="1"/>
      <protection hidden="1"/>
    </xf>
    <xf numFmtId="0" fontId="52" fillId="40" borderId="57" xfId="0" applyFont="1" applyFill="1" applyBorder="1" applyAlignment="1" applyProtection="1">
      <alignment horizontal="center" vertical="center" wrapText="1"/>
      <protection hidden="1"/>
    </xf>
    <xf numFmtId="0" fontId="32" fillId="33" borderId="78" xfId="0" applyFont="1" applyFill="1" applyBorder="1" applyAlignment="1" applyProtection="1">
      <alignment horizontal="center" vertical="center"/>
      <protection hidden="1"/>
    </xf>
    <xf numFmtId="0" fontId="32" fillId="33" borderId="20" xfId="0" applyFont="1" applyFill="1" applyBorder="1" applyAlignment="1" applyProtection="1">
      <alignment horizontal="center" vertical="center"/>
      <protection hidden="1"/>
    </xf>
    <xf numFmtId="0" fontId="130" fillId="30" borderId="94" xfId="7" applyFont="1" applyFill="1" applyBorder="1" applyAlignment="1" applyProtection="1">
      <alignment horizontal="center" vertical="center"/>
      <protection hidden="1"/>
    </xf>
    <xf numFmtId="0" fontId="130" fillId="30" borderId="95" xfId="7" applyFont="1" applyFill="1" applyBorder="1" applyAlignment="1" applyProtection="1">
      <alignment horizontal="center" vertical="center"/>
      <protection hidden="1"/>
    </xf>
    <xf numFmtId="0" fontId="7" fillId="5" borderId="19" xfId="0" applyNumberFormat="1" applyFont="1" applyFill="1" applyBorder="1" applyAlignment="1" applyProtection="1">
      <alignment horizontal="left" vertical="center"/>
      <protection locked="0"/>
    </xf>
    <xf numFmtId="167" fontId="7" fillId="5" borderId="19" xfId="0" applyNumberFormat="1" applyFont="1" applyFill="1" applyBorder="1" applyAlignment="1" applyProtection="1">
      <alignment horizontal="left" vertical="center"/>
      <protection locked="0"/>
    </xf>
    <xf numFmtId="0" fontId="167" fillId="44" borderId="0" xfId="0" applyFont="1" applyFill="1" applyAlignment="1" applyProtection="1">
      <alignment horizontal="center" vertical="center" wrapText="1"/>
      <protection hidden="1"/>
    </xf>
    <xf numFmtId="0" fontId="139" fillId="35" borderId="56" xfId="0" applyFont="1" applyFill="1" applyBorder="1" applyAlignment="1" applyProtection="1">
      <alignment horizontal="center" vertical="center"/>
      <protection hidden="1"/>
    </xf>
    <xf numFmtId="0" fontId="139" fillId="35" borderId="0" xfId="0" applyFont="1" applyFill="1" applyAlignment="1" applyProtection="1">
      <alignment horizontal="center" vertical="center"/>
      <protection hidden="1"/>
    </xf>
    <xf numFmtId="0" fontId="7" fillId="38" borderId="1" xfId="0" applyFont="1" applyFill="1" applyBorder="1" applyAlignment="1" applyProtection="1">
      <alignment horizontal="right" vertical="center"/>
      <protection hidden="1"/>
    </xf>
    <xf numFmtId="0" fontId="36" fillId="37" borderId="1" xfId="0" applyFont="1" applyFill="1" applyBorder="1" applyAlignment="1" applyProtection="1">
      <alignment horizontal="right" vertical="center"/>
      <protection hidden="1"/>
    </xf>
    <xf numFmtId="0" fontId="32" fillId="35" borderId="50" xfId="0" applyFont="1" applyFill="1" applyBorder="1" applyAlignment="1" applyProtection="1">
      <alignment horizontal="center" vertical="center"/>
      <protection hidden="1"/>
    </xf>
    <xf numFmtId="0" fontId="32" fillId="35" borderId="51" xfId="0" applyFont="1" applyFill="1" applyBorder="1" applyAlignment="1" applyProtection="1">
      <alignment horizontal="center" vertical="center"/>
      <protection hidden="1"/>
    </xf>
    <xf numFmtId="0" fontId="32" fillId="35" borderId="52" xfId="0" applyFont="1" applyFill="1" applyBorder="1" applyAlignment="1" applyProtection="1">
      <alignment horizontal="center" vertical="center"/>
      <protection hidden="1"/>
    </xf>
    <xf numFmtId="0" fontId="137" fillId="39" borderId="0" xfId="0" applyFont="1" applyFill="1" applyBorder="1" applyAlignment="1" applyProtection="1">
      <alignment horizontal="center" vertical="center"/>
      <protection hidden="1"/>
    </xf>
    <xf numFmtId="0" fontId="137" fillId="39" borderId="57" xfId="0" applyFont="1" applyFill="1" applyBorder="1" applyAlignment="1" applyProtection="1">
      <alignment horizontal="center" vertical="center"/>
      <protection hidden="1"/>
    </xf>
    <xf numFmtId="0" fontId="46" fillId="13" borderId="0" xfId="0" applyFont="1" applyFill="1" applyAlignment="1" applyProtection="1">
      <alignment horizontal="center" vertical="center"/>
      <protection hidden="1"/>
    </xf>
    <xf numFmtId="0" fontId="33" fillId="2" borderId="0" xfId="0" applyFont="1" applyFill="1" applyAlignment="1" applyProtection="1">
      <alignment horizontal="center" vertical="center"/>
      <protection hidden="1"/>
    </xf>
    <xf numFmtId="0" fontId="45" fillId="41" borderId="21" xfId="0" applyFont="1" applyFill="1" applyBorder="1" applyAlignment="1" applyProtection="1">
      <alignment horizontal="center" vertical="center"/>
      <protection hidden="1"/>
    </xf>
    <xf numFmtId="0" fontId="44" fillId="42" borderId="21" xfId="0" applyFont="1" applyFill="1" applyBorder="1" applyAlignment="1" applyProtection="1">
      <alignment horizontal="center" vertical="center" wrapText="1"/>
      <protection hidden="1"/>
    </xf>
    <xf numFmtId="0" fontId="41" fillId="48" borderId="49" xfId="0" applyFont="1" applyFill="1" applyBorder="1" applyAlignment="1" applyProtection="1">
      <alignment horizontal="center" vertical="center" wrapText="1"/>
      <protection hidden="1"/>
    </xf>
    <xf numFmtId="3" fontId="7" fillId="5" borderId="19" xfId="0" applyNumberFormat="1" applyFont="1" applyFill="1" applyBorder="1" applyAlignment="1" applyProtection="1">
      <alignment horizontal="left" vertical="center"/>
      <protection locked="0"/>
    </xf>
    <xf numFmtId="0" fontId="128" fillId="2" borderId="0" xfId="7" applyFont="1" applyFill="1" applyAlignment="1" applyProtection="1">
      <alignment horizontal="center" vertical="top"/>
      <protection hidden="1"/>
    </xf>
    <xf numFmtId="0" fontId="186" fillId="2" borderId="0" xfId="7" applyFont="1" applyFill="1" applyAlignment="1" applyProtection="1">
      <alignment horizontal="center" vertical="center"/>
      <protection hidden="1"/>
    </xf>
    <xf numFmtId="0" fontId="187" fillId="2" borderId="0" xfId="0" applyFont="1" applyFill="1" applyAlignment="1" applyProtection="1">
      <alignment horizontal="center" vertical="center"/>
      <protection hidden="1"/>
    </xf>
    <xf numFmtId="0" fontId="48" fillId="2" borderId="0" xfId="0" applyFont="1" applyFill="1" applyAlignment="1" applyProtection="1">
      <alignment horizontal="center" vertical="center"/>
      <protection hidden="1"/>
    </xf>
    <xf numFmtId="0" fontId="36" fillId="36" borderId="1" xfId="0" applyFont="1" applyFill="1" applyBorder="1" applyAlignment="1" applyProtection="1">
      <alignment horizontal="right" vertical="center"/>
      <protection hidden="1"/>
    </xf>
    <xf numFmtId="0" fontId="36" fillId="37" borderId="3" xfId="0" applyFont="1" applyFill="1" applyBorder="1" applyAlignment="1" applyProtection="1">
      <alignment horizontal="right" vertical="center"/>
      <protection hidden="1"/>
    </xf>
    <xf numFmtId="0" fontId="36" fillId="37" borderId="58" xfId="0" applyFont="1" applyFill="1" applyBorder="1" applyAlignment="1" applyProtection="1">
      <alignment horizontal="right" vertical="center"/>
      <protection hidden="1"/>
    </xf>
    <xf numFmtId="0" fontId="36" fillId="37" borderId="4" xfId="0" applyFont="1" applyFill="1" applyBorder="1" applyAlignment="1" applyProtection="1">
      <alignment horizontal="right" vertical="center"/>
      <protection hidden="1"/>
    </xf>
    <xf numFmtId="0" fontId="4" fillId="10" borderId="2" xfId="0" applyFont="1" applyFill="1" applyBorder="1" applyAlignment="1" applyProtection="1">
      <alignment horizontal="center" vertical="center"/>
      <protection hidden="1"/>
    </xf>
    <xf numFmtId="2" fontId="151" fillId="31" borderId="83" xfId="1" applyNumberFormat="1" applyFont="1" applyFill="1" applyBorder="1" applyAlignment="1" applyProtection="1">
      <alignment horizontal="left" vertical="center" wrapText="1"/>
      <protection hidden="1"/>
    </xf>
    <xf numFmtId="2" fontId="151" fillId="31" borderId="84" xfId="1" applyNumberFormat="1" applyFont="1" applyFill="1" applyBorder="1" applyAlignment="1" applyProtection="1">
      <alignment horizontal="left" vertical="center" wrapText="1"/>
      <protection hidden="1"/>
    </xf>
    <xf numFmtId="2" fontId="125" fillId="32" borderId="0" xfId="2" applyNumberFormat="1" applyFont="1" applyFill="1" applyBorder="1" applyAlignment="1" applyProtection="1">
      <alignment horizontal="left" vertical="center"/>
      <protection hidden="1"/>
    </xf>
    <xf numFmtId="2" fontId="125" fillId="32" borderId="57" xfId="2" applyNumberFormat="1" applyFont="1" applyFill="1" applyBorder="1" applyAlignment="1" applyProtection="1">
      <alignment horizontal="left" vertical="center"/>
      <protection hidden="1"/>
    </xf>
    <xf numFmtId="0" fontId="131" fillId="15" borderId="0" xfId="7" applyFont="1" applyFill="1" applyAlignment="1" applyProtection="1">
      <alignment horizontal="center" vertical="center"/>
      <protection hidden="1"/>
    </xf>
    <xf numFmtId="0" fontId="53" fillId="15" borderId="0" xfId="0" applyFont="1" applyFill="1" applyAlignment="1" applyProtection="1">
      <alignment horizontal="center" vertical="center"/>
      <protection hidden="1"/>
    </xf>
    <xf numFmtId="0" fontId="132" fillId="15" borderId="0" xfId="0" applyFont="1" applyFill="1" applyAlignment="1" applyProtection="1">
      <alignment horizontal="center" vertical="top"/>
      <protection hidden="1"/>
    </xf>
    <xf numFmtId="0" fontId="54" fillId="17" borderId="0" xfId="0" applyFont="1" applyFill="1" applyAlignment="1" applyProtection="1">
      <alignment horizontal="center" vertical="center"/>
      <protection hidden="1"/>
    </xf>
    <xf numFmtId="0" fontId="0" fillId="18" borderId="23" xfId="0" applyFill="1" applyBorder="1" applyAlignment="1" applyProtection="1">
      <alignment horizontal="center"/>
      <protection hidden="1"/>
    </xf>
    <xf numFmtId="2" fontId="70" fillId="32" borderId="10" xfId="2" applyNumberFormat="1" applyFont="1" applyFill="1" applyBorder="1" applyAlignment="1" applyProtection="1">
      <alignment horizontal="left" vertical="center"/>
      <protection hidden="1"/>
    </xf>
    <xf numFmtId="2" fontId="22" fillId="32" borderId="10" xfId="2" applyNumberFormat="1" applyFont="1" applyFill="1" applyBorder="1" applyAlignment="1" applyProtection="1">
      <alignment horizontal="left" vertical="center"/>
      <protection hidden="1"/>
    </xf>
    <xf numFmtId="2" fontId="70" fillId="32" borderId="10" xfId="2" applyNumberFormat="1" applyFont="1" applyFill="1" applyBorder="1" applyAlignment="1" applyProtection="1">
      <alignment horizontal="left" vertical="center" wrapText="1"/>
      <protection hidden="1"/>
    </xf>
    <xf numFmtId="0" fontId="0" fillId="19" borderId="0" xfId="0" applyFill="1" applyAlignment="1" applyProtection="1">
      <alignment horizontal="center"/>
      <protection hidden="1"/>
    </xf>
    <xf numFmtId="0" fontId="0" fillId="20" borderId="23" xfId="0" applyFill="1" applyBorder="1" applyAlignment="1" applyProtection="1">
      <alignment horizontal="center" vertical="center"/>
      <protection hidden="1"/>
    </xf>
    <xf numFmtId="2" fontId="158" fillId="32" borderId="10" xfId="2" applyNumberFormat="1" applyFont="1" applyFill="1" applyBorder="1" applyAlignment="1" applyProtection="1">
      <alignment horizontal="left" vertical="center"/>
      <protection hidden="1"/>
    </xf>
    <xf numFmtId="2" fontId="151" fillId="31" borderId="22" xfId="1" applyNumberFormat="1" applyFont="1" applyFill="1" applyBorder="1" applyAlignment="1" applyProtection="1">
      <alignment horizontal="left" vertical="center" wrapText="1"/>
      <protection hidden="1"/>
    </xf>
    <xf numFmtId="2" fontId="151" fillId="31" borderId="29" xfId="1" applyNumberFormat="1" applyFont="1" applyFill="1" applyBorder="1" applyAlignment="1" applyProtection="1">
      <alignment horizontal="left" vertical="center" wrapText="1"/>
      <protection hidden="1"/>
    </xf>
    <xf numFmtId="2" fontId="156" fillId="31" borderId="22" xfId="1" applyNumberFormat="1" applyFont="1" applyFill="1" applyBorder="1" applyAlignment="1" applyProtection="1">
      <alignment horizontal="left" vertical="center" wrapText="1"/>
      <protection hidden="1"/>
    </xf>
    <xf numFmtId="2" fontId="156" fillId="31" borderId="29" xfId="1" applyNumberFormat="1" applyFont="1" applyFill="1" applyBorder="1" applyAlignment="1" applyProtection="1">
      <alignment horizontal="left" vertical="center" wrapText="1"/>
      <protection hidden="1"/>
    </xf>
    <xf numFmtId="2" fontId="152" fillId="31" borderId="22" xfId="1" applyNumberFormat="1" applyFont="1" applyFill="1" applyBorder="1" applyAlignment="1" applyProtection="1">
      <alignment horizontal="left" vertical="center" wrapText="1"/>
      <protection hidden="1"/>
    </xf>
    <xf numFmtId="2" fontId="152" fillId="31" borderId="29" xfId="1" applyNumberFormat="1" applyFont="1" applyFill="1" applyBorder="1" applyAlignment="1" applyProtection="1">
      <alignment horizontal="left" vertical="center" wrapText="1"/>
      <protection hidden="1"/>
    </xf>
    <xf numFmtId="2" fontId="154" fillId="31" borderId="22" xfId="1" applyNumberFormat="1" applyFont="1" applyFill="1" applyBorder="1" applyAlignment="1" applyProtection="1">
      <alignment horizontal="left" vertical="center" wrapText="1"/>
      <protection hidden="1"/>
    </xf>
    <xf numFmtId="2" fontId="154" fillId="31" borderId="29" xfId="1" applyNumberFormat="1" applyFont="1" applyFill="1" applyBorder="1" applyAlignment="1" applyProtection="1">
      <alignment horizontal="left" vertical="center" wrapText="1"/>
      <protection hidden="1"/>
    </xf>
    <xf numFmtId="2" fontId="22" fillId="31" borderId="22" xfId="1" applyNumberFormat="1" applyFont="1" applyFill="1" applyBorder="1" applyAlignment="1" applyProtection="1">
      <alignment horizontal="left" vertical="center" wrapText="1"/>
      <protection hidden="1"/>
    </xf>
    <xf numFmtId="2" fontId="22" fillId="31" borderId="29" xfId="1" applyNumberFormat="1" applyFont="1" applyFill="1" applyBorder="1" applyAlignment="1" applyProtection="1">
      <alignment horizontal="left" vertical="center" wrapText="1"/>
      <protection hidden="1"/>
    </xf>
    <xf numFmtId="2" fontId="70" fillId="32" borderId="32" xfId="2" applyNumberFormat="1" applyFont="1" applyFill="1" applyBorder="1" applyAlignment="1" applyProtection="1">
      <alignment horizontal="left" vertical="center"/>
      <protection hidden="1"/>
    </xf>
    <xf numFmtId="2" fontId="70" fillId="32" borderId="33" xfId="2" applyNumberFormat="1" applyFont="1" applyFill="1" applyBorder="1" applyAlignment="1" applyProtection="1">
      <alignment horizontal="left" vertical="center"/>
      <protection hidden="1"/>
    </xf>
    <xf numFmtId="0" fontId="188" fillId="0" borderId="0" xfId="7" applyFont="1" applyAlignment="1" applyProtection="1">
      <alignment horizontal="center" vertical="center" wrapText="1"/>
      <protection hidden="1"/>
    </xf>
    <xf numFmtId="0" fontId="54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63" fillId="0" borderId="0" xfId="0" applyFont="1" applyBorder="1" applyAlignment="1" applyProtection="1">
      <alignment horizontal="center" vertical="center" wrapText="1"/>
      <protection hidden="1"/>
    </xf>
    <xf numFmtId="0" fontId="35" fillId="0" borderId="12" xfId="0" applyFont="1" applyBorder="1" applyAlignment="1" applyProtection="1">
      <alignment horizontal="center" vertical="center"/>
      <protection hidden="1"/>
    </xf>
    <xf numFmtId="0" fontId="35" fillId="0" borderId="12" xfId="0" applyFont="1" applyBorder="1" applyAlignment="1" applyProtection="1">
      <alignment horizontal="center" vertical="center" wrapText="1"/>
      <protection hidden="1"/>
    </xf>
    <xf numFmtId="0" fontId="56" fillId="0" borderId="6" xfId="0" applyNumberFormat="1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1" fontId="36" fillId="0" borderId="25" xfId="0" applyNumberFormat="1" applyFont="1" applyBorder="1" applyAlignment="1" applyProtection="1">
      <alignment horizontal="left" vertical="center" wrapText="1"/>
      <protection hidden="1"/>
    </xf>
    <xf numFmtId="1" fontId="36" fillId="0" borderId="26" xfId="0" applyNumberFormat="1" applyFont="1" applyBorder="1" applyAlignment="1" applyProtection="1">
      <alignment horizontal="left" vertical="center" wrapText="1"/>
      <protection hidden="1"/>
    </xf>
    <xf numFmtId="0" fontId="35" fillId="0" borderId="27" xfId="0" applyFont="1" applyBorder="1" applyAlignment="1" applyProtection="1">
      <alignment horizontal="center" vertical="center"/>
      <protection hidden="1"/>
    </xf>
    <xf numFmtId="0" fontId="35" fillId="0" borderId="28" xfId="0" applyFont="1" applyBorder="1" applyAlignment="1" applyProtection="1">
      <alignment horizontal="center" vertical="center"/>
      <protection hidden="1"/>
    </xf>
    <xf numFmtId="0" fontId="35" fillId="0" borderId="10" xfId="0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 vertical="center" textRotation="90"/>
      <protection hidden="1"/>
    </xf>
    <xf numFmtId="0" fontId="1" fillId="0" borderId="30" xfId="0" applyFont="1" applyBorder="1" applyAlignment="1" applyProtection="1">
      <alignment horizontal="center" vertical="center" textRotation="90"/>
      <protection hidden="1"/>
    </xf>
    <xf numFmtId="0" fontId="35" fillId="0" borderId="24" xfId="0" applyFont="1" applyBorder="1" applyAlignment="1" applyProtection="1">
      <alignment horizontal="right" vertical="center" wrapText="1"/>
      <protection hidden="1"/>
    </xf>
    <xf numFmtId="0" fontId="35" fillId="0" borderId="25" xfId="0" applyFont="1" applyBorder="1" applyAlignment="1" applyProtection="1">
      <alignment horizontal="right" vertical="center" wrapText="1"/>
      <protection hidden="1"/>
    </xf>
    <xf numFmtId="0" fontId="7" fillId="0" borderId="25" xfId="0" applyFont="1" applyBorder="1" applyAlignment="1" applyProtection="1">
      <alignment horizontal="left" vertical="center" wrapText="1"/>
      <protection hidden="1"/>
    </xf>
    <xf numFmtId="1" fontId="7" fillId="0" borderId="25" xfId="0" applyNumberFormat="1" applyFont="1" applyBorder="1" applyAlignment="1" applyProtection="1">
      <alignment horizontal="left" vertical="center" wrapText="1"/>
      <protection hidden="1"/>
    </xf>
    <xf numFmtId="0" fontId="35" fillId="0" borderId="25" xfId="0" applyFont="1" applyBorder="1" applyAlignment="1" applyProtection="1">
      <alignment horizontal="center" vertical="center" wrapText="1"/>
      <protection hidden="1"/>
    </xf>
    <xf numFmtId="0" fontId="7" fillId="0" borderId="6" xfId="0" applyFont="1" applyBorder="1" applyAlignment="1" applyProtection="1">
      <alignment horizontal="left" vertical="center"/>
      <protection hidden="1"/>
    </xf>
    <xf numFmtId="0" fontId="7" fillId="0" borderId="7" xfId="0" applyFont="1" applyBorder="1" applyAlignment="1" applyProtection="1">
      <alignment horizontal="left" vertical="center"/>
      <protection hidden="1"/>
    </xf>
    <xf numFmtId="0" fontId="35" fillId="0" borderId="8" xfId="0" applyFont="1" applyBorder="1" applyAlignment="1" applyProtection="1">
      <alignment horizontal="right" vertical="center" wrapText="1"/>
      <protection hidden="1"/>
    </xf>
    <xf numFmtId="0" fontId="35" fillId="0" borderId="0" xfId="0" applyFont="1" applyBorder="1" applyAlignment="1" applyProtection="1">
      <alignment horizontal="right" vertical="center" wrapText="1"/>
      <protection hidden="1"/>
    </xf>
    <xf numFmtId="0" fontId="57" fillId="0" borderId="0" xfId="0" applyFont="1" applyBorder="1" applyAlignment="1" applyProtection="1">
      <alignment horizontal="left" vertical="center" wrapText="1"/>
      <protection hidden="1"/>
    </xf>
    <xf numFmtId="0" fontId="36" fillId="0" borderId="0" xfId="0" applyFont="1" applyBorder="1" applyAlignment="1" applyProtection="1">
      <alignment horizontal="left" vertical="center" wrapText="1"/>
      <protection hidden="1"/>
    </xf>
    <xf numFmtId="0" fontId="58" fillId="0" borderId="0" xfId="0" applyFont="1" applyBorder="1" applyAlignment="1" applyProtection="1">
      <alignment horizontal="center" vertical="center" wrapText="1"/>
      <protection hidden="1"/>
    </xf>
    <xf numFmtId="0" fontId="58" fillId="0" borderId="9" xfId="0" applyFont="1" applyBorder="1" applyAlignment="1" applyProtection="1">
      <alignment horizontal="center" vertical="center" wrapText="1"/>
      <protection hidden="1"/>
    </xf>
    <xf numFmtId="0" fontId="35" fillId="0" borderId="0" xfId="0" applyFont="1" applyBorder="1" applyAlignment="1" applyProtection="1">
      <alignment horizontal="center" vertical="center" wrapText="1"/>
      <protection hidden="1"/>
    </xf>
    <xf numFmtId="0" fontId="185" fillId="0" borderId="0" xfId="7" applyFont="1" applyAlignment="1" applyProtection="1">
      <alignment horizontal="center"/>
      <protection hidden="1"/>
    </xf>
    <xf numFmtId="0" fontId="189" fillId="0" borderId="0" xfId="0" applyFont="1" applyAlignment="1" applyProtection="1">
      <alignment horizontal="center"/>
      <protection hidden="1"/>
    </xf>
    <xf numFmtId="0" fontId="149" fillId="4" borderId="87" xfId="0" applyFont="1" applyFill="1" applyBorder="1" applyAlignment="1" applyProtection="1">
      <alignment horizontal="center"/>
      <protection locked="0"/>
    </xf>
    <xf numFmtId="0" fontId="149" fillId="4" borderId="88" xfId="0" applyFont="1" applyFill="1" applyBorder="1" applyAlignment="1" applyProtection="1">
      <alignment horizontal="center"/>
      <protection locked="0"/>
    </xf>
    <xf numFmtId="0" fontId="147" fillId="0" borderId="85" xfId="0" applyFont="1" applyBorder="1" applyAlignment="1" applyProtection="1">
      <alignment horizontal="center" vertical="center" wrapText="1"/>
      <protection hidden="1"/>
    </xf>
    <xf numFmtId="0" fontId="147" fillId="0" borderId="86" xfId="0" applyFont="1" applyBorder="1" applyAlignment="1" applyProtection="1">
      <alignment horizontal="center" vertical="center" wrapText="1"/>
      <protection hidden="1"/>
    </xf>
    <xf numFmtId="0" fontId="147" fillId="0" borderId="31" xfId="0" applyFont="1" applyBorder="1" applyAlignment="1" applyProtection="1">
      <alignment horizontal="center" vertical="center" wrapText="1"/>
      <protection hidden="1"/>
    </xf>
    <xf numFmtId="0" fontId="147" fillId="0" borderId="30" xfId="0" applyFont="1" applyBorder="1" applyAlignment="1" applyProtection="1">
      <alignment horizontal="center" vertical="center" wrapText="1"/>
      <protection hidden="1"/>
    </xf>
    <xf numFmtId="0" fontId="68" fillId="0" borderId="44" xfId="4" applyFont="1" applyBorder="1" applyAlignment="1" applyProtection="1">
      <alignment horizontal="center" vertical="top"/>
      <protection hidden="1"/>
    </xf>
    <xf numFmtId="0" fontId="68" fillId="0" borderId="34" xfId="4" applyFont="1" applyBorder="1" applyAlignment="1" applyProtection="1">
      <alignment horizontal="center"/>
      <protection hidden="1"/>
    </xf>
    <xf numFmtId="2" fontId="70" fillId="0" borderId="34" xfId="0" applyNumberFormat="1" applyFont="1" applyBorder="1" applyAlignment="1" applyProtection="1">
      <alignment horizontal="left"/>
      <protection hidden="1"/>
    </xf>
    <xf numFmtId="0" fontId="70" fillId="0" borderId="35" xfId="4" applyFont="1" applyBorder="1" applyAlignment="1" applyProtection="1">
      <alignment horizontal="right"/>
      <protection hidden="1"/>
    </xf>
    <xf numFmtId="0" fontId="70" fillId="0" borderId="36" xfId="4" applyFont="1" applyBorder="1" applyAlignment="1" applyProtection="1">
      <alignment horizontal="right"/>
      <protection hidden="1"/>
    </xf>
    <xf numFmtId="0" fontId="70" fillId="0" borderId="37" xfId="4" applyFont="1" applyBorder="1" applyAlignment="1" applyProtection="1">
      <alignment horizontal="right"/>
      <protection hidden="1"/>
    </xf>
    <xf numFmtId="0" fontId="0" fillId="0" borderId="0" xfId="0" applyAlignment="1" applyProtection="1">
      <alignment horizontal="center"/>
      <protection hidden="1"/>
    </xf>
    <xf numFmtId="0" fontId="23" fillId="0" borderId="89" xfId="0" applyFont="1" applyBorder="1" applyAlignment="1" applyProtection="1">
      <alignment horizontal="center" vertical="center" wrapText="1"/>
      <protection hidden="1"/>
    </xf>
    <xf numFmtId="0" fontId="23" fillId="0" borderId="14" xfId="0" applyFont="1" applyBorder="1" applyAlignment="1" applyProtection="1">
      <alignment horizontal="center" vertical="center" wrapText="1"/>
      <protection hidden="1"/>
    </xf>
    <xf numFmtId="0" fontId="125" fillId="16" borderId="0" xfId="0" applyFont="1" applyFill="1" applyBorder="1" applyAlignment="1" applyProtection="1">
      <alignment horizontal="center" wrapText="1"/>
      <protection hidden="1"/>
    </xf>
    <xf numFmtId="2" fontId="126" fillId="16" borderId="0" xfId="4" applyNumberFormat="1" applyFont="1" applyFill="1" applyBorder="1" applyAlignment="1" applyProtection="1">
      <alignment horizontal="center" vertical="center"/>
      <protection hidden="1"/>
    </xf>
    <xf numFmtId="0" fontId="70" fillId="0" borderId="34" xfId="4" applyFont="1" applyBorder="1" applyAlignment="1" applyProtection="1">
      <alignment horizontal="left"/>
      <protection hidden="1"/>
    </xf>
    <xf numFmtId="0" fontId="68" fillId="0" borderId="34" xfId="4" applyFont="1" applyBorder="1" applyAlignment="1" applyProtection="1">
      <alignment horizontal="left"/>
      <protection hidden="1"/>
    </xf>
    <xf numFmtId="0" fontId="68" fillId="0" borderId="34" xfId="4" applyFont="1" applyFill="1" applyBorder="1" applyAlignment="1" applyProtection="1">
      <protection hidden="1"/>
    </xf>
    <xf numFmtId="0" fontId="70" fillId="0" borderId="34" xfId="4" applyFont="1" applyBorder="1" applyAlignment="1" applyProtection="1">
      <alignment horizontal="right" vertical="center"/>
      <protection hidden="1"/>
    </xf>
    <xf numFmtId="0" fontId="70" fillId="0" borderId="34" xfId="4" applyFont="1" applyBorder="1" applyAlignment="1" applyProtection="1">
      <alignment horizontal="center" vertical="center" wrapText="1"/>
      <protection hidden="1"/>
    </xf>
    <xf numFmtId="0" fontId="144" fillId="0" borderId="35" xfId="4" applyFont="1" applyBorder="1" applyAlignment="1" applyProtection="1">
      <alignment horizontal="center" vertical="center" wrapText="1"/>
      <protection hidden="1"/>
    </xf>
    <xf numFmtId="0" fontId="144" fillId="0" borderId="37" xfId="4" applyFont="1" applyBorder="1" applyAlignment="1" applyProtection="1">
      <alignment horizontal="center" vertical="center" wrapText="1"/>
      <protection hidden="1"/>
    </xf>
    <xf numFmtId="1" fontId="67" fillId="0" borderId="34" xfId="4" applyNumberFormat="1" applyFont="1" applyBorder="1" applyAlignment="1" applyProtection="1">
      <alignment horizontal="center"/>
      <protection hidden="1"/>
    </xf>
    <xf numFmtId="2" fontId="72" fillId="16" borderId="0" xfId="4" applyNumberFormat="1" applyFont="1" applyFill="1" applyBorder="1" applyAlignment="1" applyProtection="1">
      <alignment horizontal="center" vertical="center"/>
      <protection hidden="1"/>
    </xf>
    <xf numFmtId="0" fontId="125" fillId="16" borderId="0" xfId="0" applyFont="1" applyFill="1" applyBorder="1" applyAlignment="1" applyProtection="1">
      <alignment horizontal="center" vertical="center" wrapText="1"/>
      <protection hidden="1"/>
    </xf>
    <xf numFmtId="2" fontId="68" fillId="0" borderId="34" xfId="0" applyNumberFormat="1" applyFont="1" applyBorder="1" applyAlignment="1" applyProtection="1">
      <alignment horizontal="left"/>
      <protection hidden="1"/>
    </xf>
    <xf numFmtId="0" fontId="97" fillId="0" borderId="34" xfId="4" applyFont="1" applyBorder="1" applyAlignment="1" applyProtection="1">
      <alignment horizontal="center"/>
      <protection hidden="1"/>
    </xf>
    <xf numFmtId="0" fontId="143" fillId="0" borderId="0" xfId="3" applyFont="1" applyBorder="1" applyAlignment="1" applyProtection="1">
      <alignment horizontal="center" vertical="center"/>
      <protection hidden="1"/>
    </xf>
    <xf numFmtId="2" fontId="22" fillId="0" borderId="35" xfId="0" applyNumberFormat="1" applyFont="1" applyBorder="1" applyAlignment="1" applyProtection="1">
      <alignment horizontal="right" vertical="center"/>
      <protection hidden="1"/>
    </xf>
    <xf numFmtId="2" fontId="22" fillId="0" borderId="36" xfId="0" applyNumberFormat="1" applyFont="1" applyBorder="1" applyAlignment="1" applyProtection="1">
      <alignment horizontal="right" vertical="center"/>
      <protection hidden="1"/>
    </xf>
    <xf numFmtId="2" fontId="22" fillId="0" borderId="37" xfId="0" applyNumberFormat="1" applyFont="1" applyBorder="1" applyAlignment="1" applyProtection="1">
      <alignment horizontal="right" vertical="center"/>
      <protection hidden="1"/>
    </xf>
    <xf numFmtId="0" fontId="68" fillId="0" borderId="34" xfId="4" applyFont="1" applyBorder="1" applyAlignment="1" applyProtection="1">
      <alignment horizontal="left" vertical="center"/>
      <protection hidden="1"/>
    </xf>
    <xf numFmtId="0" fontId="70" fillId="0" borderId="34" xfId="4" applyFont="1" applyBorder="1" applyAlignment="1" applyProtection="1">
      <alignment horizontal="left" vertical="center"/>
      <protection hidden="1"/>
    </xf>
    <xf numFmtId="0" fontId="78" fillId="0" borderId="45" xfId="4" applyFont="1" applyBorder="1" applyAlignment="1" applyProtection="1">
      <alignment horizontal="right" vertical="center"/>
      <protection hidden="1"/>
    </xf>
    <xf numFmtId="0" fontId="78" fillId="0" borderId="46" xfId="4" applyFont="1" applyBorder="1" applyAlignment="1" applyProtection="1">
      <alignment horizontal="right" vertical="center"/>
      <protection hidden="1"/>
    </xf>
    <xf numFmtId="0" fontId="68" fillId="0" borderId="42" xfId="4" applyFont="1" applyBorder="1" applyAlignment="1" applyProtection="1">
      <alignment horizontal="left"/>
      <protection hidden="1"/>
    </xf>
    <xf numFmtId="0" fontId="70" fillId="0" borderId="34" xfId="4" applyFont="1" applyBorder="1" applyAlignment="1" applyProtection="1">
      <alignment horizontal="center" vertical="center"/>
      <protection hidden="1"/>
    </xf>
    <xf numFmtId="0" fontId="73" fillId="0" borderId="34" xfId="4" applyFont="1" applyFill="1" applyBorder="1" applyAlignment="1" applyProtection="1">
      <alignment horizontal="left"/>
      <protection hidden="1"/>
    </xf>
    <xf numFmtId="0" fontId="67" fillId="0" borderId="35" xfId="4" applyFont="1" applyBorder="1" applyAlignment="1" applyProtection="1">
      <alignment horizontal="center" vertical="center"/>
      <protection hidden="1"/>
    </xf>
    <xf numFmtId="0" fontId="67" fillId="0" borderId="37" xfId="4" applyFont="1" applyBorder="1" applyAlignment="1" applyProtection="1">
      <alignment horizontal="center" vertical="center"/>
      <protection hidden="1"/>
    </xf>
    <xf numFmtId="0" fontId="68" fillId="0" borderId="34" xfId="4" applyFont="1" applyBorder="1" applyAlignment="1" applyProtection="1">
      <alignment horizontal="center" vertical="center"/>
      <protection hidden="1"/>
    </xf>
    <xf numFmtId="0" fontId="68" fillId="0" borderId="35" xfId="4" applyFont="1" applyBorder="1" applyAlignment="1" applyProtection="1">
      <alignment horizontal="center" vertical="center"/>
      <protection hidden="1"/>
    </xf>
    <xf numFmtId="0" fontId="68" fillId="0" borderId="37" xfId="4" applyFont="1" applyBorder="1" applyAlignment="1" applyProtection="1">
      <alignment horizontal="center" vertical="center"/>
      <protection hidden="1"/>
    </xf>
    <xf numFmtId="0" fontId="68" fillId="0" borderId="35" xfId="4" applyFont="1" applyBorder="1" applyAlignment="1" applyProtection="1">
      <alignment horizontal="right" vertical="center"/>
      <protection hidden="1"/>
    </xf>
    <xf numFmtId="0" fontId="68" fillId="0" borderId="36" xfId="4" applyFont="1" applyBorder="1" applyAlignment="1" applyProtection="1">
      <alignment horizontal="right" vertical="center"/>
      <protection hidden="1"/>
    </xf>
    <xf numFmtId="0" fontId="68" fillId="0" borderId="37" xfId="4" applyFont="1" applyBorder="1" applyAlignment="1" applyProtection="1">
      <alignment horizontal="right" vertical="center"/>
      <protection hidden="1"/>
    </xf>
    <xf numFmtId="0" fontId="70" fillId="0" borderId="35" xfId="4" applyFont="1" applyBorder="1" applyAlignment="1" applyProtection="1">
      <alignment horizontal="left" vertical="center"/>
      <protection hidden="1"/>
    </xf>
    <xf numFmtId="0" fontId="70" fillId="0" borderId="36" xfId="4" applyFont="1" applyBorder="1" applyAlignment="1" applyProtection="1">
      <alignment horizontal="left" vertical="center"/>
      <protection hidden="1"/>
    </xf>
    <xf numFmtId="0" fontId="70" fillId="0" borderId="37" xfId="4" applyFont="1" applyBorder="1" applyAlignment="1" applyProtection="1">
      <alignment horizontal="left" vertical="center"/>
      <protection hidden="1"/>
    </xf>
    <xf numFmtId="0" fontId="38" fillId="0" borderId="34" xfId="4" applyFont="1" applyBorder="1" applyAlignment="1" applyProtection="1">
      <alignment horizontal="right" vertical="center"/>
      <protection hidden="1"/>
    </xf>
    <xf numFmtId="0" fontId="68" fillId="0" borderId="35" xfId="4" applyFont="1" applyBorder="1" applyAlignment="1" applyProtection="1">
      <alignment horizontal="left"/>
      <protection hidden="1"/>
    </xf>
    <xf numFmtId="0" fontId="68" fillId="0" borderId="36" xfId="4" applyFont="1" applyBorder="1" applyAlignment="1" applyProtection="1">
      <alignment horizontal="left"/>
      <protection hidden="1"/>
    </xf>
    <xf numFmtId="0" fontId="70" fillId="0" borderId="42" xfId="4" applyFont="1" applyBorder="1" applyAlignment="1" applyProtection="1">
      <alignment horizontal="left" vertical="center"/>
      <protection hidden="1"/>
    </xf>
    <xf numFmtId="0" fontId="68" fillId="0" borderId="34" xfId="4" applyFont="1" applyBorder="1" applyAlignment="1" applyProtection="1">
      <alignment horizontal="left" vertical="top" wrapText="1"/>
      <protection hidden="1"/>
    </xf>
    <xf numFmtId="0" fontId="68" fillId="0" borderId="35" xfId="4" applyFont="1" applyFill="1" applyBorder="1" applyAlignment="1" applyProtection="1">
      <alignment horizontal="left" vertical="center" wrapText="1"/>
      <protection hidden="1"/>
    </xf>
    <xf numFmtId="0" fontId="68" fillId="0" borderId="36" xfId="4" applyFont="1" applyFill="1" applyBorder="1" applyAlignment="1" applyProtection="1">
      <alignment horizontal="left" vertical="center" wrapText="1"/>
      <protection hidden="1"/>
    </xf>
    <xf numFmtId="0" fontId="68" fillId="0" borderId="37" xfId="4" applyFont="1" applyFill="1" applyBorder="1" applyAlignment="1" applyProtection="1">
      <alignment horizontal="left" vertical="center" wrapText="1"/>
      <protection hidden="1"/>
    </xf>
    <xf numFmtId="0" fontId="72" fillId="0" borderId="34" xfId="4" applyFont="1" applyBorder="1" applyAlignment="1" applyProtection="1">
      <alignment horizontal="center"/>
      <protection hidden="1"/>
    </xf>
    <xf numFmtId="0" fontId="72" fillId="0" borderId="42" xfId="4" applyFont="1" applyBorder="1" applyAlignment="1" applyProtection="1">
      <alignment horizontal="center"/>
      <protection hidden="1"/>
    </xf>
    <xf numFmtId="0" fontId="68" fillId="0" borderId="34" xfId="4" applyFont="1" applyFill="1" applyBorder="1" applyAlignment="1" applyProtection="1">
      <alignment horizontal="left"/>
      <protection hidden="1"/>
    </xf>
    <xf numFmtId="0" fontId="68" fillId="0" borderId="34" xfId="4" applyFont="1" applyBorder="1" applyAlignment="1" applyProtection="1">
      <alignment horizontal="right" vertical="center"/>
      <protection hidden="1"/>
    </xf>
    <xf numFmtId="0" fontId="68" fillId="0" borderId="34" xfId="4" applyFont="1" applyBorder="1" applyAlignment="1" applyProtection="1">
      <alignment horizontal="left" vertical="center" wrapText="1"/>
      <protection hidden="1"/>
    </xf>
    <xf numFmtId="0" fontId="68" fillId="0" borderId="35" xfId="4" applyFont="1" applyBorder="1" applyAlignment="1" applyProtection="1">
      <alignment horizontal="left" vertical="center"/>
      <protection hidden="1"/>
    </xf>
    <xf numFmtId="0" fontId="68" fillId="0" borderId="36" xfId="4" applyFont="1" applyBorder="1" applyAlignment="1" applyProtection="1">
      <alignment horizontal="left" vertical="center"/>
      <protection hidden="1"/>
    </xf>
    <xf numFmtId="0" fontId="68" fillId="0" borderId="37" xfId="4" applyFont="1" applyBorder="1" applyAlignment="1" applyProtection="1">
      <alignment horizontal="left" vertical="center"/>
      <protection hidden="1"/>
    </xf>
    <xf numFmtId="1" fontId="68" fillId="0" borderId="34" xfId="4" applyNumberFormat="1" applyFont="1" applyBorder="1" applyAlignment="1" applyProtection="1">
      <alignment horizontal="center" vertical="center"/>
      <protection hidden="1"/>
    </xf>
    <xf numFmtId="1" fontId="68" fillId="0" borderId="42" xfId="4" applyNumberFormat="1" applyFont="1" applyBorder="1" applyAlignment="1" applyProtection="1">
      <alignment horizontal="center" vertical="center"/>
      <protection hidden="1"/>
    </xf>
    <xf numFmtId="0" fontId="68" fillId="0" borderId="79" xfId="4" applyFont="1" applyBorder="1" applyAlignment="1" applyProtection="1">
      <alignment horizontal="center" vertical="center"/>
      <protection hidden="1"/>
    </xf>
    <xf numFmtId="0" fontId="68" fillId="0" borderId="80" xfId="4" applyFont="1" applyBorder="1" applyAlignment="1" applyProtection="1">
      <alignment horizontal="center" vertical="center"/>
      <protection hidden="1"/>
    </xf>
    <xf numFmtId="0" fontId="68" fillId="0" borderId="81" xfId="4" applyFont="1" applyBorder="1" applyAlignment="1" applyProtection="1">
      <alignment horizontal="center" vertical="center"/>
      <protection hidden="1"/>
    </xf>
    <xf numFmtId="0" fontId="68" fillId="0" borderId="82" xfId="4" applyFont="1" applyBorder="1" applyAlignment="1" applyProtection="1">
      <alignment horizontal="center" vertical="center"/>
      <protection hidden="1"/>
    </xf>
    <xf numFmtId="0" fontId="68" fillId="0" borderId="36" xfId="4" applyFont="1" applyBorder="1" applyAlignment="1" applyProtection="1">
      <alignment horizontal="center" vertical="center"/>
      <protection hidden="1"/>
    </xf>
    <xf numFmtId="2" fontId="72" fillId="0" borderId="34" xfId="4" applyNumberFormat="1" applyFont="1" applyBorder="1" applyAlignment="1" applyProtection="1">
      <alignment horizontal="center" vertical="center"/>
      <protection hidden="1"/>
    </xf>
    <xf numFmtId="0" fontId="67" fillId="0" borderId="34" xfId="4" applyFont="1" applyBorder="1" applyAlignment="1" applyProtection="1">
      <alignment horizontal="center" vertical="center"/>
      <protection hidden="1"/>
    </xf>
    <xf numFmtId="1" fontId="72" fillId="0" borderId="34" xfId="4" applyNumberFormat="1" applyFont="1" applyBorder="1" applyAlignment="1" applyProtection="1">
      <alignment horizontal="center" vertical="center"/>
      <protection hidden="1"/>
    </xf>
    <xf numFmtId="1" fontId="72" fillId="0" borderId="42" xfId="4" applyNumberFormat="1" applyFont="1" applyBorder="1" applyAlignment="1" applyProtection="1">
      <alignment horizontal="center" vertical="center"/>
      <protection hidden="1"/>
    </xf>
    <xf numFmtId="0" fontId="68" fillId="0" borderId="41" xfId="4" applyFont="1" applyBorder="1" applyAlignment="1" applyProtection="1">
      <alignment horizontal="center" vertical="center"/>
      <protection hidden="1"/>
    </xf>
    <xf numFmtId="0" fontId="68" fillId="0" borderId="43" xfId="4" applyFont="1" applyBorder="1" applyAlignment="1" applyProtection="1">
      <alignment horizontal="center" vertical="center"/>
      <protection hidden="1"/>
    </xf>
    <xf numFmtId="0" fontId="11" fillId="4" borderId="5" xfId="0" applyFont="1" applyFill="1" applyBorder="1" applyAlignment="1" applyProtection="1">
      <alignment horizontal="center" vertical="center" wrapText="1"/>
      <protection locked="0"/>
    </xf>
    <xf numFmtId="0" fontId="11" fillId="4" borderId="11" xfId="0" applyFont="1" applyFill="1" applyBorder="1" applyAlignment="1" applyProtection="1">
      <alignment horizontal="center" vertical="center" wrapText="1"/>
      <protection locked="0"/>
    </xf>
    <xf numFmtId="0" fontId="135" fillId="0" borderId="0" xfId="7" applyFont="1" applyBorder="1" applyAlignment="1" applyProtection="1">
      <alignment horizontal="center" vertical="center" wrapText="1"/>
      <protection hidden="1"/>
    </xf>
    <xf numFmtId="0" fontId="92" fillId="0" borderId="0" xfId="0" applyFont="1" applyAlignment="1" applyProtection="1">
      <alignment horizontal="center" vertical="center" wrapText="1"/>
      <protection hidden="1"/>
    </xf>
    <xf numFmtId="0" fontId="101" fillId="0" borderId="5" xfId="4" applyFont="1" applyBorder="1" applyAlignment="1" applyProtection="1">
      <alignment horizontal="justify" vertical="center" wrapText="1"/>
      <protection hidden="1"/>
    </xf>
    <xf numFmtId="0" fontId="101" fillId="0" borderId="6" xfId="4" applyFont="1" applyBorder="1" applyAlignment="1" applyProtection="1">
      <alignment horizontal="justify" vertical="center" wrapText="1"/>
      <protection hidden="1"/>
    </xf>
    <xf numFmtId="0" fontId="101" fillId="0" borderId="7" xfId="4" applyFont="1" applyBorder="1" applyAlignment="1" applyProtection="1">
      <alignment horizontal="justify" vertical="center" wrapText="1"/>
      <protection hidden="1"/>
    </xf>
    <xf numFmtId="0" fontId="101" fillId="0" borderId="8" xfId="4" applyFont="1" applyBorder="1" applyAlignment="1" applyProtection="1">
      <alignment horizontal="justify" vertical="center" wrapText="1"/>
      <protection hidden="1"/>
    </xf>
    <xf numFmtId="0" fontId="101" fillId="0" borderId="0" xfId="4" applyFont="1" applyBorder="1" applyAlignment="1" applyProtection="1">
      <alignment horizontal="justify" vertical="center" wrapText="1"/>
      <protection hidden="1"/>
    </xf>
    <xf numFmtId="0" fontId="101" fillId="0" borderId="9" xfId="4" applyFont="1" applyBorder="1" applyAlignment="1" applyProtection="1">
      <alignment horizontal="justify" vertical="center" wrapText="1"/>
      <protection hidden="1"/>
    </xf>
    <xf numFmtId="0" fontId="101" fillId="0" borderId="11" xfId="4" applyFont="1" applyBorder="1" applyAlignment="1" applyProtection="1">
      <alignment horizontal="justify" vertical="center" wrapText="1"/>
      <protection hidden="1"/>
    </xf>
    <xf numFmtId="0" fontId="101" fillId="0" borderId="12" xfId="4" applyFont="1" applyBorder="1" applyAlignment="1" applyProtection="1">
      <alignment horizontal="justify" vertical="center" wrapText="1"/>
      <protection hidden="1"/>
    </xf>
    <xf numFmtId="0" fontId="101" fillId="0" borderId="13" xfId="4" applyFont="1" applyBorder="1" applyAlignment="1" applyProtection="1">
      <alignment horizontal="justify" vertical="center" wrapText="1"/>
      <protection hidden="1"/>
    </xf>
    <xf numFmtId="0" fontId="66" fillId="0" borderId="0" xfId="3" applyFont="1" applyAlignment="1" applyProtection="1">
      <alignment horizontal="center" vertical="center"/>
      <protection hidden="1"/>
    </xf>
    <xf numFmtId="0" fontId="68" fillId="0" borderId="39" xfId="4" applyFont="1" applyBorder="1" applyAlignment="1" applyProtection="1">
      <alignment horizontal="left" vertical="center"/>
      <protection hidden="1"/>
    </xf>
    <xf numFmtId="0" fontId="67" fillId="0" borderId="39" xfId="5" applyFont="1" applyFill="1" applyBorder="1" applyAlignment="1" applyProtection="1">
      <alignment horizontal="left" vertical="center"/>
      <protection hidden="1"/>
    </xf>
    <xf numFmtId="0" fontId="67" fillId="0" borderId="39" xfId="4" applyFont="1" applyFill="1" applyBorder="1" applyAlignment="1" applyProtection="1">
      <alignment horizontal="left" vertical="center"/>
      <protection hidden="1"/>
    </xf>
    <xf numFmtId="0" fontId="67" fillId="0" borderId="39" xfId="4" applyFont="1" applyFill="1" applyBorder="1" applyAlignment="1" applyProtection="1">
      <alignment horizontal="center" vertical="center"/>
      <protection hidden="1"/>
    </xf>
    <xf numFmtId="0" fontId="67" fillId="0" borderId="40" xfId="4" applyFont="1" applyFill="1" applyBorder="1" applyAlignment="1" applyProtection="1">
      <alignment horizontal="center" vertical="center"/>
      <protection hidden="1"/>
    </xf>
    <xf numFmtId="0" fontId="141" fillId="0" borderId="0" xfId="3" applyFont="1" applyBorder="1" applyAlignment="1" applyProtection="1">
      <alignment horizontal="right" vertical="center"/>
      <protection hidden="1"/>
    </xf>
    <xf numFmtId="0" fontId="39" fillId="0" borderId="0" xfId="3" applyFont="1" applyBorder="1" applyAlignment="1" applyProtection="1">
      <alignment horizontal="center" vertical="center"/>
      <protection hidden="1"/>
    </xf>
    <xf numFmtId="0" fontId="96" fillId="24" borderId="0" xfId="3" applyFont="1" applyFill="1" applyBorder="1" applyAlignment="1" applyProtection="1">
      <alignment horizontal="center" vertical="center" wrapText="1"/>
      <protection hidden="1"/>
    </xf>
    <xf numFmtId="0" fontId="96" fillId="24" borderId="0" xfId="3" applyFont="1" applyFill="1" applyBorder="1" applyAlignment="1" applyProtection="1">
      <alignment horizontal="center" vertical="center"/>
      <protection hidden="1"/>
    </xf>
    <xf numFmtId="0" fontId="39" fillId="0" borderId="48" xfId="3" applyFont="1" applyBorder="1" applyAlignment="1" applyProtection="1">
      <alignment horizontal="left" vertical="center"/>
      <protection hidden="1"/>
    </xf>
    <xf numFmtId="1" fontId="72" fillId="0" borderId="34" xfId="4" applyNumberFormat="1" applyFont="1" applyFill="1" applyBorder="1" applyAlignment="1" applyProtection="1">
      <alignment horizontal="center" vertical="center"/>
      <protection hidden="1"/>
    </xf>
    <xf numFmtId="0" fontId="52" fillId="0" borderId="5" xfId="0" applyFont="1" applyBorder="1" applyAlignment="1" applyProtection="1">
      <alignment horizontal="justify" vertical="center" wrapText="1"/>
      <protection hidden="1"/>
    </xf>
    <xf numFmtId="0" fontId="52" fillId="0" borderId="6" xfId="0" applyFont="1" applyBorder="1" applyAlignment="1" applyProtection="1">
      <alignment horizontal="justify" vertical="center" wrapText="1"/>
      <protection hidden="1"/>
    </xf>
    <xf numFmtId="0" fontId="52" fillId="0" borderId="7" xfId="0" applyFont="1" applyBorder="1" applyAlignment="1" applyProtection="1">
      <alignment horizontal="justify" vertical="center" wrapText="1"/>
      <protection hidden="1"/>
    </xf>
    <xf numFmtId="0" fontId="52" fillId="0" borderId="8" xfId="0" applyFont="1" applyBorder="1" applyAlignment="1" applyProtection="1">
      <alignment horizontal="justify" vertical="center" wrapText="1"/>
      <protection hidden="1"/>
    </xf>
    <xf numFmtId="0" fontId="52" fillId="0" borderId="0" xfId="0" applyFont="1" applyBorder="1" applyAlignment="1" applyProtection="1">
      <alignment horizontal="justify" vertical="center" wrapText="1"/>
      <protection hidden="1"/>
    </xf>
    <xf numFmtId="0" fontId="52" fillId="0" borderId="9" xfId="0" applyFont="1" applyBorder="1" applyAlignment="1" applyProtection="1">
      <alignment horizontal="justify" vertical="center" wrapText="1"/>
      <protection hidden="1"/>
    </xf>
    <xf numFmtId="0" fontId="52" fillId="0" borderId="12" xfId="0" applyFont="1" applyBorder="1" applyAlignment="1" applyProtection="1">
      <alignment horizontal="justify" vertical="center" wrapText="1"/>
      <protection hidden="1"/>
    </xf>
    <xf numFmtId="0" fontId="52" fillId="0" borderId="13" xfId="0" applyFont="1" applyBorder="1" applyAlignment="1" applyProtection="1">
      <alignment horizontal="justify" vertical="center" wrapText="1"/>
      <protection hidden="1"/>
    </xf>
    <xf numFmtId="0" fontId="104" fillId="0" borderId="0" xfId="7" applyAlignment="1" applyProtection="1">
      <alignment horizontal="center"/>
      <protection hidden="1"/>
    </xf>
    <xf numFmtId="0" fontId="94" fillId="0" borderId="0" xfId="0" applyFont="1" applyBorder="1" applyAlignment="1" applyProtection="1">
      <alignment horizontal="center" vertical="center" wrapText="1"/>
      <protection hidden="1"/>
    </xf>
    <xf numFmtId="0" fontId="107" fillId="0" borderId="0" xfId="0" applyFont="1" applyBorder="1" applyAlignment="1" applyProtection="1">
      <alignment horizontal="center" vertical="center" wrapText="1"/>
      <protection hidden="1"/>
    </xf>
    <xf numFmtId="0" fontId="94" fillId="0" borderId="0" xfId="0" applyFont="1" applyBorder="1" applyAlignment="1" applyProtection="1">
      <alignment horizontal="left" vertical="center" wrapText="1"/>
      <protection hidden="1"/>
    </xf>
    <xf numFmtId="0" fontId="106" fillId="0" borderId="0" xfId="0" applyFont="1" applyBorder="1" applyAlignment="1" applyProtection="1">
      <alignment horizontal="center" vertical="center" wrapText="1"/>
      <protection hidden="1"/>
    </xf>
    <xf numFmtId="0" fontId="105" fillId="16" borderId="0" xfId="0" applyFont="1" applyFill="1" applyBorder="1" applyAlignment="1" applyProtection="1">
      <alignment horizontal="center" vertical="center" wrapText="1"/>
      <protection locked="0"/>
    </xf>
    <xf numFmtId="14" fontId="105" fillId="16" borderId="0" xfId="0" applyNumberFormat="1" applyFont="1" applyFill="1" applyBorder="1" applyAlignment="1" applyProtection="1">
      <alignment horizontal="center" vertical="center" wrapText="1"/>
      <protection locked="0"/>
    </xf>
    <xf numFmtId="0" fontId="120" fillId="0" borderId="0" xfId="0" applyFont="1" applyBorder="1" applyAlignment="1" applyProtection="1">
      <alignment horizontal="right" vertical="center" wrapText="1"/>
      <protection hidden="1"/>
    </xf>
    <xf numFmtId="0" fontId="119" fillId="0" borderId="0" xfId="0" applyFont="1" applyBorder="1" applyAlignment="1" applyProtection="1">
      <alignment horizontal="center" wrapText="1"/>
      <protection hidden="1"/>
    </xf>
    <xf numFmtId="0" fontId="110" fillId="0" borderId="0" xfId="0" applyFont="1" applyBorder="1" applyAlignment="1" applyProtection="1">
      <alignment horizontal="center" vertical="center" wrapText="1"/>
      <protection hidden="1"/>
    </xf>
    <xf numFmtId="0" fontId="119" fillId="0" borderId="0" xfId="0" applyFont="1" applyFill="1" applyBorder="1" applyAlignment="1" applyProtection="1">
      <alignment horizontal="center" vertical="center" wrapText="1"/>
      <protection hidden="1"/>
    </xf>
    <xf numFmtId="0" fontId="119" fillId="0" borderId="0" xfId="0" applyFont="1" applyBorder="1" applyAlignment="1" applyProtection="1">
      <alignment horizontal="justify" vertical="center" wrapText="1"/>
      <protection hidden="1"/>
    </xf>
    <xf numFmtId="0" fontId="105" fillId="0" borderId="59" xfId="0" applyFont="1" applyBorder="1" applyAlignment="1" applyProtection="1">
      <alignment horizontal="left" vertical="center" wrapText="1"/>
      <protection hidden="1"/>
    </xf>
    <xf numFmtId="169" fontId="111" fillId="0" borderId="59" xfId="0" applyNumberFormat="1" applyFont="1" applyFill="1" applyBorder="1" applyAlignment="1" applyProtection="1">
      <alignment horizontal="center" vertical="center" wrapText="1"/>
      <protection hidden="1"/>
    </xf>
    <xf numFmtId="0" fontId="111" fillId="0" borderId="59" xfId="0" applyFont="1" applyFill="1" applyBorder="1" applyAlignment="1" applyProtection="1">
      <alignment horizontal="center" vertical="center" wrapText="1"/>
      <protection hidden="1"/>
    </xf>
    <xf numFmtId="0" fontId="124" fillId="0" borderId="61" xfId="0" applyFont="1" applyBorder="1" applyAlignment="1" applyProtection="1">
      <alignment horizontal="center" vertical="center" wrapText="1"/>
      <protection hidden="1"/>
    </xf>
    <xf numFmtId="0" fontId="110" fillId="0" borderId="0" xfId="0" applyFont="1" applyFill="1" applyBorder="1" applyAlignment="1" applyProtection="1">
      <alignment horizontal="left" vertical="center" wrapText="1"/>
      <protection hidden="1"/>
    </xf>
    <xf numFmtId="0" fontId="119" fillId="0" borderId="0" xfId="0" applyFont="1" applyFill="1" applyBorder="1" applyAlignment="1" applyProtection="1">
      <alignment horizontal="center" wrapText="1"/>
      <protection hidden="1"/>
    </xf>
    <xf numFmtId="0" fontId="85" fillId="0" borderId="74" xfId="4" applyFont="1" applyBorder="1" applyAlignment="1" applyProtection="1">
      <alignment horizontal="center" vertical="center"/>
      <protection hidden="1"/>
    </xf>
    <xf numFmtId="0" fontId="85" fillId="0" borderId="75" xfId="4" applyFont="1" applyBorder="1" applyAlignment="1" applyProtection="1">
      <alignment horizontal="center" vertical="center"/>
      <protection hidden="1"/>
    </xf>
    <xf numFmtId="0" fontId="85" fillId="0" borderId="76" xfId="4" applyFont="1" applyBorder="1" applyAlignment="1" applyProtection="1">
      <alignment horizontal="center" vertical="center"/>
      <protection hidden="1"/>
    </xf>
    <xf numFmtId="0" fontId="105" fillId="0" borderId="74" xfId="0" applyFont="1" applyBorder="1" applyAlignment="1" applyProtection="1">
      <alignment horizontal="left" vertical="center" wrapText="1"/>
      <protection hidden="1"/>
    </xf>
    <xf numFmtId="0" fontId="105" fillId="0" borderId="75" xfId="0" applyFont="1" applyBorder="1" applyAlignment="1" applyProtection="1">
      <alignment horizontal="left" vertical="center" wrapText="1"/>
      <protection hidden="1"/>
    </xf>
    <xf numFmtId="0" fontId="105" fillId="0" borderId="76" xfId="0" applyFont="1" applyBorder="1" applyAlignment="1" applyProtection="1">
      <alignment horizontal="left" vertical="center" wrapText="1"/>
      <protection hidden="1"/>
    </xf>
    <xf numFmtId="0" fontId="105" fillId="16" borderId="74" xfId="0" applyFont="1" applyFill="1" applyBorder="1" applyAlignment="1" applyProtection="1">
      <alignment horizontal="left" vertical="center" wrapText="1"/>
      <protection hidden="1"/>
    </xf>
    <xf numFmtId="0" fontId="105" fillId="16" borderId="75" xfId="0" applyFont="1" applyFill="1" applyBorder="1" applyAlignment="1" applyProtection="1">
      <alignment horizontal="left" vertical="center" wrapText="1"/>
      <protection hidden="1"/>
    </xf>
    <xf numFmtId="169" fontId="111" fillId="0" borderId="74" xfId="0" applyNumberFormat="1" applyFont="1" applyFill="1" applyBorder="1" applyAlignment="1" applyProtection="1">
      <alignment horizontal="left" vertical="center" wrapText="1"/>
      <protection hidden="1"/>
    </xf>
    <xf numFmtId="169" fontId="111" fillId="0" borderId="76" xfId="0" applyNumberFormat="1" applyFont="1" applyFill="1" applyBorder="1" applyAlignment="1" applyProtection="1">
      <alignment horizontal="left" vertical="center" wrapText="1"/>
      <protection hidden="1"/>
    </xf>
    <xf numFmtId="0" fontId="105" fillId="0" borderId="66" xfId="0" applyFont="1" applyBorder="1" applyAlignment="1" applyProtection="1">
      <alignment horizontal="left" vertical="center" wrapText="1"/>
      <protection hidden="1"/>
    </xf>
    <xf numFmtId="0" fontId="105" fillId="0" borderId="0" xfId="0" applyFont="1" applyBorder="1" applyAlignment="1" applyProtection="1">
      <alignment horizontal="left" vertical="center" wrapText="1"/>
      <protection hidden="1"/>
    </xf>
    <xf numFmtId="0" fontId="105" fillId="0" borderId="61" xfId="0" applyFont="1" applyBorder="1" applyAlignment="1" applyProtection="1">
      <alignment horizontal="left" vertical="center" wrapText="1"/>
      <protection hidden="1"/>
    </xf>
    <xf numFmtId="169" fontId="105" fillId="0" borderId="59" xfId="0" applyNumberFormat="1" applyFont="1" applyFill="1" applyBorder="1" applyAlignment="1" applyProtection="1">
      <alignment horizontal="right" vertical="center" wrapText="1"/>
      <protection hidden="1"/>
    </xf>
    <xf numFmtId="0" fontId="0" fillId="0" borderId="75" xfId="0" applyBorder="1"/>
    <xf numFmtId="0" fontId="111" fillId="0" borderId="74" xfId="0" applyFont="1" applyBorder="1" applyAlignment="1" applyProtection="1">
      <alignment horizontal="left" vertical="center" wrapText="1"/>
      <protection hidden="1"/>
    </xf>
    <xf numFmtId="0" fontId="111" fillId="0" borderId="75" xfId="0" applyFont="1" applyBorder="1" applyAlignment="1" applyProtection="1">
      <alignment horizontal="left" vertical="center" wrapText="1"/>
      <protection hidden="1"/>
    </xf>
    <xf numFmtId="0" fontId="111" fillId="0" borderId="76" xfId="0" applyFont="1" applyBorder="1" applyAlignment="1" applyProtection="1">
      <alignment horizontal="left" vertical="center" wrapText="1"/>
      <protection hidden="1"/>
    </xf>
    <xf numFmtId="0" fontId="106" fillId="0" borderId="75" xfId="0" applyFont="1" applyBorder="1" applyAlignment="1" applyProtection="1">
      <alignment horizontal="left" vertical="center" wrapText="1"/>
      <protection hidden="1"/>
    </xf>
    <xf numFmtId="0" fontId="106" fillId="0" borderId="76" xfId="0" applyFont="1" applyBorder="1" applyAlignment="1" applyProtection="1">
      <alignment horizontal="left" vertical="center" wrapText="1"/>
      <protection hidden="1"/>
    </xf>
    <xf numFmtId="0" fontId="106" fillId="0" borderId="59" xfId="0" applyFont="1" applyBorder="1" applyAlignment="1" applyProtection="1">
      <alignment horizontal="center" vertical="center" wrapText="1"/>
      <protection hidden="1"/>
    </xf>
    <xf numFmtId="169" fontId="110" fillId="0" borderId="59" xfId="0" applyNumberFormat="1" applyFont="1" applyFill="1" applyBorder="1" applyAlignment="1" applyProtection="1">
      <alignment horizontal="center" vertical="center" wrapText="1"/>
      <protection hidden="1"/>
    </xf>
    <xf numFmtId="0" fontId="111" fillId="0" borderId="59" xfId="0" applyFont="1" applyBorder="1" applyAlignment="1" applyProtection="1">
      <alignment horizontal="center" vertical="center" wrapText="1"/>
      <protection hidden="1"/>
    </xf>
    <xf numFmtId="169" fontId="110" fillId="22" borderId="59" xfId="0" applyNumberFormat="1" applyFont="1" applyFill="1" applyBorder="1" applyAlignment="1" applyProtection="1">
      <alignment horizontal="center" vertical="center" wrapText="1"/>
      <protection locked="0"/>
    </xf>
    <xf numFmtId="169" fontId="110" fillId="22" borderId="59" xfId="0" applyNumberFormat="1" applyFont="1" applyFill="1" applyBorder="1" applyAlignment="1" applyProtection="1">
      <alignment horizontal="center" vertical="center" wrapText="1"/>
      <protection hidden="1"/>
    </xf>
    <xf numFmtId="169" fontId="103" fillId="8" borderId="59" xfId="0" applyNumberFormat="1" applyFont="1" applyFill="1" applyBorder="1" applyAlignment="1" applyProtection="1">
      <alignment horizontal="center" vertical="center" wrapText="1"/>
      <protection hidden="1"/>
    </xf>
    <xf numFmtId="0" fontId="183" fillId="28" borderId="59" xfId="0" applyFont="1" applyFill="1" applyBorder="1" applyAlignment="1" applyProtection="1">
      <alignment horizontal="left" vertical="center" wrapText="1"/>
      <protection hidden="1"/>
    </xf>
    <xf numFmtId="0" fontId="111" fillId="28" borderId="59" xfId="0" applyFont="1" applyFill="1" applyBorder="1" applyAlignment="1" applyProtection="1">
      <alignment horizontal="center" vertical="center" wrapText="1"/>
      <protection hidden="1"/>
    </xf>
    <xf numFmtId="169" fontId="110" fillId="0" borderId="74" xfId="0" applyNumberFormat="1" applyFont="1" applyFill="1" applyBorder="1" applyAlignment="1" applyProtection="1">
      <alignment horizontal="center" vertical="center" wrapText="1"/>
      <protection hidden="1"/>
    </xf>
    <xf numFmtId="169" fontId="110" fillId="0" borderId="76" xfId="0" applyNumberFormat="1" applyFont="1" applyFill="1" applyBorder="1" applyAlignment="1" applyProtection="1">
      <alignment horizontal="center" vertical="center" wrapText="1"/>
      <protection hidden="1"/>
    </xf>
    <xf numFmtId="169" fontId="110" fillId="16" borderId="53" xfId="0" applyNumberFormat="1" applyFont="1" applyFill="1" applyBorder="1" applyAlignment="1" applyProtection="1">
      <alignment horizontal="center" vertical="center" wrapText="1"/>
      <protection hidden="1"/>
    </xf>
    <xf numFmtId="0" fontId="93" fillId="0" borderId="53" xfId="0" applyFont="1" applyBorder="1" applyAlignment="1" applyProtection="1">
      <alignment horizontal="center" vertical="center"/>
      <protection hidden="1"/>
    </xf>
    <xf numFmtId="169" fontId="109" fillId="0" borderId="53" xfId="0" applyNumberFormat="1" applyFont="1" applyFill="1" applyBorder="1" applyAlignment="1" applyProtection="1">
      <alignment horizontal="center" vertical="center" wrapText="1"/>
      <protection hidden="1"/>
    </xf>
    <xf numFmtId="169" fontId="110" fillId="0" borderId="53" xfId="0" applyNumberFormat="1" applyFont="1" applyFill="1" applyBorder="1" applyAlignment="1" applyProtection="1">
      <alignment horizontal="right" vertical="center" wrapText="1"/>
      <protection hidden="1"/>
    </xf>
    <xf numFmtId="169" fontId="111" fillId="0" borderId="53" xfId="0" applyNumberFormat="1" applyFont="1" applyFill="1" applyBorder="1" applyAlignment="1" applyProtection="1">
      <alignment horizontal="right" vertical="center" wrapText="1"/>
      <protection hidden="1"/>
    </xf>
    <xf numFmtId="0" fontId="123" fillId="0" borderId="53" xfId="0" applyFont="1" applyBorder="1" applyAlignment="1" applyProtection="1">
      <alignment horizontal="left" vertical="center"/>
      <protection hidden="1"/>
    </xf>
    <xf numFmtId="0" fontId="121" fillId="0" borderId="53" xfId="0" applyFont="1" applyBorder="1" applyAlignment="1" applyProtection="1">
      <alignment horizontal="left" vertical="center" wrapText="1"/>
      <protection hidden="1"/>
    </xf>
    <xf numFmtId="169" fontId="107" fillId="0" borderId="53" xfId="0" applyNumberFormat="1" applyFont="1" applyFill="1" applyBorder="1" applyAlignment="1" applyProtection="1">
      <alignment horizontal="right" vertical="center" wrapText="1"/>
      <protection hidden="1"/>
    </xf>
    <xf numFmtId="169" fontId="111" fillId="0" borderId="53" xfId="0" applyNumberFormat="1" applyFont="1" applyFill="1" applyBorder="1" applyAlignment="1" applyProtection="1">
      <alignment horizontal="center" vertical="center" wrapText="1"/>
      <protection hidden="1"/>
    </xf>
    <xf numFmtId="169" fontId="81" fillId="16" borderId="68" xfId="0" applyNumberFormat="1" applyFont="1" applyFill="1" applyBorder="1" applyAlignment="1" applyProtection="1">
      <alignment horizontal="center" vertical="center" wrapText="1"/>
      <protection hidden="1"/>
    </xf>
    <xf numFmtId="169" fontId="81" fillId="16" borderId="69" xfId="0" applyNumberFormat="1" applyFont="1" applyFill="1" applyBorder="1" applyAlignment="1" applyProtection="1">
      <alignment horizontal="center" vertical="center" wrapText="1"/>
      <protection hidden="1"/>
    </xf>
    <xf numFmtId="169" fontId="81" fillId="16" borderId="70" xfId="0" applyNumberFormat="1" applyFont="1" applyFill="1" applyBorder="1" applyAlignment="1" applyProtection="1">
      <alignment horizontal="center" vertical="center" wrapText="1"/>
      <protection hidden="1"/>
    </xf>
    <xf numFmtId="169" fontId="81" fillId="16" borderId="71" xfId="0" applyNumberFormat="1" applyFont="1" applyFill="1" applyBorder="1" applyAlignment="1" applyProtection="1">
      <alignment horizontal="center" vertical="center" wrapText="1"/>
      <protection hidden="1"/>
    </xf>
    <xf numFmtId="169" fontId="81" fillId="16" borderId="72" xfId="0" applyNumberFormat="1" applyFont="1" applyFill="1" applyBorder="1" applyAlignment="1" applyProtection="1">
      <alignment horizontal="center" vertical="center" wrapText="1"/>
      <protection hidden="1"/>
    </xf>
    <xf numFmtId="169" fontId="81" fillId="16" borderId="73" xfId="0" applyNumberFormat="1" applyFont="1" applyFill="1" applyBorder="1" applyAlignment="1" applyProtection="1">
      <alignment horizontal="center" vertical="center" wrapText="1"/>
      <protection hidden="1"/>
    </xf>
    <xf numFmtId="169" fontId="109" fillId="16" borderId="68" xfId="0" applyNumberFormat="1" applyFont="1" applyFill="1" applyBorder="1" applyAlignment="1" applyProtection="1">
      <alignment horizontal="center" vertical="center" wrapText="1"/>
      <protection hidden="1"/>
    </xf>
    <xf numFmtId="169" fontId="109" fillId="16" borderId="69" xfId="0" applyNumberFormat="1" applyFont="1" applyFill="1" applyBorder="1" applyAlignment="1" applyProtection="1">
      <alignment horizontal="center" vertical="center" wrapText="1"/>
      <protection hidden="1"/>
    </xf>
    <xf numFmtId="169" fontId="109" fillId="16" borderId="70" xfId="0" applyNumberFormat="1" applyFont="1" applyFill="1" applyBorder="1" applyAlignment="1" applyProtection="1">
      <alignment horizontal="center" vertical="center" wrapText="1"/>
      <protection hidden="1"/>
    </xf>
    <xf numFmtId="169" fontId="109" fillId="16" borderId="71" xfId="0" applyNumberFormat="1" applyFont="1" applyFill="1" applyBorder="1" applyAlignment="1" applyProtection="1">
      <alignment horizontal="center" vertical="center" wrapText="1"/>
      <protection hidden="1"/>
    </xf>
    <xf numFmtId="169" fontId="109" fillId="16" borderId="72" xfId="0" applyNumberFormat="1" applyFont="1" applyFill="1" applyBorder="1" applyAlignment="1" applyProtection="1">
      <alignment horizontal="center" vertical="center" wrapText="1"/>
      <protection hidden="1"/>
    </xf>
    <xf numFmtId="169" fontId="109" fillId="16" borderId="73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53" xfId="0" applyBorder="1" applyAlignment="1" applyProtection="1">
      <alignment horizontal="center" vertical="center"/>
      <protection hidden="1"/>
    </xf>
    <xf numFmtId="0" fontId="110" fillId="0" borderId="53" xfId="0" applyFont="1" applyBorder="1" applyAlignment="1" applyProtection="1">
      <alignment horizontal="center" vertical="center" wrapText="1"/>
      <protection hidden="1"/>
    </xf>
    <xf numFmtId="0" fontId="136" fillId="0" borderId="53" xfId="0" applyFont="1" applyBorder="1" applyAlignment="1" applyProtection="1">
      <alignment horizontal="left" vertical="center"/>
      <protection hidden="1"/>
    </xf>
    <xf numFmtId="0" fontId="121" fillId="0" borderId="53" xfId="0" applyFont="1" applyBorder="1" applyAlignment="1" applyProtection="1">
      <alignment horizontal="center" vertical="center" wrapText="1"/>
      <protection hidden="1"/>
    </xf>
    <xf numFmtId="0" fontId="105" fillId="28" borderId="53" xfId="0" applyFont="1" applyFill="1" applyBorder="1" applyAlignment="1" applyProtection="1">
      <alignment horizontal="left" vertical="center" wrapText="1"/>
      <protection hidden="1"/>
    </xf>
    <xf numFmtId="0" fontId="105" fillId="28" borderId="53" xfId="0" applyFont="1" applyFill="1" applyBorder="1" applyAlignment="1" applyProtection="1">
      <alignment horizontal="center" vertical="center" wrapText="1"/>
      <protection hidden="1"/>
    </xf>
    <xf numFmtId="169" fontId="105" fillId="0" borderId="53" xfId="0" applyNumberFormat="1" applyFont="1" applyFill="1" applyBorder="1" applyAlignment="1" applyProtection="1">
      <alignment horizontal="right" vertical="center" wrapText="1"/>
      <protection hidden="1"/>
    </xf>
    <xf numFmtId="0" fontId="182" fillId="0" borderId="53" xfId="0" applyFont="1" applyBorder="1" applyAlignment="1" applyProtection="1">
      <alignment horizontal="left" vertical="center" wrapText="1"/>
      <protection hidden="1"/>
    </xf>
    <xf numFmtId="169" fontId="103" fillId="8" borderId="53" xfId="0" applyNumberFormat="1" applyFont="1" applyFill="1" applyBorder="1" applyAlignment="1" applyProtection="1">
      <alignment horizontal="right" vertical="center" wrapText="1"/>
      <protection hidden="1"/>
    </xf>
    <xf numFmtId="0" fontId="119" fillId="0" borderId="53" xfId="0" applyFont="1" applyBorder="1" applyAlignment="1" applyProtection="1">
      <alignment horizontal="center" vertical="center" wrapText="1"/>
      <protection hidden="1"/>
    </xf>
    <xf numFmtId="169" fontId="110" fillId="8" borderId="53" xfId="0" applyNumberFormat="1" applyFont="1" applyFill="1" applyBorder="1" applyAlignment="1" applyProtection="1">
      <alignment horizontal="center" vertical="center" wrapText="1"/>
      <protection hidden="1"/>
    </xf>
    <xf numFmtId="169" fontId="111" fillId="8" borderId="53" xfId="0" applyNumberFormat="1" applyFont="1" applyFill="1" applyBorder="1" applyAlignment="1" applyProtection="1">
      <alignment horizontal="right" vertical="center" wrapText="1"/>
      <protection hidden="1"/>
    </xf>
    <xf numFmtId="0" fontId="111" fillId="0" borderId="53" xfId="0" applyFont="1" applyBorder="1" applyAlignment="1" applyProtection="1">
      <alignment horizontal="left" vertical="center" wrapText="1"/>
      <protection hidden="1"/>
    </xf>
    <xf numFmtId="0" fontId="182" fillId="0" borderId="53" xfId="0" applyFont="1" applyFill="1" applyBorder="1" applyAlignment="1" applyProtection="1">
      <alignment horizontal="left" vertical="center" wrapText="1"/>
      <protection hidden="1"/>
    </xf>
    <xf numFmtId="169" fontId="110" fillId="8" borderId="53" xfId="0" applyNumberFormat="1" applyFont="1" applyFill="1" applyBorder="1" applyAlignment="1" applyProtection="1">
      <alignment horizontal="right" vertical="center" wrapText="1"/>
      <protection hidden="1"/>
    </xf>
    <xf numFmtId="0" fontId="105" fillId="0" borderId="53" xfId="0" applyFont="1" applyFill="1" applyBorder="1" applyAlignment="1" applyProtection="1">
      <alignment horizontal="center" vertical="center" wrapText="1"/>
      <protection hidden="1"/>
    </xf>
    <xf numFmtId="0" fontId="105" fillId="0" borderId="53" xfId="0" applyFont="1" applyBorder="1" applyAlignment="1" applyProtection="1">
      <alignment horizontal="left" vertical="center" wrapText="1"/>
      <protection hidden="1"/>
    </xf>
    <xf numFmtId="0" fontId="106" fillId="0" borderId="53" xfId="0" applyFont="1" applyBorder="1" applyAlignment="1" applyProtection="1">
      <alignment horizontal="right" vertical="center" wrapText="1"/>
      <protection hidden="1"/>
    </xf>
    <xf numFmtId="0" fontId="118" fillId="0" borderId="0" xfId="0" applyFont="1" applyBorder="1" applyAlignment="1" applyProtection="1">
      <alignment horizontal="center" vertical="center" wrapText="1"/>
      <protection hidden="1"/>
    </xf>
    <xf numFmtId="169" fontId="105" fillId="8" borderId="53" xfId="0" applyNumberFormat="1" applyFont="1" applyFill="1" applyBorder="1" applyAlignment="1" applyProtection="1">
      <alignment horizontal="center" vertical="center" wrapText="1"/>
      <protection hidden="1"/>
    </xf>
    <xf numFmtId="169" fontId="110" fillId="0" borderId="53" xfId="0" applyNumberFormat="1" applyFont="1" applyFill="1" applyBorder="1" applyAlignment="1" applyProtection="1">
      <alignment horizontal="right" vertical="center" wrapText="1"/>
      <protection locked="0"/>
    </xf>
    <xf numFmtId="169" fontId="110" fillId="27" borderId="53" xfId="0" applyNumberFormat="1" applyFont="1" applyFill="1" applyBorder="1" applyAlignment="1" applyProtection="1">
      <alignment horizontal="right" vertical="center" wrapText="1"/>
      <protection locked="0"/>
    </xf>
    <xf numFmtId="0" fontId="108" fillId="0" borderId="53" xfId="0" applyFont="1" applyBorder="1" applyAlignment="1" applyProtection="1">
      <alignment horizontal="left" vertical="center" wrapText="1"/>
      <protection hidden="1"/>
    </xf>
    <xf numFmtId="169" fontId="111" fillId="8" borderId="53" xfId="0" applyNumberFormat="1" applyFont="1" applyFill="1" applyBorder="1" applyAlignment="1" applyProtection="1">
      <alignment horizontal="center" vertical="center" wrapText="1"/>
      <protection hidden="1"/>
    </xf>
    <xf numFmtId="0" fontId="122" fillId="0" borderId="53" xfId="0" applyFont="1" applyBorder="1" applyAlignment="1" applyProtection="1">
      <alignment horizontal="center" vertical="center" wrapText="1"/>
      <protection hidden="1"/>
    </xf>
    <xf numFmtId="0" fontId="103" fillId="0" borderId="0" xfId="0" applyFont="1" applyBorder="1" applyAlignment="1" applyProtection="1">
      <alignment horizontal="center" vertical="center" wrapText="1"/>
      <protection hidden="1"/>
    </xf>
    <xf numFmtId="0" fontId="120" fillId="0" borderId="0" xfId="0" applyFont="1" applyBorder="1" applyAlignment="1" applyProtection="1">
      <alignment horizontal="center" vertical="center" wrapText="1"/>
      <protection hidden="1"/>
    </xf>
    <xf numFmtId="0" fontId="105" fillId="0" borderId="0" xfId="0" applyFont="1" applyBorder="1" applyAlignment="1" applyProtection="1">
      <alignment horizontal="center" vertical="center" wrapText="1"/>
      <protection hidden="1"/>
    </xf>
    <xf numFmtId="0" fontId="106" fillId="0" borderId="0" xfId="0" applyFont="1" applyBorder="1" applyAlignment="1" applyProtection="1">
      <alignment horizontal="left" vertical="center" wrapText="1"/>
      <protection hidden="1"/>
    </xf>
    <xf numFmtId="0" fontId="94" fillId="0" borderId="0" xfId="0" applyFont="1" applyFill="1" applyBorder="1" applyAlignment="1" applyProtection="1">
      <alignment horizontal="center" vertical="center" wrapText="1"/>
      <protection hidden="1"/>
    </xf>
    <xf numFmtId="0" fontId="119" fillId="0" borderId="0" xfId="0" applyFont="1" applyBorder="1" applyAlignment="1" applyProtection="1">
      <alignment horizontal="left" vertical="center" wrapText="1"/>
      <protection hidden="1"/>
    </xf>
    <xf numFmtId="0" fontId="105" fillId="0" borderId="0" xfId="0" applyFont="1" applyFill="1" applyBorder="1" applyAlignment="1" applyProtection="1">
      <alignment horizontal="center" vertical="center" wrapText="1"/>
      <protection locked="0"/>
    </xf>
    <xf numFmtId="0" fontId="95" fillId="0" borderId="0" xfId="0" applyFont="1" applyBorder="1" applyAlignment="1" applyProtection="1">
      <alignment horizontal="center" wrapText="1"/>
      <protection hidden="1"/>
    </xf>
    <xf numFmtId="0" fontId="106" fillId="26" borderId="0" xfId="0" applyFont="1" applyFill="1" applyBorder="1" applyAlignment="1" applyProtection="1">
      <alignment horizontal="center" vertical="center" wrapText="1"/>
      <protection locked="0"/>
    </xf>
    <xf numFmtId="0" fontId="119" fillId="0" borderId="0" xfId="0" applyFont="1" applyFill="1" applyBorder="1" applyAlignment="1" applyProtection="1">
      <alignment horizontal="left" vertical="center" wrapText="1"/>
      <protection hidden="1"/>
    </xf>
    <xf numFmtId="0" fontId="119" fillId="0" borderId="0" xfId="0" applyFont="1" applyBorder="1" applyAlignment="1" applyProtection="1">
      <alignment horizontal="center" vertical="center" wrapText="1"/>
      <protection hidden="1"/>
    </xf>
    <xf numFmtId="0" fontId="94" fillId="0" borderId="0" xfId="0" applyFont="1" applyFill="1" applyBorder="1" applyAlignment="1" applyProtection="1">
      <alignment horizontal="left" vertical="center" wrapText="1"/>
      <protection hidden="1"/>
    </xf>
    <xf numFmtId="168" fontId="107" fillId="0" borderId="49" xfId="0" applyNumberFormat="1" applyFont="1" applyBorder="1" applyAlignment="1" applyProtection="1">
      <alignment horizontal="center" vertical="center" wrapText="1"/>
      <protection hidden="1"/>
    </xf>
    <xf numFmtId="0" fontId="107" fillId="0" borderId="49" xfId="0" applyFont="1" applyBorder="1" applyAlignment="1" applyProtection="1">
      <alignment horizontal="center" vertical="center" wrapText="1"/>
      <protection hidden="1"/>
    </xf>
    <xf numFmtId="168" fontId="109" fillId="0" borderId="49" xfId="0" applyNumberFormat="1" applyFont="1" applyBorder="1" applyAlignment="1" applyProtection="1">
      <alignment horizontal="center" vertical="center" wrapText="1"/>
      <protection hidden="1"/>
    </xf>
    <xf numFmtId="49" fontId="109" fillId="0" borderId="49" xfId="0" applyNumberFormat="1" applyFont="1" applyBorder="1" applyAlignment="1" applyProtection="1">
      <alignment horizontal="center" vertical="center" wrapText="1"/>
      <protection locked="0"/>
    </xf>
    <xf numFmtId="0" fontId="109" fillId="0" borderId="49" xfId="0" applyNumberFormat="1" applyFont="1" applyBorder="1" applyAlignment="1" applyProtection="1">
      <alignment horizontal="center" vertical="center" wrapText="1"/>
      <protection hidden="1"/>
    </xf>
    <xf numFmtId="49" fontId="109" fillId="0" borderId="49" xfId="0" applyNumberFormat="1" applyFont="1" applyBorder="1" applyAlignment="1" applyProtection="1">
      <alignment horizontal="center" vertical="center" wrapText="1"/>
      <protection hidden="1"/>
    </xf>
    <xf numFmtId="0" fontId="108" fillId="0" borderId="60" xfId="0" applyFont="1" applyFill="1" applyBorder="1" applyAlignment="1" applyProtection="1">
      <alignment horizontal="center" vertical="center" wrapText="1"/>
      <protection hidden="1"/>
    </xf>
    <xf numFmtId="0" fontId="108" fillId="0" borderId="61" xfId="0" applyFont="1" applyFill="1" applyBorder="1" applyAlignment="1" applyProtection="1">
      <alignment horizontal="center" vertical="center" wrapText="1"/>
      <protection hidden="1"/>
    </xf>
    <xf numFmtId="0" fontId="108" fillId="0" borderId="62" xfId="0" applyFont="1" applyFill="1" applyBorder="1" applyAlignment="1" applyProtection="1">
      <alignment horizontal="center" vertical="center" wrapText="1"/>
      <protection hidden="1"/>
    </xf>
    <xf numFmtId="0" fontId="108" fillId="0" borderId="66" xfId="0" applyFont="1" applyFill="1" applyBorder="1" applyAlignment="1" applyProtection="1">
      <alignment horizontal="center" vertical="center" wrapText="1"/>
      <protection hidden="1"/>
    </xf>
    <xf numFmtId="0" fontId="108" fillId="0" borderId="0" xfId="0" applyFont="1" applyFill="1" applyBorder="1" applyAlignment="1" applyProtection="1">
      <alignment horizontal="center" vertical="center" wrapText="1"/>
      <protection hidden="1"/>
    </xf>
    <xf numFmtId="0" fontId="108" fillId="0" borderId="67" xfId="0" applyFont="1" applyFill="1" applyBorder="1" applyAlignment="1" applyProtection="1">
      <alignment horizontal="center" vertical="center" wrapText="1"/>
      <protection hidden="1"/>
    </xf>
    <xf numFmtId="0" fontId="107" fillId="28" borderId="49" xfId="0" applyFont="1" applyFill="1" applyBorder="1" applyAlignment="1" applyProtection="1">
      <alignment horizontal="center" vertical="center" wrapText="1"/>
      <protection hidden="1"/>
    </xf>
    <xf numFmtId="0" fontId="105" fillId="28" borderId="49" xfId="0" applyFont="1" applyFill="1" applyBorder="1" applyAlignment="1" applyProtection="1">
      <alignment horizontal="center" vertical="center" wrapText="1"/>
      <protection hidden="1"/>
    </xf>
    <xf numFmtId="49" fontId="109" fillId="0" borderId="59" xfId="0" applyNumberFormat="1" applyFont="1" applyFill="1" applyBorder="1" applyAlignment="1" applyProtection="1">
      <alignment horizontal="center" vertical="center" wrapText="1"/>
      <protection locked="0"/>
    </xf>
    <xf numFmtId="168" fontId="110" fillId="45" borderId="59" xfId="0" applyNumberFormat="1" applyFont="1" applyFill="1" applyBorder="1" applyAlignment="1" applyProtection="1">
      <alignment horizontal="center" vertical="center" wrapText="1"/>
      <protection locked="0"/>
    </xf>
    <xf numFmtId="168" fontId="106" fillId="0" borderId="59" xfId="0" applyNumberFormat="1" applyFont="1" applyBorder="1" applyAlignment="1" applyProtection="1">
      <alignment horizontal="center" vertical="center" wrapText="1"/>
      <protection hidden="1"/>
    </xf>
    <xf numFmtId="0" fontId="105" fillId="0" borderId="59" xfId="0" applyFont="1" applyBorder="1" applyAlignment="1" applyProtection="1">
      <alignment horizontal="center" vertical="center" wrapText="1"/>
      <protection hidden="1"/>
    </xf>
    <xf numFmtId="168" fontId="105" fillId="0" borderId="59" xfId="0" applyNumberFormat="1" applyFont="1" applyBorder="1" applyAlignment="1" applyProtection="1">
      <alignment horizontal="center" vertical="center" wrapText="1"/>
      <protection hidden="1"/>
    </xf>
    <xf numFmtId="0" fontId="111" fillId="26" borderId="59" xfId="0" applyFont="1" applyFill="1" applyBorder="1" applyAlignment="1" applyProtection="1">
      <alignment horizontal="center" vertical="center" wrapText="1"/>
      <protection locked="0"/>
    </xf>
    <xf numFmtId="49" fontId="111" fillId="0" borderId="59" xfId="0" applyNumberFormat="1" applyFont="1" applyBorder="1" applyAlignment="1" applyProtection="1">
      <alignment horizontal="center" vertical="center" wrapText="1"/>
      <protection locked="0"/>
    </xf>
    <xf numFmtId="0" fontId="110" fillId="0" borderId="59" xfId="0" applyFont="1" applyBorder="1" applyAlignment="1" applyProtection="1">
      <alignment horizontal="center" vertical="center" wrapText="1"/>
      <protection hidden="1"/>
    </xf>
    <xf numFmtId="0" fontId="107" fillId="25" borderId="63" xfId="0" applyFont="1" applyFill="1" applyBorder="1" applyAlignment="1" applyProtection="1">
      <alignment horizontal="center" vertical="center" wrapText="1"/>
      <protection locked="0"/>
    </xf>
    <xf numFmtId="0" fontId="107" fillId="25" borderId="64" xfId="0" applyFont="1" applyFill="1" applyBorder="1" applyAlignment="1" applyProtection="1">
      <alignment horizontal="center" vertical="center" wrapText="1"/>
      <protection locked="0"/>
    </xf>
    <xf numFmtId="0" fontId="107" fillId="25" borderId="65" xfId="0" applyFont="1" applyFill="1" applyBorder="1" applyAlignment="1" applyProtection="1">
      <alignment horizontal="center" vertical="center" wrapText="1"/>
      <protection locked="0"/>
    </xf>
    <xf numFmtId="0" fontId="116" fillId="0" borderId="59" xfId="0" applyFont="1" applyBorder="1" applyAlignment="1" applyProtection="1">
      <alignment horizontal="center" vertical="center" wrapText="1"/>
      <protection hidden="1"/>
    </xf>
    <xf numFmtId="0" fontId="106" fillId="0" borderId="59" xfId="0" applyFont="1" applyFill="1" applyBorder="1" applyAlignment="1" applyProtection="1">
      <alignment horizontal="center" vertical="center" wrapText="1"/>
      <protection hidden="1"/>
    </xf>
    <xf numFmtId="0" fontId="110" fillId="0" borderId="59" xfId="0" applyFont="1" applyFill="1" applyBorder="1" applyAlignment="1" applyProtection="1">
      <alignment horizontal="center" vertical="center" wrapText="1"/>
      <protection hidden="1"/>
    </xf>
    <xf numFmtId="0" fontId="159" fillId="0" borderId="55" xfId="0" applyFont="1" applyBorder="1" applyAlignment="1" applyProtection="1">
      <alignment horizontal="center" vertical="center" wrapText="1"/>
      <protection hidden="1"/>
    </xf>
    <xf numFmtId="0" fontId="159" fillId="0" borderId="54" xfId="0" applyFont="1" applyBorder="1" applyAlignment="1" applyProtection="1">
      <alignment horizontal="center" vertical="center" wrapText="1"/>
      <protection hidden="1"/>
    </xf>
    <xf numFmtId="0" fontId="73" fillId="0" borderId="34" xfId="4" applyFont="1" applyBorder="1" applyAlignment="1" applyProtection="1">
      <alignment horizontal="center"/>
      <protection hidden="1"/>
    </xf>
    <xf numFmtId="169" fontId="110" fillId="8" borderId="68" xfId="0" applyNumberFormat="1" applyFont="1" applyFill="1" applyBorder="1" applyAlignment="1" applyProtection="1">
      <alignment horizontal="center" vertical="center" wrapText="1"/>
      <protection hidden="1"/>
    </xf>
    <xf numFmtId="169" fontId="110" fillId="8" borderId="69" xfId="0" applyNumberFormat="1" applyFont="1" applyFill="1" applyBorder="1" applyAlignment="1" applyProtection="1">
      <alignment horizontal="center" vertical="center" wrapText="1"/>
      <protection hidden="1"/>
    </xf>
    <xf numFmtId="169" fontId="110" fillId="8" borderId="72" xfId="0" applyNumberFormat="1" applyFont="1" applyFill="1" applyBorder="1" applyAlignment="1" applyProtection="1">
      <alignment horizontal="center" vertical="center" wrapText="1"/>
      <protection hidden="1"/>
    </xf>
    <xf numFmtId="169" fontId="110" fillId="8" borderId="73" xfId="0" applyNumberFormat="1" applyFont="1" applyFill="1" applyBorder="1" applyAlignment="1" applyProtection="1">
      <alignment horizontal="center" vertical="center" wrapText="1"/>
      <protection hidden="1"/>
    </xf>
    <xf numFmtId="0" fontId="115" fillId="0" borderId="0" xfId="0" applyFont="1" applyBorder="1" applyAlignment="1" applyProtection="1">
      <alignment horizontal="center" vertical="center" wrapText="1"/>
      <protection hidden="1"/>
    </xf>
    <xf numFmtId="0" fontId="117" fillId="0" borderId="0" xfId="0" applyFont="1" applyBorder="1" applyAlignment="1" applyProtection="1">
      <alignment horizontal="center" vertical="center" wrapText="1"/>
      <protection hidden="1"/>
    </xf>
    <xf numFmtId="0" fontId="116" fillId="0" borderId="0" xfId="0" applyFont="1" applyBorder="1" applyAlignment="1" applyProtection="1">
      <alignment horizontal="center" vertical="center" wrapText="1"/>
      <protection hidden="1"/>
    </xf>
    <xf numFmtId="0" fontId="105" fillId="28" borderId="59" xfId="0" applyFont="1" applyFill="1" applyBorder="1" applyAlignment="1" applyProtection="1">
      <alignment horizontal="center" vertical="center" wrapText="1"/>
      <protection hidden="1"/>
    </xf>
    <xf numFmtId="169" fontId="111" fillId="8" borderId="68" xfId="0" applyNumberFormat="1" applyFont="1" applyFill="1" applyBorder="1" applyAlignment="1" applyProtection="1">
      <alignment horizontal="center" vertical="center" wrapText="1"/>
      <protection hidden="1"/>
    </xf>
    <xf numFmtId="169" fontId="111" fillId="8" borderId="69" xfId="0" applyNumberFormat="1" applyFont="1" applyFill="1" applyBorder="1" applyAlignment="1" applyProtection="1">
      <alignment horizontal="center" vertical="center" wrapText="1"/>
      <protection hidden="1"/>
    </xf>
    <xf numFmtId="169" fontId="111" fillId="8" borderId="70" xfId="0" applyNumberFormat="1" applyFont="1" applyFill="1" applyBorder="1" applyAlignment="1" applyProtection="1">
      <alignment horizontal="center" vertical="center" wrapText="1"/>
      <protection hidden="1"/>
    </xf>
    <xf numFmtId="169" fontId="111" fillId="8" borderId="71" xfId="0" applyNumberFormat="1" applyFont="1" applyFill="1" applyBorder="1" applyAlignment="1" applyProtection="1">
      <alignment horizontal="center" vertical="center" wrapText="1"/>
      <protection hidden="1"/>
    </xf>
    <xf numFmtId="169" fontId="111" fillId="8" borderId="72" xfId="0" applyNumberFormat="1" applyFont="1" applyFill="1" applyBorder="1" applyAlignment="1" applyProtection="1">
      <alignment horizontal="center" vertical="center" wrapText="1"/>
      <protection hidden="1"/>
    </xf>
    <xf numFmtId="169" fontId="111" fillId="8" borderId="73" xfId="0" applyNumberFormat="1" applyFont="1" applyFill="1" applyBorder="1" applyAlignment="1" applyProtection="1">
      <alignment horizontal="center" vertical="center" wrapText="1"/>
      <protection hidden="1"/>
    </xf>
    <xf numFmtId="0" fontId="121" fillId="0" borderId="55" xfId="0" applyFont="1" applyBorder="1" applyAlignment="1" applyProtection="1">
      <alignment horizontal="left" vertical="center" wrapText="1"/>
      <protection hidden="1"/>
    </xf>
    <xf numFmtId="0" fontId="121" fillId="0" borderId="77" xfId="0" applyFont="1" applyBorder="1" applyAlignment="1" applyProtection="1">
      <alignment horizontal="left" vertical="center" wrapText="1"/>
      <protection hidden="1"/>
    </xf>
    <xf numFmtId="0" fontId="121" fillId="0" borderId="54" xfId="0" applyFont="1" applyBorder="1" applyAlignment="1" applyProtection="1">
      <alignment horizontal="left" vertical="center" wrapText="1"/>
      <protection hidden="1"/>
    </xf>
    <xf numFmtId="3" fontId="108" fillId="25" borderId="59" xfId="0" applyNumberFormat="1" applyFont="1" applyFill="1" applyBorder="1" applyAlignment="1" applyProtection="1">
      <alignment horizontal="center" vertical="center" wrapText="1"/>
      <protection locked="0"/>
    </xf>
    <xf numFmtId="0" fontId="108" fillId="25" borderId="59" xfId="0" applyFont="1" applyFill="1" applyBorder="1" applyAlignment="1" applyProtection="1">
      <alignment horizontal="center" vertical="center" wrapText="1"/>
      <protection locked="0"/>
    </xf>
    <xf numFmtId="0" fontId="107" fillId="25" borderId="60" xfId="0" applyFont="1" applyFill="1" applyBorder="1" applyAlignment="1" applyProtection="1">
      <alignment horizontal="center" vertical="center" wrapText="1"/>
      <protection hidden="1"/>
    </xf>
    <xf numFmtId="0" fontId="107" fillId="25" borderId="61" xfId="0" applyFont="1" applyFill="1" applyBorder="1" applyAlignment="1" applyProtection="1">
      <alignment horizontal="center" vertical="center" wrapText="1"/>
      <protection hidden="1"/>
    </xf>
    <xf numFmtId="0" fontId="107" fillId="25" borderId="62" xfId="0" applyFont="1" applyFill="1" applyBorder="1" applyAlignment="1" applyProtection="1">
      <alignment horizontal="center" vertical="center" wrapText="1"/>
      <protection hidden="1"/>
    </xf>
  </cellXfs>
  <cellStyles count="9">
    <cellStyle name="Check Cell" xfId="8" builtinId="23"/>
    <cellStyle name="Hyperlink" xfId="7" builtinId="8"/>
    <cellStyle name="Normal" xfId="0" builtinId="0"/>
    <cellStyle name="Normal 2" xfId="4"/>
    <cellStyle name="Normal 2 3" xfId="3"/>
    <cellStyle name="Normal 3" xfId="6"/>
    <cellStyle name="Normal 5" xfId="1"/>
    <cellStyle name="Normal 6" xfId="2"/>
    <cellStyle name="Normal_pay 2008-09" xfId="5"/>
  </cellStyles>
  <dxfs count="2">
    <dxf>
      <fill>
        <patternFill patternType="solid">
          <fgColor auto="1"/>
          <bgColor theme="9" tint="0.79998168889431442"/>
        </patternFill>
      </fill>
    </dxf>
    <dxf>
      <font>
        <color theme="4" tint="0.39994506668294322"/>
      </font>
      <fill>
        <gradientFill degree="90">
          <stop position="0">
            <color theme="4" tint="0.59999389629810485"/>
          </stop>
          <stop position="1">
            <color theme="4"/>
          </stop>
        </gradientFill>
      </fill>
    </dxf>
  </dxfs>
  <tableStyles count="0" defaultTableStyle="TableStyleMedium9" defaultPivotStyle="PivotStyleLight16"/>
  <colors>
    <mruColors>
      <color rgb="FF0000FF"/>
      <color rgb="FF33CC33"/>
      <color rgb="FFCC3300"/>
      <color rgb="FF663300"/>
      <color rgb="FF400E3C"/>
      <color rgb="FF003300"/>
      <color rgb="FF993366"/>
      <color rgb="FF000000"/>
      <color rgb="FF6600FF"/>
      <color rgb="FFCC00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COMPUTATION!A1"/><Relationship Id="rId2" Type="http://schemas.openxmlformats.org/officeDocument/2006/relationships/hyperlink" Target="#'Extra Ded. '!A1"/><Relationship Id="rId1" Type="http://schemas.openxmlformats.org/officeDocument/2006/relationships/image" Target="../media/image1.jpeg"/><Relationship Id="rId6" Type="http://schemas.openxmlformats.org/officeDocument/2006/relationships/hyperlink" Target="#'GA55 Check &amp; Edit'!A1"/><Relationship Id="rId5" Type="http://schemas.openxmlformats.org/officeDocument/2006/relationships/hyperlink" Target="#Sheet1!A1"/><Relationship Id="rId4" Type="http://schemas.openxmlformats.org/officeDocument/2006/relationships/hyperlink" Target="#'GA55 Only Print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GA55 Only Print'!A1"/><Relationship Id="rId1" Type="http://schemas.openxmlformats.org/officeDocument/2006/relationships/hyperlink" Target="#'GA55 Check &amp; Edit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Comprision with old &amp; New tax '!A1"/><Relationship Id="rId1" Type="http://schemas.openxmlformats.org/officeDocument/2006/relationships/hyperlink" Target="#'HRA Calculation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Master Data'!A1"/><Relationship Id="rId1" Type="http://schemas.openxmlformats.org/officeDocument/2006/relationships/hyperlink" Target="#COMPUTATIO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866775</xdr:colOff>
      <xdr:row>1</xdr:row>
      <xdr:rowOff>0</xdr:rowOff>
    </xdr:from>
    <xdr:to>
      <xdr:col>10</xdr:col>
      <xdr:colOff>866775</xdr:colOff>
      <xdr:row>11</xdr:row>
      <xdr:rowOff>19050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68150" y="19049"/>
          <a:ext cx="1781175" cy="200977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495300</xdr:colOff>
      <xdr:row>50</xdr:row>
      <xdr:rowOff>133351</xdr:rowOff>
    </xdr:from>
    <xdr:to>
      <xdr:col>7</xdr:col>
      <xdr:colOff>514350</xdr:colOff>
      <xdr:row>53</xdr:row>
      <xdr:rowOff>28575</xdr:rowOff>
    </xdr:to>
    <xdr:sp macro="[1]!Macro1" textlink="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5248275" y="10296526"/>
          <a:ext cx="2352675" cy="466724"/>
        </a:xfrm>
        <a:prstGeom prst="roundRect">
          <a:avLst>
            <a:gd name="adj" fmla="val 16667"/>
          </a:avLst>
        </a:prstGeom>
        <a:ln w="12700"/>
        <a:scene3d>
          <a:camera prst="obliqueTopRight"/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3"/>
        </a:lnRef>
        <a:fillRef idx="1003">
          <a:schemeClr val="dk1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2000" b="1" i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Extra Ded. Sheet</a:t>
          </a:r>
          <a:endParaRPr lang="en-US" sz="36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9</xdr:col>
      <xdr:colOff>1074150</xdr:colOff>
      <xdr:row>0</xdr:row>
      <xdr:rowOff>28575</xdr:rowOff>
    </xdr:from>
    <xdr:to>
      <xdr:col>14</xdr:col>
      <xdr:colOff>19050</xdr:colOff>
      <xdr:row>18</xdr:row>
      <xdr:rowOff>95250</xdr:rowOff>
    </xdr:to>
    <xdr:grpSp>
      <xdr:nvGrpSpPr>
        <xdr:cNvPr id="17" name="Group 16"/>
        <xdr:cNvGrpSpPr/>
      </xdr:nvGrpSpPr>
      <xdr:grpSpPr>
        <a:xfrm>
          <a:off x="10665825" y="28575"/>
          <a:ext cx="4812300" cy="3648075"/>
          <a:chOff x="10665825" y="28575"/>
          <a:chExt cx="4812300" cy="3648075"/>
        </a:xfrm>
      </xdr:grpSpPr>
      <xdr:sp macro="" textlink="">
        <xdr:nvSpPr>
          <xdr:cNvPr id="9" name="Frame 8"/>
          <xdr:cNvSpPr/>
        </xdr:nvSpPr>
        <xdr:spPr>
          <a:xfrm>
            <a:off x="10665825" y="3209925"/>
            <a:ext cx="4812300" cy="466725"/>
          </a:xfrm>
          <a:prstGeom prst="fram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>
              <a:solidFill>
                <a:schemeClr val="tx1"/>
              </a:solidFill>
            </a:endParaRPr>
          </a:p>
        </xdr:txBody>
      </xdr:sp>
      <xdr:pic>
        <xdr:nvPicPr>
          <xdr:cNvPr id="7" name="Picture 6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11958508" y="28575"/>
            <a:ext cx="2452817" cy="2976777"/>
          </a:xfrm>
          <a:prstGeom prst="roundRect">
            <a:avLst>
              <a:gd name="adj" fmla="val 8594"/>
            </a:avLst>
          </a:prstGeom>
          <a:solidFill>
            <a:srgbClr val="FFFFFF">
              <a:shade val="85000"/>
            </a:srgbClr>
          </a:solidFill>
          <a:ln>
            <a:noFill/>
          </a:ln>
          <a:effectLst>
            <a:glow rad="139700">
              <a:schemeClr val="accent3">
                <a:satMod val="175000"/>
                <a:alpha val="40000"/>
              </a:schemeClr>
            </a:glow>
            <a:reflection blurRad="12700" stA="38000" endPos="28000" dist="5000" dir="5400000" sy="-100000" algn="bl" rotWithShape="0"/>
          </a:effectLst>
        </xdr:spPr>
      </xdr:pic>
    </xdr:grpSp>
    <xdr:clientData/>
  </xdr:twoCellAnchor>
  <xdr:twoCellAnchor editAs="oneCell">
    <xdr:from>
      <xdr:col>10</xdr:col>
      <xdr:colOff>866775</xdr:colOff>
      <xdr:row>18</xdr:row>
      <xdr:rowOff>19049</xdr:rowOff>
    </xdr:from>
    <xdr:to>
      <xdr:col>10</xdr:col>
      <xdr:colOff>866775</xdr:colOff>
      <xdr:row>27</xdr:row>
      <xdr:rowOff>114299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68150" y="19049"/>
          <a:ext cx="0" cy="2009775"/>
        </a:xfrm>
        <a:prstGeom prst="rect">
          <a:avLst/>
        </a:prstGeom>
        <a:noFill/>
      </xdr:spPr>
    </xdr:pic>
    <xdr:clientData/>
  </xdr:twoCellAnchor>
  <xdr:twoCellAnchor>
    <xdr:from>
      <xdr:col>7</xdr:col>
      <xdr:colOff>762000</xdr:colOff>
      <xdr:row>50</xdr:row>
      <xdr:rowOff>142876</xdr:rowOff>
    </xdr:from>
    <xdr:to>
      <xdr:col>10</xdr:col>
      <xdr:colOff>438150</xdr:colOff>
      <xdr:row>53</xdr:row>
      <xdr:rowOff>38100</xdr:rowOff>
    </xdr:to>
    <xdr:sp macro="[1]!Macro1" textlink="">
      <xdr:nvSpPr>
        <xdr:cNvPr id="11" name="Rounded Rectangle 10">
          <a:hlinkClick xmlns:r="http://schemas.openxmlformats.org/officeDocument/2006/relationships" r:id="rId3"/>
        </xdr:cNvPr>
        <xdr:cNvSpPr/>
      </xdr:nvSpPr>
      <xdr:spPr>
        <a:xfrm>
          <a:off x="7848600" y="10306051"/>
          <a:ext cx="2981325" cy="466724"/>
        </a:xfrm>
        <a:prstGeom prst="roundRect">
          <a:avLst>
            <a:gd name="adj" fmla="val 0"/>
          </a:avLst>
        </a:prstGeom>
        <a:ln w="12700"/>
        <a:scene3d>
          <a:camera prst="obliqueTopRight"/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3"/>
        </a:lnRef>
        <a:fillRef idx="1003">
          <a:schemeClr val="dk1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>
          <a:scene3d>
            <a:camera prst="perspectiveHeroicExtremeLeftFacing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2000" b="1" i="1" cap="none" spc="50">
              <a:ln w="11430"/>
              <a:solidFill>
                <a:srgbClr val="0000FF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Tax Computetion</a:t>
          </a:r>
          <a:r>
            <a:rPr lang="en-US" sz="2000" b="1" i="1" cap="none" spc="50" baseline="0">
              <a:ln w="11430"/>
              <a:solidFill>
                <a:srgbClr val="0000FF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 Sheet</a:t>
          </a:r>
          <a:endParaRPr lang="en-US" sz="3600" b="1" cap="none" spc="50">
            <a:ln w="11430"/>
            <a:solidFill>
              <a:srgbClr val="0000FF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2</xdr:col>
      <xdr:colOff>819150</xdr:colOff>
      <xdr:row>50</xdr:row>
      <xdr:rowOff>104775</xdr:rowOff>
    </xdr:from>
    <xdr:to>
      <xdr:col>5</xdr:col>
      <xdr:colOff>314325</xdr:colOff>
      <xdr:row>53</xdr:row>
      <xdr:rowOff>47624</xdr:rowOff>
    </xdr:to>
    <xdr:sp macro="[1]!Macro1" textlink="">
      <xdr:nvSpPr>
        <xdr:cNvPr id="12" name="Rounded Rectangle 11">
          <a:hlinkClick xmlns:r="http://schemas.openxmlformats.org/officeDocument/2006/relationships" r:id="rId4"/>
        </xdr:cNvPr>
        <xdr:cNvSpPr/>
      </xdr:nvSpPr>
      <xdr:spPr>
        <a:xfrm>
          <a:off x="2428875" y="10182225"/>
          <a:ext cx="2638425" cy="514349"/>
        </a:xfrm>
        <a:prstGeom prst="roundRect">
          <a:avLst>
            <a:gd name="adj" fmla="val 38096"/>
          </a:avLst>
        </a:prstGeom>
        <a:ln w="38100"/>
        <a:effectLst>
          <a:glow rad="63500">
            <a:schemeClr val="accent4">
              <a:satMod val="175000"/>
              <a:alpha val="40000"/>
            </a:schemeClr>
          </a:glow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bliqueTopRight"/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3"/>
        </a:lnRef>
        <a:fillRef idx="1003">
          <a:schemeClr val="dk1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>
          <a:scene3d>
            <a:camera prst="perspectiveHeroicExtremeRightFacing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2000" b="1" i="1" cap="none" spc="50">
              <a:ln w="11430"/>
              <a:solidFill>
                <a:srgbClr val="002060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Go to GA55 Sheet</a:t>
          </a:r>
          <a:endParaRPr lang="en-US" sz="3600" b="1" cap="none" spc="50">
            <a:ln w="11430"/>
            <a:solidFill>
              <a:srgbClr val="002060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11</xdr:col>
      <xdr:colOff>0</xdr:colOff>
      <xdr:row>50</xdr:row>
      <xdr:rowOff>0</xdr:rowOff>
    </xdr:from>
    <xdr:to>
      <xdr:col>13</xdr:col>
      <xdr:colOff>361950</xdr:colOff>
      <xdr:row>53</xdr:row>
      <xdr:rowOff>161925</xdr:rowOff>
    </xdr:to>
    <xdr:grpSp>
      <xdr:nvGrpSpPr>
        <xdr:cNvPr id="13" name="Group 12"/>
        <xdr:cNvGrpSpPr/>
      </xdr:nvGrpSpPr>
      <xdr:grpSpPr>
        <a:xfrm>
          <a:off x="11887200" y="11649075"/>
          <a:ext cx="2590800" cy="733425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14" name="Left Arrow 13">
            <a:hlinkClick xmlns:r="http://schemas.openxmlformats.org/officeDocument/2006/relationships" r:id="rId5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15" name="Right Arrow 14">
            <a:hlinkClick xmlns:r="http://schemas.openxmlformats.org/officeDocument/2006/relationships" r:id="rId6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  <xdr:twoCellAnchor>
    <xdr:from>
      <xdr:col>12</xdr:col>
      <xdr:colOff>1066800</xdr:colOff>
      <xdr:row>29</xdr:row>
      <xdr:rowOff>95250</xdr:rowOff>
    </xdr:from>
    <xdr:to>
      <xdr:col>13</xdr:col>
      <xdr:colOff>104775</xdr:colOff>
      <xdr:row>30</xdr:row>
      <xdr:rowOff>0</xdr:rowOff>
    </xdr:to>
    <xdr:sp macro="" textlink="">
      <xdr:nvSpPr>
        <xdr:cNvPr id="16" name="Down Arrow 15"/>
        <xdr:cNvSpPr/>
      </xdr:nvSpPr>
      <xdr:spPr>
        <a:xfrm>
          <a:off x="14106525" y="5772150"/>
          <a:ext cx="114300" cy="190500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0</xdr:row>
      <xdr:rowOff>161924</xdr:rowOff>
    </xdr:from>
    <xdr:to>
      <xdr:col>6</xdr:col>
      <xdr:colOff>809625</xdr:colOff>
      <xdr:row>1</xdr:row>
      <xdr:rowOff>28575</xdr:rowOff>
    </xdr:to>
    <xdr:sp macro="" textlink="">
      <xdr:nvSpPr>
        <xdr:cNvPr id="5122" name="Text Box 2"/>
        <xdr:cNvSpPr txBox="1">
          <a:spLocks noChangeArrowheads="1"/>
        </xdr:cNvSpPr>
      </xdr:nvSpPr>
      <xdr:spPr bwMode="auto">
        <a:xfrm>
          <a:off x="4724400" y="161924"/>
          <a:ext cx="2257425" cy="342901"/>
        </a:xfrm>
        <a:prstGeom prst="rect">
          <a:avLst/>
        </a:prstGeom>
        <a:ln>
          <a:headEnd/>
          <a:tailEnd/>
        </a:ln>
        <a:effectLst>
          <a:glow rad="101600">
            <a:schemeClr val="accent5">
              <a:satMod val="1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bliqueTopRight"/>
          <a:lightRig rig="threePt" dir="t"/>
        </a:scene3d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lIns="27432" tIns="27432" rIns="0" bIns="0" anchor="ctr" upright="1"/>
        <a:lstStyle/>
        <a:p>
          <a:pPr algn="ctr" rtl="1">
            <a:defRPr sz="1000"/>
          </a:pPr>
          <a:r>
            <a:rPr lang="en-US" sz="1800" b="1" i="0" strike="noStrike" cap="none" spc="0">
              <a:ln>
                <a:noFill/>
              </a:ln>
              <a:solidFill>
                <a:schemeClr val="tx1"/>
              </a:solidFill>
              <a:effectLst/>
              <a:latin typeface="Calibri"/>
              <a:cs typeface="Calibri"/>
            </a:rPr>
            <a:t>Deduction Detail</a:t>
          </a:r>
        </a:p>
      </xdr:txBody>
    </xdr:sp>
    <xdr:clientData/>
  </xdr:twoCellAnchor>
  <xdr:twoCellAnchor>
    <xdr:from>
      <xdr:col>6</xdr:col>
      <xdr:colOff>3286125</xdr:colOff>
      <xdr:row>0</xdr:row>
      <xdr:rowOff>0</xdr:rowOff>
    </xdr:from>
    <xdr:to>
      <xdr:col>7</xdr:col>
      <xdr:colOff>381000</xdr:colOff>
      <xdr:row>1</xdr:row>
      <xdr:rowOff>95250</xdr:rowOff>
    </xdr:to>
    <xdr:grpSp>
      <xdr:nvGrpSpPr>
        <xdr:cNvPr id="3" name="Group 2"/>
        <xdr:cNvGrpSpPr/>
      </xdr:nvGrpSpPr>
      <xdr:grpSpPr>
        <a:xfrm>
          <a:off x="10887075" y="0"/>
          <a:ext cx="2486025" cy="57150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4" name="Left Arrow 3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5" name="Right Arrow 4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1</xdr:row>
      <xdr:rowOff>0</xdr:rowOff>
    </xdr:from>
    <xdr:to>
      <xdr:col>32</xdr:col>
      <xdr:colOff>1619250</xdr:colOff>
      <xdr:row>3</xdr:row>
      <xdr:rowOff>9525</xdr:rowOff>
    </xdr:to>
    <xdr:grpSp>
      <xdr:nvGrpSpPr>
        <xdr:cNvPr id="2" name="Group 1"/>
        <xdr:cNvGrpSpPr/>
      </xdr:nvGrpSpPr>
      <xdr:grpSpPr>
        <a:xfrm>
          <a:off x="15240000" y="352425"/>
          <a:ext cx="2314575" cy="62865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3" name="Left Arrow 2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4" name="Right Arrow 3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161925</xdr:colOff>
      <xdr:row>9</xdr:row>
      <xdr:rowOff>0</xdr:rowOff>
    </xdr:from>
    <xdr:to>
      <xdr:col>21</xdr:col>
      <xdr:colOff>431353</xdr:colOff>
      <xdr:row>11</xdr:row>
      <xdr:rowOff>95250</xdr:rowOff>
    </xdr:to>
    <xdr:sp macro="" textlink="">
      <xdr:nvSpPr>
        <xdr:cNvPr id="6" name="Left Arrow 5"/>
        <xdr:cNvSpPr/>
      </xdr:nvSpPr>
      <xdr:spPr>
        <a:xfrm>
          <a:off x="12230100" y="2085975"/>
          <a:ext cx="1155253" cy="571500"/>
        </a:xfrm>
        <a:prstGeom prst="leftArrow">
          <a:avLst/>
        </a:prstGeom>
        <a:ln w="38100"/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salect</a:t>
          </a:r>
          <a:r>
            <a:rPr lang="en-US" sz="18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</a:t>
          </a:r>
          <a:endParaRPr lang="en-US" sz="18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</xdr:row>
      <xdr:rowOff>142874</xdr:rowOff>
    </xdr:from>
    <xdr:to>
      <xdr:col>15</xdr:col>
      <xdr:colOff>365125</xdr:colOff>
      <xdr:row>6</xdr:row>
      <xdr:rowOff>103187</xdr:rowOff>
    </xdr:to>
    <xdr:sp macro="" textlink="">
      <xdr:nvSpPr>
        <xdr:cNvPr id="2" name="Left Arrow 1">
          <a:hlinkClick xmlns:r="http://schemas.openxmlformats.org/officeDocument/2006/relationships" r:id="rId1"/>
        </xdr:cNvPr>
        <xdr:cNvSpPr/>
      </xdr:nvSpPr>
      <xdr:spPr>
        <a:xfrm>
          <a:off x="8548688" y="460374"/>
          <a:ext cx="1047750" cy="722313"/>
        </a:xfrm>
        <a:prstGeom prst="leftArrow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BACK</a:t>
          </a:r>
          <a:r>
            <a:rPr lang="en-US" sz="18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</a:t>
          </a:r>
          <a:endParaRPr lang="en-US" sz="18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14</xdr:col>
      <xdr:colOff>0</xdr:colOff>
      <xdr:row>7</xdr:row>
      <xdr:rowOff>182561</xdr:rowOff>
    </xdr:from>
    <xdr:to>
      <xdr:col>16</xdr:col>
      <xdr:colOff>214312</xdr:colOff>
      <xdr:row>12</xdr:row>
      <xdr:rowOff>198437</xdr:rowOff>
    </xdr:to>
    <xdr:sp macro="" textlink="">
      <xdr:nvSpPr>
        <xdr:cNvPr id="3" name="Left Arrow 2">
          <a:hlinkClick xmlns:r="http://schemas.openxmlformats.org/officeDocument/2006/relationships" r:id="rId2"/>
        </xdr:cNvPr>
        <xdr:cNvSpPr/>
      </xdr:nvSpPr>
      <xdr:spPr>
        <a:xfrm>
          <a:off x="8548688" y="1444624"/>
          <a:ext cx="1579562" cy="912813"/>
        </a:xfrm>
        <a:prstGeom prst="leftArrow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Go to Master sheet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REE/Downloads/Micro-Income-Tax-Excel-Software-FY-2019-20-Updated-03122019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REE/Downloads/INCOME%20TAX%20SOFTWARE%202020-2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Income%20Tax%20F.Y.%202021-22%20%20in%20micro%20By%20HL%20JAT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ster"/>
      <sheetName val="GA 55"/>
      <sheetName val="Extra deduc"/>
      <sheetName val="COMPUTATION"/>
      <sheetName val="Micro-Income-Tax-Excel-Software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mputation sheet"/>
      <sheetName val="Information &amp; Rules"/>
      <sheetName val="Developer's desk"/>
      <sheetName val="ENTRY"/>
      <sheetName val="G.A. 55"/>
      <sheetName val="Tax Calculator BOTH REGIME"/>
      <sheetName val="TAX (OLD)"/>
      <sheetName val="TAX (NEW)"/>
      <sheetName val="16 NO."/>
      <sheetName val="HRA"/>
      <sheetName val="89(1)form"/>
      <sheetName val="Form10E"/>
    </sheetNames>
    <sheetDataSet>
      <sheetData sheetId="0"/>
      <sheetData sheetId="1"/>
      <sheetData sheetId="2"/>
      <sheetData sheetId="3">
        <row r="11">
          <cell r="G11" t="str">
            <v>Principal</v>
          </cell>
        </row>
      </sheetData>
      <sheetData sheetId="4">
        <row r="8">
          <cell r="I8">
            <v>30243</v>
          </cell>
        </row>
        <row r="24">
          <cell r="T24">
            <v>0</v>
          </cell>
        </row>
        <row r="26">
          <cell r="T26">
            <v>0</v>
          </cell>
        </row>
      </sheetData>
      <sheetData sheetId="5"/>
      <sheetData sheetId="6">
        <row r="3">
          <cell r="E3" t="str">
            <v>VIJAY RANWA</v>
          </cell>
        </row>
      </sheetData>
      <sheetData sheetId="7"/>
      <sheetData sheetId="8">
        <row r="62">
          <cell r="B62">
            <v>12000</v>
          </cell>
        </row>
      </sheetData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Master Data"/>
      <sheetName val="GA55 Check &amp; Edit"/>
      <sheetName val="Extra Ded "/>
      <sheetName val="GA 55 "/>
      <sheetName val="COMPUTATION"/>
      <sheetName val="Form No. 16"/>
    </sheetNames>
    <sheetDataSet>
      <sheetData sheetId="0"/>
      <sheetData sheetId="1"/>
      <sheetData sheetId="2"/>
      <sheetData sheetId="3"/>
      <sheetData sheetId="4"/>
      <sheetData sheetId="5">
        <row r="59">
          <cell r="O59">
            <v>0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.be/-oCqCza25S4" TargetMode="External"/><Relationship Id="rId2" Type="http://schemas.openxmlformats.org/officeDocument/2006/relationships/hyperlink" Target="https://youtu.be/-oCqCza25S4" TargetMode="External"/><Relationship Id="rId1" Type="http://schemas.openxmlformats.org/officeDocument/2006/relationships/hyperlink" Target="https://www.youtube.com/watch?v=kSG6hPX7VSQ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youtube.com/watch?v=NWwIhkhEUoc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youtu.be/-oCqCza25S4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youtu.be/-oCqCza25S4" TargetMode="External"/><Relationship Id="rId1" Type="http://schemas.openxmlformats.org/officeDocument/2006/relationships/hyperlink" Target="https://www.youtube.com/watch?v=TJ5dWmZplAk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youtu.be/-oCqCza25S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D57"/>
  <sheetViews>
    <sheetView showGridLines="0" showRowColHeaders="0" tabSelected="1" workbookViewId="0">
      <selection activeCell="N43" sqref="N43"/>
    </sheetView>
  </sheetViews>
  <sheetFormatPr defaultColWidth="0" defaultRowHeight="0" customHeight="1" zeroHeight="1"/>
  <cols>
    <col min="1" max="1" width="4.125" style="30" customWidth="1"/>
    <col min="2" max="2" width="17" style="30" customWidth="1"/>
    <col min="3" max="3" width="14.25" style="30" customWidth="1"/>
    <col min="4" max="4" width="15" style="30" customWidth="1"/>
    <col min="5" max="5" width="12" style="30" customWidth="1"/>
    <col min="6" max="6" width="16.375" style="30" customWidth="1"/>
    <col min="7" max="7" width="15.625" style="30" customWidth="1"/>
    <col min="8" max="8" width="17.125" style="30" customWidth="1"/>
    <col min="9" max="10" width="14.375" style="30" customWidth="1"/>
    <col min="11" max="11" width="15.75" style="30" customWidth="1"/>
    <col min="12" max="12" width="15.125" style="30" customWidth="1"/>
    <col min="13" max="13" width="14.125" style="30" customWidth="1"/>
    <col min="14" max="14" width="17.625" style="30" customWidth="1"/>
    <col min="15" max="15" width="11.625" style="30" customWidth="1"/>
    <col min="16" max="16384" width="9.125" style="30" hidden="1"/>
  </cols>
  <sheetData>
    <row r="1" spans="1:30" ht="13.5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AC1" s="172">
        <v>1</v>
      </c>
      <c r="AD1" s="111">
        <v>43922</v>
      </c>
    </row>
    <row r="2" spans="1:30" ht="24.75" thickTop="1" thickBot="1">
      <c r="A2" s="1"/>
      <c r="B2" s="348" t="s">
        <v>462</v>
      </c>
      <c r="C2" s="349"/>
      <c r="D2" s="1"/>
      <c r="E2" s="346" t="s">
        <v>0</v>
      </c>
      <c r="F2" s="347"/>
      <c r="G2" s="347"/>
      <c r="H2" s="347"/>
      <c r="I2" s="23"/>
      <c r="J2" s="110"/>
      <c r="K2" s="110"/>
      <c r="L2" s="110"/>
      <c r="M2" s="1"/>
      <c r="N2" s="1"/>
      <c r="O2" s="1"/>
      <c r="T2" s="30" t="s">
        <v>19</v>
      </c>
      <c r="U2" s="30">
        <v>20</v>
      </c>
      <c r="AA2" s="111">
        <v>43678</v>
      </c>
      <c r="AC2" s="172">
        <v>2</v>
      </c>
      <c r="AD2" s="111">
        <v>43952</v>
      </c>
    </row>
    <row r="3" spans="1:30" ht="14.25" customHeight="1" thickBot="1">
      <c r="A3" s="1"/>
      <c r="B3" s="3"/>
      <c r="C3" s="3"/>
      <c r="D3" s="23"/>
      <c r="E3" s="23"/>
      <c r="F3" s="35"/>
      <c r="G3" s="35"/>
      <c r="H3" s="35"/>
      <c r="I3" s="23"/>
      <c r="J3" s="110"/>
      <c r="K3" s="110"/>
      <c r="L3" s="110"/>
      <c r="M3" s="1"/>
      <c r="N3" s="1"/>
      <c r="O3" s="1"/>
      <c r="AA3" s="111"/>
      <c r="AC3" s="172">
        <v>3</v>
      </c>
      <c r="AD3" s="111">
        <v>43983</v>
      </c>
    </row>
    <row r="4" spans="1:30" ht="22.5" thickTop="1" thickBot="1">
      <c r="A4" s="1"/>
      <c r="B4" s="320" t="s">
        <v>58</v>
      </c>
      <c r="C4" s="320"/>
      <c r="D4" s="323" t="s">
        <v>115</v>
      </c>
      <c r="E4" s="323"/>
      <c r="F4" s="323"/>
      <c r="G4" s="323"/>
      <c r="H4" s="323"/>
      <c r="I4" s="323"/>
      <c r="J4" s="2"/>
      <c r="K4" s="319"/>
      <c r="L4" s="319"/>
      <c r="M4" s="319"/>
      <c r="N4" s="319"/>
      <c r="O4" s="1"/>
      <c r="T4" s="30" t="s">
        <v>20</v>
      </c>
      <c r="X4" s="30">
        <v>1000</v>
      </c>
      <c r="AA4" s="111">
        <v>43709</v>
      </c>
      <c r="AC4" s="172">
        <v>4</v>
      </c>
      <c r="AD4" s="111">
        <v>44013</v>
      </c>
    </row>
    <row r="5" spans="1:30" ht="8.1" customHeight="1" thickTop="1" thickBot="1">
      <c r="A5" s="112"/>
      <c r="B5" s="113"/>
      <c r="C5" s="113"/>
      <c r="D5" s="114"/>
      <c r="E5" s="114"/>
      <c r="F5" s="114"/>
      <c r="G5" s="114"/>
      <c r="H5" s="114"/>
      <c r="I5" s="114"/>
      <c r="J5" s="6"/>
      <c r="K5" s="108"/>
      <c r="L5" s="108"/>
      <c r="M5" s="108"/>
      <c r="N5" s="108"/>
      <c r="O5" s="1"/>
      <c r="AA5" s="111"/>
      <c r="AC5" s="172">
        <v>5</v>
      </c>
      <c r="AD5" s="111">
        <v>44044</v>
      </c>
    </row>
    <row r="6" spans="1:30" ht="22.5" thickTop="1" thickBot="1">
      <c r="A6" s="1"/>
      <c r="B6" s="320" t="s">
        <v>59</v>
      </c>
      <c r="C6" s="320"/>
      <c r="D6" s="321" t="s">
        <v>21</v>
      </c>
      <c r="E6" s="321"/>
      <c r="F6" s="320" t="s">
        <v>22</v>
      </c>
      <c r="G6" s="320"/>
      <c r="H6" s="322" t="s">
        <v>23</v>
      </c>
      <c r="I6" s="322"/>
      <c r="J6" s="2"/>
      <c r="K6" s="1"/>
      <c r="L6" s="1"/>
      <c r="M6" s="1"/>
      <c r="N6" s="1"/>
      <c r="O6" s="1"/>
      <c r="T6" s="30" t="s">
        <v>24</v>
      </c>
      <c r="X6" s="30">
        <v>620</v>
      </c>
      <c r="AA6" s="111">
        <v>43739</v>
      </c>
      <c r="AC6" s="172">
        <v>6</v>
      </c>
      <c r="AD6" s="111">
        <v>44075</v>
      </c>
    </row>
    <row r="7" spans="1:30" ht="8.1" customHeight="1" thickTop="1" thickBot="1">
      <c r="A7" s="112"/>
      <c r="B7" s="113"/>
      <c r="C7" s="113"/>
      <c r="D7" s="115"/>
      <c r="E7" s="115"/>
      <c r="F7" s="113"/>
      <c r="G7" s="113"/>
      <c r="H7" s="115"/>
      <c r="I7" s="115"/>
      <c r="J7" s="6"/>
      <c r="K7" s="1"/>
      <c r="L7" s="1"/>
      <c r="M7" s="1"/>
      <c r="N7" s="1"/>
      <c r="O7" s="1"/>
      <c r="AA7" s="111"/>
      <c r="AC7" s="172">
        <v>7</v>
      </c>
      <c r="AD7" s="111">
        <v>44105</v>
      </c>
    </row>
    <row r="8" spans="1:30" ht="20.25" thickTop="1" thickBot="1">
      <c r="A8" s="1"/>
      <c r="B8" s="320" t="s">
        <v>62</v>
      </c>
      <c r="C8" s="320" t="s">
        <v>25</v>
      </c>
      <c r="D8" s="322" t="s">
        <v>116</v>
      </c>
      <c r="E8" s="322"/>
      <c r="F8" s="320" t="s">
        <v>26</v>
      </c>
      <c r="G8" s="320"/>
      <c r="H8" s="322" t="s">
        <v>114</v>
      </c>
      <c r="I8" s="322"/>
      <c r="J8" s="2"/>
      <c r="K8" s="1"/>
      <c r="L8" s="1"/>
      <c r="M8" s="1"/>
      <c r="N8" s="1"/>
      <c r="O8" s="1"/>
      <c r="T8" s="30" t="s">
        <v>27</v>
      </c>
      <c r="AA8" s="111">
        <v>43770</v>
      </c>
      <c r="AC8" s="172">
        <v>8</v>
      </c>
      <c r="AD8" s="111">
        <v>44136</v>
      </c>
    </row>
    <row r="9" spans="1:30" ht="8.1" customHeight="1" thickTop="1" thickBot="1">
      <c r="A9" s="112"/>
      <c r="B9" s="113"/>
      <c r="C9" s="113"/>
      <c r="D9" s="115"/>
      <c r="E9" s="115"/>
      <c r="F9" s="113"/>
      <c r="G9" s="113"/>
      <c r="H9" s="115"/>
      <c r="I9" s="115"/>
      <c r="J9" s="6"/>
      <c r="K9" s="1"/>
      <c r="L9" s="1"/>
      <c r="M9" s="1"/>
      <c r="N9" s="1"/>
      <c r="O9" s="1"/>
      <c r="AA9" s="111"/>
      <c r="AC9" s="172">
        <v>9</v>
      </c>
      <c r="AD9" s="111">
        <v>44166</v>
      </c>
    </row>
    <row r="10" spans="1:30" ht="22.5" thickTop="1" thickBot="1">
      <c r="A10" s="1"/>
      <c r="B10" s="320" t="s">
        <v>60</v>
      </c>
      <c r="C10" s="320"/>
      <c r="D10" s="350" t="s">
        <v>147</v>
      </c>
      <c r="E10" s="350"/>
      <c r="F10" s="320" t="s">
        <v>28</v>
      </c>
      <c r="G10" s="320"/>
      <c r="H10" s="351">
        <v>123465471475</v>
      </c>
      <c r="I10" s="351"/>
      <c r="J10" s="2"/>
      <c r="K10" s="17"/>
      <c r="L10" s="17"/>
      <c r="M10" s="17"/>
      <c r="N10" s="1"/>
      <c r="O10" s="1"/>
      <c r="T10" s="30" t="s">
        <v>2</v>
      </c>
      <c r="AA10" s="111">
        <v>43800</v>
      </c>
      <c r="AC10" s="172">
        <v>10</v>
      </c>
      <c r="AD10" s="111">
        <v>44197</v>
      </c>
    </row>
    <row r="11" spans="1:30" ht="8.1" customHeight="1" thickTop="1" thickBot="1">
      <c r="A11" s="112"/>
      <c r="B11" s="113"/>
      <c r="C11" s="113"/>
      <c r="D11" s="115"/>
      <c r="E11" s="115"/>
      <c r="F11" s="113"/>
      <c r="G11" s="113"/>
      <c r="H11" s="116"/>
      <c r="I11" s="116"/>
      <c r="J11" s="6"/>
      <c r="K11" s="17"/>
      <c r="L11" s="17"/>
      <c r="M11" s="17"/>
      <c r="N11" s="1"/>
      <c r="O11" s="1"/>
      <c r="AA11" s="111"/>
      <c r="AC11" s="172">
        <v>11</v>
      </c>
      <c r="AD11" s="111">
        <v>44228</v>
      </c>
    </row>
    <row r="12" spans="1:30" ht="22.5" thickTop="1" thickBot="1">
      <c r="A12" s="1"/>
      <c r="B12" s="320" t="s">
        <v>61</v>
      </c>
      <c r="C12" s="320"/>
      <c r="D12" s="367" t="s">
        <v>146</v>
      </c>
      <c r="E12" s="367"/>
      <c r="F12" s="320" t="s">
        <v>29</v>
      </c>
      <c r="G12" s="320"/>
      <c r="H12" s="322"/>
      <c r="I12" s="322"/>
      <c r="J12" s="2"/>
      <c r="K12" s="363"/>
      <c r="L12" s="363"/>
      <c r="M12" s="363"/>
      <c r="N12" s="363"/>
      <c r="O12" s="1"/>
      <c r="T12" s="30" t="s">
        <v>30</v>
      </c>
      <c r="AA12" s="111">
        <v>43831</v>
      </c>
      <c r="AC12" s="172">
        <v>12</v>
      </c>
      <c r="AD12" s="111"/>
    </row>
    <row r="13" spans="1:30" ht="8.1" customHeight="1" thickTop="1" thickBot="1">
      <c r="A13" s="112"/>
      <c r="B13" s="113"/>
      <c r="C13" s="113"/>
      <c r="D13" s="117"/>
      <c r="E13" s="117"/>
      <c r="F13" s="113"/>
      <c r="G13" s="113"/>
      <c r="H13" s="115"/>
      <c r="I13" s="115"/>
      <c r="J13" s="6"/>
      <c r="K13" s="106"/>
      <c r="L13" s="106"/>
      <c r="M13" s="106"/>
      <c r="N13" s="106"/>
      <c r="O13" s="1"/>
      <c r="AA13" s="111"/>
      <c r="AC13" s="172"/>
    </row>
    <row r="14" spans="1:30" ht="22.5" thickTop="1" thickBot="1">
      <c r="A14" s="1"/>
      <c r="B14" s="320" t="s">
        <v>31</v>
      </c>
      <c r="C14" s="320"/>
      <c r="D14" s="322">
        <v>11</v>
      </c>
      <c r="E14" s="322"/>
      <c r="F14" s="320" t="s">
        <v>32</v>
      </c>
      <c r="G14" s="320"/>
      <c r="H14" s="322">
        <v>123456</v>
      </c>
      <c r="I14" s="322"/>
      <c r="J14" s="2"/>
      <c r="K14" s="17"/>
      <c r="L14" s="17"/>
      <c r="M14" s="17"/>
      <c r="N14" s="1"/>
      <c r="O14" s="1"/>
      <c r="T14" s="30" t="s">
        <v>33</v>
      </c>
      <c r="AA14" s="111">
        <v>43862</v>
      </c>
    </row>
    <row r="15" spans="1:30" ht="8.1" customHeight="1" thickTop="1" thickBot="1">
      <c r="A15" s="112"/>
      <c r="B15" s="113"/>
      <c r="C15" s="113"/>
      <c r="D15" s="115"/>
      <c r="E15" s="115"/>
      <c r="F15" s="113"/>
      <c r="G15" s="113"/>
      <c r="H15" s="115"/>
      <c r="I15" s="115"/>
      <c r="J15" s="6"/>
      <c r="K15" s="17"/>
      <c r="L15" s="17"/>
      <c r="M15" s="17"/>
      <c r="N15" s="1"/>
      <c r="O15" s="1"/>
      <c r="AA15" s="111"/>
    </row>
    <row r="16" spans="1:30" ht="22.5" thickTop="1" thickBot="1">
      <c r="A16" s="1"/>
      <c r="B16" s="320" t="s">
        <v>34</v>
      </c>
      <c r="C16" s="320"/>
      <c r="D16" s="325">
        <v>12134545454541</v>
      </c>
      <c r="E16" s="325"/>
      <c r="F16" s="320" t="s">
        <v>35</v>
      </c>
      <c r="G16" s="320"/>
      <c r="H16" s="325">
        <v>121212121212121</v>
      </c>
      <c r="I16" s="325"/>
      <c r="J16" s="18"/>
      <c r="K16" s="18"/>
      <c r="L16" s="18"/>
      <c r="M16" s="18"/>
      <c r="N16" s="18"/>
      <c r="O16" s="1"/>
    </row>
    <row r="17" spans="1:29" ht="8.1" customHeight="1" thickTop="1" thickBot="1">
      <c r="A17" s="112"/>
      <c r="B17" s="113"/>
      <c r="C17" s="113"/>
      <c r="D17" s="115"/>
      <c r="E17" s="115"/>
      <c r="F17" s="113"/>
      <c r="G17" s="113"/>
      <c r="H17" s="114"/>
      <c r="I17" s="114"/>
      <c r="J17" s="18"/>
      <c r="K17" s="18"/>
      <c r="L17" s="18"/>
      <c r="M17" s="18"/>
      <c r="N17" s="18"/>
      <c r="O17" s="1"/>
    </row>
    <row r="18" spans="1:29" ht="21.75" customHeight="1" thickTop="1" thickBot="1">
      <c r="A18" s="1"/>
      <c r="B18" s="320" t="s">
        <v>422</v>
      </c>
      <c r="C18" s="320"/>
      <c r="D18" s="322" t="s">
        <v>423</v>
      </c>
      <c r="E18" s="322"/>
      <c r="F18" s="320" t="s">
        <v>105</v>
      </c>
      <c r="G18" s="320"/>
      <c r="H18" s="322" t="s">
        <v>76</v>
      </c>
      <c r="I18" s="322"/>
      <c r="J18" s="2"/>
      <c r="K18" s="364" t="s">
        <v>421</v>
      </c>
      <c r="L18" s="364"/>
      <c r="M18" s="364"/>
      <c r="N18" s="364"/>
      <c r="O18" s="1"/>
    </row>
    <row r="19" spans="1:29" ht="9.75" customHeight="1" thickTop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12"/>
      <c r="N19" s="112"/>
      <c r="O19" s="11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</row>
    <row r="20" spans="1:29" ht="26.25" customHeight="1">
      <c r="A20" s="1"/>
      <c r="B20" s="1"/>
      <c r="C20" s="1"/>
      <c r="D20" s="1"/>
      <c r="E20" s="357" t="s">
        <v>148</v>
      </c>
      <c r="F20" s="358"/>
      <c r="G20" s="358"/>
      <c r="H20" s="359"/>
      <c r="I20" s="1"/>
      <c r="J20" s="1"/>
      <c r="K20" s="1"/>
      <c r="L20" s="1"/>
      <c r="M20" s="112"/>
      <c r="N20" s="112"/>
      <c r="O20" s="11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</row>
    <row r="21" spans="1:29" ht="8.25" customHeight="1" thickBo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12"/>
      <c r="N21" s="112"/>
      <c r="O21" s="11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</row>
    <row r="22" spans="1:29" ht="22.5" thickTop="1" thickBot="1">
      <c r="A22" s="1"/>
      <c r="B22" s="372" t="s">
        <v>281</v>
      </c>
      <c r="C22" s="372"/>
      <c r="D22" s="372"/>
      <c r="E22" s="107" t="s">
        <v>76</v>
      </c>
      <c r="F22" s="335" t="s">
        <v>283</v>
      </c>
      <c r="G22" s="336"/>
      <c r="H22" s="337"/>
      <c r="I22" s="107" t="s">
        <v>27</v>
      </c>
      <c r="J22" s="2"/>
      <c r="K22" s="365" t="s">
        <v>426</v>
      </c>
      <c r="L22" s="365"/>
      <c r="M22" s="365"/>
      <c r="N22" s="365"/>
      <c r="O22" s="1"/>
      <c r="S22" s="30" t="s">
        <v>1</v>
      </c>
      <c r="T22" s="30" t="s">
        <v>3</v>
      </c>
      <c r="U22" s="30">
        <v>8</v>
      </c>
      <c r="V22" s="30" t="s">
        <v>4</v>
      </c>
      <c r="W22" s="30" t="s">
        <v>5</v>
      </c>
      <c r="Y22" s="30" t="s">
        <v>6</v>
      </c>
      <c r="AA22" s="111">
        <v>43525</v>
      </c>
    </row>
    <row r="23" spans="1:29" ht="8.1" customHeight="1" thickTop="1" thickBot="1">
      <c r="A23" s="112"/>
      <c r="B23" s="118"/>
      <c r="C23" s="118"/>
      <c r="D23" s="118"/>
      <c r="E23" s="119"/>
      <c r="F23" s="120"/>
      <c r="G23" s="120"/>
      <c r="H23" s="120"/>
      <c r="I23" s="119"/>
      <c r="J23" s="6"/>
      <c r="K23" s="365"/>
      <c r="L23" s="365"/>
      <c r="M23" s="365"/>
      <c r="N23" s="365"/>
      <c r="O23" s="1"/>
      <c r="AA23" s="111"/>
    </row>
    <row r="24" spans="1:29" ht="22.5" thickTop="1" thickBot="1">
      <c r="A24" s="1"/>
      <c r="B24" s="373" t="s">
        <v>280</v>
      </c>
      <c r="C24" s="374"/>
      <c r="D24" s="375"/>
      <c r="E24" s="20" t="s">
        <v>7</v>
      </c>
      <c r="F24" s="335" t="s">
        <v>284</v>
      </c>
      <c r="G24" s="336"/>
      <c r="H24" s="337"/>
      <c r="I24" s="19" t="s">
        <v>1</v>
      </c>
      <c r="J24" s="121"/>
      <c r="K24" s="365"/>
      <c r="L24" s="365"/>
      <c r="M24" s="365"/>
      <c r="N24" s="365"/>
      <c r="O24" s="1"/>
      <c r="S24" s="30" t="s">
        <v>8</v>
      </c>
      <c r="U24" s="30">
        <v>9</v>
      </c>
      <c r="V24" s="30" t="s">
        <v>9</v>
      </c>
      <c r="W24" s="30" t="s">
        <v>10</v>
      </c>
      <c r="Y24" s="30" t="s">
        <v>11</v>
      </c>
      <c r="AA24" s="111">
        <v>43556</v>
      </c>
    </row>
    <row r="25" spans="1:29" ht="8.1" customHeight="1" thickTop="1" thickBot="1">
      <c r="A25" s="112"/>
      <c r="B25" s="118"/>
      <c r="C25" s="118"/>
      <c r="D25" s="118"/>
      <c r="E25" s="122"/>
      <c r="F25" s="120"/>
      <c r="G25" s="120"/>
      <c r="H25" s="120"/>
      <c r="I25" s="119"/>
      <c r="J25" s="121"/>
      <c r="K25" s="123"/>
      <c r="L25" s="123"/>
      <c r="M25" s="123"/>
      <c r="N25" s="123"/>
      <c r="O25" s="1"/>
      <c r="AA25" s="111"/>
    </row>
    <row r="26" spans="1:29" ht="23.25" customHeight="1" thickTop="1" thickBot="1">
      <c r="A26" s="112"/>
      <c r="B26" s="118"/>
      <c r="C26" s="360" t="s">
        <v>278</v>
      </c>
      <c r="D26" s="360"/>
      <c r="E26" s="360"/>
      <c r="F26" s="360"/>
      <c r="G26" s="360"/>
      <c r="H26" s="361"/>
      <c r="I26" s="210">
        <v>12</v>
      </c>
      <c r="J26" s="121"/>
      <c r="K26" s="339" t="s">
        <v>427</v>
      </c>
      <c r="L26" s="339"/>
      <c r="M26" s="339"/>
      <c r="N26" s="19" t="s">
        <v>77</v>
      </c>
      <c r="O26" s="1"/>
      <c r="AA26" s="111"/>
    </row>
    <row r="27" spans="1:29" ht="8.1" customHeight="1" thickTop="1" thickBot="1">
      <c r="A27" s="112"/>
      <c r="B27" s="118"/>
      <c r="C27" s="118"/>
      <c r="D27" s="118"/>
      <c r="E27" s="122"/>
      <c r="F27" s="120"/>
      <c r="G27" s="120"/>
      <c r="H27" s="120"/>
      <c r="I27" s="119"/>
      <c r="J27" s="121"/>
      <c r="K27" s="123"/>
      <c r="L27" s="123"/>
      <c r="M27" s="123"/>
      <c r="N27" s="123"/>
      <c r="O27" s="1"/>
      <c r="AA27" s="111"/>
    </row>
    <row r="28" spans="1:29" ht="22.5" thickTop="1" thickBot="1">
      <c r="A28" s="1"/>
      <c r="B28" s="356" t="s">
        <v>279</v>
      </c>
      <c r="C28" s="356" t="s">
        <v>12</v>
      </c>
      <c r="D28" s="356"/>
      <c r="E28" s="19">
        <v>0</v>
      </c>
      <c r="F28" s="335" t="s">
        <v>285</v>
      </c>
      <c r="G28" s="336"/>
      <c r="H28" s="337"/>
      <c r="I28" s="22" t="s">
        <v>6</v>
      </c>
      <c r="J28" s="124"/>
      <c r="K28" s="340" t="s">
        <v>428</v>
      </c>
      <c r="L28" s="340"/>
      <c r="M28" s="340"/>
      <c r="N28" s="340"/>
      <c r="O28" s="1"/>
      <c r="T28" s="30" t="s">
        <v>13</v>
      </c>
      <c r="U28" s="30">
        <v>10</v>
      </c>
      <c r="W28" s="30" t="s">
        <v>14</v>
      </c>
      <c r="AA28" s="111">
        <v>43586</v>
      </c>
    </row>
    <row r="29" spans="1:29" ht="8.1" customHeight="1" thickTop="1" thickBot="1">
      <c r="A29" s="112"/>
      <c r="B29" s="120"/>
      <c r="C29" s="120"/>
      <c r="D29" s="120"/>
      <c r="E29" s="119"/>
      <c r="F29" s="120"/>
      <c r="G29" s="120"/>
      <c r="H29" s="120"/>
      <c r="I29" s="125"/>
      <c r="J29" s="6"/>
      <c r="K29" s="340"/>
      <c r="L29" s="340"/>
      <c r="M29" s="340"/>
      <c r="N29" s="340"/>
      <c r="O29" s="1"/>
      <c r="AA29" s="111"/>
    </row>
    <row r="30" spans="1:29" ht="22.5" thickTop="1" thickBot="1">
      <c r="A30" s="1"/>
      <c r="B30" s="330" t="s">
        <v>282</v>
      </c>
      <c r="C30" s="338"/>
      <c r="D30" s="338"/>
      <c r="E30" s="21">
        <v>8</v>
      </c>
      <c r="F30" s="329" t="s">
        <v>63</v>
      </c>
      <c r="G30" s="329"/>
      <c r="H30" s="329"/>
      <c r="I30" s="22" t="s">
        <v>9</v>
      </c>
      <c r="J30" s="2"/>
      <c r="K30" s="340"/>
      <c r="L30" s="340"/>
      <c r="M30" s="340"/>
      <c r="N30" s="340"/>
      <c r="O30" s="1"/>
      <c r="T30" s="30" t="s">
        <v>15</v>
      </c>
      <c r="U30" s="30">
        <v>12</v>
      </c>
      <c r="W30" s="30" t="s">
        <v>16</v>
      </c>
      <c r="AA30" s="111">
        <v>43617</v>
      </c>
    </row>
    <row r="31" spans="1:29" ht="8.1" customHeight="1" thickTop="1" thickBot="1">
      <c r="A31" s="112"/>
      <c r="B31" s="120"/>
      <c r="C31" s="120"/>
      <c r="D31" s="120"/>
      <c r="E31" s="128"/>
      <c r="F31" s="129"/>
      <c r="G31" s="120"/>
      <c r="H31" s="120"/>
      <c r="I31" s="125"/>
      <c r="J31" s="6"/>
      <c r="K31" s="6"/>
      <c r="L31" s="6"/>
      <c r="M31" s="6"/>
      <c r="N31" s="1"/>
      <c r="O31" s="1"/>
      <c r="AA31" s="111"/>
    </row>
    <row r="32" spans="1:29" ht="25.5" customHeight="1" thickTop="1" thickBot="1">
      <c r="A32" s="1"/>
      <c r="B32" s="330" t="s">
        <v>425</v>
      </c>
      <c r="C32" s="331"/>
      <c r="D32" s="331"/>
      <c r="E32" s="19" t="s">
        <v>77</v>
      </c>
      <c r="F32" s="329" t="s">
        <v>286</v>
      </c>
      <c r="G32" s="329"/>
      <c r="H32" s="329"/>
      <c r="I32" s="22" t="s">
        <v>16</v>
      </c>
      <c r="J32" s="2"/>
      <c r="K32" s="326">
        <v>44197</v>
      </c>
      <c r="L32" s="327"/>
      <c r="M32" s="328"/>
      <c r="N32" s="37" t="s">
        <v>76</v>
      </c>
      <c r="O32" s="1"/>
      <c r="T32" s="30" t="s">
        <v>17</v>
      </c>
      <c r="U32" s="30">
        <v>16</v>
      </c>
      <c r="W32" s="30" t="s">
        <v>18</v>
      </c>
      <c r="AA32" s="111">
        <v>43647</v>
      </c>
    </row>
    <row r="33" spans="1:29" ht="8.1" customHeight="1" thickTop="1" thickBot="1">
      <c r="A33" s="112"/>
      <c r="B33" s="120"/>
      <c r="C33" s="120"/>
      <c r="D33" s="120"/>
      <c r="E33" s="119"/>
      <c r="F33" s="120"/>
      <c r="G33" s="120"/>
      <c r="H33" s="120"/>
      <c r="I33" s="125"/>
      <c r="J33" s="6"/>
      <c r="K33" s="124"/>
      <c r="L33" s="127"/>
      <c r="M33" s="1"/>
      <c r="N33" s="1"/>
      <c r="O33" s="1"/>
      <c r="AA33" s="111"/>
    </row>
    <row r="34" spans="1:29" ht="30" customHeight="1" thickTop="1" thickBot="1">
      <c r="A34" s="1"/>
      <c r="B34" s="331" t="s">
        <v>424</v>
      </c>
      <c r="C34" s="331"/>
      <c r="D34" s="331"/>
      <c r="E34" s="21">
        <v>9</v>
      </c>
      <c r="F34" s="335" t="s">
        <v>287</v>
      </c>
      <c r="G34" s="336"/>
      <c r="H34" s="337"/>
      <c r="I34" s="33">
        <v>11</v>
      </c>
      <c r="J34" s="126"/>
      <c r="K34" s="326">
        <v>44228</v>
      </c>
      <c r="L34" s="327"/>
      <c r="M34" s="328"/>
      <c r="N34" s="37" t="s">
        <v>76</v>
      </c>
      <c r="O34" s="1"/>
      <c r="AA34" s="111"/>
    </row>
    <row r="35" spans="1:29" ht="13.5" customHeight="1" thickTop="1" thickBo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30"/>
      <c r="M35" s="112"/>
      <c r="N35" s="112"/>
      <c r="O35" s="11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</row>
    <row r="36" spans="1:29" ht="24.75" customHeight="1" thickTop="1" thickBot="1">
      <c r="A36" s="24"/>
      <c r="B36" s="355" t="s">
        <v>436</v>
      </c>
      <c r="C36" s="355"/>
      <c r="D36" s="355"/>
      <c r="E36" s="36">
        <v>50800</v>
      </c>
      <c r="F36" s="353" t="s">
        <v>288</v>
      </c>
      <c r="G36" s="354"/>
      <c r="H36" s="354"/>
      <c r="I36" s="36"/>
      <c r="J36" s="131"/>
      <c r="K36" s="366" t="s">
        <v>429</v>
      </c>
      <c r="L36" s="366"/>
      <c r="M36" s="366"/>
      <c r="N36" s="342" t="s">
        <v>76</v>
      </c>
      <c r="O36" s="6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32"/>
    </row>
    <row r="37" spans="1:29" ht="12.75" customHeight="1" thickTop="1" thickBot="1">
      <c r="A37" s="24"/>
      <c r="B37" s="28"/>
      <c r="C37" s="29"/>
      <c r="D37" s="132"/>
      <c r="E37" s="132"/>
      <c r="F37" s="4"/>
      <c r="G37" s="5"/>
      <c r="H37" s="131"/>
      <c r="I37" s="131"/>
      <c r="J37" s="2"/>
      <c r="K37" s="366"/>
      <c r="L37" s="366"/>
      <c r="M37" s="366"/>
      <c r="N37" s="343"/>
      <c r="O37" s="6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32"/>
    </row>
    <row r="38" spans="1:29" ht="21" customHeight="1" thickTop="1" thickBot="1">
      <c r="A38" s="24"/>
      <c r="B38" s="344" t="s">
        <v>289</v>
      </c>
      <c r="C38" s="344"/>
      <c r="D38" s="344"/>
      <c r="E38" s="344"/>
      <c r="F38" s="344"/>
      <c r="G38" s="344"/>
      <c r="H38" s="345"/>
      <c r="I38" s="203"/>
      <c r="J38" s="2"/>
      <c r="K38" s="341" t="s">
        <v>430</v>
      </c>
      <c r="L38" s="341"/>
      <c r="M38" s="341"/>
      <c r="N38" s="263">
        <v>220</v>
      </c>
      <c r="O38" s="6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32"/>
    </row>
    <row r="39" spans="1:29" ht="12.75" customHeight="1" thickTop="1" thickBot="1">
      <c r="A39" s="24"/>
      <c r="B39" s="28"/>
      <c r="C39" s="29"/>
      <c r="D39" s="132"/>
      <c r="E39" s="132"/>
      <c r="F39" s="4"/>
      <c r="G39" s="5"/>
      <c r="H39" s="208"/>
      <c r="I39" s="208"/>
      <c r="J39" s="2"/>
      <c r="K39" s="209"/>
      <c r="L39" s="209"/>
      <c r="M39" s="209"/>
      <c r="N39" s="6"/>
      <c r="O39" s="6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32"/>
    </row>
    <row r="40" spans="1:29" ht="36.75" customHeight="1" thickTop="1" thickBot="1">
      <c r="A40" s="25"/>
      <c r="B40" s="27"/>
      <c r="C40" s="332" t="s">
        <v>36</v>
      </c>
      <c r="D40" s="333"/>
      <c r="E40" s="334"/>
      <c r="F40" s="203">
        <v>44256</v>
      </c>
      <c r="G40" s="248" t="s">
        <v>37</v>
      </c>
      <c r="H40" s="204">
        <v>44593</v>
      </c>
      <c r="I40" s="8"/>
      <c r="J40" s="9"/>
      <c r="K40" s="352" t="s">
        <v>431</v>
      </c>
      <c r="L40" s="352"/>
      <c r="M40" s="352"/>
      <c r="N40" s="262" t="s">
        <v>76</v>
      </c>
      <c r="O40" s="9"/>
      <c r="P40" s="10"/>
      <c r="Q40" s="10"/>
      <c r="R40" s="10"/>
      <c r="S40" s="10"/>
      <c r="T40" s="7"/>
      <c r="U40" s="7"/>
      <c r="V40" s="7"/>
      <c r="W40" s="7"/>
      <c r="X40" s="7"/>
      <c r="Y40" s="7"/>
      <c r="Z40" s="7"/>
      <c r="AA40" s="7"/>
      <c r="AB40" s="7"/>
      <c r="AC40" s="32"/>
    </row>
    <row r="41" spans="1:29" ht="16.5" thickTop="1" thickBot="1">
      <c r="A41" s="26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2"/>
      <c r="N41" s="12"/>
      <c r="O41" s="12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32"/>
    </row>
    <row r="42" spans="1:29" ht="39" customHeight="1" thickTop="1" thickBot="1">
      <c r="A42" s="324"/>
      <c r="B42" s="133" t="s">
        <v>38</v>
      </c>
      <c r="C42" s="133" t="s">
        <v>39</v>
      </c>
      <c r="D42" s="133" t="s">
        <v>40</v>
      </c>
      <c r="E42" s="201" t="s">
        <v>56</v>
      </c>
      <c r="F42" s="201" t="s">
        <v>57</v>
      </c>
      <c r="G42" s="134" t="s">
        <v>41</v>
      </c>
      <c r="H42" s="134" t="s">
        <v>113</v>
      </c>
      <c r="I42" s="134" t="s">
        <v>42</v>
      </c>
      <c r="J42" s="135" t="s">
        <v>437</v>
      </c>
      <c r="K42" s="202" t="s">
        <v>104</v>
      </c>
      <c r="L42" s="202" t="s">
        <v>103</v>
      </c>
      <c r="M42" s="135" t="s">
        <v>276</v>
      </c>
      <c r="N42" s="135" t="s">
        <v>438</v>
      </c>
      <c r="O42" s="202" t="s">
        <v>439</v>
      </c>
      <c r="P42" s="14"/>
      <c r="Q42" s="15"/>
      <c r="R42" s="136"/>
      <c r="S42" s="136"/>
      <c r="T42" s="136"/>
      <c r="U42" s="15"/>
      <c r="V42" s="14"/>
      <c r="W42" s="136"/>
      <c r="X42" s="14"/>
      <c r="Y42" s="14"/>
      <c r="Z42" s="13"/>
      <c r="AA42" s="13"/>
      <c r="AB42" s="13"/>
      <c r="AC42" s="32"/>
    </row>
    <row r="43" spans="1:29" ht="25.5" customHeight="1" thickTop="1" thickBot="1">
      <c r="A43" s="324"/>
      <c r="B43" s="16"/>
      <c r="C43" s="16">
        <v>600</v>
      </c>
      <c r="D43" s="137"/>
      <c r="E43" s="16"/>
      <c r="F43" s="16"/>
      <c r="G43" s="16">
        <v>7000</v>
      </c>
      <c r="H43" s="16">
        <v>3575</v>
      </c>
      <c r="I43" s="16">
        <v>1880</v>
      </c>
      <c r="J43" s="16">
        <v>330</v>
      </c>
      <c r="K43" s="16"/>
      <c r="L43" s="16"/>
      <c r="M43" s="16"/>
      <c r="N43" s="262" t="s">
        <v>76</v>
      </c>
      <c r="O43" s="16"/>
      <c r="P43" s="14"/>
      <c r="Q43" s="138"/>
      <c r="R43" s="138"/>
      <c r="S43" s="138"/>
      <c r="T43" s="138"/>
      <c r="U43" s="139"/>
      <c r="V43" s="140"/>
      <c r="W43" s="138"/>
      <c r="X43" s="14"/>
      <c r="Y43" s="14"/>
      <c r="Z43" s="13"/>
      <c r="AA43" s="13"/>
      <c r="AB43" s="13"/>
      <c r="AC43" s="32"/>
    </row>
    <row r="44" spans="1:29" ht="15.75" thickTop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368" t="s">
        <v>271</v>
      </c>
      <c r="M44" s="368"/>
      <c r="N44" s="368"/>
      <c r="O44" s="368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</row>
    <row r="45" spans="1:29" ht="26.25" customHeight="1" thickBot="1">
      <c r="A45" s="1"/>
      <c r="B45" s="1"/>
      <c r="C45" s="1"/>
      <c r="D45" s="1"/>
      <c r="E45" s="376" t="s">
        <v>43</v>
      </c>
      <c r="F45" s="376"/>
      <c r="G45" s="376"/>
      <c r="H45" s="376"/>
      <c r="I45" s="1"/>
      <c r="J45" s="1"/>
      <c r="K45" s="1"/>
      <c r="L45" s="368"/>
      <c r="M45" s="368"/>
      <c r="N45" s="368"/>
      <c r="O45" s="368"/>
    </row>
    <row r="46" spans="1:29" ht="28.5" customHeight="1" thickTop="1" thickBot="1">
      <c r="A46" s="1"/>
      <c r="B46" s="141" t="s">
        <v>44</v>
      </c>
      <c r="C46" s="141" t="s">
        <v>45</v>
      </c>
      <c r="D46" s="141" t="s">
        <v>46</v>
      </c>
      <c r="E46" s="141" t="s">
        <v>47</v>
      </c>
      <c r="F46" s="141" t="s">
        <v>48</v>
      </c>
      <c r="G46" s="141" t="s">
        <v>49</v>
      </c>
      <c r="H46" s="141" t="s">
        <v>50</v>
      </c>
      <c r="I46" s="141" t="s">
        <v>51</v>
      </c>
      <c r="J46" s="141" t="s">
        <v>52</v>
      </c>
      <c r="K46" s="141" t="s">
        <v>53</v>
      </c>
      <c r="L46" s="141" t="s">
        <v>54</v>
      </c>
      <c r="M46" s="141" t="s">
        <v>55</v>
      </c>
      <c r="N46" s="1"/>
      <c r="O46" s="1"/>
    </row>
    <row r="47" spans="1:29" ht="27.75" customHeight="1" thickTop="1" thickBot="1">
      <c r="A47" s="1"/>
      <c r="B47" s="16">
        <v>0</v>
      </c>
      <c r="C47" s="16">
        <v>1500</v>
      </c>
      <c r="D47" s="16">
        <v>1500</v>
      </c>
      <c r="E47" s="16">
        <v>1500</v>
      </c>
      <c r="F47" s="16">
        <v>1500</v>
      </c>
      <c r="G47" s="16">
        <v>1500</v>
      </c>
      <c r="H47" s="16">
        <v>1500</v>
      </c>
      <c r="I47" s="16">
        <v>1500</v>
      </c>
      <c r="J47" s="16">
        <v>1500</v>
      </c>
      <c r="K47" s="16">
        <v>1500</v>
      </c>
      <c r="L47" s="16">
        <v>1500</v>
      </c>
      <c r="M47" s="16">
        <v>0</v>
      </c>
      <c r="N47" s="1"/>
      <c r="O47" s="1"/>
    </row>
    <row r="48" spans="1:29" ht="21" customHeight="1" thickTop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30" customHeight="1">
      <c r="A49" s="1"/>
      <c r="B49" s="1"/>
      <c r="C49" s="362" t="s">
        <v>64</v>
      </c>
      <c r="D49" s="362"/>
      <c r="E49" s="362"/>
      <c r="F49" s="362"/>
      <c r="G49" s="362"/>
      <c r="H49" s="362"/>
      <c r="I49" s="362"/>
      <c r="J49" s="362"/>
      <c r="K49" s="362"/>
      <c r="L49" s="1"/>
      <c r="M49" s="369" t="s">
        <v>462</v>
      </c>
      <c r="N49" s="370"/>
      <c r="O49" s="370"/>
    </row>
    <row r="50" spans="1:15" ht="25.5" customHeight="1">
      <c r="A50" s="1"/>
      <c r="B50" s="1"/>
      <c r="C50" s="1"/>
      <c r="D50" s="1"/>
      <c r="E50" s="1"/>
      <c r="F50" s="371" t="s">
        <v>106</v>
      </c>
      <c r="G50" s="371"/>
      <c r="H50" s="371"/>
      <c r="I50" s="1"/>
      <c r="J50" s="1"/>
      <c r="K50" s="1"/>
      <c r="L50" s="1"/>
      <c r="M50" s="1"/>
      <c r="N50" s="1"/>
      <c r="O50" s="1"/>
    </row>
    <row r="51" spans="1:15" ht="1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</sheetData>
  <sheetProtection password="C1FB" sheet="1" objects="1" scenarios="1" selectLockedCells="1"/>
  <protectedRanges>
    <protectedRange sqref="P43:W43" name="Range3_1"/>
    <protectedRange sqref="B47:M47" name="Range2_1_1"/>
    <protectedRange sqref="B43:C43" name="Range2_1_2"/>
    <protectedRange sqref="E43:M43 O43" name="Range2_1_3_1"/>
  </protectedRanges>
  <mergeCells count="68">
    <mergeCell ref="F50:H50"/>
    <mergeCell ref="B8:C8"/>
    <mergeCell ref="B22:D22"/>
    <mergeCell ref="F22:H22"/>
    <mergeCell ref="B24:D24"/>
    <mergeCell ref="F24:H24"/>
    <mergeCell ref="B14:C14"/>
    <mergeCell ref="D14:E14"/>
    <mergeCell ref="F14:G14"/>
    <mergeCell ref="H14:I14"/>
    <mergeCell ref="B16:C16"/>
    <mergeCell ref="D16:E16"/>
    <mergeCell ref="B34:D34"/>
    <mergeCell ref="E45:H45"/>
    <mergeCell ref="B18:C18"/>
    <mergeCell ref="D18:E18"/>
    <mergeCell ref="C49:K49"/>
    <mergeCell ref="K12:N12"/>
    <mergeCell ref="K18:N18"/>
    <mergeCell ref="K22:N24"/>
    <mergeCell ref="K36:M37"/>
    <mergeCell ref="D12:E12"/>
    <mergeCell ref="F12:G12"/>
    <mergeCell ref="H12:I12"/>
    <mergeCell ref="L44:O45"/>
    <mergeCell ref="F18:G18"/>
    <mergeCell ref="H18:I18"/>
    <mergeCell ref="M49:O49"/>
    <mergeCell ref="B10:C10"/>
    <mergeCell ref="D10:E10"/>
    <mergeCell ref="F10:G10"/>
    <mergeCell ref="H10:I10"/>
    <mergeCell ref="K40:M40"/>
    <mergeCell ref="F36:H36"/>
    <mergeCell ref="B12:C12"/>
    <mergeCell ref="B36:D36"/>
    <mergeCell ref="B28:D28"/>
    <mergeCell ref="F34:H34"/>
    <mergeCell ref="E20:H20"/>
    <mergeCell ref="C26:H26"/>
    <mergeCell ref="E2:H2"/>
    <mergeCell ref="D8:E8"/>
    <mergeCell ref="F8:G8"/>
    <mergeCell ref="H8:I8"/>
    <mergeCell ref="B2:C2"/>
    <mergeCell ref="A42:A43"/>
    <mergeCell ref="F16:G16"/>
    <mergeCell ref="H16:I16"/>
    <mergeCell ref="K34:M34"/>
    <mergeCell ref="F30:H30"/>
    <mergeCell ref="B32:D32"/>
    <mergeCell ref="F32:H32"/>
    <mergeCell ref="C40:E40"/>
    <mergeCell ref="F28:H28"/>
    <mergeCell ref="B30:D30"/>
    <mergeCell ref="K26:M26"/>
    <mergeCell ref="K28:N30"/>
    <mergeCell ref="K32:M32"/>
    <mergeCell ref="K38:M38"/>
    <mergeCell ref="N36:N37"/>
    <mergeCell ref="B38:H38"/>
    <mergeCell ref="K4:N4"/>
    <mergeCell ref="B6:C6"/>
    <mergeCell ref="D6:E6"/>
    <mergeCell ref="F6:G6"/>
    <mergeCell ref="H6:I6"/>
    <mergeCell ref="B4:C4"/>
    <mergeCell ref="D4:I4"/>
  </mergeCells>
  <conditionalFormatting sqref="C43">
    <cfRule type="expression" dxfId="1" priority="1" stopIfTrue="1">
      <formula>$E28="No"</formula>
    </cfRule>
  </conditionalFormatting>
  <dataValidations count="38">
    <dataValidation type="custom" allowBlank="1" showInputMessage="1" showErrorMessage="1" sqref="D5:I5">
      <formula1>ISTEXT(D5:I5)=TRUE</formula1>
    </dataValidation>
    <dataValidation type="list" allowBlank="1" showInputMessage="1" showErrorMessage="1" sqref="I31">
      <formula1>gp</formula1>
    </dataValidation>
    <dataValidation type="list" allowBlank="1" showInputMessage="1" showErrorMessage="1" sqref="I29">
      <formula1>pay</formula1>
    </dataValidation>
    <dataValidation type="list" allowBlank="1" showInputMessage="1" showErrorMessage="1" sqref="E30:E31">
      <formula1>"8,16,20,25"</formula1>
    </dataValidation>
    <dataValidation type="list" allowBlank="1" showInputMessage="1" showErrorMessage="1" sqref="I23">
      <formula1>Month1</formula1>
    </dataValidation>
    <dataValidation type="list" allowBlank="1" showInputMessage="1" showErrorMessage="1" errorTitle="Select month" error="आप माह मार्च 2020 से फ़रवरी 2021 तक ही महीने सलेक्ट कर सकते है।  " sqref="H40 F40">
      <formula1>Month</formula1>
    </dataValidation>
    <dataValidation type="list" allowBlank="1" showInputMessage="1" showErrorMessage="1" sqref="I32:I33">
      <formula1>CCA</formula1>
    </dataValidation>
    <dataValidation type="custom" allowBlank="1" showInputMessage="1" showErrorMessage="1" errorTitle="Please write in Text" error="अरे भाई नाम लिखना हैं ...!   Text में लिखों। " sqref="D6:E7">
      <formula1>ISTEXT(D6)=TRUE</formula1>
    </dataValidation>
    <dataValidation type="textLength" operator="equal" allowBlank="1" showInputMessage="1" showErrorMessage="1" errorTitle="Hello Bhai" error="यहाँ पर 12 अंको में आधार नंबर लिखने है " sqref="H10:I11">
      <formula1>12</formula1>
    </dataValidation>
    <dataValidation type="list" allowBlank="1" showInputMessage="1" showErrorMessage="1" sqref="E25 E27">
      <formula1>"Under 60, Above 60"</formula1>
    </dataValidation>
    <dataValidation type="whole" allowBlank="1" showInputMessage="1" showErrorMessage="1" errorTitle="write here Only in Digit" error="भाई लेवल को केवल 1 से  24 तक नंबर में  ही लिखें" sqref="I34">
      <formula1>1</formula1>
      <formula2>24</formula2>
    </dataValidation>
    <dataValidation type="custom" allowBlank="1" showInputMessage="1" showErrorMessage="1" sqref="D4:I4 D17:E17">
      <formula1>ISTEXT(D4)=TRUE</formula1>
    </dataValidation>
    <dataValidation type="custom" allowBlank="1" showInputMessage="1" showErrorMessage="1" errorTitle="Write in Words" error="स्कूल का नाम शब्दों में लिखों सा । " sqref="D8:E9">
      <formula1>ISTEXT(D8)=TRUE</formula1>
    </dataValidation>
    <dataValidation type="custom" allowBlank="1" showInputMessage="1" showErrorMessage="1" errorTitle="Write DDO Name in Words" error="डीडीओ साहब का नाम शब्दों में आयेगा सा । " sqref="H8:I9">
      <formula1>ISTEXT(H8)=TRUE</formula1>
    </dataValidation>
    <dataValidation type="custom" allowBlank="1" showInputMessage="1" showErrorMessage="1" errorTitle="SI No. Write in Digit" error="सर जी  SI  नंबर अंकों में लिखें जायेंगे।  " sqref="H14:I15">
      <formula1>ISNUMBER(H14)=TRUE</formula1>
    </dataValidation>
    <dataValidation type="custom" allowBlank="1" showInputMessage="1" showErrorMessage="1" errorTitle="Write in Words" error="पद को शब्दों में लिखों सा । " sqref="H6:I7">
      <formula1>ISTEXT(H6)=TRUE</formula1>
    </dataValidation>
    <dataValidation type="custom" allowBlank="1" showInputMessage="1" showErrorMessage="1" errorTitle="GPF No. Write in Digit" error="भाई साहब GPF नंबर अंकों में लिखते हैं ।" sqref="D14:E15">
      <formula1>ISNUMBER(D14)=TRUE</formula1>
    </dataValidation>
    <dataValidation type="list" allowBlank="1" showInputMessage="1" showErrorMessage="1" error="केवल हाँ अथवा ना सलेक्ट करें।" sqref="E32:E33 N36 N34 E22:E23 N43 I27 N26 N32 N40 I25">
      <formula1>ye</formula1>
    </dataValidation>
    <dataValidation type="custom" allowBlank="1" showInputMessage="1" showErrorMessage="1" sqref="E29">
      <formula1>ISNUMBER(E29)=TRUE</formula1>
    </dataValidation>
    <dataValidation type="custom" allowBlank="1" showInputMessage="1" showErrorMessage="1" errorTitle="Write in Digit" error="अंकल सैलरी अंको में लिखी जाती हैं। " sqref="E36 I36">
      <formula1>ISNUMBER(E36)=TRUE</formula1>
    </dataValidation>
    <dataValidation type="custom" allowBlank="1" showInputMessage="1" showErrorMessage="1" errorTitle="Write in Digit" error="अंको में  लिखों सा। " sqref="B47:M47 B43 E43:M43 O43">
      <formula1>ISNUMBER(B43)=TRUE</formula1>
    </dataValidation>
    <dataValidation type="list" allowBlank="1" showInputMessage="1" showErrorMessage="1" errorTitle="Select Yes/No" error="केवल हाँ अथवा ना सलेक्ट करें।" sqref="H18:I18">
      <formula1>ye</formula1>
    </dataValidation>
    <dataValidation type="list" allowBlank="1" showInputMessage="1" showErrorMessage="1" errorTitle="Select GPF / NPS" error="सलेक्ट बटन में से GPF / NPS  चुनें।  " sqref="I30">
      <formula1>"GPF, NPS"</formula1>
    </dataValidation>
    <dataValidation type="list" allowBlank="1" showInputMessage="1" showErrorMessage="1" errorTitle="Select Regular Pay / Fix Pay" error="सलेक्ट बटन में से Regular Pay / Fix Pay  चुनें।  " sqref="I28">
      <formula1>pay</formula1>
    </dataValidation>
    <dataValidation type="list" allowBlank="1" showInputMessage="1" showErrorMessage="1" errorTitle="Select Month" error="सलेक्ट बटन में से Month  चुनें।  " sqref="I22">
      <formula1>Month1</formula1>
    </dataValidation>
    <dataValidation type="list" allowBlank="1" showInputMessage="1" showErrorMessage="1" sqref="E24">
      <formula1>"Under 60, Above 60, Above 80"</formula1>
    </dataValidation>
    <dataValidation type="textLength" operator="equal" allowBlank="1" showInputMessage="1" showErrorMessage="1" errorTitle="write employee ID" error="भाई साहब  एम्प्लोयी आई डी 16 डिजिट में लिखी जाती है। " sqref="D10:E10">
      <formula1>16</formula1>
    </dataValidation>
    <dataValidation type="textLength" operator="equal" allowBlank="1" showInputMessage="1" showErrorMessage="1" errorTitle="Write PAN no. 10 Digit" error="भाई साहब  पैन नंबर 10 डिजिट में  लिखे जायेंगे ।" sqref="D12:E12">
      <formula1>10</formula1>
    </dataValidation>
    <dataValidation type="whole" operator="lessThanOrEqual" allowBlank="1" showInputMessage="1" showErrorMessage="1" errorTitle="Write in Digit" error="विकलांग भत्ता अधिकतम 600 रुपये ही मिलता है।  " sqref="E28">
      <formula1>600</formula1>
    </dataValidation>
    <dataValidation type="custom" allowBlank="1" showInputMessage="1" showErrorMessage="1" errorTitle="Fill here PRAN No." error="write here  PRAN No. in Digit" sqref="D16:E16">
      <formula1>ISNUMBER(D16)=TRUE</formula1>
    </dataValidation>
    <dataValidation type="custom" allowBlank="1" showInputMessage="1" showErrorMessage="1" errorTitle="Fill here A./ C. No." error="write here  Bank Account No. in Digit" sqref="H16:I16">
      <formula1>ISNUMBER(H16)=TRUE</formula1>
    </dataValidation>
    <dataValidation type="list" allowBlank="1" showInputMessage="1" showErrorMessage="1" errorTitle="Select month" error="आप माह मार्च 2020 से फ़रवरी 2021 तक ही महीने सलेक्ट कर सकते है।  " sqref="I38">
      <formula1>Month</formula1>
    </dataValidation>
    <dataValidation type="list" allowBlank="1" showInputMessage="1" showErrorMessage="1" errorTitle="Select month" error="आप माह मार्च 2020 से फ़रवरी 2021 तक ही महीने सलेक्ट कर सकते है।  " sqref="I26">
      <formula1>$AC$1:$AC$12</formula1>
    </dataValidation>
    <dataValidation type="list" allowBlank="1" showInputMessage="1" showErrorMessage="1" errorTitle="Select Gazetted / Non-gazetted" error="राजपत्रित अधिकारी होने पर Gazetted और अराजपत्रित होने पर Non-Gazetted सलेक्ट करें।" sqref="D18:E18">
      <formula1>"Gazetted, Non-Gazetted"</formula1>
    </dataValidation>
    <dataValidation type="list" allowBlank="1" showInputMessage="1" showErrorMessage="1" sqref="E34">
      <formula1>"9,18,20,22,25,30"</formula1>
    </dataValidation>
    <dataValidation type="list" allowBlank="1" showInputMessage="1" showErrorMessage="1" sqref="N38">
      <formula1>"220, 700, 1400, 2100"</formula1>
    </dataValidation>
    <dataValidation type="custom" allowBlank="1" showInputMessage="1" showErrorMessage="1" errorTitle="First Select Handi. All. &quot;Yes&quot;" error="विकलांग भत्ता के कॉलम में YES करने पर ही इस कॉलम में राशि लिख पायेंगे I" sqref="C43">
      <formula1>E28="Yes"</formula1>
    </dataValidation>
    <dataValidation type="list" allowBlank="1" showInputMessage="1" showErrorMessage="1" error="केवल हाँ अथवा ना सलेक्ट करें।" sqref="I24">
      <formula1>ye</formula1>
    </dataValidation>
  </dataValidations>
  <hyperlinks>
    <hyperlink ref="L44" r:id="rId1"/>
    <hyperlink ref="B2" r:id="rId2"/>
    <hyperlink ref="M49" r:id="rId3"/>
  </hyperlinks>
  <pageMargins left="0.7" right="0.7" top="0.75" bottom="0.75" header="0.3" footer="0.3"/>
  <pageSetup orientation="portrait" horizontalDpi="300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/>
  <dimension ref="A1:K30"/>
  <sheetViews>
    <sheetView showGridLines="0" showRowColHeaders="0" workbookViewId="0">
      <selection activeCell="E13" sqref="E13"/>
    </sheetView>
  </sheetViews>
  <sheetFormatPr defaultColWidth="0" defaultRowHeight="15" zeroHeight="1"/>
  <cols>
    <col min="1" max="1" width="9" style="30" customWidth="1"/>
    <col min="2" max="2" width="3.5" style="30" customWidth="1"/>
    <col min="3" max="3" width="59" style="30" customWidth="1"/>
    <col min="4" max="4" width="6.25" style="30" customWidth="1"/>
    <col min="5" max="5" width="18.625" style="30" customWidth="1"/>
    <col min="6" max="6" width="3.375" style="30" customWidth="1"/>
    <col min="7" max="7" width="70.75" style="30" customWidth="1"/>
    <col min="8" max="8" width="8.125" style="30" customWidth="1"/>
    <col min="9" max="9" width="16.625" style="30" customWidth="1"/>
    <col min="10" max="10" width="3.375" style="30" customWidth="1"/>
    <col min="11" max="11" width="9" style="30" customWidth="1"/>
    <col min="12" max="16384" width="9" style="30" hidden="1"/>
  </cols>
  <sheetData>
    <row r="1" spans="1:11" ht="37.5" customHeight="1">
      <c r="A1" s="381" t="s">
        <v>272</v>
      </c>
      <c r="B1" s="382"/>
      <c r="C1" s="382"/>
      <c r="D1" s="142"/>
      <c r="E1" s="142"/>
      <c r="F1" s="142"/>
      <c r="G1" s="142"/>
      <c r="H1" s="142"/>
      <c r="I1" s="142"/>
      <c r="J1" s="142"/>
      <c r="K1" s="142"/>
    </row>
    <row r="2" spans="1:11" ht="18.75" customHeight="1">
      <c r="A2" s="142"/>
      <c r="B2" s="383" t="s">
        <v>273</v>
      </c>
      <c r="C2" s="383"/>
      <c r="D2" s="142"/>
      <c r="E2" s="142"/>
      <c r="F2" s="142"/>
      <c r="G2" s="142"/>
      <c r="H2" s="142"/>
      <c r="I2" s="142"/>
      <c r="J2" s="142"/>
      <c r="K2" s="142"/>
    </row>
    <row r="3" spans="1:11" ht="27" customHeight="1">
      <c r="A3" s="142"/>
      <c r="B3" s="142"/>
      <c r="C3" s="384" t="s">
        <v>392</v>
      </c>
      <c r="D3" s="384"/>
      <c r="E3" s="384"/>
      <c r="F3" s="384"/>
      <c r="G3" s="384"/>
      <c r="H3" s="384"/>
      <c r="I3" s="384"/>
      <c r="J3" s="142"/>
      <c r="K3" s="142"/>
    </row>
    <row r="4" spans="1:11" ht="15.75" customHeight="1">
      <c r="A4" s="142"/>
      <c r="B4" s="142"/>
      <c r="C4" s="142"/>
      <c r="D4" s="142"/>
      <c r="E4" s="142"/>
      <c r="F4" s="142"/>
      <c r="G4" s="142"/>
      <c r="H4" s="142"/>
      <c r="I4" s="142"/>
      <c r="J4" s="142"/>
      <c r="K4" s="142"/>
    </row>
    <row r="5" spans="1:11" ht="15.75" customHeight="1">
      <c r="A5" s="142"/>
      <c r="B5" s="143"/>
      <c r="C5" s="144"/>
      <c r="D5" s="144"/>
      <c r="E5" s="144"/>
      <c r="F5" s="144"/>
      <c r="G5" s="144"/>
      <c r="H5" s="144"/>
      <c r="I5" s="144"/>
      <c r="J5" s="143"/>
      <c r="K5" s="142"/>
    </row>
    <row r="6" spans="1:11" ht="24.95" customHeight="1">
      <c r="A6" s="142"/>
      <c r="B6" s="145"/>
      <c r="C6" s="377" t="s">
        <v>393</v>
      </c>
      <c r="D6" s="378"/>
      <c r="E6" s="146">
        <v>0</v>
      </c>
      <c r="F6" s="385"/>
      <c r="G6" s="386" t="s">
        <v>397</v>
      </c>
      <c r="H6" s="386"/>
      <c r="I6" s="146"/>
      <c r="J6" s="390"/>
      <c r="K6" s="142"/>
    </row>
    <row r="7" spans="1:11" ht="24.95" customHeight="1">
      <c r="A7" s="142"/>
      <c r="B7" s="145"/>
      <c r="C7" s="392" t="s">
        <v>374</v>
      </c>
      <c r="D7" s="393"/>
      <c r="E7" s="146">
        <v>50000</v>
      </c>
      <c r="F7" s="385"/>
      <c r="G7" s="386" t="s">
        <v>398</v>
      </c>
      <c r="H7" s="386"/>
      <c r="I7" s="146"/>
      <c r="J7" s="390"/>
      <c r="K7" s="142"/>
    </row>
    <row r="8" spans="1:11" ht="24.95" customHeight="1">
      <c r="A8" s="142"/>
      <c r="B8" s="145"/>
      <c r="C8" s="392" t="s">
        <v>375</v>
      </c>
      <c r="D8" s="393"/>
      <c r="E8" s="146"/>
      <c r="F8" s="385"/>
      <c r="G8" s="387" t="s">
        <v>396</v>
      </c>
      <c r="H8" s="387"/>
      <c r="I8" s="146"/>
      <c r="J8" s="390"/>
      <c r="K8" s="142"/>
    </row>
    <row r="9" spans="1:11" ht="24.95" customHeight="1">
      <c r="A9" s="142"/>
      <c r="B9" s="145"/>
      <c r="C9" s="392" t="s">
        <v>378</v>
      </c>
      <c r="D9" s="393"/>
      <c r="E9" s="146"/>
      <c r="F9" s="385"/>
      <c r="G9" s="387" t="s">
        <v>399</v>
      </c>
      <c r="H9" s="387"/>
      <c r="I9" s="146"/>
      <c r="J9" s="390"/>
      <c r="K9" s="142"/>
    </row>
    <row r="10" spans="1:11" ht="24.95" customHeight="1">
      <c r="A10" s="142"/>
      <c r="B10" s="145"/>
      <c r="C10" s="392" t="s">
        <v>379</v>
      </c>
      <c r="D10" s="393"/>
      <c r="E10" s="146"/>
      <c r="F10" s="385"/>
      <c r="G10" s="387" t="s">
        <v>419</v>
      </c>
      <c r="H10" s="387"/>
      <c r="I10" s="146"/>
      <c r="J10" s="390"/>
      <c r="K10" s="142"/>
    </row>
    <row r="11" spans="1:11" ht="33" customHeight="1">
      <c r="A11" s="142"/>
      <c r="B11" s="145"/>
      <c r="C11" s="392" t="s">
        <v>380</v>
      </c>
      <c r="D11" s="393"/>
      <c r="E11" s="146"/>
      <c r="F11" s="385"/>
      <c r="G11" s="388" t="s">
        <v>400</v>
      </c>
      <c r="H11" s="388"/>
      <c r="I11" s="146"/>
      <c r="J11" s="390"/>
      <c r="K11" s="142"/>
    </row>
    <row r="12" spans="1:11" ht="24.95" customHeight="1">
      <c r="A12" s="142"/>
      <c r="B12" s="145"/>
      <c r="C12" s="394" t="s">
        <v>381</v>
      </c>
      <c r="D12" s="395"/>
      <c r="E12" s="146"/>
      <c r="F12" s="385"/>
      <c r="G12" s="386" t="s">
        <v>401</v>
      </c>
      <c r="H12" s="386"/>
      <c r="I12" s="146"/>
      <c r="J12" s="390"/>
      <c r="K12" s="142"/>
    </row>
    <row r="13" spans="1:11" ht="24.95" customHeight="1">
      <c r="A13" s="142"/>
      <c r="B13" s="145"/>
      <c r="C13" s="396" t="s">
        <v>382</v>
      </c>
      <c r="D13" s="397"/>
      <c r="E13" s="146"/>
      <c r="F13" s="385"/>
      <c r="G13" s="386" t="s">
        <v>402</v>
      </c>
      <c r="H13" s="386"/>
      <c r="I13" s="146"/>
      <c r="J13" s="390"/>
      <c r="K13" s="142"/>
    </row>
    <row r="14" spans="1:11" ht="24.95" customHeight="1">
      <c r="A14" s="142"/>
      <c r="B14" s="145"/>
      <c r="C14" s="398" t="s">
        <v>394</v>
      </c>
      <c r="D14" s="399"/>
      <c r="E14" s="146"/>
      <c r="F14" s="385"/>
      <c r="G14" s="388" t="s">
        <v>405</v>
      </c>
      <c r="H14" s="388"/>
      <c r="I14" s="146">
        <v>50000</v>
      </c>
      <c r="J14" s="390"/>
      <c r="K14" s="142"/>
    </row>
    <row r="15" spans="1:11" ht="24.95" customHeight="1">
      <c r="A15" s="142"/>
      <c r="B15" s="145"/>
      <c r="C15" s="400" t="s">
        <v>383</v>
      </c>
      <c r="D15" s="401"/>
      <c r="E15" s="146"/>
      <c r="F15" s="385"/>
      <c r="G15" s="386" t="s">
        <v>404</v>
      </c>
      <c r="H15" s="386"/>
      <c r="I15" s="146"/>
      <c r="J15" s="390"/>
      <c r="K15" s="142"/>
    </row>
    <row r="16" spans="1:11" ht="24.95" customHeight="1">
      <c r="A16" s="142"/>
      <c r="B16" s="145"/>
      <c r="C16" s="400" t="s">
        <v>384</v>
      </c>
      <c r="D16" s="401"/>
      <c r="E16" s="146"/>
      <c r="F16" s="385"/>
      <c r="G16" s="386" t="s">
        <v>403</v>
      </c>
      <c r="H16" s="386"/>
      <c r="I16" s="146"/>
      <c r="J16" s="390"/>
      <c r="K16" s="142"/>
    </row>
    <row r="17" spans="1:11" ht="24.95" customHeight="1">
      <c r="A17" s="142"/>
      <c r="B17" s="145"/>
      <c r="C17" s="400" t="s">
        <v>385</v>
      </c>
      <c r="D17" s="401"/>
      <c r="E17" s="146"/>
      <c r="F17" s="385"/>
      <c r="G17" s="386" t="s">
        <v>406</v>
      </c>
      <c r="H17" s="386"/>
      <c r="I17" s="146"/>
      <c r="J17" s="390"/>
      <c r="K17" s="142"/>
    </row>
    <row r="18" spans="1:11" ht="24.95" customHeight="1">
      <c r="A18" s="142"/>
      <c r="B18" s="145"/>
      <c r="C18" s="400" t="s">
        <v>386</v>
      </c>
      <c r="D18" s="401"/>
      <c r="E18" s="146"/>
      <c r="F18" s="385"/>
      <c r="G18" s="386" t="s">
        <v>407</v>
      </c>
      <c r="H18" s="386"/>
      <c r="I18" s="146"/>
      <c r="J18" s="390"/>
      <c r="K18" s="142"/>
    </row>
    <row r="19" spans="1:11" ht="24.95" customHeight="1">
      <c r="A19" s="142"/>
      <c r="B19" s="145"/>
      <c r="C19" s="400" t="s">
        <v>387</v>
      </c>
      <c r="D19" s="401"/>
      <c r="E19" s="146"/>
      <c r="F19" s="385"/>
      <c r="G19" s="386" t="s">
        <v>408</v>
      </c>
      <c r="H19" s="386"/>
      <c r="I19" s="254">
        <f>SUM(E25)+ ROUND(I25/2,0)</f>
        <v>0</v>
      </c>
      <c r="J19" s="390"/>
      <c r="K19" s="142"/>
    </row>
    <row r="20" spans="1:11" ht="24.95" customHeight="1">
      <c r="A20" s="142"/>
      <c r="B20" s="145"/>
      <c r="C20" s="400" t="s">
        <v>388</v>
      </c>
      <c r="D20" s="401"/>
      <c r="E20" s="146"/>
      <c r="F20" s="385"/>
      <c r="G20" s="386" t="s">
        <v>409</v>
      </c>
      <c r="H20" s="386"/>
      <c r="I20" s="146"/>
      <c r="J20" s="390"/>
      <c r="K20" s="142"/>
    </row>
    <row r="21" spans="1:11" ht="24.95" customHeight="1">
      <c r="A21" s="142"/>
      <c r="B21" s="145"/>
      <c r="C21" s="400" t="s">
        <v>389</v>
      </c>
      <c r="D21" s="401"/>
      <c r="E21" s="146"/>
      <c r="F21" s="385"/>
      <c r="G21" s="391" t="s">
        <v>410</v>
      </c>
      <c r="H21" s="391"/>
      <c r="I21" s="146">
        <v>1500</v>
      </c>
      <c r="J21" s="390"/>
      <c r="K21" s="142"/>
    </row>
    <row r="22" spans="1:11" ht="24.95" customHeight="1">
      <c r="A22" s="142"/>
      <c r="B22" s="145"/>
      <c r="C22" s="400" t="s">
        <v>395</v>
      </c>
      <c r="D22" s="401"/>
      <c r="E22" s="146"/>
      <c r="F22" s="385"/>
      <c r="G22" s="386" t="s">
        <v>411</v>
      </c>
      <c r="H22" s="386"/>
      <c r="I22" s="146"/>
      <c r="J22" s="390"/>
      <c r="K22" s="142"/>
    </row>
    <row r="23" spans="1:11" ht="24.95" customHeight="1">
      <c r="A23" s="142"/>
      <c r="B23" s="145"/>
      <c r="C23" s="400" t="s">
        <v>390</v>
      </c>
      <c r="D23" s="401"/>
      <c r="E23" s="146"/>
      <c r="F23" s="385"/>
      <c r="G23" s="402" t="s">
        <v>412</v>
      </c>
      <c r="H23" s="403"/>
      <c r="I23" s="146"/>
      <c r="J23" s="390"/>
      <c r="K23" s="142"/>
    </row>
    <row r="24" spans="1:11" ht="24.95" customHeight="1">
      <c r="A24" s="142"/>
      <c r="B24" s="145"/>
      <c r="C24" s="400" t="s">
        <v>391</v>
      </c>
      <c r="D24" s="401"/>
      <c r="E24" s="146"/>
      <c r="F24" s="385"/>
      <c r="G24" s="379" t="s">
        <v>413</v>
      </c>
      <c r="H24" s="380"/>
      <c r="I24" s="146">
        <v>0</v>
      </c>
      <c r="J24" s="390"/>
      <c r="K24" s="142"/>
    </row>
    <row r="25" spans="1:11" ht="24.95" customHeight="1">
      <c r="A25" s="142"/>
      <c r="B25" s="145"/>
      <c r="C25" s="250" t="s">
        <v>417</v>
      </c>
      <c r="D25" s="250"/>
      <c r="E25" s="253"/>
      <c r="F25" s="251"/>
      <c r="G25" s="249" t="s">
        <v>418</v>
      </c>
      <c r="H25" s="249"/>
      <c r="I25" s="253"/>
      <c r="J25" s="252"/>
      <c r="K25" s="142"/>
    </row>
    <row r="26" spans="1:11" ht="16.5" customHeight="1">
      <c r="A26" s="142"/>
      <c r="B26" s="143"/>
      <c r="C26" s="389"/>
      <c r="D26" s="389"/>
      <c r="E26" s="389"/>
      <c r="F26" s="389"/>
      <c r="G26" s="389"/>
      <c r="H26" s="389"/>
      <c r="I26" s="389"/>
      <c r="J26" s="143"/>
      <c r="K26" s="142"/>
    </row>
    <row r="27" spans="1:11">
      <c r="A27" s="142"/>
      <c r="B27" s="142"/>
      <c r="C27" s="142"/>
      <c r="D27" s="142"/>
      <c r="E27" s="142"/>
      <c r="F27" s="142"/>
      <c r="G27" s="142"/>
      <c r="H27" s="142"/>
      <c r="I27" s="142"/>
      <c r="J27" s="142"/>
      <c r="K27" s="142"/>
    </row>
    <row r="28" spans="1:11">
      <c r="A28" s="142"/>
      <c r="B28" s="142"/>
      <c r="C28" s="142"/>
      <c r="D28" s="142"/>
      <c r="E28" s="142"/>
      <c r="F28" s="142"/>
      <c r="G28" s="142"/>
      <c r="H28" s="142"/>
      <c r="I28" s="142"/>
      <c r="J28" s="142"/>
      <c r="K28" s="142"/>
    </row>
    <row r="29" spans="1:11">
      <c r="A29" s="142"/>
      <c r="B29" s="142"/>
      <c r="C29" s="142"/>
      <c r="D29" s="142"/>
      <c r="E29" s="142"/>
      <c r="F29" s="142"/>
      <c r="G29" s="142"/>
      <c r="H29" s="142"/>
      <c r="I29" s="142"/>
      <c r="J29" s="142"/>
      <c r="K29" s="142"/>
    </row>
    <row r="30" spans="1:11">
      <c r="A30" s="142"/>
      <c r="B30" s="142"/>
      <c r="C30" s="142"/>
      <c r="D30" s="142"/>
      <c r="E30" s="142"/>
      <c r="F30" s="142"/>
      <c r="G30" s="142"/>
      <c r="H30" s="142"/>
      <c r="I30" s="142"/>
      <c r="J30" s="142"/>
      <c r="K30" s="142"/>
    </row>
  </sheetData>
  <sheetProtection password="C1FB" sheet="1" objects="1" scenarios="1" selectLockedCells="1"/>
  <mergeCells count="44">
    <mergeCell ref="C24:D24"/>
    <mergeCell ref="C18:D18"/>
    <mergeCell ref="C19:D19"/>
    <mergeCell ref="C20:D20"/>
    <mergeCell ref="C21:D21"/>
    <mergeCell ref="C22:D22"/>
    <mergeCell ref="C17:D17"/>
    <mergeCell ref="G23:H23"/>
    <mergeCell ref="G17:H17"/>
    <mergeCell ref="G18:H18"/>
    <mergeCell ref="G19:H19"/>
    <mergeCell ref="C23:D23"/>
    <mergeCell ref="G16:H16"/>
    <mergeCell ref="G7:H7"/>
    <mergeCell ref="C26:I26"/>
    <mergeCell ref="J6:J24"/>
    <mergeCell ref="G21:H21"/>
    <mergeCell ref="G22:H22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6:D6"/>
    <mergeCell ref="G24:H24"/>
    <mergeCell ref="A1:C1"/>
    <mergeCell ref="B2:C2"/>
    <mergeCell ref="C3:I3"/>
    <mergeCell ref="F6:F24"/>
    <mergeCell ref="G20:H20"/>
    <mergeCell ref="G6:H6"/>
    <mergeCell ref="G8:H8"/>
    <mergeCell ref="G9:H9"/>
    <mergeCell ref="G10:H10"/>
    <mergeCell ref="G11:H11"/>
    <mergeCell ref="G12:H12"/>
    <mergeCell ref="G13:H13"/>
    <mergeCell ref="G14:H14"/>
    <mergeCell ref="G15:H15"/>
  </mergeCells>
  <dataValidations count="3">
    <dataValidation type="custom" allowBlank="1" showInputMessage="1" showErrorMessage="1" errorTitle="write Digit in only" error="Please input Data in Digit Only" sqref="I6:I25">
      <formula1>ISNUMBER(I6)=TRUE</formula1>
    </dataValidation>
    <dataValidation type="custom" allowBlank="1" showInputMessage="1" showErrorMessage="1" errorTitle="Write in Digit only" error="Please input Data  in Digit / Number only" sqref="E7:E25">
      <formula1>ISNUMBER(E7)=TRUE</formula1>
    </dataValidation>
    <dataValidation type="custom" allowBlank="1" showInputMessage="1" showErrorMessage="1" errorTitle="write in Digit only" error="Please input Data in Number uncle" sqref="E6">
      <formula1>ISNUMBER(E6)=TRUE</formula1>
    </dataValidation>
  </dataValidations>
  <hyperlinks>
    <hyperlink ref="A1" r:id="rId1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6"/>
  <dimension ref="A1:CD41"/>
  <sheetViews>
    <sheetView showGridLines="0" view="pageBreakPreview" zoomScaleSheetLayoutView="100" workbookViewId="0">
      <selection activeCell="AD11" sqref="AD11"/>
    </sheetView>
  </sheetViews>
  <sheetFormatPr defaultColWidth="9.125" defaultRowHeight="21"/>
  <cols>
    <col min="1" max="1" width="4" style="39" customWidth="1"/>
    <col min="2" max="2" width="12.125" style="39" customWidth="1"/>
    <col min="3" max="3" width="7.75" style="39" customWidth="1"/>
    <col min="4" max="4" width="6.625" style="39" customWidth="1"/>
    <col min="5" max="5" width="5.625" style="39" customWidth="1"/>
    <col min="6" max="6" width="5.75" style="39" customWidth="1"/>
    <col min="7" max="7" width="5.375" style="39" customWidth="1"/>
    <col min="8" max="8" width="5.25" style="39" customWidth="1"/>
    <col min="9" max="9" width="6.25" style="39" customWidth="1"/>
    <col min="10" max="10" width="6.375" style="39" customWidth="1"/>
    <col min="11" max="12" width="5.875" style="39" customWidth="1"/>
    <col min="13" max="13" width="7.625" style="39" customWidth="1"/>
    <col min="14" max="14" width="5.25" style="39" customWidth="1"/>
    <col min="15" max="15" width="5.375" style="39" customWidth="1"/>
    <col min="16" max="16" width="5.25" style="39" customWidth="1"/>
    <col min="17" max="17" width="5.625" style="39" customWidth="1"/>
    <col min="18" max="18" width="5.75" style="39" customWidth="1"/>
    <col min="19" max="20" width="5.25" style="39" customWidth="1"/>
    <col min="21" max="21" width="5.5" style="39" customWidth="1"/>
    <col min="22" max="22" width="5.625" style="39" customWidth="1"/>
    <col min="23" max="25" width="5.75" style="39" customWidth="1"/>
    <col min="26" max="26" width="7.75" style="39" customWidth="1"/>
    <col min="27" max="27" width="8" style="63" customWidth="1"/>
    <col min="28" max="28" width="7.125" style="63" customWidth="1"/>
    <col min="29" max="29" width="8.25" style="30" customWidth="1"/>
    <col min="30" max="32" width="9.125" style="30" customWidth="1"/>
    <col min="33" max="33" width="22.625" style="39" customWidth="1"/>
    <col min="34" max="34" width="9.125" style="30" customWidth="1"/>
    <col min="35" max="35" width="10.875" style="30" customWidth="1"/>
    <col min="36" max="37" width="9.125" style="30" customWidth="1"/>
    <col min="38" max="38" width="9.125" style="273" customWidth="1"/>
    <col min="39" max="41" width="9.125" style="274" hidden="1" customWidth="1"/>
    <col min="42" max="42" width="12.75" style="274" hidden="1" customWidth="1"/>
    <col min="43" max="43" width="10.25" style="274" hidden="1" customWidth="1"/>
    <col min="44" max="44" width="9.875" style="274" hidden="1" customWidth="1"/>
    <col min="45" max="47" width="9.125" style="274" hidden="1" customWidth="1"/>
    <col min="48" max="48" width="10.125" style="274" hidden="1" customWidth="1"/>
    <col min="49" max="49" width="5.625" style="275" hidden="1" customWidth="1"/>
    <col min="50" max="50" width="8.75" style="275" hidden="1" customWidth="1"/>
    <col min="51" max="51" width="7.25" style="275" hidden="1" customWidth="1"/>
    <col min="52" max="52" width="9" style="275" hidden="1" customWidth="1"/>
    <col min="53" max="53" width="6.25" style="275" hidden="1" customWidth="1"/>
    <col min="54" max="54" width="5.625" style="275" hidden="1" customWidth="1"/>
    <col min="55" max="55" width="6.5" style="275" hidden="1" customWidth="1"/>
    <col min="56" max="57" width="6.375" style="275" hidden="1" customWidth="1"/>
    <col min="58" max="62" width="5.625" style="275" hidden="1" customWidth="1"/>
    <col min="63" max="64" width="9.375" style="274" hidden="1" customWidth="1"/>
    <col min="65" max="81" width="9.125" style="274" hidden="1" customWidth="1"/>
    <col min="82" max="82" width="9.125" style="269" customWidth="1"/>
    <col min="83" max="85" width="9.125" style="30" customWidth="1"/>
    <col min="86" max="86" width="8.375" style="30" customWidth="1"/>
    <col min="87" max="271" width="9.125" style="30" customWidth="1"/>
    <col min="272" max="16384" width="9.125" style="30"/>
  </cols>
  <sheetData>
    <row r="1" spans="1:82" ht="27.75" customHeight="1">
      <c r="A1" s="38"/>
      <c r="B1" s="410" t="str">
        <f>IF(AND('Master Data'!D4=""),"",CONCATENATE("Office Name :- ",PROPER('Master Data'!D4)))</f>
        <v>Office Name :- Mahatma Gandhi Govt. School (English Medium) Bar, Pali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  <c r="V1" s="410"/>
      <c r="W1" s="410"/>
      <c r="X1" s="410"/>
      <c r="Y1" s="410"/>
      <c r="Z1" s="410"/>
      <c r="AA1" s="425"/>
      <c r="AB1" s="425"/>
      <c r="AC1" s="426"/>
      <c r="AW1" s="275" t="s">
        <v>423</v>
      </c>
      <c r="AZ1" s="275">
        <f>IF('Master Data'!I34&gt;9,ROUND(AZ3/31*15,0),IF('Master Data'!D18=#REF!,ROUND(AZ3/31*15,0),IF('Master Data'!I34&gt;=5,ROUND(AZ3/31*22,0),AZ3)))</f>
        <v>23855</v>
      </c>
    </row>
    <row r="2" spans="1:82" s="40" customFormat="1" ht="25.5" customHeight="1">
      <c r="A2" s="427" t="s">
        <v>102</v>
      </c>
      <c r="B2" s="428"/>
      <c r="C2" s="428"/>
      <c r="D2" s="429" t="str">
        <f>UPPER(IF('Master Data'!D6="","",'Master Data'!D6))</f>
        <v>HEERALAL JAT</v>
      </c>
      <c r="E2" s="429"/>
      <c r="F2" s="429"/>
      <c r="G2" s="429"/>
      <c r="H2" s="429"/>
      <c r="I2" s="433" t="s">
        <v>22</v>
      </c>
      <c r="J2" s="433"/>
      <c r="K2" s="433"/>
      <c r="L2" s="433"/>
      <c r="M2" s="430" t="str">
        <f>UPPER(IF('Master Data'!H6="","",'Master Data'!H6))</f>
        <v>SR TEACHER</v>
      </c>
      <c r="N2" s="430"/>
      <c r="O2" s="430"/>
      <c r="P2" s="430"/>
      <c r="Q2" s="428" t="s">
        <v>25</v>
      </c>
      <c r="R2" s="428"/>
      <c r="S2" s="428"/>
      <c r="T2" s="428"/>
      <c r="U2" s="430" t="str">
        <f>UPPER(IF('Master Data'!D8="","",'Master Data'!D8))</f>
        <v>M.G.G.S. BAR</v>
      </c>
      <c r="V2" s="430"/>
      <c r="W2" s="430"/>
      <c r="X2" s="430"/>
      <c r="Y2" s="430"/>
      <c r="Z2" s="430"/>
      <c r="AA2" s="430"/>
      <c r="AB2" s="431" t="s">
        <v>369</v>
      </c>
      <c r="AC2" s="432"/>
      <c r="AG2" s="41"/>
      <c r="AL2" s="276"/>
      <c r="AM2" s="274"/>
      <c r="AN2" s="274"/>
      <c r="AO2" s="274"/>
      <c r="AP2" s="274"/>
      <c r="AQ2" s="274"/>
      <c r="AR2" s="274"/>
      <c r="AS2" s="274"/>
      <c r="AT2" s="274"/>
      <c r="AU2" s="274"/>
      <c r="AV2" s="274"/>
      <c r="AW2" s="275"/>
      <c r="AX2" s="275"/>
      <c r="AY2" s="275"/>
      <c r="AZ2" s="275"/>
      <c r="BA2" s="275"/>
      <c r="BB2" s="275"/>
      <c r="BC2" s="275"/>
      <c r="BD2" s="275"/>
      <c r="BE2" s="275"/>
      <c r="BF2" s="275"/>
      <c r="BG2" s="275"/>
      <c r="BH2" s="275"/>
      <c r="BI2" s="275"/>
      <c r="BJ2" s="275"/>
      <c r="BK2" s="274"/>
      <c r="BL2" s="274"/>
      <c r="BM2" s="274"/>
      <c r="BN2" s="274"/>
      <c r="BO2" s="274"/>
      <c r="BP2" s="274"/>
      <c r="BQ2" s="274"/>
      <c r="BR2" s="274"/>
      <c r="BS2" s="274"/>
      <c r="BT2" s="274"/>
      <c r="BU2" s="274"/>
      <c r="BV2" s="274"/>
      <c r="BW2" s="274"/>
      <c r="BX2" s="274"/>
      <c r="BY2" s="274"/>
      <c r="BZ2" s="274"/>
      <c r="CA2" s="274"/>
      <c r="CB2" s="274"/>
      <c r="CC2" s="274"/>
      <c r="CD2" s="270"/>
    </row>
    <row r="3" spans="1:82" s="40" customFormat="1" ht="23.25" customHeight="1">
      <c r="A3" s="420" t="s">
        <v>107</v>
      </c>
      <c r="B3" s="421"/>
      <c r="C3" s="422" t="str">
        <f>UPPER(IF('Master Data'!D12="","",'Master Data'!D12))</f>
        <v>ABCDE1234H</v>
      </c>
      <c r="D3" s="422"/>
      <c r="E3" s="422"/>
      <c r="F3" s="64" t="s">
        <v>108</v>
      </c>
      <c r="G3" s="422">
        <f>IF(AND('Master Data'!H14=""),"",'Master Data'!H14)</f>
        <v>123456</v>
      </c>
      <c r="H3" s="422"/>
      <c r="I3" s="422"/>
      <c r="J3" s="42" t="s">
        <v>4</v>
      </c>
      <c r="K3" s="423">
        <f>IF(AND('Master Data'!D14=""),"",'Master Data'!D14)</f>
        <v>11</v>
      </c>
      <c r="L3" s="423"/>
      <c r="M3" s="423"/>
      <c r="N3" s="423"/>
      <c r="O3" s="424" t="s">
        <v>34</v>
      </c>
      <c r="P3" s="424"/>
      <c r="Q3" s="424"/>
      <c r="R3" s="423">
        <f>IF(AND('Master Data'!D16=""),"",'Master Data'!D16)</f>
        <v>12134545454541</v>
      </c>
      <c r="S3" s="423"/>
      <c r="T3" s="423"/>
      <c r="U3" s="423"/>
      <c r="V3" s="423"/>
      <c r="W3" s="411" t="s">
        <v>109</v>
      </c>
      <c r="X3" s="411"/>
      <c r="Y3" s="411"/>
      <c r="Z3" s="411"/>
      <c r="AA3" s="412">
        <f>IF(AND('Master Data'!H16=""),"",'Master Data'!H16)</f>
        <v>121212121212121</v>
      </c>
      <c r="AB3" s="412"/>
      <c r="AC3" s="413"/>
      <c r="AG3" s="41"/>
      <c r="AL3" s="276"/>
      <c r="AM3" s="277"/>
      <c r="AN3" s="277"/>
      <c r="AO3" s="277"/>
      <c r="AP3" s="277"/>
      <c r="AQ3" s="277"/>
      <c r="AR3" s="277"/>
      <c r="AS3" s="277"/>
      <c r="AT3" s="277"/>
      <c r="AU3" s="277"/>
      <c r="AV3" s="277"/>
      <c r="AW3" s="275"/>
      <c r="AX3" s="275"/>
      <c r="AY3" s="275"/>
      <c r="AZ3" s="275">
        <f>AZ15-ROUNDUP(ROUND((AZ15*3%)-(AZ15*3%)*2.9%,-2),0)</f>
        <v>49300</v>
      </c>
      <c r="BA3" s="275"/>
      <c r="BB3" s="275"/>
      <c r="BC3" s="275"/>
      <c r="BD3" s="275"/>
      <c r="BE3" s="275"/>
      <c r="BF3" s="275"/>
      <c r="BG3" s="275"/>
      <c r="BH3" s="275"/>
      <c r="BI3" s="275"/>
      <c r="BJ3" s="275"/>
      <c r="BK3" s="277"/>
      <c r="BL3" s="277"/>
      <c r="BM3" s="277"/>
      <c r="BN3" s="277"/>
      <c r="BO3" s="277"/>
      <c r="BP3" s="277"/>
      <c r="BQ3" s="277"/>
      <c r="BR3" s="277"/>
      <c r="BS3" s="277"/>
      <c r="BT3" s="277"/>
      <c r="BU3" s="277"/>
      <c r="BV3" s="277"/>
      <c r="BW3" s="277"/>
      <c r="BX3" s="277"/>
      <c r="BY3" s="277"/>
      <c r="BZ3" s="277"/>
      <c r="CA3" s="277"/>
      <c r="CB3" s="277"/>
      <c r="CC3" s="277"/>
      <c r="CD3" s="270"/>
    </row>
    <row r="4" spans="1:82" s="43" customFormat="1" ht="21.75" customHeight="1">
      <c r="A4" s="414" t="s">
        <v>367</v>
      </c>
      <c r="B4" s="415"/>
      <c r="C4" s="415"/>
      <c r="D4" s="415"/>
      <c r="E4" s="415"/>
      <c r="F4" s="415"/>
      <c r="G4" s="415"/>
      <c r="H4" s="415"/>
      <c r="I4" s="415"/>
      <c r="J4" s="415"/>
      <c r="K4" s="415"/>
      <c r="L4" s="415"/>
      <c r="M4" s="415"/>
      <c r="N4" s="416" t="s">
        <v>368</v>
      </c>
      <c r="O4" s="416"/>
      <c r="P4" s="416"/>
      <c r="Q4" s="416"/>
      <c r="R4" s="416"/>
      <c r="S4" s="416"/>
      <c r="T4" s="416"/>
      <c r="U4" s="416"/>
      <c r="V4" s="416"/>
      <c r="W4" s="416"/>
      <c r="X4" s="416"/>
      <c r="Y4" s="416"/>
      <c r="Z4" s="416"/>
      <c r="AA4" s="417" t="s">
        <v>74</v>
      </c>
      <c r="AB4" s="418" t="s">
        <v>443</v>
      </c>
      <c r="AC4" s="419" t="s">
        <v>75</v>
      </c>
      <c r="AG4" s="31"/>
      <c r="AL4" s="278"/>
      <c r="AM4" s="277"/>
      <c r="AN4" s="277"/>
      <c r="AO4" s="277"/>
      <c r="AP4" s="277"/>
      <c r="AQ4" s="277"/>
      <c r="AR4" s="277"/>
      <c r="AS4" s="277"/>
      <c r="AT4" s="277"/>
      <c r="AU4" s="277"/>
      <c r="AV4" s="277"/>
      <c r="AW4" s="275"/>
      <c r="AX4" s="275"/>
      <c r="AY4" s="275"/>
      <c r="AZ4" s="275"/>
      <c r="BA4" s="275"/>
      <c r="BB4" s="275"/>
      <c r="BC4" s="275"/>
      <c r="BD4" s="275"/>
      <c r="BE4" s="275"/>
      <c r="BF4" s="275"/>
      <c r="BG4" s="275"/>
      <c r="BH4" s="275"/>
      <c r="BI4" s="275"/>
      <c r="BJ4" s="275"/>
      <c r="BK4" s="277"/>
      <c r="BL4" s="277"/>
      <c r="BM4" s="277"/>
      <c r="BN4" s="277"/>
      <c r="BO4" s="277"/>
      <c r="BP4" s="277"/>
      <c r="BQ4" s="277"/>
      <c r="BR4" s="277"/>
      <c r="BS4" s="277"/>
      <c r="BT4" s="277"/>
      <c r="BU4" s="277"/>
      <c r="BV4" s="277"/>
      <c r="BW4" s="277"/>
      <c r="BX4" s="277"/>
      <c r="BY4" s="277"/>
      <c r="BZ4" s="277"/>
      <c r="CA4" s="277"/>
      <c r="CB4" s="277"/>
      <c r="CC4" s="277"/>
      <c r="CD4" s="271"/>
    </row>
    <row r="5" spans="1:82" s="46" customFormat="1" ht="47.25" customHeight="1">
      <c r="A5" s="44" t="s">
        <v>65</v>
      </c>
      <c r="B5" s="45" t="s">
        <v>66</v>
      </c>
      <c r="C5" s="45" t="s">
        <v>454</v>
      </c>
      <c r="D5" s="45" t="s">
        <v>67</v>
      </c>
      <c r="E5" s="45" t="s">
        <v>68</v>
      </c>
      <c r="F5" s="45" t="str">
        <f>IF('Master Data'!B42="","",'Master Data'!B42)</f>
        <v>Wash All.</v>
      </c>
      <c r="G5" s="45" t="str">
        <f>IF('Master Data'!C42="","",'Master Data'!C42)</f>
        <v>Handi. All.</v>
      </c>
      <c r="H5" s="45" t="str">
        <f>IF('Master Data'!D42="","",'Master Data'!D42)</f>
        <v>CCA</v>
      </c>
      <c r="I5" s="45" t="str">
        <f>IF('Master Data'!E42="","",'Master Data'!E42)</f>
        <v>other-1</v>
      </c>
      <c r="J5" s="45" t="str">
        <f>IF('Master Data'!F42="","",'Master Data'!F42)</f>
        <v>other-2</v>
      </c>
      <c r="K5" s="45" t="s">
        <v>69</v>
      </c>
      <c r="L5" s="45" t="s">
        <v>70</v>
      </c>
      <c r="M5" s="45" t="s">
        <v>71</v>
      </c>
      <c r="N5" s="45" t="str">
        <f>IF('Master Data'!G42="","",'Master Data'!G42)</f>
        <v>SI</v>
      </c>
      <c r="O5" s="45" t="str">
        <f>IF('Master Data'!H42="","",'Master Data'!H42)</f>
        <v>GPF / NPS</v>
      </c>
      <c r="P5" s="45" t="str">
        <f>IF('Master Data'!I42="","",'Master Data'!I42)</f>
        <v>L.I.C.</v>
      </c>
      <c r="Q5" s="45" t="str">
        <f>IF('Master Data'!J42="","",'Master Data'!J42)</f>
        <v>RPMF / RGHS</v>
      </c>
      <c r="R5" s="45" t="str">
        <f>IF('Master Data'!K42="","",'Master Data'!K42)</f>
        <v>SI Loan</v>
      </c>
      <c r="S5" s="45" t="str">
        <f>IF('Master Data'!L42="","",'Master Data'!L42)</f>
        <v>GPF Loan</v>
      </c>
      <c r="T5" s="45" t="str">
        <f>IF('Master Data'!M42="","",'Master Data'!M42)</f>
        <v>GPF 2004 (NPS)</v>
      </c>
      <c r="U5" s="45" t="str">
        <f>IF('Master Data'!O42="","",'Master Data'!O42)</f>
        <v>SI Int.</v>
      </c>
      <c r="V5" s="315" t="s">
        <v>440</v>
      </c>
      <c r="W5" s="316" t="s">
        <v>441</v>
      </c>
      <c r="X5" s="45" t="s">
        <v>72</v>
      </c>
      <c r="Y5" s="45" t="s">
        <v>442</v>
      </c>
      <c r="Z5" s="45" t="s">
        <v>73</v>
      </c>
      <c r="AA5" s="417"/>
      <c r="AB5" s="418"/>
      <c r="AC5" s="419"/>
      <c r="AE5" s="404" t="s">
        <v>462</v>
      </c>
      <c r="AF5" s="405"/>
      <c r="AG5" s="405"/>
      <c r="AL5" s="279"/>
      <c r="AM5" s="277" t="str">
        <f>'Master Data'!N26</f>
        <v>Yes</v>
      </c>
      <c r="AN5" s="280" t="s">
        <v>4</v>
      </c>
      <c r="AO5" s="280" t="s">
        <v>77</v>
      </c>
      <c r="AP5" s="281" t="s">
        <v>6</v>
      </c>
      <c r="AQ5" s="277" t="s">
        <v>7</v>
      </c>
      <c r="AR5" s="277"/>
      <c r="AS5" s="277">
        <v>1000</v>
      </c>
      <c r="AT5" s="277"/>
      <c r="AU5" s="277"/>
      <c r="AV5" s="277"/>
      <c r="AW5" s="282"/>
      <c r="AX5" s="282"/>
      <c r="AY5" s="282"/>
      <c r="AZ5" s="282"/>
      <c r="BA5" s="282"/>
      <c r="BB5" s="282"/>
      <c r="BC5" s="282"/>
      <c r="BD5" s="282"/>
      <c r="BE5" s="282"/>
      <c r="BF5" s="282"/>
      <c r="BG5" s="282"/>
      <c r="BH5" s="282"/>
      <c r="BI5" s="282"/>
      <c r="BJ5" s="282"/>
      <c r="BK5" s="277"/>
      <c r="BL5" s="277"/>
      <c r="BM5" s="277"/>
      <c r="BN5" s="277"/>
      <c r="BO5" s="277"/>
      <c r="BP5" s="277"/>
      <c r="BQ5" s="277"/>
      <c r="BR5" s="277"/>
      <c r="BS5" s="277"/>
      <c r="BT5" s="277"/>
      <c r="BU5" s="277"/>
      <c r="BV5" s="277"/>
      <c r="BW5" s="277"/>
      <c r="BX5" s="277"/>
      <c r="BY5" s="277"/>
      <c r="BZ5" s="277"/>
      <c r="CA5" s="277"/>
      <c r="CB5" s="277"/>
      <c r="CC5" s="277"/>
      <c r="CD5" s="272"/>
    </row>
    <row r="6" spans="1:82" ht="21.95" customHeight="1">
      <c r="A6" s="47">
        <v>1</v>
      </c>
      <c r="B6" s="265">
        <f>IFERROR(IF(BO12="","",BO12),"")</f>
        <v>44256</v>
      </c>
      <c r="C6" s="266">
        <f>IFERROR(IF(B6="","",IF(AND(BQ12=""),"",IF(AND('Master Data'!$I$28=$AP$6),VLOOKUP(B6,ram,13,0),VLOOKUP(B6,ram,4,0)))),"")</f>
        <v>50800</v>
      </c>
      <c r="D6" s="266">
        <f>IFERROR(IF(B6="","",IF(B6=$AX$24,"",IF(AND(B6=$AX$25),$BC$25,IF(AND(B6=$AX$27),"",IF(AND(B6=$AX$28),"",IF(AND('Master Data'!$I$28=$AP$5),VLOOKUP(B6,ram,7,0),"")))))),"")</f>
        <v>8636</v>
      </c>
      <c r="E6" s="266">
        <f>IFERROR(IF(B6="","",IF(B6=$AX$24,"",IF(AND(B6=$AX$25),"",IF(AND(B6=$AX$26),"",IF(AND(B6=$AX$27),"",IF(AND(B6=$AX$29),"",IF(AND('Master Data'!$I$28=$AP$6),"",VLOOKUP(B6,ram,8,0)))))))),"")</f>
        <v>4064</v>
      </c>
      <c r="F6" s="266">
        <f>IFERROR(IF(B6="","",IF(AND(C6=""),"",IF(OR(B6=$AX$24,B6=$AX$25,B6=$AX$26,B6=$AX$27,B6=$AX$28,B6=$AX$29),"",IF(AND('Master Data'!$I$28=$AP$5),'Master Data'!$B$43,"")))),"")</f>
        <v>0</v>
      </c>
      <c r="G6" s="266" t="str">
        <f>IFERROR(IF(B6="","",IF(AND(C6=""),"",IF(OR(B6=$AX$24,B6=$AX$25,B6=$AX$26,B6=$AX$27,B6=$AX$28,B6=$AX$29),"",IF(AND('Master Data'!$I$28=$AP$5,'Master Data'!$E$28=$AO$5),'Master Data'!$C$43,"0")))),"")</f>
        <v>0</v>
      </c>
      <c r="H6" s="266">
        <f>IFERROR(IF(OR('Master Data'!$E$32=$AO$6,'Master Data'!$E$32=""),"",IF(B6="","",IF(AND(C6=""),"",IF(OR(B6=$AX$24,B6=$AX$25,B6=$AX$26,B6=$AX$27,B6=$AX$28,B6=$AX$29),"",IF(AND('Master Data'!$I$28=$AP$6),"",IF(AND('Master Data'!$I$32=$AR$9),$AS$6,IF(AND('Master Data'!$I$32=$AR$10),$AS$6,IF(AND('Master Data'!$I$32=$AR$11),$AS$6,IF(AND('Master Data'!$I$32=$AR$12),$AS$6,$AS$5))))))))),"")</f>
        <v>620</v>
      </c>
      <c r="I6" s="266">
        <f>IFERROR(IF(B6="","",IF(AND(E8=""),"",IF(OR(B6=$AX$24,B6=$AX$25,B6=$AX$26,B6=$AX$27,B6=$AX$28,B6=$AX$29),"",IF(AND('Master Data'!$I$28=$AP$5),'Master Data'!$E$43,"")))),"")</f>
        <v>0</v>
      </c>
      <c r="J6" s="266">
        <f>IFERROR(IF(B6="","",IF(AND(E8=""),"",IF(OR(B6=$AX$24,B6=$AX$25,B6=$AX$26,B6=$AX$27,B6=$AX$28,B6=$AX$29),"",IF(AND('Master Data'!$I$28=$AP$5),'Master Data'!$F$43,"")))),"")</f>
        <v>0</v>
      </c>
      <c r="K6" s="266" t="str">
        <f>IFERROR(IF(B6="","",IF(AND('Master Data'!$I$28=$AP$6),"",IF(AND('Master Data'!$I$24=$AO$6),"0",IF(AND(B6="Bonus"),VLOOKUP(B6,ram,4,0),"")))),"")</f>
        <v/>
      </c>
      <c r="L6" s="266">
        <f>IFERROR(IF(AND(B6=""),"",IF(AND(B6=$AX$25),"",IF(AND(B6=$AX$29,'Master Data'!$I$30=$AN$6),ROUND((D6)*0.1,0),IF(AND(B6=$AX$26,'Master Data'!$I$30=$AN$6),ROUND((D6)*0.1,0),IF(AND(B6=$AX$27,'Master Data'!$I$30=$AN$6),ROUND((C6+D6)*0.1,0),IF(AND('Master Data'!$I$30=$AN$5),"",IF(AND('Master Data'!$I$30=$AN$6,'Master Data'!$I$28=$AP$6),ROUND((C6)*0.1,0),ROUND((C6+D6)*0.1,0)))))))),"")</f>
        <v>5944</v>
      </c>
      <c r="M6" s="266">
        <f>IF(B6="","",IF('Master Data'!$H$18=$AO$5,SUM(C6:L6),SUM(C6:K6)))</f>
        <v>64120</v>
      </c>
      <c r="N6" s="266">
        <f>IFERROR(IF(OR('Master Data'!$I$28=$AP$6,B6=""),"",IF(AND(B6=$AX$24),"",IF(AND(B6=$AX$25),"",IF(AND(B6=$AX$26),"",IF(AND(B6=$AX$27),"",IF(AND(B6=$AX$28),"",IF(AND(B6=$AX$29),"",IF(AND(E8=""),"",VLOOKUP(B6,ram,11,0))))))))),"")</f>
        <v>7000</v>
      </c>
      <c r="O6" s="266">
        <f>IFERROR(IF(AND(B6="",C6=""),"",IF(AND(B6=$AX$25),"",IF(AND(B6=$AX$29,'Master Data'!$I$30=$AN$6),ROUND((D6)*0.1,0),IF(AND(B6=$AX$26,'Master Data'!$I$30=$AN$6),ROUND((D6)*0.1,0),IF(AND(B6=$AX$27,'Master Data'!$I$30=$AN$6),ROUND((C6+D6)*0.1,0),IF(AND('Master Data'!$I$30=$AN$6,'Master Data'!$I$28=$AP$6),ROUND((C6)*0.1,0),IF(AND('Master Data'!$I$30=$AN$6,'Master Data'!$I$28=$AP$5),ROUND((C6+D6)*0.1,0),IF(AND('Master Data'!$I$30=$AN$5,'Master Data'!$I$28=$AP$5),VLOOKUP(B6,ram,12,0))))))))),"")</f>
        <v>5944</v>
      </c>
      <c r="P6" s="266">
        <f>IFERROR(IF(OR('Master Data'!$I$28=$AP$6,B6=""),"",IF(AND(B6=$AX$24),"",IF(AND(B6=$AX$25),"",IF(AND(B6=$AX$26),"",IF(AND(B6=$AX$27),"",IF(AND(B6=$AX$28),"",IF(AND(B6=$AX$29),"",IF(AND(B6=$AX$32),"",IF(AND(C6=""),"",'Master Data'!$I$43))))))))),"")</f>
        <v>1880</v>
      </c>
      <c r="Q6" s="266">
        <f>IFERROR(IF(OR('Master Data'!$I$28=$AP$6),"",IF(B6="","",IF(C6="","",IF(AND(B6=$AX$24),"",IF(AND(B6=$AX$25),"",IF(AND(B6=$AX$26),"",IF(AND(B6=$AX$27),"",IF(AND(B6=$AX$28),"",IF(AND(B6=$AX$29),"",VLOOKUP(B6,ram,10,0)))))))))),"")</f>
        <v>0</v>
      </c>
      <c r="R6" s="266">
        <f>IFERROR(IF(OR('Master Data'!$I$28=$AP$6,B6=""),"",IF(AND(B6=$AX$24),"",IF(AND(B6=$AX$25),"",IF(AND(B6=$AX$26),"",IF(AND(B6=$AX$27),"",IF(AND(B6=$AX$28),"",IF(AND(B6=$AX$29),"",IF(AND(C6=""),"",'Master Data'!$K$43)))))))),"")</f>
        <v>0</v>
      </c>
      <c r="S6" s="266">
        <f>IFERROR(IF(OR('Master Data'!$I$28=$AP$6,B6=""),"",IF(AND(B6=$AX$24),"",IF(AND(B6=$AX$25),"",IF(AND(B6=$AX$26),"",IF(AND(B6=$AX$27),"",IF(AND(B6=$AX$28),"",IF(AND(B6=$AX$29),"",IF(AND(C6=""),"",'Master Data'!$L$43)))))))),"")</f>
        <v>0</v>
      </c>
      <c r="T6" s="266">
        <f>IFERROR(IF(OR('Master Data'!$I$28=$AP$6,B6=""),"",IF(AND(B6=$AX$24,'Master Data'!$I$28=$AP$5,'Master Data'!$I$30=$AN$6),ROUND(K6*50%,0),IF(AND(B6=$AX$25),"",IF(AND(B6=$AX$26,'Master Data'!$I$28=$AP$5,'Master Data'!$I$30=$AN$6),SUM(D6-L6),IF(AND(B6=$AX$27),"",IF(AND(B6=$AX$28),"",IF(AND(B6=$AX$29,'Master Data'!$I$28=$AP$5,'Master Data'!$I$30=$AN$6),SUM(D6-L6),IF(AND(C6=""),"",'Master Data'!$M$43)))))))),"")</f>
        <v>0</v>
      </c>
      <c r="U6" s="266">
        <f>IFERROR(IF(OR('Master Data'!$I$28=$AP$6,B6=""),"",IF(AND(B6=$AX$24),"",IF(AND(B6=$AX$25),"",IF(AND(B6=$AX$26),"",IF(AND(B6=$AX$27),"",IF(AND(B6=$AX$28),"",IF(AND(B6=$AX$29),"",IF(AND(E8=""),"",'Master Data'!$O$43)))))))),"")</f>
        <v>0</v>
      </c>
      <c r="V6" s="266" t="str">
        <f>IFERROR(IF(OR('Master Data'!$I$28=$AP$6,B6=""),"",IF(AND(C6=""),"",IF(AND(B6=$AT$17,'Master Data'!$D$18="Gazetted"),500,IF(AND(B6=$AT$17,'Master Data'!$D$18="Non-Gazetted"),250,"")))),"")</f>
        <v/>
      </c>
      <c r="W6" s="266">
        <v>0</v>
      </c>
      <c r="X6" s="266">
        <f>IFERROR(IF(OR('Master Data'!$I$28=$AP$6),"",IF(B6="","",IF(C6="","",VLOOKUP(B6,ram,9,0)))),"")</f>
        <v>0</v>
      </c>
      <c r="Y6" s="266" t="str">
        <f>IFERROR(IF(OR('Master Data'!$I$28=$AP$6,B6="",'Master Data'!$N$38=""),"",IF(AND(C6=""),"",IF(B6=$AT$9,'Master Data'!$N$38,""))),"")</f>
        <v/>
      </c>
      <c r="Z6" s="266">
        <f>IFERROR(IF(B6="","",IF(AND(M6=""),"",IF(L6="",SUM(N6:Y6),IF(AND('Master Data'!$H$18=$AO$5,'Master Data'!$I$30=$AN$6),SUM(N6:Y6)+L6,SUM(N6:Y6))))),"0")</f>
        <v>14824</v>
      </c>
      <c r="AA6" s="266">
        <f>IFERROR(IF(AND(C6="",M6="",Z6=""),"",SUM(M6-Z6)),"")</f>
        <v>49296</v>
      </c>
      <c r="AB6" s="266"/>
      <c r="AC6" s="267"/>
      <c r="AM6" s="280"/>
      <c r="AN6" s="280" t="s">
        <v>9</v>
      </c>
      <c r="AO6" s="280" t="s">
        <v>76</v>
      </c>
      <c r="AP6" s="280" t="s">
        <v>11</v>
      </c>
      <c r="AQ6" s="280" t="s">
        <v>78</v>
      </c>
      <c r="AR6" s="280"/>
      <c r="AS6" s="280">
        <v>620</v>
      </c>
      <c r="AT6" s="283"/>
      <c r="AU6" s="280"/>
      <c r="AV6" s="280"/>
      <c r="BK6" s="280"/>
      <c r="BL6" s="280"/>
      <c r="BM6" s="280"/>
      <c r="BN6" s="280"/>
      <c r="BO6" s="280"/>
      <c r="BP6" s="280"/>
      <c r="BQ6" s="280"/>
      <c r="BR6" s="280"/>
      <c r="BS6" s="280"/>
      <c r="BT6" s="280"/>
      <c r="BU6" s="280"/>
      <c r="BV6" s="280"/>
      <c r="BW6" s="280"/>
      <c r="BX6" s="280"/>
      <c r="BY6" s="280"/>
      <c r="BZ6" s="280"/>
      <c r="CA6" s="280"/>
      <c r="CB6" s="280"/>
      <c r="CC6" s="280"/>
    </row>
    <row r="7" spans="1:82" ht="21.95" customHeight="1">
      <c r="A7" s="47">
        <v>2</v>
      </c>
      <c r="B7" s="265">
        <f t="shared" ref="B7:B26" si="0">IFERROR(IF(BO13="","",BO13),"")</f>
        <v>44287</v>
      </c>
      <c r="C7" s="266">
        <f>IFERROR(IF(B7="","",IF(AND(BQ13=""),"",IF(AND('Master Data'!$I$28=$AP$6),VLOOKUP(B7,ram,13,0),VLOOKUP(B7,ram,4,0)))),"")</f>
        <v>50800</v>
      </c>
      <c r="D7" s="266">
        <f>IFERROR(IF(B7="","",IF(B7=$AX$24,"",IF(AND(B7=$AX$25),$BC$25,IF(AND(B7=$AX$27),"",IF(AND(B7=$AX$28),"",IF(AND('Master Data'!$I$28=$AP$5),VLOOKUP(B7,ram,7,0),"")))))),"")</f>
        <v>8636</v>
      </c>
      <c r="E7" s="266">
        <f>IFERROR(IF(B7="","",IF(B7=$AX$24,"",IF(AND(B7=$AX$25),"",IF(AND(B7=$AX$26),"",IF(AND(B7=$AX$27),"",IF(AND(B7=$AX$29),"",IF(AND('Master Data'!$I$28=$AP$6),"",VLOOKUP(B7,ram,8,0)))))))),"")</f>
        <v>4064</v>
      </c>
      <c r="F7" s="266">
        <f>IFERROR(IF(B7="","",IF(AND(C7=""),"",IF(OR(B7=$AX$24,B7=$AX$25,B7=$AX$26,B7=$AX$27,B7=$AX$28,B7=$AX$29),"",IF(AND('Master Data'!$I$28=$AP$5),'Master Data'!$B$43,"")))),"")</f>
        <v>0</v>
      </c>
      <c r="G7" s="266" t="str">
        <f>IFERROR(IF(B7="","",IF(AND(C7=""),"",IF(OR(B7=$AX$24,B7=$AX$25,B7=$AX$26,B7=$AX$27,B7=$AX$28,B7=$AX$29),"",IF(AND('Master Data'!$I$28=$AP$5,'Master Data'!$E$28=$AO$5),'Master Data'!$C$43,"0")))),"")</f>
        <v>0</v>
      </c>
      <c r="H7" s="266">
        <f>IFERROR(IF(OR('Master Data'!$E$32=$AO$6,'Master Data'!$E$32=""),"",IF(B7="","",IF(AND(C7=""),"",IF(OR(B7=$AX$24,B7=$AX$25,B7=$AX$26,B7=$AX$27,B7=$AX$28,B7=$AX$29),"",IF(AND('Master Data'!$I$28=$AP$6),"",IF(AND('Master Data'!$I$32=$AR$9),$AS$6,IF(AND('Master Data'!$I$32=$AR$10),$AS$6,IF(AND('Master Data'!$I$32=$AR$11),$AS$6,IF(AND('Master Data'!$I$32=$AR$12),$AS$6,$AS$5))))))))),"")</f>
        <v>620</v>
      </c>
      <c r="I7" s="266">
        <f>IFERROR(IF(B7="","",IF(AND(E9=""),"",IF(OR(B7=$AX$24,B7=$AX$25,B7=$AX$26,B7=$AX$27,B7=$AX$28,B7=$AX$29),"",IF(AND('Master Data'!$I$28=$AP$5),'Master Data'!$E$43,"")))),"")</f>
        <v>0</v>
      </c>
      <c r="J7" s="266">
        <f>IFERROR(IF(B7="","",IF(AND(E9=""),"",IF(OR(B7=$AX$24,B7=$AX$25,B7=$AX$26,B7=$AX$27,B7=$AX$28,B7=$AX$29),"",IF(AND('Master Data'!$I$28=$AP$5),'Master Data'!$F$43,"")))),"")</f>
        <v>0</v>
      </c>
      <c r="K7" s="266" t="str">
        <f>IFERROR(IF(B7="","",IF(AND('Master Data'!$I$28=$AP$6),"",IF(AND('Master Data'!$I$24=$AO$6),"0",IF(AND(B7="Bonus"),VLOOKUP(B7,ram,4,0),"")))),"")</f>
        <v/>
      </c>
      <c r="L7" s="266">
        <f>IFERROR(IF(AND(B7=""),"",IF(AND(B7=$AX$25),"",IF(AND(B7=$AX$29,'Master Data'!$I$30=$AN$6),ROUND((D7)*0.1,0),IF(AND(B7=$AX$26,'Master Data'!$I$30=$AN$6),ROUND((D7)*0.1,0),IF(AND(B7=$AX$27,'Master Data'!$I$30=$AN$6),ROUND((C7+D7)*0.1,0),IF(AND('Master Data'!$I$30=$AN$5),"",IF(AND('Master Data'!$I$30=$AN$6,'Master Data'!$I$28=$AP$6),ROUND((C7)*0.1,0),ROUND((C7+D7)*0.1,0)))))))),"")</f>
        <v>5944</v>
      </c>
      <c r="M7" s="266">
        <f>IF(B7="","",IF('Master Data'!$H$18=$AO$5,SUM(C7:L7),SUM(C7:K7)))</f>
        <v>64120</v>
      </c>
      <c r="N7" s="266">
        <f>IFERROR(IF(OR('Master Data'!$I$28=$AP$6,B7=""),"",IF(AND(B7=$AX$24),"",IF(AND(B7=$AX$25),"",IF(AND(B7=$AX$26),"",IF(AND(B7=$AX$27),"",IF(AND(B7=$AX$28),"",IF(AND(B7=$AX$29),"",IF(AND(E9=""),"",VLOOKUP(B7,ram,11,0))))))))),"")</f>
        <v>7000</v>
      </c>
      <c r="O7" s="266">
        <f>IFERROR(IF(AND(B7="",C7=""),"",IF(AND(B7=$AX$25),"",IF(AND(B7=$AX$29,'Master Data'!$I$30=$AN$6),ROUND((D7)*0.1,0),IF(AND(B7=$AX$26,'Master Data'!$I$30=$AN$6),ROUND((D7)*0.1,0),IF(AND(B7=$AX$27,'Master Data'!$I$30=$AN$6),ROUND((C7+D7)*0.1,0),IF(AND('Master Data'!$I$30=$AN$6,'Master Data'!$I$28=$AP$6),ROUND((C7)*0.1,0),IF(AND('Master Data'!$I$30=$AN$6,'Master Data'!$I$28=$AP$5),ROUND((C7+D7)*0.1,0),IF(AND('Master Data'!$I$30=$AN$5,'Master Data'!$I$28=$AP$5),VLOOKUP(B7,ram,12,0))))))))),"")</f>
        <v>5944</v>
      </c>
      <c r="P7" s="266">
        <f>IFERROR(IF(OR('Master Data'!$I$28=$AP$6,B7=""),"",IF(AND(B7=$AX$24),"",IF(AND(B7=$AX$25),"",IF(AND(B7=$AX$26),"",IF(AND(B7=$AX$27),"",IF(AND(B7=$AX$28),"",IF(AND(B7=$AX$29),"",IF(AND(B7=$AX$32),"",IF(AND(C7=""),"",'Master Data'!$I$43))))))))),"")</f>
        <v>1880</v>
      </c>
      <c r="Q7" s="266">
        <f>IFERROR(IF(OR('Master Data'!$I$28=$AP$6),"",IF(B7="","",IF(C7="","",IF(AND(B7=$AX$24),"",IF(AND(B7=$AX$25),"",IF(AND(B7=$AX$26),"",IF(AND(B7=$AX$27),"",IF(AND(B7=$AX$28),"",IF(AND(B7=$AX$29),"",VLOOKUP(B7,ram,10,0)))))))))),"")</f>
        <v>0</v>
      </c>
      <c r="R7" s="266">
        <f>IFERROR(IF(OR('Master Data'!$I$28=$AP$6,B7=""),"",IF(AND(B7=$AX$24),"",IF(AND(B7=$AX$25),"",IF(AND(B7=$AX$26),"",IF(AND(B7=$AX$27),"",IF(AND(B7=$AX$28),"",IF(AND(B7=$AX$29),"",IF(AND(C7=""),"",'Master Data'!$K$43)))))))),"")</f>
        <v>0</v>
      </c>
      <c r="S7" s="266">
        <f>IFERROR(IF(OR('Master Data'!$I$28=$AP$6,B7=""),"",IF(AND(B7=$AX$24),"",IF(AND(B7=$AX$25),"",IF(AND(B7=$AX$26),"",IF(AND(B7=$AX$27),"",IF(AND(B7=$AX$28),"",IF(AND(B7=$AX$29),"",IF(AND(C7=""),"",'Master Data'!$L$43)))))))),"")</f>
        <v>0</v>
      </c>
      <c r="T7" s="266">
        <f>IFERROR(IF(OR('Master Data'!$I$28=$AP$6,B7=""),"",IF(AND(B7=$AX$24,'Master Data'!$I$28=$AP$5,'Master Data'!$I$30=$AN$6),ROUND(K7*50%,0),IF(AND(B7=$AX$25),"",IF(AND(B7=$AX$26,'Master Data'!$I$28=$AP$5,'Master Data'!$I$30=$AN$6),SUM(D7-L7),IF(AND(B7=$AX$27),"",IF(AND(B7=$AX$28),"",IF(AND(B7=$AX$29,'Master Data'!$I$28=$AP$5,'Master Data'!$I$30=$AN$6),SUM(D7-L7),IF(AND(C7=""),"",'Master Data'!$M$43)))))))),"")</f>
        <v>0</v>
      </c>
      <c r="U7" s="266">
        <f>IFERROR(IF(OR('Master Data'!$I$28=$AP$6,B7=""),"",IF(AND(B7=$AX$24),"",IF(AND(B7=$AX$25),"",IF(AND(B7=$AX$26),"",IF(AND(B7=$AX$27),"",IF(AND(B7=$AX$28),"",IF(AND(B7=$AX$29),"",IF(AND(E9=""),"",'Master Data'!$O$43)))))))),"")</f>
        <v>0</v>
      </c>
      <c r="V7" s="266" t="str">
        <f>IFERROR(IF(OR('Master Data'!$I$28=$AP$6,B7=""),"",IF(AND(C7=""),"",IF(AND(B7=$AT$17,'Master Data'!$D$18="Gazetted"),500,IF(AND(B7=$AT$17,'Master Data'!$D$18="Non-Gazetted"),250,"")))),"")</f>
        <v/>
      </c>
      <c r="W7" s="266">
        <f>IFERROR(IF(B7="","",IF(AND(C7=""),"",IF(AND(B7=$AX$24),"",IF(AND(B7=$AX$25),"",IF(AND(B7=$AX$26),"",IF(AND(B7=$AX$27),"",IF(AND(B7=$AX$28),"",IF(AND(B7=$AX$29),"",IF(OR('Master Data'!$I$28=$AP$6,B7=""),"",W6))))))))),"")</f>
        <v>0</v>
      </c>
      <c r="X7" s="266">
        <f>IFERROR(IF(OR('Master Data'!$I$28=$AP$6),"",IF(B7="","",IF(C7="","",VLOOKUP(B7,ram,9,0)))),"")</f>
        <v>1500</v>
      </c>
      <c r="Y7" s="266">
        <f>IFERROR(IF(OR('Master Data'!$I$28=$AP$6,B7="",'Master Data'!$N$38=""),"",IF(AND(C7=""),"",IF(B7=$AT$9,'Master Data'!$N$38,""))),"")</f>
        <v>220</v>
      </c>
      <c r="Z7" s="266">
        <f>IFERROR(IF(B7="","",IF(AND(M7=""),"",IF(L7="",SUM(N7:Y7),IF(AND('Master Data'!$H$18=$AO$5,'Master Data'!$I$30=$AN$6),SUM(N7:Y7)+L7,SUM(N7:Y7))))),"0")</f>
        <v>16544</v>
      </c>
      <c r="AA7" s="266">
        <f t="shared" ref="AA7:AA26" si="1">IFERROR(IF(AND(C7="",M7="",Z7=""),"",SUM(M7-Z7)),"")</f>
        <v>47576</v>
      </c>
      <c r="AB7" s="266"/>
      <c r="AC7" s="267"/>
      <c r="AM7" s="280"/>
      <c r="AN7" s="280"/>
      <c r="AO7" s="280"/>
      <c r="AP7" s="280"/>
      <c r="AQ7" s="280" t="s">
        <v>149</v>
      </c>
      <c r="AR7" s="280"/>
      <c r="AS7" s="280"/>
      <c r="AT7" s="283"/>
      <c r="AU7" s="280"/>
      <c r="AV7" s="280"/>
      <c r="BD7" s="275">
        <f>IF(D6="State Service",ROUND(B10*15/31,0),IF(AND(D6="Subordinate",OR(B6=G5,B6=G6,B6=G7,B6=G8,B6=G9)),ROUND(B10*22/31,0),IF(AND(D6="Subordinate",OR(B6=G10,B6=G11,B6=G12,B6=G13,B6=G14,B6=G15)),ROUND(B10*15/31,0),IF(D6="Ministerial",ROUND(B10*22/31,0),B10))))</f>
        <v>44378</v>
      </c>
      <c r="BK7" s="280"/>
      <c r="BL7" s="280"/>
      <c r="BM7" s="280"/>
      <c r="BN7" s="280"/>
      <c r="BO7" s="280"/>
      <c r="BP7" s="280"/>
      <c r="BQ7" s="280"/>
      <c r="BR7" s="280"/>
      <c r="BS7" s="280"/>
      <c r="BT7" s="280"/>
      <c r="BU7" s="280"/>
      <c r="BV7" s="280"/>
      <c r="BW7" s="280"/>
      <c r="BX7" s="280"/>
      <c r="BY7" s="280"/>
      <c r="BZ7" s="280"/>
      <c r="CA7" s="280"/>
      <c r="CB7" s="280"/>
      <c r="CC7" s="280"/>
    </row>
    <row r="8" spans="1:82" ht="21.95" customHeight="1" thickBot="1">
      <c r="A8" s="47">
        <v>3</v>
      </c>
      <c r="B8" s="265">
        <f>IFERROR(IF(BO14="","",BO14),"")</f>
        <v>44317</v>
      </c>
      <c r="C8" s="266">
        <f>IFERROR(IF(B8="","",IF(AND(BQ14=""),"",IF(AND('Master Data'!$I$28=$AP$6),VLOOKUP(B8,ram,13,0),VLOOKUP(B8,ram,4,0)))),"")</f>
        <v>50800</v>
      </c>
      <c r="D8" s="266">
        <f>IFERROR(IF(B8="","",IF(B8=$AX$24,"",IF(AND(B8=$AX$25),$BC$25,IF(AND(B8=$AX$27),"",IF(AND(B8=$AX$28),"",IF(AND('Master Data'!$I$28=$AP$5),VLOOKUP(B8,ram,7,0),"")))))),"")</f>
        <v>8636</v>
      </c>
      <c r="E8" s="266">
        <f>IFERROR(IF(B8="","",IF(B8=$AX$24,"",IF(AND(B8=$AX$25),"",IF(AND(B8=$AX$26),"",IF(AND(B8=$AX$27),"",IF(AND(B8=$AX$29),"",IF(AND('Master Data'!$I$28=$AP$6),"",VLOOKUP(B8,ram,8,0)))))))),"")</f>
        <v>4064</v>
      </c>
      <c r="F8" s="266">
        <f>IFERROR(IF(B8="","",IF(AND(C8=""),"",IF(OR(B8=$AX$24,B8=$AX$25,B8=$AX$26,B8=$AX$27,B8=$AX$28,B8=$AX$29),"",IF(AND('Master Data'!$I$28=$AP$5),'Master Data'!$B$43,"")))),"")</f>
        <v>0</v>
      </c>
      <c r="G8" s="266" t="str">
        <f>IFERROR(IF(B8="","",IF(AND(C8=""),"",IF(OR(B8=$AX$24,B8=$AX$25,B8=$AX$26,B8=$AX$27,B8=$AX$28,B8=$AX$29),"",IF(AND('Master Data'!$I$28=$AP$5,'Master Data'!$E$28=$AO$5),'Master Data'!$C$43,"0")))),"")</f>
        <v>0</v>
      </c>
      <c r="H8" s="266">
        <f>IFERROR(IF(OR('Master Data'!$E$32=$AO$6,'Master Data'!$E$32=""),"",IF(B8="","",IF(AND(C8=""),"",IF(OR(B8=$AX$24,B8=$AX$25,B8=$AX$26,B8=$AX$27,B8=$AX$28,B8=$AX$29),"",IF(AND('Master Data'!$I$28=$AP$6),"",IF(AND('Master Data'!$I$32=$AR$9),$AS$6,IF(AND('Master Data'!$I$32=$AR$10),$AS$6,IF(AND('Master Data'!$I$32=$AR$11),$AS$6,IF(AND('Master Data'!$I$32=$AR$12),$AS$6,$AS$5))))))))),"")</f>
        <v>620</v>
      </c>
      <c r="I8" s="266">
        <f>IFERROR(IF(B8="","",IF(AND(E10=""),"",IF(OR(B8=$AX$24,B8=$AX$25,B8=$AX$26,B8=$AX$27,B8=$AX$28,B8=$AX$29),"",IF(AND('Master Data'!$I$28=$AP$5),'Master Data'!$E$43,"")))),"")</f>
        <v>0</v>
      </c>
      <c r="J8" s="266">
        <f>IFERROR(IF(B8="","",IF(AND(E10=""),"",IF(OR(B8=$AX$24,B8=$AX$25,B8=$AX$26,B8=$AX$27,B8=$AX$28,B8=$AX$29),"",IF(AND('Master Data'!$I$28=$AP$5),'Master Data'!$F$43,"")))),"")</f>
        <v>0</v>
      </c>
      <c r="K8" s="266" t="str">
        <f>IFERROR(IF(B8="","",IF(AND('Master Data'!$I$28=$AP$6),"",IF(AND('Master Data'!$I$24=$AO$6),"0",IF(AND(B8="Bonus"),VLOOKUP(B8,ram,4,0),"")))),"")</f>
        <v/>
      </c>
      <c r="L8" s="266">
        <f>IFERROR(IF(AND(B8=""),"",IF(AND(B8=$AX$25),"",IF(AND(B8=$AX$29,'Master Data'!$I$30=$AN$6),ROUND((D8)*0.1,0),IF(AND(B8=$AX$26,'Master Data'!$I$30=$AN$6),ROUND((D8)*0.1,0),IF(AND(B8=$AX$27,'Master Data'!$I$30=$AN$6),ROUND((C8+D8)*0.1,0),IF(AND('Master Data'!$I$30=$AN$5),"",IF(AND('Master Data'!$I$30=$AN$6,'Master Data'!$I$28=$AP$6),ROUND((C8)*0.1,0),ROUND((C8+D8)*0.1,0)))))))),"")</f>
        <v>5944</v>
      </c>
      <c r="M8" s="266">
        <f>IF(B8="","",IF('Master Data'!$H$18=$AO$5,SUM(C8:L8),SUM(C8:K8)))</f>
        <v>64120</v>
      </c>
      <c r="N8" s="266">
        <f>IFERROR(IF(OR('Master Data'!$I$28=$AP$6,B8=""),"",IF(AND(B8=$AX$24),"",IF(AND(B8=$AX$25),"",IF(AND(B8=$AX$26),"",IF(AND(B8=$AX$27),"",IF(AND(B8=$AX$28),"",IF(AND(B8=$AX$29),"",IF(AND(E10=""),"",VLOOKUP(B8,ram,11,0))))))))),"")</f>
        <v>7000</v>
      </c>
      <c r="O8" s="266">
        <f>IFERROR(IF(AND(B8="",C8=""),"",IF(AND(B8=$AX$25),"",IF(AND(B8=$AX$29,'Master Data'!$I$30=$AN$6),ROUND((D8)*0.1,0),IF(AND(B8=$AX$26,'Master Data'!$I$30=$AN$6),ROUND((D8)*0.1,0),IF(AND(B8=$AX$27,'Master Data'!$I$30=$AN$6),ROUND((C8+D8)*0.1,0),IF(AND('Master Data'!$I$30=$AN$6,'Master Data'!$I$28=$AP$6),ROUND((C8)*0.1,0),IF(AND('Master Data'!$I$30=$AN$6,'Master Data'!$I$28=$AP$5),ROUND((C8+D8)*0.1,0),IF(AND('Master Data'!$I$30=$AN$5,'Master Data'!$I$28=$AP$5),VLOOKUP(B8,ram,12,0))))))))),"")</f>
        <v>5944</v>
      </c>
      <c r="P8" s="266">
        <f>IFERROR(IF(OR('Master Data'!$I$28=$AP$6,B8=""),"",IF(AND(B8=$AX$24),"",IF(AND(B8=$AX$25),"",IF(AND(B8=$AX$26),"",IF(AND(B8=$AX$27),"",IF(AND(B8=$AX$28),"",IF(AND(B8=$AX$29),"",IF(AND(B8=$AX$32),"",IF(AND(C8=""),"",'Master Data'!$I$43))))))))),"")</f>
        <v>1880</v>
      </c>
      <c r="Q8" s="266">
        <f>IFERROR(IF(OR('Master Data'!$I$28=$AP$6),"",IF(B8="","",IF(C8="","",IF(AND(B8=$AX$24),"",IF(AND(B8=$AX$25),"",IF(AND(B8=$AX$26),"",IF(AND(B8=$AX$27),"",IF(AND(B8=$AX$28),"",IF(AND(B8=$AX$29),"",VLOOKUP(B8,ram,10,0)))))))))),"")</f>
        <v>0</v>
      </c>
      <c r="R8" s="266">
        <f>IFERROR(IF(OR('Master Data'!$I$28=$AP$6,B8=""),"",IF(AND(B8=$AX$24),"",IF(AND(B8=$AX$25),"",IF(AND(B8=$AX$26),"",IF(AND(B8=$AX$27),"",IF(AND(B8=$AX$28),"",IF(AND(B8=$AX$29),"",IF(AND(C8=""),"",'Master Data'!$K$43)))))))),"")</f>
        <v>0</v>
      </c>
      <c r="S8" s="266">
        <f>IFERROR(IF(OR('Master Data'!$I$28=$AP$6,B8=""),"",IF(AND(B8=$AX$24),"",IF(AND(B8=$AX$25),"",IF(AND(B8=$AX$26),"",IF(AND(B8=$AX$27),"",IF(AND(B8=$AX$28),"",IF(AND(B8=$AX$29),"",IF(AND(C8=""),"",'Master Data'!$L$43)))))))),"")</f>
        <v>0</v>
      </c>
      <c r="T8" s="266">
        <f>IFERROR(IF(OR('Master Data'!$I$28=$AP$6,B8=""),"",IF(AND(B8=$AX$24,'Master Data'!$I$28=$AP$5,'Master Data'!$I$30=$AN$6),ROUND(K8*50%,0),IF(AND(B8=$AX$25),"",IF(AND(B8=$AX$26,'Master Data'!$I$28=$AP$5,'Master Data'!$I$30=$AN$6),SUM(D8-L8),IF(AND(B8=$AX$27),"",IF(AND(B8=$AX$28),"",IF(AND(B8=$AX$29,'Master Data'!$I$28=$AP$5,'Master Data'!$I$30=$AN$6),SUM(D8-L8),IF(AND(C8=""),"",'Master Data'!$M$43)))))))),"")</f>
        <v>0</v>
      </c>
      <c r="U8" s="266">
        <f>IFERROR(IF(OR('Master Data'!$I$28=$AP$6,B8=""),"",IF(AND(B8=$AX$24),"",IF(AND(B8=$AX$25),"",IF(AND(B8=$AX$26),"",IF(AND(B8=$AX$27),"",IF(AND(B8=$AX$28),"",IF(AND(B8=$AX$29),"",IF(AND(E10=""),"",'Master Data'!$O$43)))))))),"")</f>
        <v>0</v>
      </c>
      <c r="V8" s="266" t="str">
        <f>IFERROR(IF(OR('Master Data'!$I$28=$AP$6,B8=""),"",IF(AND(C8=""),"",IF(AND(B8=$AT$17,'Master Data'!$D$18="Gazetted"),500,IF(AND(B8=$AT$17,'Master Data'!$D$18="Non-Gazetted"),250,"")))),"")</f>
        <v/>
      </c>
      <c r="W8" s="266">
        <f>IFERROR(IF(B8="","",IF(AND(C8=""),"",IF(AND(B8=$AX$24),"",IF(AND(B8=$AX$25),"",IF(AND(B8=$AX$26),"",IF(AND(B8=$AX$27),"",IF(AND(B8=$AX$28),"",IF(AND(B8=$AX$29),"",IF(OR('Master Data'!$I$28=$AP$6,B8=""),"",W7))))))))),"")</f>
        <v>0</v>
      </c>
      <c r="X8" s="266">
        <f>IFERROR(IF(OR('Master Data'!$I$28=$AP$6),"",IF(B8="","",IF(C8="","",VLOOKUP(B8,ram,9,0)))),"")</f>
        <v>1500</v>
      </c>
      <c r="Y8" s="266" t="str">
        <f>IFERROR(IF(OR('Master Data'!$I$28=$AP$6,B8="",'Master Data'!$N$38=""),"",IF(AND(C8=""),"",IF(B8=$AT$9,'Master Data'!$N$38,""))),"")</f>
        <v/>
      </c>
      <c r="Z8" s="266">
        <f>IFERROR(IF(B8="","",IF(AND(M8=""),"",IF(L8="",SUM(N8:Y8),IF(AND('Master Data'!$H$18=$AO$5,'Master Data'!$I$30=$AN$6),SUM(N8:Y8)+L8,SUM(N8:Y8))))),"0")</f>
        <v>16324</v>
      </c>
      <c r="AA8" s="266">
        <f t="shared" si="1"/>
        <v>47796</v>
      </c>
      <c r="AB8" s="266"/>
      <c r="AC8" s="267"/>
      <c r="AM8" s="273"/>
      <c r="AN8" s="273"/>
      <c r="AO8" s="273"/>
      <c r="AP8" s="273"/>
      <c r="AQ8" s="273"/>
      <c r="AR8" s="273" t="s">
        <v>5</v>
      </c>
      <c r="AS8" s="273" t="s">
        <v>3</v>
      </c>
      <c r="AT8" s="283">
        <v>44256</v>
      </c>
      <c r="AU8" s="273" t="s">
        <v>80</v>
      </c>
      <c r="AV8" s="273"/>
      <c r="AX8" s="284">
        <v>43891</v>
      </c>
      <c r="BK8" s="273"/>
      <c r="BL8" s="273"/>
      <c r="BM8" s="273"/>
      <c r="BN8" s="273"/>
      <c r="BO8" s="273"/>
      <c r="BP8" s="273"/>
      <c r="BQ8" s="273"/>
      <c r="BR8" s="273"/>
      <c r="BS8" s="273"/>
      <c r="BT8" s="273"/>
      <c r="BU8" s="273"/>
      <c r="BV8" s="273"/>
      <c r="BW8" s="273"/>
      <c r="BX8" s="273"/>
      <c r="BY8" s="273"/>
      <c r="BZ8" s="273"/>
      <c r="CA8" s="273"/>
      <c r="CB8" s="273"/>
      <c r="CC8" s="273"/>
    </row>
    <row r="9" spans="1:82" ht="21.95" customHeight="1">
      <c r="A9" s="47">
        <v>4</v>
      </c>
      <c r="B9" s="265">
        <f t="shared" si="0"/>
        <v>44348</v>
      </c>
      <c r="C9" s="266">
        <f>IFERROR(IF(B9="","",IF(AND(BQ15=""),"",IF(AND('Master Data'!$I$28=$AP$6),VLOOKUP(B9,ram,13,0),VLOOKUP(B9,ram,4,0)))),"")</f>
        <v>50800</v>
      </c>
      <c r="D9" s="266">
        <f>IFERROR(IF(B9="","",IF(B9=$AX$24,"",IF(AND(B9=$AX$25),$BC$25,IF(AND(B9=$AX$27),"",IF(AND(B9=$AX$28),"",IF(AND('Master Data'!$I$28=$AP$5),VLOOKUP(B9,ram,7,0),"")))))),"")</f>
        <v>8636</v>
      </c>
      <c r="E9" s="266">
        <f>IFERROR(IF(B9="","",IF(B9=$AX$24,"",IF(AND(B9=$AX$25),"",IF(AND(B9=$AX$26),"",IF(AND(B9=$AX$27),"",IF(AND(B9=$AX$29),"",IF(AND('Master Data'!$I$28=$AP$6),"",VLOOKUP(B9,ram,8,0)))))))),"")</f>
        <v>4064</v>
      </c>
      <c r="F9" s="266">
        <f>IFERROR(IF(B9="","",IF(AND(C9=""),"",IF(OR(B9=$AX$24,B9=$AX$25,B9=$AX$26,B9=$AX$27,B9=$AX$28,B9=$AX$29),"",IF(AND('Master Data'!$I$28=$AP$5),'Master Data'!$B$43,"")))),"")</f>
        <v>0</v>
      </c>
      <c r="G9" s="266" t="str">
        <f>IFERROR(IF(B9="","",IF(AND(C9=""),"",IF(OR(B9=$AX$24,B9=$AX$25,B9=$AX$26,B9=$AX$27,B9=$AX$28,B9=$AX$29),"",IF(AND('Master Data'!$I$28=$AP$5,'Master Data'!$E$28=$AO$5),'Master Data'!$C$43,"0")))),"")</f>
        <v>0</v>
      </c>
      <c r="H9" s="266">
        <f>IFERROR(IF(OR('Master Data'!$E$32=$AO$6,'Master Data'!$E$32=""),"",IF(B9="","",IF(AND(C9=""),"",IF(OR(B9=$AX$24,B9=$AX$25,B9=$AX$26,B9=$AX$27,B9=$AX$28,B9=$AX$29),"",IF(AND('Master Data'!$I$28=$AP$6),"",IF(AND('Master Data'!$I$32=$AR$9),$AS$6,IF(AND('Master Data'!$I$32=$AR$10),$AS$6,IF(AND('Master Data'!$I$32=$AR$11),$AS$6,IF(AND('Master Data'!$I$32=$AR$12),$AS$6,$AS$5))))))))),"")</f>
        <v>620</v>
      </c>
      <c r="I9" s="266">
        <f>IFERROR(IF(B9="","",IF(AND(E11=""),"",IF(OR(B9=$AX$24,B9=$AX$25,B9=$AX$26,B9=$AX$27,B9=$AX$28,B9=$AX$29),"",IF(AND('Master Data'!$I$28=$AP$5),'Master Data'!$E$43,"")))),"")</f>
        <v>0</v>
      </c>
      <c r="J9" s="266">
        <f>IFERROR(IF(B9="","",IF(AND(E11=""),"",IF(OR(B9=$AX$24,B9=$AX$25,B9=$AX$26,B9=$AX$27,B9=$AX$28,B9=$AX$29),"",IF(AND('Master Data'!$I$28=$AP$5),'Master Data'!$F$43,"")))),"")</f>
        <v>0</v>
      </c>
      <c r="K9" s="266" t="str">
        <f>IFERROR(IF(B9="","",IF(AND('Master Data'!$I$28=$AP$6),"",IF(AND('Master Data'!$I$24=$AO$6),"0",IF(AND(B9="Bonus"),VLOOKUP(B9,ram,4,0),"")))),"")</f>
        <v/>
      </c>
      <c r="L9" s="266">
        <f>IFERROR(IF(AND(B9=""),"",IF(AND(B9=$AX$25),"",IF(AND(B9=$AX$29,'Master Data'!$I$30=$AN$6),ROUND((D9)*0.1,0),IF(AND(B9=$AX$26,'Master Data'!$I$30=$AN$6),ROUND((D9)*0.1,0),IF(AND(B9=$AX$27,'Master Data'!$I$30=$AN$6),ROUND((C9+D9)*0.1,0),IF(AND('Master Data'!$I$30=$AN$5),"",IF(AND('Master Data'!$I$30=$AN$6,'Master Data'!$I$28=$AP$6),ROUND((C9)*0.1,0),ROUND((C9+D9)*0.1,0)))))))),"")</f>
        <v>5944</v>
      </c>
      <c r="M9" s="266">
        <f>IF(B9="","",IF('Master Data'!$H$18=$AO$5,SUM(C9:L9),SUM(C9:K9)))</f>
        <v>64120</v>
      </c>
      <c r="N9" s="266">
        <f>IFERROR(IF(OR('Master Data'!$I$28=$AP$6,B9=""),"",IF(AND(B9=$AX$24),"",IF(AND(B9=$AX$25),"",IF(AND(B9=$AX$26),"",IF(AND(B9=$AX$27),"",IF(AND(B9=$AX$28),"",IF(AND(B9=$AX$29),"",IF(AND(E11=""),"",VLOOKUP(B9,ram,11,0))))))))),"")</f>
        <v>7000</v>
      </c>
      <c r="O9" s="266">
        <f>IFERROR(IF(AND(B9="",C9=""),"",IF(AND(B9=$AX$25),"",IF(AND(B9=$AX$29,'Master Data'!$I$30=$AN$6),ROUND((D9)*0.1,0),IF(AND(B9=$AX$26,'Master Data'!$I$30=$AN$6),ROUND((D9)*0.1,0),IF(AND(B9=$AX$27,'Master Data'!$I$30=$AN$6),ROUND((C9+D9)*0.1,0),IF(AND('Master Data'!$I$30=$AN$6,'Master Data'!$I$28=$AP$6),ROUND((C9)*0.1,0),IF(AND('Master Data'!$I$30=$AN$6,'Master Data'!$I$28=$AP$5),ROUND((C9+D9)*0.1,0),IF(AND('Master Data'!$I$30=$AN$5,'Master Data'!$I$28=$AP$5),VLOOKUP(B9,ram,12,0))))))))),"")</f>
        <v>5944</v>
      </c>
      <c r="P9" s="266">
        <f>IFERROR(IF(OR('Master Data'!$I$28=$AP$6,B9=""),"",IF(AND(B9=$AX$24),"",IF(AND(B9=$AX$25),"",IF(AND(B9=$AX$26),"",IF(AND(B9=$AX$27),"",IF(AND(B9=$AX$28),"",IF(AND(B9=$AX$29),"",IF(AND(B9=$AX$32),"",IF(AND(C9=""),"",'Master Data'!$I$43))))))))),"")</f>
        <v>1880</v>
      </c>
      <c r="Q9" s="266">
        <f>IFERROR(IF(OR('Master Data'!$I$28=$AP$6),"",IF(B9="","",IF(C9="","",IF(AND(B9=$AX$24),"",IF(AND(B9=$AX$25),"",IF(AND(B9=$AX$26),"",IF(AND(B9=$AX$27),"",IF(AND(B9=$AX$28),"",IF(AND(B9=$AX$29),"",VLOOKUP(B9,ram,10,0)))))))))),"")</f>
        <v>0</v>
      </c>
      <c r="R9" s="266">
        <f>IFERROR(IF(OR('Master Data'!$I$28=$AP$6,B9=""),"",IF(AND(B9=$AX$24),"",IF(AND(B9=$AX$25),"",IF(AND(B9=$AX$26),"",IF(AND(B9=$AX$27),"",IF(AND(B9=$AX$28),"",IF(AND(B9=$AX$29),"",IF(AND(C9=""),"",'Master Data'!$K$43)))))))),"")</f>
        <v>0</v>
      </c>
      <c r="S9" s="266">
        <f>IFERROR(IF(OR('Master Data'!$I$28=$AP$6,B9=""),"",IF(AND(B9=$AX$24),"",IF(AND(B9=$AX$25),"",IF(AND(B9=$AX$26),"",IF(AND(B9=$AX$27),"",IF(AND(B9=$AX$28),"",IF(AND(B9=$AX$29),"",IF(AND(C9=""),"",'Master Data'!$L$43)))))))),"")</f>
        <v>0</v>
      </c>
      <c r="T9" s="266">
        <f>IFERROR(IF(OR('Master Data'!$I$28=$AP$6,B9=""),"",IF(AND(B9=$AX$24,'Master Data'!$I$28=$AP$5,'Master Data'!$I$30=$AN$6),ROUND(K9*50%,0),IF(AND(B9=$AX$25),"",IF(AND(B9=$AX$26,'Master Data'!$I$28=$AP$5,'Master Data'!$I$30=$AN$6),SUM(D9-L9),IF(AND(B9=$AX$27),"",IF(AND(B9=$AX$28),"",IF(AND(B9=$AX$29,'Master Data'!$I$28=$AP$5,'Master Data'!$I$30=$AN$6),SUM(D9-L9),IF(AND(C9=""),"",'Master Data'!$M$43)))))))),"")</f>
        <v>0</v>
      </c>
      <c r="U9" s="266">
        <f>IFERROR(IF(OR('Master Data'!$I$28=$AP$6,B9=""),"",IF(AND(B9=$AX$24),"",IF(AND(B9=$AX$25),"",IF(AND(B9=$AX$26),"",IF(AND(B9=$AX$27),"",IF(AND(B9=$AX$28),"",IF(AND(B9=$AX$29),"",IF(AND(E11=""),"",'Master Data'!$O$43)))))))),"")</f>
        <v>0</v>
      </c>
      <c r="V9" s="266" t="str">
        <f>IFERROR(IF(OR('Master Data'!$I$28=$AP$6,B9=""),"",IF(AND(C9=""),"",IF(AND(B9=$AT$17,'Master Data'!$D$18="Gazetted"),500,IF(AND(B9=$AT$17,'Master Data'!$D$18="Non-Gazetted"),250,"")))),"")</f>
        <v/>
      </c>
      <c r="W9" s="266">
        <f>IFERROR(IF(B9="","",IF(AND(C9=""),"",IF(AND(B9=$AX$24),"",IF(AND(B9=$AX$25),"",IF(AND(B9=$AX$26),"",IF(AND(B9=$AX$27),"",IF(AND(B9=$AX$28),"",IF(AND(B9=$AX$29),"",IF(OR('Master Data'!$I$28=$AP$6,B9=""),"",W8))))))))),"")</f>
        <v>0</v>
      </c>
      <c r="X9" s="266">
        <f>IFERROR(IF(OR('Master Data'!$I$28=$AP$6),"",IF(B9="","",IF(C9="","",VLOOKUP(B9,ram,9,0)))),"")</f>
        <v>1500</v>
      </c>
      <c r="Y9" s="266" t="str">
        <f>IFERROR(IF(OR('Master Data'!$I$28=$AP$6,B9="",'Master Data'!$N$38=""),"",IF(AND(C9=""),"",IF(B9=$AT$9,'Master Data'!$N$38,""))),"")</f>
        <v/>
      </c>
      <c r="Z9" s="266">
        <f>IFERROR(IF(B9="","",IF(AND(M9=""),"",IF(L9="",SUM(N9:Y9),IF(AND('Master Data'!$H$18=$AO$5,'Master Data'!$I$30=$AN$6),SUM(N9:Y9)+L9,SUM(N9:Y9))))),"0")</f>
        <v>16324</v>
      </c>
      <c r="AA9" s="266">
        <f t="shared" si="1"/>
        <v>47796</v>
      </c>
      <c r="AB9" s="266"/>
      <c r="AC9" s="267"/>
      <c r="AM9" s="273"/>
      <c r="AN9" s="273"/>
      <c r="AO9" s="273"/>
      <c r="AP9" s="273"/>
      <c r="AQ9" s="273"/>
      <c r="AR9" s="273" t="s">
        <v>10</v>
      </c>
      <c r="AS9" s="273" t="s">
        <v>79</v>
      </c>
      <c r="AT9" s="283">
        <v>44287</v>
      </c>
      <c r="AU9" s="273" t="s">
        <v>81</v>
      </c>
      <c r="AV9" s="273"/>
      <c r="AW9" s="285"/>
      <c r="AX9" s="286"/>
      <c r="AY9" s="286"/>
      <c r="AZ9" s="287">
        <v>44620</v>
      </c>
      <c r="BA9" s="286"/>
      <c r="BB9" s="286"/>
      <c r="BC9" s="286">
        <f>IF('Master Data'!I34&gt;9,ROUND('Master Data'!$E$36/31*15,0),IF('Master Data'!E34=#REF!,ROUND('Master Data'!$E$36/31*15,0),IF('Master Data'!I34&gt;=5,ROUND('Master Data'!$E$36/31*22,0),IF('Master Data'!D18=#REF!,ROUND('Master Data'!$E$36/31*22,0),'Master Data'!E36))))</f>
        <v>24581</v>
      </c>
      <c r="BD9" s="286"/>
      <c r="BE9" s="286"/>
      <c r="BF9" s="286"/>
      <c r="BG9" s="286"/>
      <c r="BH9" s="286"/>
      <c r="BI9" s="288"/>
      <c r="BJ9" s="289"/>
      <c r="BK9" s="273"/>
      <c r="BL9" s="273"/>
      <c r="BM9" s="273"/>
      <c r="BN9" s="273"/>
      <c r="BO9" s="273"/>
      <c r="BP9" s="273"/>
      <c r="BQ9" s="273"/>
      <c r="BR9" s="273"/>
      <c r="BS9" s="273"/>
      <c r="BT9" s="273"/>
      <c r="BU9" s="273"/>
      <c r="BV9" s="273"/>
      <c r="BW9" s="273"/>
      <c r="BX9" s="273"/>
      <c r="BY9" s="273"/>
      <c r="BZ9" s="273"/>
      <c r="CA9" s="273"/>
      <c r="CB9" s="273"/>
      <c r="CC9" s="273"/>
    </row>
    <row r="10" spans="1:82" ht="21.95" customHeight="1">
      <c r="A10" s="47">
        <v>5</v>
      </c>
      <c r="B10" s="265">
        <f t="shared" si="0"/>
        <v>44378</v>
      </c>
      <c r="C10" s="266">
        <f>IFERROR(IF(B10="","",IF(AND(BQ16=""),"",IF(AND('Master Data'!$I$28=$AP$6),VLOOKUP(B10,ram,13,0),VLOOKUP(B10,ram,4,0)))),"")</f>
        <v>52300</v>
      </c>
      <c r="D10" s="266">
        <f>IFERROR(IF(B10="","",IF(B10=$AX$24,"",IF(AND(B10=$AX$25),$BC$25,IF(AND(B10=$AX$27),"",IF(AND(B10=$AX$28),"",IF(AND('Master Data'!$I$28=$AP$5),VLOOKUP(B10,ram,7,0),"")))))),"")</f>
        <v>14644</v>
      </c>
      <c r="E10" s="266">
        <f>IFERROR(IF(B10="","",IF(B10=$AX$24,"",IF(AND(B10=$AX$25),"",IF(AND(B10=$AX$26),"",IF(AND(B10=$AX$27),"",IF(AND(B10=$AX$29),"",IF(AND('Master Data'!$I$28=$AP$6),"",VLOOKUP(B10,ram,8,0)))))))),"")</f>
        <v>4184</v>
      </c>
      <c r="F10" s="266">
        <f>IFERROR(IF(B10="","",IF(AND(C10=""),"",IF(OR(B10=$AX$24,B10=$AX$25,B10=$AX$26,B10=$AX$27,B10=$AX$28,B10=$AX$29),"",IF(AND('Master Data'!$I$28=$AP$5),'Master Data'!$B$43,"")))),"")</f>
        <v>0</v>
      </c>
      <c r="G10" s="266" t="str">
        <f>IFERROR(IF(B10="","",IF(AND(C10=""),"",IF(OR(B10=$AX$24,B10=$AX$25,B10=$AX$26,B10=$AX$27,B10=$AX$28,B10=$AX$29),"",IF(AND('Master Data'!$I$28=$AP$5,'Master Data'!$E$28=$AO$5),'Master Data'!$C$43,"0")))),"")</f>
        <v>0</v>
      </c>
      <c r="H10" s="266">
        <f>IFERROR(IF(OR('Master Data'!$E$32=$AO$6,'Master Data'!$E$32=""),"",IF(B10="","",IF(AND(C10=""),"",IF(OR(B10=$AX$24,B10=$AX$25,B10=$AX$26,B10=$AX$27,B10=$AX$28,B10=$AX$29),"",IF(AND('Master Data'!$I$28=$AP$6),"",IF(AND('Master Data'!$I$32=$AR$9),$AS$6,IF(AND('Master Data'!$I$32=$AR$10),$AS$6,IF(AND('Master Data'!$I$32=$AR$11),$AS$6,IF(AND('Master Data'!$I$32=$AR$12),$AS$6,$AS$5))))))))),"")</f>
        <v>620</v>
      </c>
      <c r="I10" s="266">
        <f>IFERROR(IF(B10="","",IF(AND(E12=""),"",IF(OR(B10=$AX$24,B10=$AX$25,B10=$AX$26,B10=$AX$27,B10=$AX$28,B10=$AX$29),"",IF(AND('Master Data'!$I$28=$AP$5),'Master Data'!$E$43,"")))),"")</f>
        <v>0</v>
      </c>
      <c r="J10" s="266">
        <f>IFERROR(IF(B10="","",IF(AND(E12=""),"",IF(OR(B10=$AX$24,B10=$AX$25,B10=$AX$26,B10=$AX$27,B10=$AX$28,B10=$AX$29),"",IF(AND('Master Data'!$I$28=$AP$5),'Master Data'!$F$43,"")))),"")</f>
        <v>0</v>
      </c>
      <c r="K10" s="266" t="str">
        <f>IFERROR(IF(B10="","",IF(AND('Master Data'!$I$28=$AP$6),"",IF(AND('Master Data'!$I$24=$AO$6),"0",IF(AND(B10="Bonus"),VLOOKUP(B10,ram,4,0),"")))),"")</f>
        <v/>
      </c>
      <c r="L10" s="266">
        <f>IFERROR(IF(AND(B10=""),"",IF(AND(B10=$AX$25),"",IF(AND(B10=$AX$29,'Master Data'!$I$30=$AN$6),ROUND((D10)*0.1,0),IF(AND(B10=$AX$26,'Master Data'!$I$30=$AN$6),ROUND((D10)*0.1,0),IF(AND(B10=$AX$27,'Master Data'!$I$30=$AN$6),ROUND((C10+D10)*0.1,0),IF(AND('Master Data'!$I$30=$AN$5),"",IF(AND('Master Data'!$I$30=$AN$6,'Master Data'!$I$28=$AP$6),ROUND((C10)*0.1,0),ROUND((C10+D10)*0.1,0)))))))),"")</f>
        <v>6694</v>
      </c>
      <c r="M10" s="266">
        <f>IF(B10="","",IF('Master Data'!$H$18=$AO$5,SUM(C10:L10),SUM(C10:K10)))</f>
        <v>71748</v>
      </c>
      <c r="N10" s="266">
        <f>IFERROR(IF(OR('Master Data'!$I$28=$AP$6,B10=""),"",IF(AND(B10=$AX$24),"",IF(AND(B10=$AX$25),"",IF(AND(B10=$AX$26),"",IF(AND(B10=$AX$27),"",IF(AND(B10=$AX$28),"",IF(AND(B10=$AX$29),"",IF(AND(E12=""),"",VLOOKUP(B10,ram,11,0))))))))),"")</f>
        <v>7000</v>
      </c>
      <c r="O10" s="266">
        <f>IFERROR(IF(AND(B10="",C10=""),"",IF(AND(B10=$AX$25),"",IF(AND(B10=$AX$29,'Master Data'!$I$30=$AN$6),ROUND((D10)*0.1,0),IF(AND(B10=$AX$26,'Master Data'!$I$30=$AN$6),ROUND((D10)*0.1,0),IF(AND(B10=$AX$27,'Master Data'!$I$30=$AN$6),ROUND((C10+D10)*0.1,0),IF(AND('Master Data'!$I$30=$AN$6,'Master Data'!$I$28=$AP$6),ROUND((C10)*0.1,0),IF(AND('Master Data'!$I$30=$AN$6,'Master Data'!$I$28=$AP$5),ROUND((C10+D10)*0.1,0),IF(AND('Master Data'!$I$30=$AN$5,'Master Data'!$I$28=$AP$5),VLOOKUP(B10,ram,12,0))))))))),"")</f>
        <v>6694</v>
      </c>
      <c r="P10" s="266">
        <f>IFERROR(IF(OR('Master Data'!$I$28=$AP$6,B10=""),"",IF(AND(B10=$AX$24),"",IF(AND(B10=$AX$25),"",IF(AND(B10=$AX$26),"",IF(AND(B10=$AX$27),"",IF(AND(B10=$AX$28),"",IF(AND(B10=$AX$29),"",IF(AND(B10=$AX$32),"",IF(AND(C10=""),"",'Master Data'!$I$43))))))))),"")</f>
        <v>1880</v>
      </c>
      <c r="Q10" s="266">
        <f>IFERROR(IF(OR('Master Data'!$I$28=$AP$6),"",IF(B10="","",IF(C10="","",IF(AND(B10=$AX$24),"",IF(AND(B10=$AX$25),"",IF(AND(B10=$AX$26),"",IF(AND(B10=$AX$27),"",IF(AND(B10=$AX$28),"",IF(AND(B10=$AX$29),"",VLOOKUP(B10,ram,10,0)))))))))),"")</f>
        <v>0</v>
      </c>
      <c r="R10" s="266">
        <f>IFERROR(IF(OR('Master Data'!$I$28=$AP$6,B10=""),"",IF(AND(B10=$AX$24),"",IF(AND(B10=$AX$25),"",IF(AND(B10=$AX$26),"",IF(AND(B10=$AX$27),"",IF(AND(B10=$AX$28),"",IF(AND(B10=$AX$29),"",IF(AND(C10=""),"",'Master Data'!$K$43)))))))),"")</f>
        <v>0</v>
      </c>
      <c r="S10" s="266">
        <f>IFERROR(IF(OR('Master Data'!$I$28=$AP$6,B10=""),"",IF(AND(B10=$AX$24),"",IF(AND(B10=$AX$25),"",IF(AND(B10=$AX$26),"",IF(AND(B10=$AX$27),"",IF(AND(B10=$AX$28),"",IF(AND(B10=$AX$29),"",IF(AND(C10=""),"",'Master Data'!$L$43)))))))),"")</f>
        <v>0</v>
      </c>
      <c r="T10" s="266">
        <f>IFERROR(IF(OR('Master Data'!$I$28=$AP$6,B10=""),"",IF(AND(B10=$AX$24,'Master Data'!$I$28=$AP$5,'Master Data'!$I$30=$AN$6),ROUND(K10*50%,0),IF(AND(B10=$AX$25),"",IF(AND(B10=$AX$26,'Master Data'!$I$28=$AP$5,'Master Data'!$I$30=$AN$6),SUM(D10-L10),IF(AND(B10=$AX$27),"",IF(AND(B10=$AX$28),"",IF(AND(B10=$AX$29,'Master Data'!$I$28=$AP$5,'Master Data'!$I$30=$AN$6),SUM(D10-L10),IF(AND(C10=""),"",'Master Data'!$M$43)))))))),"")</f>
        <v>0</v>
      </c>
      <c r="U10" s="266">
        <f>IFERROR(IF(OR('Master Data'!$I$28=$AP$6,B10=""),"",IF(AND(B10=$AX$24),"",IF(AND(B10=$AX$25),"",IF(AND(B10=$AX$26),"",IF(AND(B10=$AX$27),"",IF(AND(B10=$AX$28),"",IF(AND(B10=$AX$29),"",IF(AND(E12=""),"",'Master Data'!$O$43)))))))),"")</f>
        <v>0</v>
      </c>
      <c r="V10" s="266" t="str">
        <f>IFERROR(IF(OR('Master Data'!$I$28=$AP$6,B10=""),"",IF(AND(C10=""),"",IF(AND(B10=$AT$17,'Master Data'!$D$18="Gazetted"),500,IF(AND(B10=$AT$17,'Master Data'!$D$18="Non-Gazetted"),250,"")))),"")</f>
        <v/>
      </c>
      <c r="W10" s="266">
        <f>IFERROR(IF(B10="","",IF(AND(C10=""),"",IF(AND(B10=$AX$24),"",IF(AND(B10=$AX$25),"",IF(AND(B10=$AX$26),"",IF(AND(B10=$AX$27),"",IF(AND(B10=$AX$28),"",IF(AND(B10=$AX$29),"",IF(OR('Master Data'!$I$28=$AP$6,B10=""),"",W9))))))))),"")</f>
        <v>0</v>
      </c>
      <c r="X10" s="266">
        <f>IFERROR(IF(OR('Master Data'!$I$28=$AP$6),"",IF(B10="","",IF(C10="","",VLOOKUP(B10,ram,9,0)))),"")</f>
        <v>1500</v>
      </c>
      <c r="Y10" s="266" t="str">
        <f>IFERROR(IF(OR('Master Data'!$I$28=$AP$6,B10="",'Master Data'!$N$38=""),"",IF(AND(C10=""),"",IF(B10=$AT$9,'Master Data'!$N$38,""))),"")</f>
        <v/>
      </c>
      <c r="Z10" s="266">
        <f>IFERROR(IF(B10="","",IF(AND(M10=""),"",IF(L10="",SUM(N10:Y10),IF(AND('Master Data'!$H$18=$AO$5,'Master Data'!$I$30=$AN$6),SUM(N10:Y10)+L10,SUM(N10:Y10))))),"0")</f>
        <v>17074</v>
      </c>
      <c r="AA10" s="266">
        <f t="shared" si="1"/>
        <v>54674</v>
      </c>
      <c r="AB10" s="266"/>
      <c r="AC10" s="267"/>
      <c r="AM10" s="273"/>
      <c r="AN10" s="273"/>
      <c r="AO10" s="273"/>
      <c r="AP10" s="273"/>
      <c r="AQ10" s="273"/>
      <c r="AR10" s="273" t="s">
        <v>14</v>
      </c>
      <c r="AS10" s="273" t="s">
        <v>13</v>
      </c>
      <c r="AT10" s="283">
        <v>44317</v>
      </c>
      <c r="AU10" s="273" t="s">
        <v>82</v>
      </c>
      <c r="AV10" s="273"/>
      <c r="AW10" s="290" t="s">
        <v>3</v>
      </c>
      <c r="AX10" s="284">
        <v>44197</v>
      </c>
      <c r="AY10" s="289"/>
      <c r="AZ10" s="289"/>
      <c r="BA10" s="289">
        <f>IF(AND('Master Data'!$E$36=""),"",'Master Data'!$E$36)</f>
        <v>50800</v>
      </c>
      <c r="BB10" s="289" t="str">
        <f>IF(AND(AX10&lt;$AZ$16),"",IF(AND(AX10&gt;$AZ$17),"",BA10))</f>
        <v/>
      </c>
      <c r="BC10" s="289">
        <f>IF(AND('Master Data'!$E$36=""),"",ROUND(17%*BA10,0))</f>
        <v>8636</v>
      </c>
      <c r="BD10" s="289" t="str">
        <f>IF(BB10="","",BC10)</f>
        <v/>
      </c>
      <c r="BE10" s="289"/>
      <c r="BF10" s="289"/>
      <c r="BG10" s="291" t="str">
        <f>IFERROR(IF(AND('Master Data'!$I$28=$AP$6),"",IF(AND('Master Data'!$I$30=$AN$6,'Master Data'!$N$36=$AO$6),"",IF(AND('Master Data'!$I$30=$AN$5),IF($AZ$15&lt;18001,265,IF($AZ$15&lt;33501,440,IF($AZ$15&lt;54001,658,875)))))),0)</f>
        <v/>
      </c>
      <c r="BH10" s="289">
        <f>IFERROR(IF(OR('Master Data'!$I$28=$AP$6),"",'Master Data'!$G$43),"")</f>
        <v>7000</v>
      </c>
      <c r="BI10" s="292">
        <f>IFERROR(IF(AND('Master Data'!$I$30=$AN$6),ROUND((E9)*0.1,0),IF(AND('Master Data'!$I$28=$AP$6),ROUND((E9+F9)*0.1,0),'Master Data'!$H$43)),"")</f>
        <v>406</v>
      </c>
      <c r="BJ10" s="289">
        <f>BA10</f>
        <v>50800</v>
      </c>
      <c r="BK10" s="273"/>
      <c r="BL10" s="273">
        <f>MONTH(AZ17)</f>
        <v>2</v>
      </c>
      <c r="BM10" s="273"/>
      <c r="BN10" s="273"/>
      <c r="BO10" s="273"/>
      <c r="BP10" s="273"/>
      <c r="BQ10" s="273"/>
      <c r="BR10" s="273"/>
      <c r="BS10" s="293">
        <f>D8</f>
        <v>8636</v>
      </c>
      <c r="BT10" s="273"/>
      <c r="BU10" s="273"/>
      <c r="BV10" s="273"/>
      <c r="BW10" s="273"/>
      <c r="BX10" s="273"/>
      <c r="BY10" s="273"/>
      <c r="BZ10" s="273"/>
      <c r="CA10" s="273"/>
      <c r="CB10" s="273"/>
      <c r="CC10" s="273"/>
    </row>
    <row r="11" spans="1:82" ht="21.95" customHeight="1">
      <c r="A11" s="47">
        <v>6</v>
      </c>
      <c r="B11" s="265">
        <f t="shared" si="0"/>
        <v>44409</v>
      </c>
      <c r="C11" s="266">
        <f>IFERROR(IF(B11="","",IF(AND(BQ17=""),"",IF(AND('Master Data'!$I$28=$AP$6),VLOOKUP(B11,ram,13,0),VLOOKUP(B11,ram,4,0)))),"")</f>
        <v>52300</v>
      </c>
      <c r="D11" s="266">
        <f>IFERROR(IF(B11="","",IF(B11=$AX$24,"",IF(AND(B11=$AX$25),$BC$25,IF(AND(B11=$AX$27),"",IF(AND(B11=$AX$28),"",IF(AND('Master Data'!$I$28=$AP$5),VLOOKUP(B11,ram,7,0),"")))))),"")</f>
        <v>14644</v>
      </c>
      <c r="E11" s="266">
        <f>IFERROR(IF(B11="","",IF(B11=$AX$24,"",IF(AND(B11=$AX$25),"",IF(AND(B11=$AX$26),"",IF(AND(B11=$AX$27),"",IF(AND(B11=$AX$29),"",IF(AND('Master Data'!$I$28=$AP$6),"",VLOOKUP(B11,ram,8,0)))))))),"")</f>
        <v>4707</v>
      </c>
      <c r="F11" s="266">
        <f>IFERROR(IF(B11="","",IF(AND(C11=""),"",IF(OR(B11=$AX$24,B11=$AX$25,B11=$AX$26,B11=$AX$27,B11=$AX$28,B11=$AX$29),"",IF(AND('Master Data'!$I$28=$AP$5),'Master Data'!$B$43,"")))),"")</f>
        <v>0</v>
      </c>
      <c r="G11" s="266" t="str">
        <f>IFERROR(IF(B11="","",IF(AND(C11=""),"",IF(OR(B11=$AX$24,B11=$AX$25,B11=$AX$26,B11=$AX$27,B11=$AX$28,B11=$AX$29),"",IF(AND('Master Data'!$I$28=$AP$5,'Master Data'!$E$28=$AO$5),'Master Data'!$C$43,"0")))),"")</f>
        <v>0</v>
      </c>
      <c r="H11" s="266">
        <f>IFERROR(IF(OR('Master Data'!$E$32=$AO$6,'Master Data'!$E$32=""),"",IF(B11="","",IF(AND(C11=""),"",IF(OR(B11=$AX$24,B11=$AX$25,B11=$AX$26,B11=$AX$27,B11=$AX$28,B11=$AX$29),"",IF(AND('Master Data'!$I$28=$AP$6),"",IF(AND('Master Data'!$I$32=$AR$9),$AS$6,IF(AND('Master Data'!$I$32=$AR$10),$AS$6,IF(AND('Master Data'!$I$32=$AR$11),$AS$6,IF(AND('Master Data'!$I$32=$AR$12),$AS$6,$AS$5))))))))),"")</f>
        <v>620</v>
      </c>
      <c r="I11" s="266">
        <f>IFERROR(IF(B11="","",IF(AND(E13=""),"",IF(OR(B11=$AX$24,B11=$AX$25,B11=$AX$26,B11=$AX$27,B11=$AX$28,B11=$AX$29),"",IF(AND('Master Data'!$I$28=$AP$5),'Master Data'!$E$43,"")))),"")</f>
        <v>0</v>
      </c>
      <c r="J11" s="266">
        <f>IFERROR(IF(B11="","",IF(AND(E13=""),"",IF(OR(B11=$AX$24,B11=$AX$25,B11=$AX$26,B11=$AX$27,B11=$AX$28,B11=$AX$29),"",IF(AND('Master Data'!$I$28=$AP$5),'Master Data'!$F$43,"")))),"")</f>
        <v>0</v>
      </c>
      <c r="K11" s="266" t="str">
        <f>IFERROR(IF(B11="","",IF(AND('Master Data'!$I$28=$AP$6),"",IF(AND('Master Data'!$I$24=$AO$6),"0",IF(AND(B11="Bonus"),VLOOKUP(B11,ram,4,0),"")))),"")</f>
        <v/>
      </c>
      <c r="L11" s="266">
        <f>IFERROR(IF(AND(B11=""),"",IF(AND(B11=$AX$25),"",IF(AND(B11=$AX$29,'Master Data'!$I$30=$AN$6),ROUND((D11)*0.1,0),IF(AND(B11=$AX$26,'Master Data'!$I$30=$AN$6),ROUND((D11)*0.1,0),IF(AND(B11=$AX$27,'Master Data'!$I$30=$AN$6),ROUND((C11+D11)*0.1,0),IF(AND('Master Data'!$I$30=$AN$5),"",IF(AND('Master Data'!$I$30=$AN$6,'Master Data'!$I$28=$AP$6),ROUND((C11)*0.1,0),ROUND((C11+D11)*0.1,0)))))))),"")</f>
        <v>6694</v>
      </c>
      <c r="M11" s="266">
        <f>IF(B11="","",IF('Master Data'!$H$18=$AO$5,SUM(C11:L11),SUM(C11:K11)))</f>
        <v>72271</v>
      </c>
      <c r="N11" s="266">
        <f>IFERROR(IF(OR('Master Data'!$I$28=$AP$6,B11=""),"",IF(AND(B11=$AX$24),"",IF(AND(B11=$AX$25),"",IF(AND(B11=$AX$26),"",IF(AND(B11=$AX$27),"",IF(AND(B11=$AX$28),"",IF(AND(B11=$AX$29),"",IF(AND(E13=""),"",VLOOKUP(B11,ram,11,0))))))))),"")</f>
        <v>7000</v>
      </c>
      <c r="O11" s="266">
        <f>IFERROR(IF(AND(B11="",C11=""),"",IF(AND(B11=$AX$25),"",IF(AND(B11=$AX$29,'Master Data'!$I$30=$AN$6),ROUND((D11)*0.1,0),IF(AND(B11=$AX$26,'Master Data'!$I$30=$AN$6),ROUND((D11)*0.1,0),IF(AND(B11=$AX$27,'Master Data'!$I$30=$AN$6),ROUND((C11+D11)*0.1,0),IF(AND('Master Data'!$I$30=$AN$6,'Master Data'!$I$28=$AP$6),ROUND((C11)*0.1,0),IF(AND('Master Data'!$I$30=$AN$6,'Master Data'!$I$28=$AP$5),ROUND((C11+D11)*0.1,0),IF(AND('Master Data'!$I$30=$AN$5,'Master Data'!$I$28=$AP$5),VLOOKUP(B11,ram,12,0))))))))),"")</f>
        <v>6694</v>
      </c>
      <c r="P11" s="266">
        <f>IFERROR(IF(OR('Master Data'!$I$28=$AP$6,B11=""),"",IF(AND(B11=$AX$24),"",IF(AND(B11=$AX$25),"",IF(AND(B11=$AX$26),"",IF(AND(B11=$AX$27),"",IF(AND(B11=$AX$28),"",IF(AND(B11=$AX$29),"",IF(AND(B11=$AX$32),"",IF(AND(C11=""),"",'Master Data'!$I$43))))))))),"")</f>
        <v>1880</v>
      </c>
      <c r="Q11" s="266">
        <f>IFERROR(IF(OR('Master Data'!$I$28=$AP$6),"",IF(B11="","",IF(C11="","",IF(AND(B11=$AX$24),"",IF(AND(B11=$AX$25),"",IF(AND(B11=$AX$26),"",IF(AND(B11=$AX$27),"",IF(AND(B11=$AX$28),"",IF(AND(B11=$AX$29),"",VLOOKUP(B11,ram,10,0)))))))))),"")</f>
        <v>0</v>
      </c>
      <c r="R11" s="266">
        <f>IFERROR(IF(OR('Master Data'!$I$28=$AP$6,B11=""),"",IF(AND(B11=$AX$24),"",IF(AND(B11=$AX$25),"",IF(AND(B11=$AX$26),"",IF(AND(B11=$AX$27),"",IF(AND(B11=$AX$28),"",IF(AND(B11=$AX$29),"",IF(AND(C11=""),"",'Master Data'!$K$43)))))))),"")</f>
        <v>0</v>
      </c>
      <c r="S11" s="266">
        <f>IFERROR(IF(OR('Master Data'!$I$28=$AP$6,B11=""),"",IF(AND(B11=$AX$24),"",IF(AND(B11=$AX$25),"",IF(AND(B11=$AX$26),"",IF(AND(B11=$AX$27),"",IF(AND(B11=$AX$28),"",IF(AND(B11=$AX$29),"",IF(AND(C11=""),"",'Master Data'!$L$43)))))))),"")</f>
        <v>0</v>
      </c>
      <c r="T11" s="266">
        <f>IFERROR(IF(OR('Master Data'!$I$28=$AP$6,B11=""),"",IF(AND(B11=$AX$24,'Master Data'!$I$28=$AP$5,'Master Data'!$I$30=$AN$6),ROUND(K11*50%,0),IF(AND(B11=$AX$25),"",IF(AND(B11=$AX$26,'Master Data'!$I$28=$AP$5,'Master Data'!$I$30=$AN$6),SUM(D11-L11),IF(AND(B11=$AX$27),"",IF(AND(B11=$AX$28),"",IF(AND(B11=$AX$29,'Master Data'!$I$28=$AP$5,'Master Data'!$I$30=$AN$6),SUM(D11-L11),IF(AND(C11=""),"",'Master Data'!$M$43)))))))),"")</f>
        <v>0</v>
      </c>
      <c r="U11" s="266">
        <f>IFERROR(IF(OR('Master Data'!$I$28=$AP$6,B11=""),"",IF(AND(B11=$AX$24),"",IF(AND(B11=$AX$25),"",IF(AND(B11=$AX$26),"",IF(AND(B11=$AX$27),"",IF(AND(B11=$AX$28),"",IF(AND(B11=$AX$29),"",IF(AND(E13=""),"",'Master Data'!$O$43)))))))),"")</f>
        <v>0</v>
      </c>
      <c r="V11" s="266" t="str">
        <f>IFERROR(IF(OR('Master Data'!$I$28=$AP$6,B11=""),"",IF(AND(C11=""),"",IF(AND(B11=$AT$17,'Master Data'!$D$18="Gazetted"),500,IF(AND(B11=$AT$17,'Master Data'!$D$18="Non-Gazetted"),250,"")))),"")</f>
        <v/>
      </c>
      <c r="W11" s="266">
        <f>IFERROR(IF(B11="","",IF(AND(C11=""),"",IF(AND(B11=$AX$24),"",IF(AND(B11=$AX$25),"",IF(AND(B11=$AX$26),"",IF(AND(B11=$AX$27),"",IF(AND(B11=$AX$28),"",IF(AND(B11=$AX$29),"",IF(OR('Master Data'!$I$28=$AP$6,B11=""),"",W10))))))))),"")</f>
        <v>0</v>
      </c>
      <c r="X11" s="266">
        <f>IFERROR(IF(OR('Master Data'!$I$28=$AP$6),"",IF(B11="","",IF(C11="","",VLOOKUP(B11,ram,9,0)))),"")</f>
        <v>1500</v>
      </c>
      <c r="Y11" s="266" t="str">
        <f>IFERROR(IF(OR('Master Data'!$I$28=$AP$6,B11="",'Master Data'!$N$38=""),"",IF(AND(C11=""),"",IF(B11=$AT$9,'Master Data'!$N$38,""))),"")</f>
        <v/>
      </c>
      <c r="Z11" s="266">
        <f>IFERROR(IF(B11="","",IF(AND(M11=""),"",IF(L11="",SUM(N11:Y11),IF(AND('Master Data'!$H$18=$AO$5,'Master Data'!$I$30=$AN$6),SUM(N11:Y11)+L11,SUM(N11:Y11))))),"0")</f>
        <v>17074</v>
      </c>
      <c r="AA11" s="266">
        <f t="shared" si="1"/>
        <v>55197</v>
      </c>
      <c r="AB11" s="266"/>
      <c r="AC11" s="267"/>
      <c r="AM11" s="273"/>
      <c r="AN11" s="273"/>
      <c r="AO11" s="273"/>
      <c r="AP11" s="273"/>
      <c r="AQ11" s="273"/>
      <c r="AR11" s="273" t="s">
        <v>16</v>
      </c>
      <c r="AS11" s="273" t="s">
        <v>15</v>
      </c>
      <c r="AT11" s="283">
        <v>44348</v>
      </c>
      <c r="AU11" s="273" t="s">
        <v>83</v>
      </c>
      <c r="AV11" s="273"/>
      <c r="AW11" s="290" t="s">
        <v>79</v>
      </c>
      <c r="AX11" s="284">
        <v>44228</v>
      </c>
      <c r="AY11" s="289"/>
      <c r="AZ11" s="294"/>
      <c r="BA11" s="289">
        <f>IF(AND('Master Data'!$E$36=""),"",'Master Data'!$E$36)</f>
        <v>50800</v>
      </c>
      <c r="BB11" s="289" t="str">
        <f>IF(AND(AX11&lt;$AZ$16),"",IF(AND(AX11&gt;$AZ$17),"",BA11))</f>
        <v/>
      </c>
      <c r="BC11" s="289">
        <f>IF(AND('Master Data'!$E$36=""),"",ROUND(17%*BA11,0))</f>
        <v>8636</v>
      </c>
      <c r="BD11" s="289" t="str">
        <f>IF(BB11="","",BC11)</f>
        <v/>
      </c>
      <c r="BE11" s="289"/>
      <c r="BF11" s="289"/>
      <c r="BG11" s="291" t="str">
        <f>IF(AND('Master Data'!$I$28=$AP$6),"",IF(AND('Master Data'!$I$30=$AN$6,'Master Data'!$N$36=$AO$6),"",IF(AND('Master Data'!$I$30=$AN$5),IF($AZ$15&lt;18001,265,IF($AZ$15&lt;33501,440,IF($AZ$15&lt;54001,658,875))))))</f>
        <v/>
      </c>
      <c r="BH11" s="289">
        <f>IFERROR(IF(OR('Master Data'!$I$28=$AP$6),"",'Master Data'!$G$43),"")</f>
        <v>7000</v>
      </c>
      <c r="BI11" s="292">
        <f>IFERROR(IF(AND('Master Data'!$I$30=$AN$6),ROUND((E9)*0.1,0),IF(AND('Master Data'!$I$28=$AP$6),ROUND((E9+F9)*0.1,0),'Master Data'!$H$43)),"")</f>
        <v>406</v>
      </c>
      <c r="BJ11" s="289">
        <f>BA11</f>
        <v>50800</v>
      </c>
      <c r="BK11" s="273"/>
      <c r="BL11" s="273"/>
      <c r="BM11" s="273"/>
      <c r="BN11" s="273"/>
      <c r="BO11" s="273"/>
      <c r="BP11" s="295"/>
      <c r="BQ11" s="273"/>
      <c r="BR11" s="273"/>
      <c r="BS11" s="273"/>
      <c r="BT11" s="273"/>
      <c r="BU11" s="273"/>
      <c r="BV11" s="273"/>
      <c r="BW11" s="273"/>
      <c r="BX11" s="273"/>
      <c r="BY11" s="273"/>
      <c r="BZ11" s="273"/>
      <c r="CA11" s="273"/>
      <c r="CB11" s="273"/>
      <c r="CC11" s="273"/>
    </row>
    <row r="12" spans="1:82" ht="21.95" customHeight="1">
      <c r="A12" s="47">
        <v>7</v>
      </c>
      <c r="B12" s="265">
        <f t="shared" si="0"/>
        <v>44440</v>
      </c>
      <c r="C12" s="266">
        <f>IFERROR(IF(B12="","",IF(AND(BQ18=""),"",IF(AND('Master Data'!$I$28=$AP$6),VLOOKUP(B12,ram,13,0),VLOOKUP(B12,ram,4,0)))),"")</f>
        <v>52300</v>
      </c>
      <c r="D12" s="266">
        <f>IFERROR(IF(B12="","",IF(B12=$AX$24,"",IF(AND(B12=$AX$25),$BC$25,IF(AND(B12=$AX$27),"",IF(AND(B12=$AX$28),"",IF(AND('Master Data'!$I$28=$AP$5),VLOOKUP(B12,ram,7,0),"")))))),"")</f>
        <v>14644</v>
      </c>
      <c r="E12" s="266">
        <f>IFERROR(IF(B12="","",IF(B12=$AX$24,"",IF(AND(B12=$AX$25),"",IF(AND(B12=$AX$26),"",IF(AND(B12=$AX$27),"",IF(AND(B12=$AX$29),"",IF(AND('Master Data'!$I$28=$AP$6),"",VLOOKUP(B12,ram,8,0)))))))),"")</f>
        <v>4707</v>
      </c>
      <c r="F12" s="266">
        <f>IFERROR(IF(B12="","",IF(AND(C12=""),"",IF(OR(B12=$AX$24,B12=$AX$25,B12=$AX$26,B12=$AX$27,B12=$AX$28,B12=$AX$29),"",IF(AND('Master Data'!$I$28=$AP$5),'Master Data'!$B$43,"")))),"")</f>
        <v>0</v>
      </c>
      <c r="G12" s="266" t="str">
        <f>IFERROR(IF(B12="","",IF(AND(C12=""),"",IF(OR(B12=$AX$24,B12=$AX$25,B12=$AX$26,B12=$AX$27,B12=$AX$28,B12=$AX$29),"",IF(AND('Master Data'!$I$28=$AP$5,'Master Data'!$E$28=$AO$5),'Master Data'!$C$43,"0")))),"")</f>
        <v>0</v>
      </c>
      <c r="H12" s="266">
        <f>IFERROR(IF(OR('Master Data'!$E$32=$AO$6,'Master Data'!$E$32=""),"",IF(B12="","",IF(AND(C12=""),"",IF(OR(B12=$AX$24,B12=$AX$25,B12=$AX$26,B12=$AX$27,B12=$AX$28,B12=$AX$29),"",IF(AND('Master Data'!$I$28=$AP$6),"",IF(AND('Master Data'!$I$32=$AR$9),$AS$6,IF(AND('Master Data'!$I$32=$AR$10),$AS$6,IF(AND('Master Data'!$I$32=$AR$11),$AS$6,IF(AND('Master Data'!$I$32=$AR$12),$AS$6,$AS$5))))))))),"")</f>
        <v>620</v>
      </c>
      <c r="I12" s="266">
        <f>IFERROR(IF(B12="","",IF(AND(E14=""),"",IF(OR(B12=$AX$24,B12=$AX$25,B12=$AX$26,B12=$AX$27,B12=$AX$28,B12=$AX$29),"",IF(AND('Master Data'!$I$28=$AP$5),'Master Data'!$E$43,"")))),"")</f>
        <v>0</v>
      </c>
      <c r="J12" s="266">
        <f>IFERROR(IF(B12="","",IF(AND(E14=""),"",IF(OR(B12=$AX$24,B12=$AX$25,B12=$AX$26,B12=$AX$27,B12=$AX$28,B12=$AX$29),"",IF(AND('Master Data'!$I$28=$AP$5),'Master Data'!$F$43,"")))),"")</f>
        <v>0</v>
      </c>
      <c r="K12" s="266" t="str">
        <f>IFERROR(IF(B12="","",IF(AND('Master Data'!$I$28=$AP$6),"",IF(AND('Master Data'!$I$24=$AO$6),"0",IF(AND(B12="Bonus"),VLOOKUP(B12,ram,4,0),"")))),"")</f>
        <v/>
      </c>
      <c r="L12" s="266">
        <f>IFERROR(IF(AND(B12=""),"",IF(AND(B12=$AX$25),"",IF(AND(B12=$AX$29,'Master Data'!$I$30=$AN$6),ROUND((D12)*0.1,0),IF(AND(B12=$AX$26,'Master Data'!$I$30=$AN$6),ROUND((D12)*0.1,0),IF(AND(B12=$AX$27,'Master Data'!$I$30=$AN$6),ROUND((C12+D12)*0.1,0),IF(AND('Master Data'!$I$30=$AN$5),"",IF(AND('Master Data'!$I$30=$AN$6,'Master Data'!$I$28=$AP$6),ROUND((C12)*0.1,0),ROUND((C12+D12)*0.1,0)))))))),"")</f>
        <v>6694</v>
      </c>
      <c r="M12" s="266">
        <f>IF(B12="","",IF('Master Data'!$H$18=$AO$5,SUM(C12:L12),SUM(C12:K12)))</f>
        <v>72271</v>
      </c>
      <c r="N12" s="266">
        <f>IFERROR(IF(OR('Master Data'!$I$28=$AP$6,B12=""),"",IF(AND(B12=$AX$24),"",IF(AND(B12=$AX$25),"",IF(AND(B12=$AX$26),"",IF(AND(B12=$AX$27),"",IF(AND(B12=$AX$28),"",IF(AND(B12=$AX$29),"",IF(AND(E14=""),"",VLOOKUP(B12,ram,11,0))))))))),"")</f>
        <v>7000</v>
      </c>
      <c r="O12" s="266">
        <f>IFERROR(IF(AND(B12="",C12=""),"",IF(AND(B12=$AX$25),"",IF(AND(B12=$AX$29,'Master Data'!$I$30=$AN$6),ROUND((D12)*0.1,0),IF(AND(B12=$AX$26,'Master Data'!$I$30=$AN$6),ROUND((D12)*0.1,0),IF(AND(B12=$AX$27,'Master Data'!$I$30=$AN$6),ROUND((C12+D12)*0.1,0),IF(AND('Master Data'!$I$30=$AN$6,'Master Data'!$I$28=$AP$6),ROUND((C12)*0.1,0),IF(AND('Master Data'!$I$30=$AN$6,'Master Data'!$I$28=$AP$5),ROUND((C12+D12)*0.1,0),IF(AND('Master Data'!$I$30=$AN$5,'Master Data'!$I$28=$AP$5),VLOOKUP(B12,ram,12,0))))))))),"")</f>
        <v>6694</v>
      </c>
      <c r="P12" s="266">
        <f>IFERROR(IF(OR('Master Data'!$I$28=$AP$6,B12=""),"",IF(AND(B12=$AX$24),"",IF(AND(B12=$AX$25),"",IF(AND(B12=$AX$26),"",IF(AND(B12=$AX$27),"",IF(AND(B12=$AX$28),"",IF(AND(B12=$AX$29),"",IF(AND(B12=$AX$32),"",IF(AND(C12=""),"",'Master Data'!$I$43))))))))),"")</f>
        <v>1880</v>
      </c>
      <c r="Q12" s="266">
        <f>IFERROR(IF(OR('Master Data'!$I$28=$AP$6),"",IF(B12="","",IF(C12="","",IF(AND(B12=$AX$24),"",IF(AND(B12=$AX$25),"",IF(AND(B12=$AX$26),"",IF(AND(B12=$AX$27),"",IF(AND(B12=$AX$28),"",IF(AND(B12=$AX$29),"",VLOOKUP(B12,ram,10,0)))))))))),"")</f>
        <v>0</v>
      </c>
      <c r="R12" s="266">
        <f>IFERROR(IF(OR('Master Data'!$I$28=$AP$6,B12=""),"",IF(AND(B12=$AX$24),"",IF(AND(B12=$AX$25),"",IF(AND(B12=$AX$26),"",IF(AND(B12=$AX$27),"",IF(AND(B12=$AX$28),"",IF(AND(B12=$AX$29),"",IF(AND(C12=""),"",'Master Data'!$K$43)))))))),"")</f>
        <v>0</v>
      </c>
      <c r="S12" s="266">
        <f>IFERROR(IF(OR('Master Data'!$I$28=$AP$6,B12=""),"",IF(AND(B12=$AX$24),"",IF(AND(B12=$AX$25),"",IF(AND(B12=$AX$26),"",IF(AND(B12=$AX$27),"",IF(AND(B12=$AX$28),"",IF(AND(B12=$AX$29),"",IF(AND(C12=""),"",'Master Data'!$L$43)))))))),"")</f>
        <v>0</v>
      </c>
      <c r="T12" s="266">
        <f>IFERROR(IF(OR('Master Data'!$I$28=$AP$6,B12=""),"",IF(AND(B12=$AX$24,'Master Data'!$I$28=$AP$5,'Master Data'!$I$30=$AN$6),ROUND(K12*50%,0),IF(AND(B12=$AX$25),"",IF(AND(B12=$AX$26,'Master Data'!$I$28=$AP$5,'Master Data'!$I$30=$AN$6),SUM(D12-L12),IF(AND(B12=$AX$27),"",IF(AND(B12=$AX$28),"",IF(AND(B12=$AX$29,'Master Data'!$I$28=$AP$5,'Master Data'!$I$30=$AN$6),SUM(D12-L12),IF(AND(C12=""),"",'Master Data'!$M$43)))))))),"")</f>
        <v>0</v>
      </c>
      <c r="U12" s="266">
        <f>IFERROR(IF(OR('Master Data'!$I$28=$AP$6,B12=""),"",IF(AND(B12=$AX$24),"",IF(AND(B12=$AX$25),"",IF(AND(B12=$AX$26),"",IF(AND(B12=$AX$27),"",IF(AND(B12=$AX$28),"",IF(AND(B12=$AX$29),"",IF(AND(E14=""),"",'Master Data'!$O$43)))))))),"")</f>
        <v>0</v>
      </c>
      <c r="V12" s="266" t="str">
        <f>IFERROR(IF(OR('Master Data'!$I$28=$AP$6,B12=""),"",IF(AND(C12=""),"",IF(AND(B12=$AT$17,'Master Data'!$D$18="Gazetted"),500,IF(AND(B12=$AT$17,'Master Data'!$D$18="Non-Gazetted"),250,"")))),"")</f>
        <v/>
      </c>
      <c r="W12" s="266">
        <f>IFERROR(IF(B12="","",IF(AND(C12=""),"",IF(AND(B12=$AX$24),"",IF(AND(B12=$AX$25),"",IF(AND(B12=$AX$26),"",IF(AND(B12=$AX$27),"",IF(AND(B12=$AX$28),"",IF(AND(B12=$AX$29),"",IF(OR('Master Data'!$I$28=$AP$6,B12=""),"",W11))))))))),"")</f>
        <v>0</v>
      </c>
      <c r="X12" s="266">
        <f>IFERROR(IF(OR('Master Data'!$I$28=$AP$6),"",IF(B12="","",IF(C12="","",VLOOKUP(B12,ram,9,0)))),"")</f>
        <v>1500</v>
      </c>
      <c r="Y12" s="266" t="str">
        <f>IFERROR(IF(OR('Master Data'!$I$28=$AP$6,B12="",'Master Data'!$N$38=""),"",IF(AND(C12=""),"",IF(B12=$AT$9,'Master Data'!$N$38,""))),"")</f>
        <v/>
      </c>
      <c r="Z12" s="266">
        <f>IFERROR(IF(B12="","",IF(AND(M12=""),"",IF(L12="",SUM(N12:Y12),IF(AND('Master Data'!$H$18=$AO$5,'Master Data'!$I$30=$AN$6),SUM(N12:Y12)+L12,SUM(N12:Y12))))),"0")</f>
        <v>17074</v>
      </c>
      <c r="AA12" s="266">
        <f t="shared" si="1"/>
        <v>55197</v>
      </c>
      <c r="AB12" s="266"/>
      <c r="AC12" s="267"/>
      <c r="AM12" s="273"/>
      <c r="AN12" s="273"/>
      <c r="AO12" s="273"/>
      <c r="AP12" s="273"/>
      <c r="AQ12" s="273"/>
      <c r="AR12" s="273" t="s">
        <v>18</v>
      </c>
      <c r="AS12" s="273" t="s">
        <v>17</v>
      </c>
      <c r="AT12" s="283">
        <v>44378</v>
      </c>
      <c r="AU12" s="273" t="s">
        <v>84</v>
      </c>
      <c r="AV12" s="273"/>
      <c r="AW12" s="290" t="s">
        <v>13</v>
      </c>
      <c r="AX12" s="284">
        <v>44256</v>
      </c>
      <c r="AY12" s="289">
        <v>3</v>
      </c>
      <c r="AZ12" s="289"/>
      <c r="BA12" s="291">
        <f>IF(AND('Master Data'!$E$36=""),"",IF(AND('Master Data'!$I$28=$AP$6),$AZ$15,BU12))</f>
        <v>50800</v>
      </c>
      <c r="BB12" s="289">
        <f>IF(AND(AX12&lt;$AZ$16),"",IF(AND(AX12&gt;$AZ$17),"",BA12))</f>
        <v>50800</v>
      </c>
      <c r="BC12" s="289">
        <f>IF(AND('Master Data'!$E$36=""),"",ROUND(17%*BA12,0))</f>
        <v>8636</v>
      </c>
      <c r="BD12" s="289">
        <f>IF(BB12="","",BC12)</f>
        <v>8636</v>
      </c>
      <c r="BE12" s="296">
        <f>IFERROR(IF(AND('Master Data'!$E$36=""),"",ROUND('Master Data'!$E$30%*BB12,0)),"")</f>
        <v>4064</v>
      </c>
      <c r="BF12" s="291">
        <f>'Master Data'!B47</f>
        <v>0</v>
      </c>
      <c r="BG12" s="291">
        <f>IF(AND('Master Data'!$I$28=$AP$6),"",IF(AND('Master Data'!$I$30=$AN$6,'Master Data'!$N$36=$AO$6),0,IF(AND('Master Data'!$I$30=$AN$6,'Master Data'!$N$36=$AO$5),'Master Data'!$J$43,IF(AND('Master Data'!$I$30=$AN$5),IF($AZ$15&lt;18001,265,IF($AZ$15&lt;33501,440,IF($AZ$15&lt;54001,658,875)))))))</f>
        <v>0</v>
      </c>
      <c r="BH12" s="291">
        <f>IFERROR(IF(OR('Master Data'!$I$28=$AP$6),"",'Master Data'!$G$43),"")</f>
        <v>7000</v>
      </c>
      <c r="BI12" s="297">
        <f>IFERROR(IF(AND('Master Data'!$I$30=$AN$6),ROUND((E8)*0.1,0),IF(AND('Master Data'!$I$28=$AP$6),ROUND((E8+F8)*0.1,0),'Master Data'!$H$43)),"")</f>
        <v>406</v>
      </c>
      <c r="BJ12" s="291">
        <f>BA12</f>
        <v>50800</v>
      </c>
      <c r="BK12" s="298">
        <v>44256</v>
      </c>
      <c r="BL12" s="298">
        <f>IFERROR(IF('Master Data'!$E$36="","",IF('Master Data'!$F$40="","",IF(AND($AZ$17&gt;$AZ$9),"",DATE(YEAR(AZ16),MONTH(AZ16),DAY(AZ16))))),"")</f>
        <v>44256</v>
      </c>
      <c r="BM12" s="299">
        <f>IFERROR(IF('Master Data'!$E$36="","",IF('Master Data'!$F$40="","",IF(AND($AZ$17&gt;$AZ$9),"",DATE(YEAR(AZ16),MONTH(AZ16),DAY(AZ16))))),"")</f>
        <v>44256</v>
      </c>
      <c r="BN12" s="299">
        <f>IF(AND(BM12=""),"",IF(AND(BM12=$BK$12),$BK$12,IF(AND(BM12=$BK$13),$BK$13,IF(AND(BM12=$BK$14),$BK$14,IF(AND(BM12=$BK$15),$BK$15,IF(AND(BM12=$BK$16),$BK$16,IF(AND(BM12=$BK$17),$BK$17,IF(AND(BM12=$BK$18),$BK$18,IF(AND(BM12=$BK$19),$BK$19,IF(AND(BM12=$BK$20),$BK$20,IF(AND(BM12=$BK$21),$BK$21,IF(AND(BM12=$BK$22),$BK$22,IF(AND(BM12=$BK$23),$BK$23,IF(AND(BM12=$BK$24),$BM$24,IF(AND(BM12=$BK$25),$BM$25,IF(AND(BM12=$BK$26),$BM$26,IF(AND(BM12=$BK$27),$BM$27,IF(AND(BM12=$BK$28),$BM$28,IF(AND(BM12=$BK$29),$BM$29,IF(AND(BM12=$BK$30),$BM$30,IF(AND(BM12=$BK$31),$BM$31,IF(AND(BM12=$BK$32),$BM$32,""))))))))))))))))))))))</f>
        <v>44256</v>
      </c>
      <c r="BO12" s="299">
        <f>IFERROR(IF(BM12="","",IF(AND(BL12=$BK$24),$BM$24,IF(AND(BL12=$BK$25),$BM$25,IF(AND(BL12=$BK$26),$BM$26,IF(AND(BL12=$BK$27),$BM$27,IF(AND(BL12=$BK$28),$BM$28,IF(AND(BL12=$BK$29),$BM$29,IF(AND(BL12=$BK$30),$BM$30,IF(AND(BL12=$BK$31),$BM$31,IF(AND(BL12=$BK$32),$BM$32,BN12)))))))))),"")</f>
        <v>44256</v>
      </c>
      <c r="BP12" s="299"/>
      <c r="BQ12" s="299">
        <f>IFERROR(IF(BM12="","",IF(B6=$AX$25,$AX$25,IF(B6=$AX$30,$AX$30,IF(B6=$AX$31,$AX$31,IF(B6=$AX$32,$AX$32,IF(BM12&gt;$AZ$17,"",BM12)))))),"")</f>
        <v>44256</v>
      </c>
      <c r="BR12" s="299"/>
      <c r="BS12" s="300"/>
      <c r="BT12" s="300"/>
      <c r="BU12" s="300">
        <f>IF(AND('Master Data'!$E$36=""),"",IF(AND('Master Data'!$I$38=AX13),'Master Data'!$I$36,'Master Data'!$E$36))</f>
        <v>50800</v>
      </c>
      <c r="BV12" s="299"/>
      <c r="BW12" s="273"/>
      <c r="BX12" s="300">
        <f>IF(BB12="",0,BF12)</f>
        <v>0</v>
      </c>
      <c r="BY12" s="273"/>
      <c r="BZ12" s="273"/>
      <c r="CA12" s="273"/>
      <c r="CB12" s="273"/>
      <c r="CC12" s="273"/>
    </row>
    <row r="13" spans="1:82" ht="21.95" customHeight="1">
      <c r="A13" s="47">
        <v>8</v>
      </c>
      <c r="B13" s="265">
        <f t="shared" si="0"/>
        <v>44470</v>
      </c>
      <c r="C13" s="266">
        <f>IFERROR(IF(B13="","",IF(AND(BQ19=""),"",IF(AND('Master Data'!$I$28=$AP$6),VLOOKUP(B13,ram,13,0),VLOOKUP(B13,ram,4,0)))),"")</f>
        <v>52300</v>
      </c>
      <c r="D13" s="266">
        <f>IFERROR(IF(B13="","",IF(B13=$AX$24,"",IF(AND(B13=$AX$25),$BC$25,IF(AND(B13=$AX$27),"",IF(AND(B13=$AX$28),"",IF(AND('Master Data'!$I$28=$AP$5),VLOOKUP(B13,ram,7,0),"")))))),"")</f>
        <v>16213</v>
      </c>
      <c r="E13" s="266">
        <f>IFERROR(IF(B13="","",IF(B13=$AX$24,"",IF(AND(B13=$AX$25),"",IF(AND(B13=$AX$26),"",IF(AND(B13=$AX$27),"",IF(AND(B13=$AX$29),"",IF(AND('Master Data'!$I$28=$AP$6),"",VLOOKUP(B13,ram,8,0)))))))),"")</f>
        <v>4707</v>
      </c>
      <c r="F13" s="266">
        <f>IFERROR(IF(B13="","",IF(AND(C13=""),"",IF(OR(B13=$AX$24,B13=$AX$25,B13=$AX$26,B13=$AX$27,B13=$AX$28,B13=$AX$29),"",IF(AND('Master Data'!$I$28=$AP$5),'Master Data'!$B$43,"")))),"")</f>
        <v>0</v>
      </c>
      <c r="G13" s="266" t="str">
        <f>IFERROR(IF(B13="","",IF(AND(C13=""),"",IF(OR(B13=$AX$24,B13=$AX$25,B13=$AX$26,B13=$AX$27,B13=$AX$28,B13=$AX$29),"",IF(AND('Master Data'!$I$28=$AP$5,'Master Data'!$E$28=$AO$5),'Master Data'!$C$43,"0")))),"")</f>
        <v>0</v>
      </c>
      <c r="H13" s="266">
        <f>IFERROR(IF(OR('Master Data'!$E$32=$AO$6,'Master Data'!$E$32=""),"",IF(B13="","",IF(AND(C13=""),"",IF(OR(B13=$AX$24,B13=$AX$25,B13=$AX$26,B13=$AX$27,B13=$AX$28,B13=$AX$29),"",IF(AND('Master Data'!$I$28=$AP$6),"",IF(AND('Master Data'!$I$32=$AR$9),$AS$6,IF(AND('Master Data'!$I$32=$AR$10),$AS$6,IF(AND('Master Data'!$I$32=$AR$11),$AS$6,IF(AND('Master Data'!$I$32=$AR$12),$AS$6,$AS$5))))))))),"")</f>
        <v>620</v>
      </c>
      <c r="I13" s="266">
        <f>IFERROR(IF(B13="","",IF(AND(E15=""),"",IF(OR(B13=$AX$24,B13=$AX$25,B13=$AX$26,B13=$AX$27,B13=$AX$28,B13=$AX$29),"",IF(AND('Master Data'!$I$28=$AP$5),'Master Data'!$E$43,"")))),"")</f>
        <v>0</v>
      </c>
      <c r="J13" s="266">
        <f>IFERROR(IF(B13="","",IF(AND(E15=""),"",IF(OR(B13=$AX$24,B13=$AX$25,B13=$AX$26,B13=$AX$27,B13=$AX$28,B13=$AX$29),"",IF(AND('Master Data'!$I$28=$AP$5),'Master Data'!$F$43,"")))),"")</f>
        <v>0</v>
      </c>
      <c r="K13" s="266" t="str">
        <f>IFERROR(IF(B13="","",IF(AND('Master Data'!$I$28=$AP$6),"",IF(AND('Master Data'!$I$24=$AO$6),"0",IF(AND(B13="Bonus"),VLOOKUP(B13,ram,4,0),"")))),"")</f>
        <v/>
      </c>
      <c r="L13" s="266">
        <f>IFERROR(IF(AND(B13=""),"",IF(AND(B13=$AX$25),"",IF(AND(B13=$AX$29,'Master Data'!$I$30=$AN$6),ROUND((D13)*0.1,0),IF(AND(B13=$AX$26,'Master Data'!$I$30=$AN$6),ROUND((D13)*0.1,0),IF(AND(B13=$AX$27,'Master Data'!$I$30=$AN$6),ROUND((C13+D13)*0.1,0),IF(AND('Master Data'!$I$30=$AN$5),"",IF(AND('Master Data'!$I$30=$AN$6,'Master Data'!$I$28=$AP$6),ROUND((C13)*0.1,0),ROUND((C13+D13)*0.1,0)))))))),"")</f>
        <v>6851</v>
      </c>
      <c r="M13" s="266">
        <f>IF(B13="","",IF('Master Data'!$H$18=$AO$5,SUM(C13:L13),SUM(C13:K13)))</f>
        <v>73840</v>
      </c>
      <c r="N13" s="266">
        <f>IFERROR(IF(OR('Master Data'!$I$28=$AP$6,B13=""),"",IF(AND(B13=$AX$24),"",IF(AND(B13=$AX$25),"",IF(AND(B13=$AX$26),"",IF(AND(B13=$AX$27),"",IF(AND(B13=$AX$28),"",IF(AND(B13=$AX$29),"",IF(AND(E15=""),"",VLOOKUP(B13,ram,11,0))))))))),"")</f>
        <v>7000</v>
      </c>
      <c r="O13" s="266">
        <f>IFERROR(IF(AND(B13="",C13=""),"",IF(AND(B13=$AX$25),"",IF(AND(B13=$AX$29,'Master Data'!$I$30=$AN$6),ROUND((D13)*0.1,0),IF(AND(B13=$AX$26,'Master Data'!$I$30=$AN$6),ROUND((D13)*0.1,0),IF(AND(B13=$AX$27,'Master Data'!$I$30=$AN$6),ROUND((C13+D13)*0.1,0),IF(AND('Master Data'!$I$30=$AN$6,'Master Data'!$I$28=$AP$6),ROUND((C13)*0.1,0),IF(AND('Master Data'!$I$30=$AN$6,'Master Data'!$I$28=$AP$5),ROUND((C13+D13)*0.1,0),IF(AND('Master Data'!$I$30=$AN$5,'Master Data'!$I$28=$AP$5),VLOOKUP(B13,ram,12,0))))))))),"")</f>
        <v>6851</v>
      </c>
      <c r="P13" s="266">
        <f>IFERROR(IF(OR('Master Data'!$I$28=$AP$6,B13=""),"",IF(AND(B13=$AX$24),"",IF(AND(B13=$AX$25),"",IF(AND(B13=$AX$26),"",IF(AND(B13=$AX$27),"",IF(AND(B13=$AX$28),"",IF(AND(B13=$AX$29),"",IF(AND(B13=$AX$32),"",IF(AND(C13=""),"",'Master Data'!$I$43))))))))),"")</f>
        <v>1880</v>
      </c>
      <c r="Q13" s="266">
        <f>IFERROR(IF(OR('Master Data'!$I$28=$AP$6),"",IF(B13="","",IF(C13="","",IF(AND(B13=$AX$24),"",IF(AND(B13=$AX$25),"",IF(AND(B13=$AX$26),"",IF(AND(B13=$AX$27),"",IF(AND(B13=$AX$28),"",IF(AND(B13=$AX$29),"",VLOOKUP(B13,ram,10,0)))))))))),"")</f>
        <v>0</v>
      </c>
      <c r="R13" s="266">
        <f>IFERROR(IF(OR('Master Data'!$I$28=$AP$6,B13=""),"",IF(AND(B13=$AX$24),"",IF(AND(B13=$AX$25),"",IF(AND(B13=$AX$26),"",IF(AND(B13=$AX$27),"",IF(AND(B13=$AX$28),"",IF(AND(B13=$AX$29),"",IF(AND(C13=""),"",'Master Data'!$K$43)))))))),"")</f>
        <v>0</v>
      </c>
      <c r="S13" s="266">
        <f>IFERROR(IF(OR('Master Data'!$I$28=$AP$6,B13=""),"",IF(AND(B13=$AX$24),"",IF(AND(B13=$AX$25),"",IF(AND(B13=$AX$26),"",IF(AND(B13=$AX$27),"",IF(AND(B13=$AX$28),"",IF(AND(B13=$AX$29),"",IF(AND(C13=""),"",'Master Data'!$L$43)))))))),"")</f>
        <v>0</v>
      </c>
      <c r="T13" s="266">
        <f>IFERROR(IF(OR('Master Data'!$I$28=$AP$6,B13=""),"",IF(AND(B13=$AX$24,'Master Data'!$I$28=$AP$5,'Master Data'!$I$30=$AN$6),ROUND(K13*50%,0),IF(AND(B13=$AX$25),"",IF(AND(B13=$AX$26,'Master Data'!$I$28=$AP$5,'Master Data'!$I$30=$AN$6),SUM(D13-L13),IF(AND(B13=$AX$27),"",IF(AND(B13=$AX$28),"",IF(AND(B13=$AX$29,'Master Data'!$I$28=$AP$5,'Master Data'!$I$30=$AN$6),SUM(D13-L13),IF(AND(C13=""),"",'Master Data'!$M$43)))))))),"")</f>
        <v>0</v>
      </c>
      <c r="U13" s="266">
        <f>IFERROR(IF(OR('Master Data'!$I$28=$AP$6,B13=""),"",IF(AND(B13=$AX$24),"",IF(AND(B13=$AX$25),"",IF(AND(B13=$AX$26),"",IF(AND(B13=$AX$27),"",IF(AND(B13=$AX$28),"",IF(AND(B13=$AX$29),"",IF(AND(E15=""),"",'Master Data'!$O$43)))))))),"")</f>
        <v>0</v>
      </c>
      <c r="V13" s="266" t="str">
        <f>IFERROR(IF(OR('Master Data'!$I$28=$AP$6,B13=""),"",IF(AND(C13=""),"",IF(AND(B13=$AT$17,'Master Data'!$D$18="Gazetted"),500,IF(AND(B13=$AT$17,'Master Data'!$D$18="Non-Gazetted"),250,"")))),"")</f>
        <v/>
      </c>
      <c r="W13" s="266">
        <f>IFERROR(IF(B13="","",IF(AND(C13=""),"",IF(AND(B13=$AX$24),"",IF(AND(B13=$AX$25),"",IF(AND(B13=$AX$26),"",IF(AND(B13=$AX$27),"",IF(AND(B13=$AX$28),"",IF(AND(B13=$AX$29),"",IF(OR('Master Data'!$I$28=$AP$6,B13=""),"",W12))))))))),"")</f>
        <v>0</v>
      </c>
      <c r="X13" s="266">
        <f>IFERROR(IF(OR('Master Data'!$I$28=$AP$6),"",IF(B13="","",IF(C13="","",VLOOKUP(B13,ram,9,0)))),"")</f>
        <v>1500</v>
      </c>
      <c r="Y13" s="266" t="str">
        <f>IFERROR(IF(OR('Master Data'!$I$28=$AP$6,B13="",'Master Data'!$N$38=""),"",IF(AND(C13=""),"",IF(B13=$AT$9,'Master Data'!$N$38,""))),"")</f>
        <v/>
      </c>
      <c r="Z13" s="266">
        <f>IFERROR(IF(B13="","",IF(AND(M13=""),"",IF(L13="",SUM(N13:Y13),IF(AND('Master Data'!$H$18=$AO$5,'Master Data'!$I$30=$AN$6),SUM(N13:Y13)+L13,SUM(N13:Y13))))),"0")</f>
        <v>17231</v>
      </c>
      <c r="AA13" s="266">
        <f t="shared" si="1"/>
        <v>56609</v>
      </c>
      <c r="AB13" s="266"/>
      <c r="AC13" s="267"/>
      <c r="AM13" s="273"/>
      <c r="AN13" s="273"/>
      <c r="AO13" s="273"/>
      <c r="AP13" s="273"/>
      <c r="AQ13" s="273"/>
      <c r="AR13" s="273"/>
      <c r="AS13" s="273" t="s">
        <v>19</v>
      </c>
      <c r="AT13" s="283">
        <v>44409</v>
      </c>
      <c r="AU13" s="273" t="s">
        <v>85</v>
      </c>
      <c r="AV13" s="300"/>
      <c r="AW13" s="290" t="s">
        <v>15</v>
      </c>
      <c r="AX13" s="284">
        <v>44287</v>
      </c>
      <c r="AY13" s="289">
        <v>4</v>
      </c>
      <c r="AZ13" s="289"/>
      <c r="BA13" s="291">
        <f>IF(AND('Master Data'!$E$36=""),"",IF(AND('Master Data'!$I$28=$AP$6),$AZ$15,BU13))</f>
        <v>50800</v>
      </c>
      <c r="BB13" s="289">
        <f>IF(AND(AX13&lt;$AZ$16),"",IF(AND(AX13&gt;$AZ$17),"",BA13))</f>
        <v>50800</v>
      </c>
      <c r="BC13" s="289">
        <f>IF(AND('Master Data'!$E$36=""),"",ROUND(17%*BA13,0))</f>
        <v>8636</v>
      </c>
      <c r="BD13" s="289">
        <f>IF(BB13="","",BC13)</f>
        <v>8636</v>
      </c>
      <c r="BE13" s="296">
        <f>IFERROR(IF(AND('Master Data'!$E$36=""),"",ROUND('Master Data'!$E$30%*BB13,0)),"")</f>
        <v>4064</v>
      </c>
      <c r="BF13" s="291">
        <f>'Master Data'!C47</f>
        <v>1500</v>
      </c>
      <c r="BG13" s="291">
        <f>IF(AND('Master Data'!$I$28=$AP$6),"",IF(AND('Master Data'!$I$30=$AN$6,'Master Data'!$N$36=$AO$6),0,IF(AND('Master Data'!$I$30=$AN$6,'Master Data'!$N$36=$AO$5),'Master Data'!$J$43,IF(AND('Master Data'!$I$30=$AN$5),IF($AZ$15&lt;18001,265,IF($AZ$15&lt;33501,440,IF($AZ$15&lt;54001,658,875)))))))</f>
        <v>0</v>
      </c>
      <c r="BH13" s="291">
        <f>IFERROR(IF(OR('Master Data'!$I$28=$AP$6),"",'Master Data'!$G$43),"")</f>
        <v>7000</v>
      </c>
      <c r="BI13" s="297">
        <f>IFERROR(IF(AND('Master Data'!$I$30=$AN$6),ROUND((E9)*0.1,0),IF(AND('Master Data'!$I$28=$AP$6),ROUND((E9+F9)*0.1,0),'Master Data'!$H$43)),"")</f>
        <v>406</v>
      </c>
      <c r="BJ13" s="291">
        <f>BA13</f>
        <v>50800</v>
      </c>
      <c r="BK13" s="298">
        <v>44287</v>
      </c>
      <c r="BL13" s="298">
        <f>IFERROR(IF('Master Data'!$E$36="","",IF('Master Data'!$F$40="","",IF(AND($AZ$17&gt;$AZ$9),"",DATE(YEAR(BL12),MONTH(BL12)+1,DAY(BL12))))),"")</f>
        <v>44287</v>
      </c>
      <c r="BM13" s="299">
        <f>IFERROR(IF('Master Data'!$E$36="","",IF('Master Data'!$F$40="","",IF(AND($AZ$17&gt;$AZ$9),"",DATE(YEAR(BM12),MONTH(BM12)+1,DAY(BM12))))),"")</f>
        <v>44287</v>
      </c>
      <c r="BN13" s="299">
        <f t="shared" ref="BN13:BN32" si="2">IF(AND(BM13=""),"",IF(AND(BM13=$BK$12),$BK$12,IF(AND(BM13=$BK$13),$BK$13,IF(AND(BM13=$BK$14),$BK$14,IF(AND(BM13=$BK$15),$BK$15,IF(AND(BM13=$BK$16),$BK$16,IF(AND(BM13=$BK$17),$BK$17,IF(AND(BM13=$BK$18),$BK$18,IF(AND(BM13=$BK$19),$BK$19,IF(AND(BM13=$BK$20),$BK$20,IF(AND(BM13=$BK$21),$BK$21,IF(AND(BM13=$BK$22),$BK$22,IF(AND(BM13=$BK$23),$BK$23,IF(AND(BM13=$BK$24),$BM$24,IF(AND(BM13=$BK$25),$BM$25,IF(AND(BM13=$BK$26),$BM$26,IF(AND(BM13=$BK$27),$BM$27,IF(AND(BM13=$BK$28),$BM$28,IF(AND(BM13=$BK$29),$BM$29,IF(AND(BM13=$BK$30),$BM$30,IF(AND(BM13=$BK$31),$BM$31,IF(AND(BM13=$BK$32),$BM$32,""))))))))))))))))))))))</f>
        <v>44287</v>
      </c>
      <c r="BO13" s="299">
        <f t="shared" ref="BO13:BO31" si="3">IFERROR(IF(BM13="","",IF(AND(BL13=$BK$24),$BM$24,IF(AND(BL13=$BK$25),$BM$25,IF(AND(BL13=$BK$26),$BM$26,IF(AND(BL13=$BK$27),$BM$27,IF(AND(BL13=$BK$28),$BM$28,IF(AND(BL13=$BK$29),$BM$29,IF(AND(BL13=$BK$30),$BM$30,IF(AND(BL13=$BK$31),$BM$31,IF(AND(BL13=$BK$32),$BM$32,BN13)))))))))),"")</f>
        <v>44287</v>
      </c>
      <c r="BP13" s="299"/>
      <c r="BQ13" s="299">
        <f t="shared" ref="BQ13:BQ32" si="4">IFERROR(IF(BM13="","",IF(B7=$AX$25,$AX$25,IF(B7=$AX$30,$AX$30,IF(B7=$AX$31,$AX$31,IF(B7=$AX$32,$AX$32,IF(BM13&gt;$AZ$17,"",BM13)))))),"")</f>
        <v>44287</v>
      </c>
      <c r="BR13" s="299"/>
      <c r="BS13" s="300"/>
      <c r="BT13" s="300"/>
      <c r="BU13" s="300">
        <f>IF(AND('Master Data'!$E$36=""),"",IF(AND('Master Data'!$I$38=AX13),'Master Data'!$I$36,'Master Data'!$E$36))</f>
        <v>50800</v>
      </c>
      <c r="BV13" s="273"/>
      <c r="BW13" s="273"/>
      <c r="BX13" s="300">
        <f t="shared" ref="BX13:BX29" si="5">IF(BB13="",0,BF13)</f>
        <v>1500</v>
      </c>
      <c r="BY13" s="273"/>
      <c r="BZ13" s="273"/>
      <c r="CA13" s="273"/>
      <c r="CB13" s="273"/>
      <c r="CC13" s="273"/>
    </row>
    <row r="14" spans="1:82" ht="21.95" customHeight="1">
      <c r="A14" s="47">
        <v>9</v>
      </c>
      <c r="B14" s="265">
        <f t="shared" si="0"/>
        <v>44501</v>
      </c>
      <c r="C14" s="266">
        <f>IFERROR(IF(B14="","",IF(AND(BQ20=""),"",IF(AND('Master Data'!$I$28=$AP$6),VLOOKUP(B14,ram,13,0),VLOOKUP(B14,ram,4,0)))),"")</f>
        <v>52300</v>
      </c>
      <c r="D14" s="266">
        <f>IFERROR(IF(B14="","",IF(B14=$AX$24,"",IF(AND(B14=$AX$25),$BC$25,IF(AND(B14=$AX$27),"",IF(AND(B14=$AX$28),"",IF(AND('Master Data'!$I$28=$AP$5),VLOOKUP(B14,ram,7,0),"")))))),"")</f>
        <v>16213</v>
      </c>
      <c r="E14" s="266">
        <f>IFERROR(IF(B14="","",IF(B14=$AX$24,"",IF(AND(B14=$AX$25),"",IF(AND(B14=$AX$26),"",IF(AND(B14=$AX$27),"",IF(AND(B14=$AX$29),"",IF(AND('Master Data'!$I$28=$AP$6),"",VLOOKUP(B14,ram,8,0)))))))),"")</f>
        <v>4707</v>
      </c>
      <c r="F14" s="266">
        <f>IFERROR(IF(B14="","",IF(AND(C14=""),"",IF(OR(B14=$AX$24,B14=$AX$25,B14=$AX$26,B14=$AX$27,B14=$AX$28,B14=$AX$29),"",IF(AND('Master Data'!$I$28=$AP$5),'Master Data'!$B$43,"")))),"")</f>
        <v>0</v>
      </c>
      <c r="G14" s="266" t="str">
        <f>IFERROR(IF(B14="","",IF(AND(C14=""),"",IF(OR(B14=$AX$24,B14=$AX$25,B14=$AX$26,B14=$AX$27,B14=$AX$28,B14=$AX$29),"",IF(AND('Master Data'!$I$28=$AP$5,'Master Data'!$E$28=$AO$5),'Master Data'!$C$43,"0")))),"")</f>
        <v>0</v>
      </c>
      <c r="H14" s="266">
        <f>IFERROR(IF(OR('Master Data'!$E$32=$AO$6,'Master Data'!$E$32=""),"",IF(B14="","",IF(AND(C14=""),"",IF(OR(B14=$AX$24,B14=$AX$25,B14=$AX$26,B14=$AX$27,B14=$AX$28,B14=$AX$29),"",IF(AND('Master Data'!$I$28=$AP$6),"",IF(AND('Master Data'!$I$32=$AR$9),$AS$6,IF(AND('Master Data'!$I$32=$AR$10),$AS$6,IF(AND('Master Data'!$I$32=$AR$11),$AS$6,IF(AND('Master Data'!$I$32=$AR$12),$AS$6,$AS$5))))))))),"")</f>
        <v>620</v>
      </c>
      <c r="I14" s="266">
        <f>IFERROR(IF(B14="","",IF(AND(E16=""),"",IF(OR(B14=$AX$24,B14=$AX$25,B14=$AX$26,B14=$AX$27,B14=$AX$28,B14=$AX$29),"",IF(AND('Master Data'!$I$28=$AP$5),'Master Data'!$E$43,"")))),"")</f>
        <v>0</v>
      </c>
      <c r="J14" s="266">
        <f>IFERROR(IF(B14="","",IF(AND(E16=""),"",IF(OR(B14=$AX$24,B14=$AX$25,B14=$AX$26,B14=$AX$27,B14=$AX$28,B14=$AX$29),"",IF(AND('Master Data'!$I$28=$AP$5),'Master Data'!$F$43,"")))),"")</f>
        <v>0</v>
      </c>
      <c r="K14" s="266" t="str">
        <f>IFERROR(IF(B14="","",IF(AND('Master Data'!$I$28=$AP$6),"",IF(AND('Master Data'!$I$24=$AO$6),"0",IF(AND(B14="Bonus"),VLOOKUP(B14,ram,4,0),"")))),"")</f>
        <v/>
      </c>
      <c r="L14" s="266">
        <f>IFERROR(IF(AND(B14=""),"",IF(AND(B14=$AX$25),"",IF(AND(B14=$AX$29,'Master Data'!$I$30=$AN$6),ROUND((D14)*0.1,0),IF(AND(B14=$AX$26,'Master Data'!$I$30=$AN$6),ROUND((D14)*0.1,0),IF(AND(B14=$AX$27,'Master Data'!$I$30=$AN$6),ROUND((C14+D14)*0.1,0),IF(AND('Master Data'!$I$30=$AN$5),"",IF(AND('Master Data'!$I$30=$AN$6,'Master Data'!$I$28=$AP$6),ROUND((C14)*0.1,0),ROUND((C14+D14)*0.1,0)))))))),"")</f>
        <v>6851</v>
      </c>
      <c r="M14" s="266">
        <f>IF(B14="","",IF('Master Data'!$H$18=$AO$5,SUM(C14:L14),SUM(C14:K14)))</f>
        <v>73840</v>
      </c>
      <c r="N14" s="266">
        <f>IFERROR(IF(OR('Master Data'!$I$28=$AP$6,B14=""),"",IF(AND(B14=$AX$24),"",IF(AND(B14=$AX$25),"",IF(AND(B14=$AX$26),"",IF(AND(B14=$AX$27),"",IF(AND(B14=$AX$28),"",IF(AND(B14=$AX$29),"",IF(AND(E16=""),"",VLOOKUP(B14,ram,11,0))))))))),"")</f>
        <v>7000</v>
      </c>
      <c r="O14" s="266">
        <f>IFERROR(IF(AND(B14="",C14=""),"",IF(AND(B14=$AX$25),"",IF(AND(B14=$AX$29,'Master Data'!$I$30=$AN$6),ROUND((D14)*0.1,0),IF(AND(B14=$AX$26,'Master Data'!$I$30=$AN$6),ROUND((D14)*0.1,0),IF(AND(B14=$AX$27,'Master Data'!$I$30=$AN$6),ROUND((C14+D14)*0.1,0),IF(AND('Master Data'!$I$30=$AN$6,'Master Data'!$I$28=$AP$6),ROUND((C14)*0.1,0),IF(AND('Master Data'!$I$30=$AN$6,'Master Data'!$I$28=$AP$5),ROUND((C14+D14)*0.1,0),IF(AND('Master Data'!$I$30=$AN$5,'Master Data'!$I$28=$AP$5),VLOOKUP(B14,ram,12,0))))))))),"")</f>
        <v>6851</v>
      </c>
      <c r="P14" s="266">
        <f>IFERROR(IF(OR('Master Data'!$I$28=$AP$6,B14=""),"",IF(AND(B14=$AX$24),"",IF(AND(B14=$AX$25),"",IF(AND(B14=$AX$26),"",IF(AND(B14=$AX$27),"",IF(AND(B14=$AX$28),"",IF(AND(B14=$AX$29),"",IF(AND(B14=$AX$32),"",IF(AND(C14=""),"",'Master Data'!$I$43))))))))),"")</f>
        <v>1880</v>
      </c>
      <c r="Q14" s="266">
        <f>IFERROR(IF(OR('Master Data'!$I$28=$AP$6),"",IF(B14="","",IF(C14="","",IF(AND(B14=$AX$24),"",IF(AND(B14=$AX$25),"",IF(AND(B14=$AX$26),"",IF(AND(B14=$AX$27),"",IF(AND(B14=$AX$28),"",IF(AND(B14=$AX$29),"",VLOOKUP(B14,ram,10,0)))))))))),"")</f>
        <v>0</v>
      </c>
      <c r="R14" s="266">
        <f>IFERROR(IF(OR('Master Data'!$I$28=$AP$6,B14=""),"",IF(AND(B14=$AX$24),"",IF(AND(B14=$AX$25),"",IF(AND(B14=$AX$26),"",IF(AND(B14=$AX$27),"",IF(AND(B14=$AX$28),"",IF(AND(B14=$AX$29),"",IF(AND(C14=""),"",'Master Data'!$K$43)))))))),"")</f>
        <v>0</v>
      </c>
      <c r="S14" s="266">
        <f>IFERROR(IF(OR('Master Data'!$I$28=$AP$6,B14=""),"",IF(AND(B14=$AX$24),"",IF(AND(B14=$AX$25),"",IF(AND(B14=$AX$26),"",IF(AND(B14=$AX$27),"",IF(AND(B14=$AX$28),"",IF(AND(B14=$AX$29),"",IF(AND(C14=""),"",'Master Data'!$L$43)))))))),"")</f>
        <v>0</v>
      </c>
      <c r="T14" s="266">
        <f>IFERROR(IF(OR('Master Data'!$I$28=$AP$6,B14=""),"",IF(AND(B14=$AX$24,'Master Data'!$I$28=$AP$5,'Master Data'!$I$30=$AN$6),ROUND(K14*50%,0),IF(AND(B14=$AX$25),"",IF(AND(B14=$AX$26,'Master Data'!$I$28=$AP$5,'Master Data'!$I$30=$AN$6),SUM(D14-L14),IF(AND(B14=$AX$27),"",IF(AND(B14=$AX$28),"",IF(AND(B14=$AX$29,'Master Data'!$I$28=$AP$5,'Master Data'!$I$30=$AN$6),SUM(D14-L14),IF(AND(C14=""),"",'Master Data'!$M$43)))))))),"")</f>
        <v>0</v>
      </c>
      <c r="U14" s="266">
        <f>IFERROR(IF(OR('Master Data'!$I$28=$AP$6,B14=""),"",IF(AND(B14=$AX$24),"",IF(AND(B14=$AX$25),"",IF(AND(B14=$AX$26),"",IF(AND(B14=$AX$27),"",IF(AND(B14=$AX$28),"",IF(AND(B14=$AX$29),"",IF(AND(E16=""),"",'Master Data'!$O$43)))))))),"")</f>
        <v>0</v>
      </c>
      <c r="V14" s="266" t="str">
        <f>IFERROR(IF(OR('Master Data'!$I$28=$AP$6,B14=""),"",IF(AND(C14=""),"",IF(AND(B14=$AT$17,'Master Data'!$D$18="Gazetted"),500,IF(AND(B14=$AT$17,'Master Data'!$D$18="Non-Gazetted"),250,"")))),"")</f>
        <v/>
      </c>
      <c r="W14" s="266">
        <f>IFERROR(IF(B14="","",IF(AND(C14=""),"",IF(AND(B14=$AX$24),"",IF(AND(B14=$AX$25),"",IF(AND(B14=$AX$26),"",IF(AND(B14=$AX$27),"",IF(AND(B14=$AX$28),"",IF(AND(B14=$AX$29),"",IF(OR('Master Data'!$I$28=$AP$6,B14=""),"",W13))))))))),"")</f>
        <v>0</v>
      </c>
      <c r="X14" s="266">
        <f>IFERROR(IF(OR('Master Data'!$I$28=$AP$6),"",IF(B14="","",IF(C14="","",VLOOKUP(B14,ram,9,0)))),"")</f>
        <v>1500</v>
      </c>
      <c r="Y14" s="266" t="str">
        <f>IFERROR(IF(OR('Master Data'!$I$28=$AP$6,B14="",'Master Data'!$N$38=""),"",IF(AND(C14=""),"",IF(B14=$AT$9,'Master Data'!$N$38,""))),"")</f>
        <v/>
      </c>
      <c r="Z14" s="266">
        <f>IFERROR(IF(B14="","",IF(AND(M14=""),"",IF(L14="",SUM(N14:Y14),IF(AND('Master Data'!$H$18=$AO$5,'Master Data'!$I$30=$AN$6),SUM(N14:Y14)+L14,SUM(N14:Y14))))),"0")</f>
        <v>17231</v>
      </c>
      <c r="AA14" s="266">
        <f t="shared" si="1"/>
        <v>56609</v>
      </c>
      <c r="AB14" s="266"/>
      <c r="AC14" s="267"/>
      <c r="AF14" s="48"/>
      <c r="AM14" s="273"/>
      <c r="AN14" s="273"/>
      <c r="AO14" s="273"/>
      <c r="AP14" s="273"/>
      <c r="AQ14" s="273"/>
      <c r="AR14" s="273"/>
      <c r="AS14" s="273" t="s">
        <v>20</v>
      </c>
      <c r="AT14" s="283">
        <v>44440</v>
      </c>
      <c r="AU14" s="273" t="s">
        <v>86</v>
      </c>
      <c r="AV14" s="273"/>
      <c r="AW14" s="290" t="s">
        <v>17</v>
      </c>
      <c r="AX14" s="284">
        <v>44317</v>
      </c>
      <c r="AY14" s="289">
        <v>5</v>
      </c>
      <c r="AZ14" s="289"/>
      <c r="BA14" s="291">
        <f>IF(AND('Master Data'!$E$36=""),"",IF(AND('Master Data'!$I$28=$AP$6),$AZ$15,BU14))</f>
        <v>50800</v>
      </c>
      <c r="BB14" s="289">
        <f t="shared" ref="BB14:BB23" si="6">IF(AND(AX14&lt;$AZ$16),"",IF(AND(AX14&gt;$AZ$17),"",BA14))</f>
        <v>50800</v>
      </c>
      <c r="BC14" s="289">
        <f>IF(AND('Master Data'!$E$36=""),"",ROUND(17%*BA14,0))</f>
        <v>8636</v>
      </c>
      <c r="BD14" s="289">
        <f>IF(BB14="","",BC14)</f>
        <v>8636</v>
      </c>
      <c r="BE14" s="296">
        <f>IFERROR(IF(AND('Master Data'!$E$36=""),"",ROUND('Master Data'!$E$30%*BB14,0)),"")</f>
        <v>4064</v>
      </c>
      <c r="BF14" s="291">
        <f>'Master Data'!D47</f>
        <v>1500</v>
      </c>
      <c r="BG14" s="291">
        <f>IF(AND('Master Data'!$I$28=$AP$6),"",IF(AND('Master Data'!$I$30=$AN$6,'Master Data'!$N$36=$AO$6),0,IF(AND('Master Data'!$I$30=$AN$6,'Master Data'!$N$36=$AO$5),'Master Data'!$J$43,IF(AND('Master Data'!$I$30=$AN$5),IF($AZ$15&lt;18001,265,IF($AZ$15&lt;33501,440,IF($AZ$15&lt;54001,658,875)))))))</f>
        <v>0</v>
      </c>
      <c r="BH14" s="291">
        <f>IFERROR(IF(OR('Master Data'!$I$28=$AP$6),"",'Master Data'!$G$43),"")</f>
        <v>7000</v>
      </c>
      <c r="BI14" s="297">
        <f>IFERROR(IF(AND('Master Data'!$I$30=$AN$6),ROUND((E10)*0.1,0),IF(AND('Master Data'!$I$28=$AP$6),ROUND((E10+F10)*0.1,0),'Master Data'!$H$43)),"")</f>
        <v>418</v>
      </c>
      <c r="BJ14" s="291">
        <f t="shared" ref="BJ14:BJ15" si="7">BA14</f>
        <v>50800</v>
      </c>
      <c r="BK14" s="298">
        <v>44317</v>
      </c>
      <c r="BL14" s="298">
        <f>IFERROR(IF('Master Data'!$E$36="","",IF('Master Data'!$F$40="","",IF(AND($AZ$17&gt;$AZ$9),"",DATE(YEAR(BL13),MONTH(BL13)+1,DAY(BL13))))),"")</f>
        <v>44317</v>
      </c>
      <c r="BM14" s="299">
        <f>IFERROR(IF('Master Data'!$E$36="","",IF('Master Data'!$F$40="","",IF(AND($AZ$17&gt;$AZ$9),"",DATE(YEAR(BM13),MONTH(BM13)+1,DAY(BM13))))),"")</f>
        <v>44317</v>
      </c>
      <c r="BN14" s="299">
        <f t="shared" si="2"/>
        <v>44317</v>
      </c>
      <c r="BO14" s="299">
        <f t="shared" si="3"/>
        <v>44317</v>
      </c>
      <c r="BP14" s="299"/>
      <c r="BQ14" s="299">
        <f t="shared" si="4"/>
        <v>44317</v>
      </c>
      <c r="BR14" s="299"/>
      <c r="BS14" s="300"/>
      <c r="BT14" s="300"/>
      <c r="BU14" s="300">
        <f>IF(AND('Master Data'!$I$38=AX14),'Master Data'!$I$36,BU13)</f>
        <v>50800</v>
      </c>
      <c r="BV14" s="273"/>
      <c r="BW14" s="273"/>
      <c r="BX14" s="300">
        <f t="shared" si="5"/>
        <v>1500</v>
      </c>
      <c r="BY14" s="273"/>
      <c r="BZ14" s="273"/>
      <c r="CA14" s="273"/>
      <c r="CB14" s="273"/>
      <c r="CC14" s="273"/>
    </row>
    <row r="15" spans="1:82" ht="21.95" customHeight="1">
      <c r="A15" s="47">
        <v>10</v>
      </c>
      <c r="B15" s="265">
        <f t="shared" si="0"/>
        <v>44531</v>
      </c>
      <c r="C15" s="266">
        <f>IFERROR(IF(B15="","",IF(AND(BQ21=""),"",IF(AND('Master Data'!$I$28=$AP$6),VLOOKUP(B15,ram,13,0),VLOOKUP(B15,ram,4,0)))),"")</f>
        <v>52300</v>
      </c>
      <c r="D15" s="266">
        <f>IFERROR(IF(B15="","",IF(B15=$AX$24,"",IF(AND(B15=$AX$25),$BC$25,IF(AND(B15=$AX$27),"",IF(AND(B15=$AX$28),"",IF(AND('Master Data'!$I$28=$AP$5),VLOOKUP(B15,ram,7,0),"")))))),"")</f>
        <v>16213</v>
      </c>
      <c r="E15" s="266">
        <f>IFERROR(IF(B15="","",IF(B15=$AX$24,"",IF(AND(B15=$AX$25),"",IF(AND(B15=$AX$26),"",IF(AND(B15=$AX$27),"",IF(AND(B15=$AX$29),"",IF(AND('Master Data'!$I$28=$AP$6),"",VLOOKUP(B15,ram,8,0)))))))),"")</f>
        <v>4707</v>
      </c>
      <c r="F15" s="266">
        <f>IFERROR(IF(B15="","",IF(AND(C15=""),"",IF(OR(B15=$AX$24,B15=$AX$25,B15=$AX$26,B15=$AX$27,B15=$AX$28,B15=$AX$29),"",IF(AND('Master Data'!$I$28=$AP$5),'Master Data'!$B$43,"")))),"")</f>
        <v>0</v>
      </c>
      <c r="G15" s="266" t="str">
        <f>IFERROR(IF(B15="","",IF(AND(C15=""),"",IF(OR(B15=$AX$24,B15=$AX$25,B15=$AX$26,B15=$AX$27,B15=$AX$28,B15=$AX$29),"",IF(AND('Master Data'!$I$28=$AP$5,'Master Data'!$E$28=$AO$5),'Master Data'!$C$43,"0")))),"")</f>
        <v>0</v>
      </c>
      <c r="H15" s="266">
        <f>IFERROR(IF(OR('Master Data'!$E$32=$AO$6,'Master Data'!$E$32=""),"",IF(B15="","",IF(AND(C15=""),"",IF(OR(B15=$AX$24,B15=$AX$25,B15=$AX$26,B15=$AX$27,B15=$AX$28,B15=$AX$29),"",IF(AND('Master Data'!$I$28=$AP$6),"",IF(AND('Master Data'!$I$32=$AR$9),$AS$6,IF(AND('Master Data'!$I$32=$AR$10),$AS$6,IF(AND('Master Data'!$I$32=$AR$11),$AS$6,IF(AND('Master Data'!$I$32=$AR$12),$AS$6,$AS$5))))))))),"")</f>
        <v>620</v>
      </c>
      <c r="I15" s="266">
        <f>IFERROR(IF(B15="","",IF(AND(E17=""),"",IF(OR(B15=$AX$24,B15=$AX$25,B15=$AX$26,B15=$AX$27,B15=$AX$28,B15=$AX$29),"",IF(AND('Master Data'!$I$28=$AP$5),'Master Data'!$E$43,"")))),"")</f>
        <v>0</v>
      </c>
      <c r="J15" s="266">
        <f>IFERROR(IF(B15="","",IF(AND(E17=""),"",IF(OR(B15=$AX$24,B15=$AX$25,B15=$AX$26,B15=$AX$27,B15=$AX$28,B15=$AX$29),"",IF(AND('Master Data'!$I$28=$AP$5),'Master Data'!$F$43,"")))),"")</f>
        <v>0</v>
      </c>
      <c r="K15" s="266" t="str">
        <f>IFERROR(IF(B15="","",IF(AND('Master Data'!$I$28=$AP$6),"",IF(AND('Master Data'!$I$24=$AO$6),"0",IF(AND(B15="Bonus"),VLOOKUP(B15,ram,4,0),"")))),"")</f>
        <v/>
      </c>
      <c r="L15" s="266">
        <f>IFERROR(IF(AND(B15=""),"",IF(AND(B15=$AX$25),"",IF(AND(B15=$AX$29,'Master Data'!$I$30=$AN$6),ROUND((D15)*0.1,0),IF(AND(B15=$AX$26,'Master Data'!$I$30=$AN$6),ROUND((D15)*0.1,0),IF(AND(B15=$AX$27,'Master Data'!$I$30=$AN$6),ROUND((C15+D15)*0.1,0),IF(AND('Master Data'!$I$30=$AN$5),"",IF(AND('Master Data'!$I$30=$AN$6,'Master Data'!$I$28=$AP$6),ROUND((C15)*0.1,0),ROUND((C15+D15)*0.1,0)))))))),"")</f>
        <v>6851</v>
      </c>
      <c r="M15" s="266">
        <f>IF(B15="","",IF('Master Data'!$H$18=$AO$5,SUM(C15:L15),SUM(C15:K15)))</f>
        <v>73840</v>
      </c>
      <c r="N15" s="266">
        <f>IFERROR(IF(OR('Master Data'!$I$28=$AP$6,B15=""),"",IF(AND(B15=$AX$24),"",IF(AND(B15=$AX$25),"",IF(AND(B15=$AX$26),"",IF(AND(B15=$AX$27),"",IF(AND(B15=$AX$28),"",IF(AND(B15=$AX$29),"",IF(AND(E17=""),"",VLOOKUP(B15,ram,11,0))))))))),"")</f>
        <v>7000</v>
      </c>
      <c r="O15" s="266">
        <f>IFERROR(IF(AND(B15="",C15=""),"",IF(AND(B15=$AX$25),"",IF(AND(B15=$AX$29,'Master Data'!$I$30=$AN$6),ROUND((D15)*0.1,0),IF(AND(B15=$AX$26,'Master Data'!$I$30=$AN$6),ROUND((D15)*0.1,0),IF(AND(B15=$AX$27,'Master Data'!$I$30=$AN$6),ROUND((C15+D15)*0.1,0),IF(AND('Master Data'!$I$30=$AN$6,'Master Data'!$I$28=$AP$6),ROUND((C15)*0.1,0),IF(AND('Master Data'!$I$30=$AN$6,'Master Data'!$I$28=$AP$5),ROUND((C15+D15)*0.1,0),IF(AND('Master Data'!$I$30=$AN$5,'Master Data'!$I$28=$AP$5),VLOOKUP(B15,ram,12,0))))))))),"")</f>
        <v>6851</v>
      </c>
      <c r="P15" s="266">
        <f>IFERROR(IF(OR('Master Data'!$I$28=$AP$6,B15=""),"",IF(AND(B15=$AX$24),"",IF(AND(B15=$AX$25),"",IF(AND(B15=$AX$26),"",IF(AND(B15=$AX$27),"",IF(AND(B15=$AX$28),"",IF(AND(B15=$AX$29),"",IF(AND(B15=$AX$32),"",IF(AND(C15=""),"",'Master Data'!$I$43))))))))),"")</f>
        <v>1880</v>
      </c>
      <c r="Q15" s="266">
        <f>IFERROR(IF(OR('Master Data'!$I$28=$AP$6),"",IF(B15="","",IF(C15="","",IF(AND(B15=$AX$24),"",IF(AND(B15=$AX$25),"",IF(AND(B15=$AX$26),"",IF(AND(B15=$AX$27),"",IF(AND(B15=$AX$28),"",IF(AND(B15=$AX$29),"",VLOOKUP(B15,ram,10,0)))))))))),"")</f>
        <v>0</v>
      </c>
      <c r="R15" s="266">
        <f>IFERROR(IF(OR('Master Data'!$I$28=$AP$6,B15=""),"",IF(AND(B15=$AX$24),"",IF(AND(B15=$AX$25),"",IF(AND(B15=$AX$26),"",IF(AND(B15=$AX$27),"",IF(AND(B15=$AX$28),"",IF(AND(B15=$AX$29),"",IF(AND(C15=""),"",'Master Data'!$K$43)))))))),"")</f>
        <v>0</v>
      </c>
      <c r="S15" s="266">
        <f>IFERROR(IF(OR('Master Data'!$I$28=$AP$6,B15=""),"",IF(AND(B15=$AX$24),"",IF(AND(B15=$AX$25),"",IF(AND(B15=$AX$26),"",IF(AND(B15=$AX$27),"",IF(AND(B15=$AX$28),"",IF(AND(B15=$AX$29),"",IF(AND(C15=""),"",'Master Data'!$L$43)))))))),"")</f>
        <v>0</v>
      </c>
      <c r="T15" s="266">
        <f>IFERROR(IF(OR('Master Data'!$I$28=$AP$6,B15=""),"",IF(AND(B15=$AX$24,'Master Data'!$I$28=$AP$5,'Master Data'!$I$30=$AN$6),ROUND(K15*50%,0),IF(AND(B15=$AX$25),"",IF(AND(B15=$AX$26,'Master Data'!$I$28=$AP$5,'Master Data'!$I$30=$AN$6),SUM(D15-L15),IF(AND(B15=$AX$27),"",IF(AND(B15=$AX$28),"",IF(AND(B15=$AX$29,'Master Data'!$I$28=$AP$5,'Master Data'!$I$30=$AN$6),SUM(D15-L15),IF(AND(C15=""),"",'Master Data'!$M$43)))))))),"")</f>
        <v>0</v>
      </c>
      <c r="U15" s="266">
        <f>IFERROR(IF(OR('Master Data'!$I$28=$AP$6,B15=""),"",IF(AND(B15=$AX$24),"",IF(AND(B15=$AX$25),"",IF(AND(B15=$AX$26),"",IF(AND(B15=$AX$27),"",IF(AND(B15=$AX$28),"",IF(AND(B15=$AX$29),"",IF(AND(E17=""),"",'Master Data'!$O$43)))))))),"")</f>
        <v>0</v>
      </c>
      <c r="V15" s="266">
        <f>IFERROR(IF(OR('Master Data'!$I$28=$AP$6,B15=""),"",IF(AND(C15=""),"",IF(AND(B15=$AT$17,'Master Data'!$D$18="Gazetted"),500,IF(AND(B15=$AT$17,'Master Data'!$D$18="Non-Gazetted"),250,"")))),"")</f>
        <v>500</v>
      </c>
      <c r="W15" s="266">
        <f>IFERROR(IF(B15="","",IF(AND(C15=""),"",IF(AND(B15=$AX$24),"",IF(AND(B15=$AX$25),"",IF(AND(B15=$AX$26),"",IF(AND(B15=$AX$27),"",IF(AND(B15=$AX$28),"",IF(AND(B15=$AX$29),"",IF(OR('Master Data'!$I$28=$AP$6,B15=""),"",W14))))))))),"")</f>
        <v>0</v>
      </c>
      <c r="X15" s="266">
        <f>IFERROR(IF(OR('Master Data'!$I$28=$AP$6),"",IF(B15="","",IF(C15="","",VLOOKUP(B15,ram,9,0)))),"")</f>
        <v>1500</v>
      </c>
      <c r="Y15" s="266" t="str">
        <f>IFERROR(IF(OR('Master Data'!$I$28=$AP$6,B15="",'Master Data'!$N$38=""),"",IF(AND(C15=""),"",IF(B15=$AT$9,'Master Data'!$N$38,""))),"")</f>
        <v/>
      </c>
      <c r="Z15" s="266">
        <f>IFERROR(IF(B15="","",IF(AND(M15=""),"",IF(L15="",SUM(N15:Y15),IF(AND('Master Data'!$H$18=$AO$5,'Master Data'!$I$30=$AN$6),SUM(N15:Y15)+L15,SUM(N15:Y15))))),"0")</f>
        <v>17731</v>
      </c>
      <c r="AA15" s="266">
        <f t="shared" si="1"/>
        <v>56109</v>
      </c>
      <c r="AB15" s="266"/>
      <c r="AC15" s="267"/>
      <c r="AM15" s="273"/>
      <c r="AN15" s="273"/>
      <c r="AO15" s="273"/>
      <c r="AP15" s="273"/>
      <c r="AQ15" s="273"/>
      <c r="AR15" s="273"/>
      <c r="AS15" s="273" t="s">
        <v>24</v>
      </c>
      <c r="AT15" s="283">
        <v>44470</v>
      </c>
      <c r="AU15" s="273" t="s">
        <v>87</v>
      </c>
      <c r="AV15" s="273"/>
      <c r="AW15" s="290" t="s">
        <v>19</v>
      </c>
      <c r="AX15" s="284">
        <v>44348</v>
      </c>
      <c r="AY15" s="289">
        <v>6</v>
      </c>
      <c r="AZ15" s="291">
        <f>IF(AND('Master Data'!E36=""),"",'Master Data'!E36)</f>
        <v>50800</v>
      </c>
      <c r="BA15" s="291">
        <f>IF(AND('Master Data'!$E$36=""),"",IF(AND('Master Data'!$I$28=$AP$6),$AZ$15,BU15))</f>
        <v>50800</v>
      </c>
      <c r="BB15" s="289">
        <f t="shared" si="6"/>
        <v>50800</v>
      </c>
      <c r="BC15" s="289">
        <f>IF(AND('Master Data'!$E$36=""),"",ROUND(17%*BA15,0))</f>
        <v>8636</v>
      </c>
      <c r="BD15" s="289">
        <f t="shared" ref="BD15:BD22" si="8">IF(BB15="","",BC15)</f>
        <v>8636</v>
      </c>
      <c r="BE15" s="296">
        <f>IFERROR(IF(AND('Master Data'!$E$36=""),"",ROUND('Master Data'!$E$30%*BB15,0)),"")</f>
        <v>4064</v>
      </c>
      <c r="BF15" s="291">
        <f>'Master Data'!E47</f>
        <v>1500</v>
      </c>
      <c r="BG15" s="291">
        <f>IF(AND('Master Data'!$I$28=$AP$6),"",IF(AND('Master Data'!$I$30=$AN$6,'Master Data'!$N$36=$AO$6),0,IF(AND('Master Data'!$I$30=$AN$6,'Master Data'!$N$36=$AO$5),'Master Data'!$J$43,IF(AND('Master Data'!$I$30=$AN$5),IF($AZ$15&lt;18001,265,IF($AZ$15&lt;33501,440,IF($AZ$15&lt;54001,658,875)))))))</f>
        <v>0</v>
      </c>
      <c r="BH15" s="291">
        <f>IFERROR(IF(OR('Master Data'!$I$28=$AP$6),"",'Master Data'!$G$43),"")</f>
        <v>7000</v>
      </c>
      <c r="BI15" s="297">
        <f>IFERROR(IF(AND('Master Data'!$I$30=$AN$6),ROUND((E11)*0.1,0),IF(AND('Master Data'!$I$28=$AP$6),ROUND((E11+F11)*0.1,0),'Master Data'!$H$43)),"")</f>
        <v>471</v>
      </c>
      <c r="BJ15" s="291">
        <f t="shared" si="7"/>
        <v>50800</v>
      </c>
      <c r="BK15" s="298">
        <v>44348</v>
      </c>
      <c r="BL15" s="298">
        <f>IFERROR(IF('Master Data'!$E$36="","",IF('Master Data'!$F$40="","",IF(AND($AZ$17&gt;$AZ$9),"",DATE(YEAR(BL14),MONTH(BL14)+1,DAY(BL14))))),"")</f>
        <v>44348</v>
      </c>
      <c r="BM15" s="299">
        <f>IFERROR(IF('Master Data'!$E$36="","",IF('Master Data'!$F$40="","",IF(AND($AZ$17&gt;$AZ$9),"",DATE(YEAR(BM14),MONTH(BM14)+1,DAY(BM14))))),"")</f>
        <v>44348</v>
      </c>
      <c r="BN15" s="299">
        <f t="shared" si="2"/>
        <v>44348</v>
      </c>
      <c r="BO15" s="299">
        <f t="shared" si="3"/>
        <v>44348</v>
      </c>
      <c r="BP15" s="299"/>
      <c r="BQ15" s="299">
        <f t="shared" si="4"/>
        <v>44348</v>
      </c>
      <c r="BR15" s="299"/>
      <c r="BS15" s="300"/>
      <c r="BT15" s="300"/>
      <c r="BU15" s="300">
        <f>IF(AND('Master Data'!$I$38=AX15),'Master Data'!$I$36,BU14)</f>
        <v>50800</v>
      </c>
      <c r="BV15" s="273"/>
      <c r="BW15" s="273"/>
      <c r="BX15" s="300">
        <f t="shared" si="5"/>
        <v>1500</v>
      </c>
      <c r="BY15" s="273"/>
      <c r="BZ15" s="273"/>
      <c r="CA15" s="273"/>
      <c r="CB15" s="273"/>
      <c r="CC15" s="273"/>
    </row>
    <row r="16" spans="1:82" ht="21.95" customHeight="1">
      <c r="A16" s="47">
        <v>11</v>
      </c>
      <c r="B16" s="265">
        <f t="shared" si="0"/>
        <v>44562</v>
      </c>
      <c r="C16" s="266">
        <f>IFERROR(IF(B16="","",IF(AND(BQ22=""),"",IF(AND('Master Data'!$I$28=$AP$6),VLOOKUP(B16,ram,13,0),VLOOKUP(B16,ram,4,0)))),"")</f>
        <v>52300</v>
      </c>
      <c r="D16" s="266">
        <f>IFERROR(IF(B16="","",IF(B16=$AX$24,"",IF(AND(B16=$AX$25),$BC$25,IF(AND(B16=$AX$27),"",IF(AND(B16=$AX$28),"",IF(AND('Master Data'!$I$28=$AP$5),VLOOKUP(B16,ram,7,0),"")))))),"")</f>
        <v>16213</v>
      </c>
      <c r="E16" s="266">
        <f>IFERROR(IF(B16="","",IF(B16=$AX$24,"",IF(AND(B16=$AX$25),"",IF(AND(B16=$AX$26),"",IF(AND(B16=$AX$27),"",IF(AND(B16=$AX$29),"",IF(AND('Master Data'!$I$28=$AP$6),"",VLOOKUP(B16,ram,8,0)))))))),"")</f>
        <v>4707</v>
      </c>
      <c r="F16" s="266">
        <f>IFERROR(IF(B16="","",IF(AND(C16=""),"",IF(OR(B16=$AX$24,B16=$AX$25,B16=$AX$26,B16=$AX$27,B16=$AX$28,B16=$AX$29),"",IF(AND('Master Data'!$I$28=$AP$5),'Master Data'!$B$43,"")))),"")</f>
        <v>0</v>
      </c>
      <c r="G16" s="266" t="str">
        <f>IFERROR(IF(B16="","",IF(AND(C16=""),"",IF(OR(B16=$AX$24,B16=$AX$25,B16=$AX$26,B16=$AX$27,B16=$AX$28,B16=$AX$29),"",IF(AND('Master Data'!$I$28=$AP$5,'Master Data'!$E$28=$AO$5),'Master Data'!$C$43,"0")))),"")</f>
        <v>0</v>
      </c>
      <c r="H16" s="266">
        <f>IFERROR(IF(OR('Master Data'!$E$32=$AO$6,'Master Data'!$E$32=""),"",IF(B16="","",IF(AND(C16=""),"",IF(OR(B16=$AX$24,B16=$AX$25,B16=$AX$26,B16=$AX$27,B16=$AX$28,B16=$AX$29),"",IF(AND('Master Data'!$I$28=$AP$6),"",IF(AND('Master Data'!$I$32=$AR$9),$AS$6,IF(AND('Master Data'!$I$32=$AR$10),$AS$6,IF(AND('Master Data'!$I$32=$AR$11),$AS$6,IF(AND('Master Data'!$I$32=$AR$12),$AS$6,$AS$5))))))))),"")</f>
        <v>620</v>
      </c>
      <c r="I16" s="266" t="str">
        <f>IFERROR(IF(B16="","",IF(AND(E18=""),"",IF(OR(B16=$AX$24,B16=$AX$25,B16=$AX$26,B16=$AX$27,B16=$AX$28,B16=$AX$29),"",IF(AND('Master Data'!$I$28=$AP$5),'Master Data'!$E$43,"")))),"")</f>
        <v/>
      </c>
      <c r="J16" s="266" t="str">
        <f>IFERROR(IF(B16="","",IF(AND(E18=""),"",IF(OR(B16=$AX$24,B16=$AX$25,B16=$AX$26,B16=$AX$27,B16=$AX$28,B16=$AX$29),"",IF(AND('Master Data'!$I$28=$AP$5),'Master Data'!$F$43,"")))),"")</f>
        <v/>
      </c>
      <c r="K16" s="266" t="str">
        <f>IFERROR(IF(B16="","",IF(AND('Master Data'!$I$28=$AP$6),"",IF(AND('Master Data'!$I$24=$AO$6),"0",IF(AND(B16="Bonus"),VLOOKUP(B16,ram,4,0),"")))),"")</f>
        <v/>
      </c>
      <c r="L16" s="266">
        <f>IFERROR(IF(AND(B16=""),"",IF(AND(B16=$AX$25),"",IF(AND(B16=$AX$29,'Master Data'!$I$30=$AN$6),ROUND((D16)*0.1,0),IF(AND(B16=$AX$26,'Master Data'!$I$30=$AN$6),ROUND((D16)*0.1,0),IF(AND(B16=$AX$27,'Master Data'!$I$30=$AN$6),ROUND((C16+D16)*0.1,0),IF(AND('Master Data'!$I$30=$AN$5),"",IF(AND('Master Data'!$I$30=$AN$6,'Master Data'!$I$28=$AP$6),ROUND((C16)*0.1,0),ROUND((C16+D16)*0.1,0)))))))),"")</f>
        <v>6851</v>
      </c>
      <c r="M16" s="266">
        <f>IF(B16="","",IF('Master Data'!$H$18=$AO$5,SUM(C16:L16),SUM(C16:K16)))</f>
        <v>73840</v>
      </c>
      <c r="N16" s="266" t="str">
        <f>IFERROR(IF(OR('Master Data'!$I$28=$AP$6,B16=""),"",IF(AND(B16=$AX$24),"",IF(AND(B16=$AX$25),"",IF(AND(B16=$AX$26),"",IF(AND(B16=$AX$27),"",IF(AND(B16=$AX$28),"",IF(AND(B16=$AX$29),"",IF(AND(E18=""),"",VLOOKUP(B16,ram,11,0))))))))),"")</f>
        <v/>
      </c>
      <c r="O16" s="266">
        <f>IFERROR(IF(AND(B16="",C16=""),"",IF(AND(B16=$AX$25),"",IF(AND(B16=$AX$29,'Master Data'!$I$30=$AN$6),ROUND((D16)*0.1,0),IF(AND(B16=$AX$26,'Master Data'!$I$30=$AN$6),ROUND((D16)*0.1,0),IF(AND(B16=$AX$27,'Master Data'!$I$30=$AN$6),ROUND((C16+D16)*0.1,0),IF(AND('Master Data'!$I$30=$AN$6,'Master Data'!$I$28=$AP$6),ROUND((C16)*0.1,0),IF(AND('Master Data'!$I$30=$AN$6,'Master Data'!$I$28=$AP$5),ROUND((C16+D16)*0.1,0),IF(AND('Master Data'!$I$30=$AN$5,'Master Data'!$I$28=$AP$5),VLOOKUP(B16,ram,12,0))))))))),"")</f>
        <v>6851</v>
      </c>
      <c r="P16" s="266">
        <f>IFERROR(IF(OR('Master Data'!$I$28=$AP$6,B16=""),"",IF(AND(B16=$AX$24),"",IF(AND(B16=$AX$25),"",IF(AND(B16=$AX$26),"",IF(AND(B16=$AX$27),"",IF(AND(B16=$AX$28),"",IF(AND(B16=$AX$29),"",IF(AND(B16=$AX$32),"",IF(AND(C16=""),"",'Master Data'!$I$43))))))))),"")</f>
        <v>1880</v>
      </c>
      <c r="Q16" s="266">
        <f>IFERROR(IF(OR('Master Data'!$I$28=$AP$6),"",IF(B16="","",IF(C16="","",IF(AND(B16=$AX$24),"",IF(AND(B16=$AX$25),"",IF(AND(B16=$AX$26),"",IF(AND(B16=$AX$27),"",IF(AND(B16=$AX$28),"",IF(AND(B16=$AX$29),"",VLOOKUP(B16,ram,10,0)))))))))),"")</f>
        <v>0</v>
      </c>
      <c r="R16" s="266">
        <f>IFERROR(IF(OR('Master Data'!$I$28=$AP$6,B16=""),"",IF(AND(B16=$AX$24),"",IF(AND(B16=$AX$25),"",IF(AND(B16=$AX$26),"",IF(AND(B16=$AX$27),"",IF(AND(B16=$AX$28),"",IF(AND(B16=$AX$29),"",IF(AND(C16=""),"",'Master Data'!$K$43)))))))),"")</f>
        <v>0</v>
      </c>
      <c r="S16" s="266">
        <f>IFERROR(IF(OR('Master Data'!$I$28=$AP$6,B16=""),"",IF(AND(B16=$AX$24),"",IF(AND(B16=$AX$25),"",IF(AND(B16=$AX$26),"",IF(AND(B16=$AX$27),"",IF(AND(B16=$AX$28),"",IF(AND(B16=$AX$29),"",IF(AND(C16=""),"",'Master Data'!$L$43)))))))),"")</f>
        <v>0</v>
      </c>
      <c r="T16" s="266">
        <f>IFERROR(IF(OR('Master Data'!$I$28=$AP$6,B16=""),"",IF(AND(B16=$AX$24,'Master Data'!$I$28=$AP$5,'Master Data'!$I$30=$AN$6),ROUND(K16*50%,0),IF(AND(B16=$AX$25),"",IF(AND(B16=$AX$26,'Master Data'!$I$28=$AP$5,'Master Data'!$I$30=$AN$6),SUM(D16-L16),IF(AND(B16=$AX$27),"",IF(AND(B16=$AX$28),"",IF(AND(B16=$AX$29,'Master Data'!$I$28=$AP$5,'Master Data'!$I$30=$AN$6),SUM(D16-L16),IF(AND(C16=""),"",'Master Data'!$M$43)))))))),"")</f>
        <v>0</v>
      </c>
      <c r="U16" s="266" t="str">
        <f>IFERROR(IF(OR('Master Data'!$I$28=$AP$6,B16=""),"",IF(AND(B16=$AX$24),"",IF(AND(B16=$AX$25),"",IF(AND(B16=$AX$26),"",IF(AND(B16=$AX$27),"",IF(AND(B16=$AX$28),"",IF(AND(B16=$AX$29),"",IF(AND(E18=""),"",'Master Data'!$O$43)))))))),"")</f>
        <v/>
      </c>
      <c r="V16" s="266" t="str">
        <f>IFERROR(IF(OR('Master Data'!$I$28=$AP$6,B16=""),"",IF(AND(C16=""),"",IF(AND(B16=$AT$17,'Master Data'!$D$18="Gazetted"),500,IF(AND(B16=$AT$17,'Master Data'!$D$18="Non-Gazetted"),250,"")))),"")</f>
        <v/>
      </c>
      <c r="W16" s="266">
        <f>IFERROR(IF(B16="","",IF(AND(C16=""),"",IF(AND(B16=$AX$24),"",IF(AND(B16=$AX$25),"",IF(AND(B16=$AX$26),"",IF(AND(B16=$AX$27),"",IF(AND(B16=$AX$28),"",IF(AND(B16=$AX$29),"",IF(OR('Master Data'!$I$28=$AP$6,B16=""),"",W15))))))))),"")</f>
        <v>0</v>
      </c>
      <c r="X16" s="266">
        <f>IFERROR(IF(OR('Master Data'!$I$28=$AP$6),"",IF(B16="","",IF(C16="","",VLOOKUP(B16,ram,9,0)))),"")</f>
        <v>1500</v>
      </c>
      <c r="Y16" s="266" t="str">
        <f>IFERROR(IF(OR('Master Data'!$I$28=$AP$6,B16="",'Master Data'!$N$38=""),"",IF(AND(C16=""),"",IF(B16=$AT$9,'Master Data'!$N$38,""))),"")</f>
        <v/>
      </c>
      <c r="Z16" s="266">
        <f>IFERROR(IF(B16="","",IF(AND(M16=""),"",IF(L16="",SUM(N16:Y16),IF(AND('Master Data'!$H$18=$AO$5,'Master Data'!$I$30=$AN$6),SUM(N16:Y16)+L16,SUM(N16:Y16))))),"0")</f>
        <v>10231</v>
      </c>
      <c r="AA16" s="266">
        <f t="shared" si="1"/>
        <v>63609</v>
      </c>
      <c r="AB16" s="266"/>
      <c r="AC16" s="267"/>
      <c r="AM16" s="273"/>
      <c r="AN16" s="273"/>
      <c r="AO16" s="273"/>
      <c r="AP16" s="273"/>
      <c r="AQ16" s="273"/>
      <c r="AR16" s="273"/>
      <c r="AS16" s="273" t="s">
        <v>27</v>
      </c>
      <c r="AT16" s="283">
        <v>44501</v>
      </c>
      <c r="AU16" s="273" t="s">
        <v>88</v>
      </c>
      <c r="AV16" s="273"/>
      <c r="AW16" s="290" t="s">
        <v>20</v>
      </c>
      <c r="AX16" s="284">
        <v>44378</v>
      </c>
      <c r="AY16" s="289">
        <v>7</v>
      </c>
      <c r="AZ16" s="301">
        <f>IF(AND('Master Data'!F40=""),"",'Master Data'!F40)</f>
        <v>44256</v>
      </c>
      <c r="BA16" s="291">
        <f>IF(AND('Master Data'!$E$36=""),"",IF(AND('Master Data'!$I$28=$AP$6),$AZ$15,BU16))</f>
        <v>52300</v>
      </c>
      <c r="BB16" s="289">
        <f t="shared" si="6"/>
        <v>52300</v>
      </c>
      <c r="BC16" s="289">
        <f>IF(AND('Master Data'!$E$36=""),"",IF(AND('Master Data'!$N$26=$AO$5),ROUND(28%*BA16,0),ROUND(17%*BA16,0)))</f>
        <v>14644</v>
      </c>
      <c r="BD16" s="289">
        <f t="shared" si="8"/>
        <v>14644</v>
      </c>
      <c r="BE16" s="296">
        <f>IFERROR(IF(AND('Master Data'!$E$36=""),"",ROUND('Master Data'!$E$30%*BB16,0)),"")</f>
        <v>4184</v>
      </c>
      <c r="BF16" s="291">
        <f>'Master Data'!F47</f>
        <v>1500</v>
      </c>
      <c r="BG16" s="291">
        <f>IF(AND('Master Data'!$I$28=$AP$6),"",IF(AND('Master Data'!$I$30=$AN$6,'Master Data'!$N$36=$AO$6),0,IF(AND('Master Data'!$I$30=$AN$6,'Master Data'!$N$36=$AO$5),'Master Data'!$J$43,IF(AND('Master Data'!$I$30=$AN$5),IF($AZ$15&lt;18001,265,IF($AZ$15&lt;33501,440,IF($AZ$15&lt;54001,658,875)))))))</f>
        <v>0</v>
      </c>
      <c r="BH16" s="291">
        <f>IFERROR(IF(OR('Master Data'!$I$28=$AP$6),"",'Master Data'!$G$43),"")</f>
        <v>7000</v>
      </c>
      <c r="BI16" s="297">
        <f>IFERROR(IF(AND('Master Data'!$I$30=$AN$6),ROUND((E12)*0.1,0),IF(AND('Master Data'!$I$28=$AP$6),ROUND((E12+F12)*0.1,0),'Master Data'!$H$43)),"")</f>
        <v>471</v>
      </c>
      <c r="BJ16" s="291">
        <f>BA16</f>
        <v>52300</v>
      </c>
      <c r="BK16" s="298">
        <v>44378</v>
      </c>
      <c r="BL16" s="298">
        <f>IFERROR(IF('Master Data'!$E$36="","",IF('Master Data'!$F$40="","",IF(AND($AZ$17&gt;$AZ$9),"",DATE(YEAR(BL15),MONTH(BL15)+1,DAY(BL15))))),"")</f>
        <v>44378</v>
      </c>
      <c r="BM16" s="299">
        <f>IFERROR(IF('Master Data'!$E$36="","",IF('Master Data'!$F$40="","",IF(AND($AZ$17&gt;$AZ$9),"",DATE(YEAR(BM15),MONTH(BM15)+1,DAY(BM15))))),"")</f>
        <v>44378</v>
      </c>
      <c r="BN16" s="299">
        <f t="shared" si="2"/>
        <v>44378</v>
      </c>
      <c r="BO16" s="299">
        <f t="shared" si="3"/>
        <v>44378</v>
      </c>
      <c r="BP16" s="299"/>
      <c r="BQ16" s="299">
        <f t="shared" si="4"/>
        <v>44378</v>
      </c>
      <c r="BR16" s="299"/>
      <c r="BS16" s="300"/>
      <c r="BT16" s="300"/>
      <c r="BU16" s="300">
        <f>IF(AND('Master Data'!$I$38=AX16),'Master Data'!$I$36,AZ18)</f>
        <v>52300</v>
      </c>
      <c r="BV16" s="273"/>
      <c r="BW16" s="273"/>
      <c r="BX16" s="300">
        <f t="shared" si="5"/>
        <v>1500</v>
      </c>
      <c r="BY16" s="273"/>
      <c r="BZ16" s="273"/>
      <c r="CA16" s="273"/>
      <c r="CB16" s="273"/>
      <c r="CC16" s="273"/>
    </row>
    <row r="17" spans="1:81" ht="21.95" customHeight="1">
      <c r="A17" s="47">
        <v>12</v>
      </c>
      <c r="B17" s="265">
        <f t="shared" si="0"/>
        <v>44593</v>
      </c>
      <c r="C17" s="266">
        <f>IFERROR(IF(B17="","",IF(AND(BQ23=""),"",IF(AND('Master Data'!$I$28=$AP$6),VLOOKUP(B17,ram,13,0),VLOOKUP(B17,ram,4,0)))),"")</f>
        <v>52300</v>
      </c>
      <c r="D17" s="266">
        <f>IFERROR(IF(B17="","",IF(B17=$AX$24,"",IF(AND(B17=$AX$25),$BC$25,IF(AND(B17=$AX$27),"",IF(AND(B17=$AX$28),"",IF(AND('Master Data'!$I$28=$AP$5),VLOOKUP(B17,ram,7,0),"")))))),"")</f>
        <v>16213</v>
      </c>
      <c r="E17" s="266">
        <f>IFERROR(IF(B17="","",IF(B17=$AX$24,"",IF(AND(B17=$AX$25),"",IF(AND(B17=$AX$26),"",IF(AND(B17=$AX$27),"",IF(AND(B17=$AX$29),"",IF(AND('Master Data'!$I$28=$AP$6),"",VLOOKUP(B17,ram,8,0)))))))),"")</f>
        <v>4707</v>
      </c>
      <c r="F17" s="266">
        <f>IFERROR(IF(B17="","",IF(AND(C17=""),"",IF(OR(B17=$AX$24,B17=$AX$25,B17=$AX$26,B17=$AX$27,B17=$AX$28,B17=$AX$29),"",IF(AND('Master Data'!$I$28=$AP$5),'Master Data'!$B$43,"")))),"")</f>
        <v>0</v>
      </c>
      <c r="G17" s="266" t="str">
        <f>IFERROR(IF(B17="","",IF(AND(C17=""),"",IF(OR(B17=$AX$24,B17=$AX$25,B17=$AX$26,B17=$AX$27,B17=$AX$28,B17=$AX$29),"",IF(AND('Master Data'!$I$28=$AP$5,'Master Data'!$E$28=$AO$5),'Master Data'!$C$43,"0")))),"")</f>
        <v>0</v>
      </c>
      <c r="H17" s="266">
        <f>IFERROR(IF(OR('Master Data'!$E$32=$AO$6,'Master Data'!$E$32=""),"",IF(B17="","",IF(AND(C17=""),"",IF(OR(B17=$AX$24,B17=$AX$25,B17=$AX$26,B17=$AX$27,B17=$AX$28,B17=$AX$29),"",IF(AND('Master Data'!$I$28=$AP$6),"",IF(AND('Master Data'!$I$32=$AR$9),$AS$6,IF(AND('Master Data'!$I$32=$AR$10),$AS$6,IF(AND('Master Data'!$I$32=$AR$11),$AS$6,IF(AND('Master Data'!$I$32=$AR$12),$AS$6,$AS$5))))))))),"")</f>
        <v>620</v>
      </c>
      <c r="I17" s="266" t="str">
        <f>IFERROR(IF(B17="","",IF(AND(E19=""),"",IF(OR(B17=$AX$24,B17=$AX$25,B17=$AX$26,B17=$AX$27,B17=$AX$28,B17=$AX$29),"",IF(AND('Master Data'!$I$28=$AP$5),'Master Data'!$E$43,"")))),"")</f>
        <v/>
      </c>
      <c r="J17" s="266" t="str">
        <f>IFERROR(IF(B17="","",IF(AND(E19=""),"",IF(OR(B17=$AX$24,B17=$AX$25,B17=$AX$26,B17=$AX$27,B17=$AX$28,B17=$AX$29),"",IF(AND('Master Data'!$I$28=$AP$5),'Master Data'!$F$43,"")))),"")</f>
        <v/>
      </c>
      <c r="K17" s="266" t="str">
        <f>IFERROR(IF(B17="","",IF(AND('Master Data'!$I$28=$AP$6),"",IF(AND('Master Data'!$I$24=$AO$6),"0",IF(AND(B17="Bonus"),VLOOKUP(B17,ram,4,0),"")))),"")</f>
        <v/>
      </c>
      <c r="L17" s="266">
        <f>IFERROR(IF(AND(B17=""),"",IF(AND(B17=$AX$25),"",IF(AND(B17=$AX$29,'Master Data'!$I$30=$AN$6),ROUND((D17)*0.1,0),IF(AND(B17=$AX$26,'Master Data'!$I$30=$AN$6),ROUND((D17)*0.1,0),IF(AND(B17=$AX$27,'Master Data'!$I$30=$AN$6),ROUND((C17+D17)*0.1,0),IF(AND('Master Data'!$I$30=$AN$5),"",IF(AND('Master Data'!$I$30=$AN$6,'Master Data'!$I$28=$AP$6),ROUND((C17)*0.1,0),ROUND((C17+D17)*0.1,0)))))))),"")</f>
        <v>6851</v>
      </c>
      <c r="M17" s="266">
        <f>IF(B17="","",IF('Master Data'!$H$18=$AO$5,SUM(C17:L17),SUM(C17:K17)))</f>
        <v>73840</v>
      </c>
      <c r="N17" s="266" t="str">
        <f>IFERROR(IF(OR('Master Data'!$I$28=$AP$6,B17=""),"",IF(AND(B17=$AX$24),"",IF(AND(B17=$AX$25),"",IF(AND(B17=$AX$26),"",IF(AND(B17=$AX$27),"",IF(AND(B17=$AX$28),"",IF(AND(B17=$AX$29),"",IF(AND(E19=""),"",VLOOKUP(B17,ram,11,0))))))))),"")</f>
        <v/>
      </c>
      <c r="O17" s="266">
        <f>IFERROR(IF(AND(B17="",C17=""),"",IF(AND(B17=$AX$25),"",IF(AND(B17=$AX$29,'Master Data'!$I$30=$AN$6),ROUND((D17)*0.1,0),IF(AND(B17=$AX$26,'Master Data'!$I$30=$AN$6),ROUND((D17)*0.1,0),IF(AND(B17=$AX$27,'Master Data'!$I$30=$AN$6),ROUND((C17+D17)*0.1,0),IF(AND('Master Data'!$I$30=$AN$6,'Master Data'!$I$28=$AP$6),ROUND((C17)*0.1,0),IF(AND('Master Data'!$I$30=$AN$6,'Master Data'!$I$28=$AP$5),ROUND((C17+D17)*0.1,0),IF(AND('Master Data'!$I$30=$AN$5,'Master Data'!$I$28=$AP$5),VLOOKUP(B17,ram,12,0))))))))),"")</f>
        <v>6851</v>
      </c>
      <c r="P17" s="266">
        <f>IFERROR(IF(OR('Master Data'!$I$28=$AP$6,B17=""),"",IF(AND(B17=$AX$24),"",IF(AND(B17=$AX$25),"",IF(AND(B17=$AX$26),"",IF(AND(B17=$AX$27),"",IF(AND(B17=$AX$28),"",IF(AND(B17=$AX$29),"",IF(AND(B17=$AX$32),"",IF(AND(C17=""),"",'Master Data'!$I$43))))))))),"")</f>
        <v>1880</v>
      </c>
      <c r="Q17" s="266">
        <f>IFERROR(IF(OR('Master Data'!$I$28=$AP$6),"",IF(B17="","",IF(C17="","",IF(AND(B17=$AX$24),"",IF(AND(B17=$AX$25),"",IF(AND(B17=$AX$26),"",IF(AND(B17=$AX$27),"",IF(AND(B17=$AX$28),"",IF(AND(B17=$AX$29),"",VLOOKUP(B17,ram,10,0)))))))))),"")</f>
        <v>0</v>
      </c>
      <c r="R17" s="266">
        <f>IFERROR(IF(OR('Master Data'!$I$28=$AP$6,B17=""),"",IF(AND(B17=$AX$24),"",IF(AND(B17=$AX$25),"",IF(AND(B17=$AX$26),"",IF(AND(B17=$AX$27),"",IF(AND(B17=$AX$28),"",IF(AND(B17=$AX$29),"",IF(AND(C17=""),"",'Master Data'!$K$43)))))))),"")</f>
        <v>0</v>
      </c>
      <c r="S17" s="266">
        <f>IFERROR(IF(OR('Master Data'!$I$28=$AP$6,B17=""),"",IF(AND(B17=$AX$24),"",IF(AND(B17=$AX$25),"",IF(AND(B17=$AX$26),"",IF(AND(B17=$AX$27),"",IF(AND(B17=$AX$28),"",IF(AND(B17=$AX$29),"",IF(AND(C17=""),"",'Master Data'!$L$43)))))))),"")</f>
        <v>0</v>
      </c>
      <c r="T17" s="266">
        <f>IFERROR(IF(OR('Master Data'!$I$28=$AP$6,B17=""),"",IF(AND(B17=$AX$24,'Master Data'!$I$28=$AP$5,'Master Data'!$I$30=$AN$6),ROUND(K17*50%,0),IF(AND(B17=$AX$25),"",IF(AND(B17=$AX$26,'Master Data'!$I$28=$AP$5,'Master Data'!$I$30=$AN$6),SUM(D17-L17),IF(AND(B17=$AX$27),"",IF(AND(B17=$AX$28),"",IF(AND(B17=$AX$29,'Master Data'!$I$28=$AP$5,'Master Data'!$I$30=$AN$6),SUM(D17-L17),IF(AND(C17=""),"",'Master Data'!$M$43)))))))),"")</f>
        <v>0</v>
      </c>
      <c r="U17" s="266" t="str">
        <f>IFERROR(IF(OR('Master Data'!$I$28=$AP$6,B17=""),"",IF(AND(B17=$AX$24),"",IF(AND(B17=$AX$25),"",IF(AND(B17=$AX$26),"",IF(AND(B17=$AX$27),"",IF(AND(B17=$AX$28),"",IF(AND(B17=$AX$29),"",IF(AND(E19=""),"",'Master Data'!$O$43)))))))),"")</f>
        <v/>
      </c>
      <c r="V17" s="266" t="str">
        <f>IFERROR(IF(OR('Master Data'!$I$28=$AP$6,B17=""),"",IF(AND(C17=""),"",IF(AND(B17=$AT$17,'Master Data'!$D$18="Gazetted"),500,IF(AND(B17=$AT$17,'Master Data'!$D$18="Non-Gazetted"),250,"")))),"")</f>
        <v/>
      </c>
      <c r="W17" s="266">
        <f>IFERROR(IF(B17="","",IF(AND(C17=""),"",IF(AND(B17=$AX$24),"",IF(AND(B17=$AX$25),"",IF(AND(B17=$AX$26),"",IF(AND(B17=$AX$27),"",IF(AND(B17=$AX$28),"",IF(AND(B17=$AX$29),"",IF(OR('Master Data'!$I$28=$AP$6,B17=""),"",W16))))))))),"")</f>
        <v>0</v>
      </c>
      <c r="X17" s="266">
        <f>IFERROR(IF(OR('Master Data'!$I$28=$AP$6),"",IF(B17="","",IF(C17="","",VLOOKUP(B17,ram,9,0)))),"")</f>
        <v>0</v>
      </c>
      <c r="Y17" s="266" t="str">
        <f>IFERROR(IF(OR('Master Data'!$I$28=$AP$6,B17="",'Master Data'!$N$38=""),"",IF(AND(C17=""),"",IF(B17=$AT$9,'Master Data'!$N$38,""))),"")</f>
        <v/>
      </c>
      <c r="Z17" s="266">
        <f>IFERROR(IF(B17="","",IF(AND(M17=""),"",IF(L17="",SUM(N17:Y17),IF(AND('Master Data'!$H$18=$AO$5,'Master Data'!$I$30=$AN$6),SUM(N17:Y17)+L17,SUM(N17:Y17))))),"0")</f>
        <v>8731</v>
      </c>
      <c r="AA17" s="266">
        <f t="shared" si="1"/>
        <v>65109</v>
      </c>
      <c r="AB17" s="266"/>
      <c r="AC17" s="267"/>
      <c r="AM17" s="273"/>
      <c r="AN17" s="273"/>
      <c r="AO17" s="273"/>
      <c r="AP17" s="273"/>
      <c r="AQ17" s="273"/>
      <c r="AR17" s="273"/>
      <c r="AS17" s="273" t="s">
        <v>2</v>
      </c>
      <c r="AT17" s="283">
        <v>44531</v>
      </c>
      <c r="AU17" s="273" t="s">
        <v>89</v>
      </c>
      <c r="AV17" s="273"/>
      <c r="AW17" s="290" t="s">
        <v>24</v>
      </c>
      <c r="AX17" s="284">
        <v>44409</v>
      </c>
      <c r="AY17" s="289">
        <v>8</v>
      </c>
      <c r="AZ17" s="301">
        <f>IF(AND('Master Data'!H40=""),"",'Master Data'!H40)</f>
        <v>44593</v>
      </c>
      <c r="BA17" s="291">
        <f>IF(AND('Master Data'!$E$36=""),"",IF(AND('Master Data'!$I$28=$AP$6),$AZ$15,BU17))</f>
        <v>52300</v>
      </c>
      <c r="BB17" s="289">
        <f t="shared" si="6"/>
        <v>52300</v>
      </c>
      <c r="BC17" s="289">
        <f>IF(AND('Master Data'!$E$36=""),"",IF(AND('Master Data'!$N$26=$AO$5),ROUND(28%*BA17,0),ROUND(17%*BA17,0)))</f>
        <v>14644</v>
      </c>
      <c r="BD17" s="289">
        <f t="shared" si="8"/>
        <v>14644</v>
      </c>
      <c r="BE17" s="296">
        <f>IFERROR(IF(AND('Master Data'!$E$36=""),"",ROUND('Master Data'!$E$34%*BB17,0)),"")</f>
        <v>4707</v>
      </c>
      <c r="BF17" s="291">
        <f>'Master Data'!G47</f>
        <v>1500</v>
      </c>
      <c r="BG17" s="291">
        <f>IF(AND('Master Data'!$I$28=$AP$6),"",IF(AND('Master Data'!$I$30=$AN$6,'Master Data'!$N$36=$AO$6),0,IF(AND('Master Data'!$I$30=$AN$6,'Master Data'!$N$36=$AO$5),'Master Data'!$J$43,IF(AND('Master Data'!$I$30=$AN$5),IF($AZ$15&lt;18001,265,IF($AZ$15&lt;33501,440,IF($AZ$15&lt;54001,658,875)))))))</f>
        <v>0</v>
      </c>
      <c r="BH17" s="291">
        <f>IFERROR(IF(OR('Master Data'!$I$28=$AP$6),"",'Master Data'!$G$43),"")</f>
        <v>7000</v>
      </c>
      <c r="BI17" s="297">
        <f>IFERROR(IF(AND('Master Data'!$I$30=$AN$6),ROUND((E13)*0.1,0),IF(AND('Master Data'!$I$28=$AP$6),ROUND((E13+F13)*0.1,0),'Master Data'!$H$43)),"")</f>
        <v>471</v>
      </c>
      <c r="BJ17" s="291">
        <f>BJ16</f>
        <v>52300</v>
      </c>
      <c r="BK17" s="298">
        <v>44409</v>
      </c>
      <c r="BL17" s="298">
        <f>IFERROR(IF('Master Data'!$E$36="","",IF('Master Data'!$F$40="","",IF(AND($AZ$17&gt;$AZ$9),"",DATE(YEAR(BL16),MONTH(BL16)+1,DAY(BL16))))),"")</f>
        <v>44409</v>
      </c>
      <c r="BM17" s="299">
        <f>IFERROR(IF('Master Data'!$E$36="","",IF('Master Data'!$F$40="","",IF(AND($AZ$17&gt;$AZ$9),"",DATE(YEAR(BM16),MONTH(BM16)+1,DAY(BM16))))),"")</f>
        <v>44409</v>
      </c>
      <c r="BN17" s="299">
        <f t="shared" si="2"/>
        <v>44409</v>
      </c>
      <c r="BO17" s="299">
        <f t="shared" si="3"/>
        <v>44409</v>
      </c>
      <c r="BP17" s="299"/>
      <c r="BQ17" s="299">
        <f t="shared" si="4"/>
        <v>44409</v>
      </c>
      <c r="BR17" s="299"/>
      <c r="BS17" s="300"/>
      <c r="BT17" s="300"/>
      <c r="BU17" s="300">
        <f>IF(AND('Master Data'!$I$38=AX17),'Master Data'!$I$36,BU16)</f>
        <v>52300</v>
      </c>
      <c r="BV17" s="273"/>
      <c r="BW17" s="273"/>
      <c r="BX17" s="300">
        <f t="shared" si="5"/>
        <v>1500</v>
      </c>
      <c r="BY17" s="273"/>
      <c r="BZ17" s="273"/>
      <c r="CA17" s="273"/>
      <c r="CB17" s="273"/>
      <c r="CC17" s="273"/>
    </row>
    <row r="18" spans="1:81" ht="21.95" customHeight="1">
      <c r="A18" s="47">
        <v>13</v>
      </c>
      <c r="B18" s="265" t="str">
        <f t="shared" si="0"/>
        <v>Bonus</v>
      </c>
      <c r="C18" s="266" t="str">
        <f>IFERROR(IF(B18="","",IF(AND(BQ24=""),"",IF(AND('Master Data'!$I$28=$AP$6),VLOOKUP(B18,ram,13,0),VLOOKUP(B18,ram,4,0)))),"")</f>
        <v/>
      </c>
      <c r="D18" s="266" t="str">
        <f>IFERROR(IF(B18="","",IF(B18=$AX$24,"",IF(AND(B18=$AX$25),$BC$25,IF(AND(B18=$AX$27),"",IF(AND(B18=$AX$28),"",IF(AND('Master Data'!$I$28=$AP$5),VLOOKUP(B18,ram,7,0),"")))))),"")</f>
        <v/>
      </c>
      <c r="E18" s="266" t="str">
        <f>IFERROR(IF(B18="","",IF(B18=$AX$24,"",IF(AND(B18=$AX$25),"",IF(AND(B18=$AX$26),"",IF(AND(B18=$AX$27),"",IF(AND(B18=$AX$29),"",IF(AND('Master Data'!$I$28=$AP$6),"",VLOOKUP(B18,ram,8,0)))))))),"")</f>
        <v/>
      </c>
      <c r="F18" s="266" t="str">
        <f>IFERROR(IF(B18="","",IF(AND(C18=""),"",IF(OR(B18=$AX$24,B18=$AX$25,B18=$AX$26,B18=$AX$27,B18=$AX$28,B18=$AX$29),"",IF(AND('Master Data'!$I$28=$AP$5),'Master Data'!$B$43,"")))),"")</f>
        <v/>
      </c>
      <c r="G18" s="266" t="str">
        <f>IFERROR(IF(B18="","",IF(AND(C18=""),"",IF(OR(B18=$AX$24,B18=$AX$25,B18=$AX$26,B18=$AX$27,B18=$AX$28,B18=$AX$29),"",IF(AND('Master Data'!$I$28=$AP$5,'Master Data'!$E$28=$AO$5),'Master Data'!$C$43,"0")))),"")</f>
        <v/>
      </c>
      <c r="H18" s="266" t="str">
        <f>IFERROR(IF(OR('Master Data'!$E$32=$AO$6,'Master Data'!$E$32=""),"",IF(B18="","",IF(AND(C18=""),"",IF(OR(B18=$AX$24,B18=$AX$25,B18=$AX$26,B18=$AX$27,B18=$AX$28,B18=$AX$29),"",IF(AND('Master Data'!$I$28=$AP$6),"",IF(AND('Master Data'!$I$32=$AR$9),$AS$6,IF(AND('Master Data'!$I$32=$AR$10),$AS$6,IF(AND('Master Data'!$I$32=$AR$11),$AS$6,IF(AND('Master Data'!$I$32=$AR$12),$AS$6,$AS$5))))))))),"")</f>
        <v/>
      </c>
      <c r="I18" s="266" t="str">
        <f>IFERROR(IF(B18="","",IF(AND(E20=""),"",IF(OR(B18=$AX$24,B18=$AX$25,B18=$AX$26,B18=$AX$27,B18=$AX$28,B18=$AX$29),"",IF(AND('Master Data'!$I$28=$AP$5),'Master Data'!$E$43,"")))),"")</f>
        <v/>
      </c>
      <c r="J18" s="266" t="str">
        <f>IFERROR(IF(B18="","",IF(AND(E20=""),"",IF(OR(B18=$AX$24,B18=$AX$25,B18=$AX$26,B18=$AX$27,B18=$AX$28,B18=$AX$29),"",IF(AND('Master Data'!$I$28=$AP$5),'Master Data'!$F$43,"")))),"")</f>
        <v/>
      </c>
      <c r="K18" s="266">
        <f>IFERROR(IF(B18="","",IF(AND('Master Data'!$I$28=$AP$6),"",IF(AND('Master Data'!$I$24=$AO$6),"0",IF(AND(B18="Bonus"),VLOOKUP(B18,ram,4,0),"")))),"")</f>
        <v>6774</v>
      </c>
      <c r="L18" s="266" t="str">
        <f>IFERROR(IF(AND(B18=""),"",IF(AND(B18=$AX$25),"",IF(AND(B18=$AX$29,'Master Data'!$I$30=$AN$6),ROUND((D18)*0.1,0),IF(AND(B18=$AX$26,'Master Data'!$I$30=$AN$6),ROUND((D18)*0.1,0),IF(AND(B18=$AX$27,'Master Data'!$I$30=$AN$6),ROUND((C18+D18)*0.1,0),IF(AND('Master Data'!$I$30=$AN$5),"",IF(AND('Master Data'!$I$30=$AN$6,'Master Data'!$I$28=$AP$6),ROUND((C18)*0.1,0),ROUND((C18+D18)*0.1,0)))))))),"")</f>
        <v/>
      </c>
      <c r="M18" s="266">
        <f>IF(B18="","",IF('Master Data'!$H$18=$AO$5,SUM(C18:L18),SUM(C18:K18)))</f>
        <v>6774</v>
      </c>
      <c r="N18" s="266" t="str">
        <f>IFERROR(IF(OR('Master Data'!$I$28=$AP$6,B18=""),"",IF(AND(B18=$AX$24),"",IF(AND(B18=$AX$25),"",IF(AND(B18=$AX$26),"",IF(AND(B18=$AX$27),"",IF(AND(B18=$AX$28),"",IF(AND(B18=$AX$29),"",IF(AND(E20=""),"",VLOOKUP(B18,ram,11,0))))))))),"")</f>
        <v/>
      </c>
      <c r="O18" s="266" t="str">
        <f>IFERROR(IF(AND(B18="",C18=""),"",IF(AND(B18=$AX$25),"",IF(AND(B18=$AX$29,'Master Data'!$I$30=$AN$6),ROUND((D18)*0.1,0),IF(AND(B18=$AX$26,'Master Data'!$I$30=$AN$6),ROUND((D18)*0.1,0),IF(AND(B18=$AX$27,'Master Data'!$I$30=$AN$6),ROUND((C18+D18)*0.1,0),IF(AND('Master Data'!$I$30=$AN$6,'Master Data'!$I$28=$AP$6),ROUND((C18)*0.1,0),IF(AND('Master Data'!$I$30=$AN$6,'Master Data'!$I$28=$AP$5),ROUND((C18+D18)*0.1,0),IF(AND('Master Data'!$I$30=$AN$5,'Master Data'!$I$28=$AP$5),VLOOKUP(B18,ram,12,0))))))))),"")</f>
        <v/>
      </c>
      <c r="P18" s="266" t="str">
        <f>IFERROR(IF(OR('Master Data'!$I$28=$AP$6,B18=""),"",IF(AND(B18=$AX$24),"",IF(AND(B18=$AX$25),"",IF(AND(B18=$AX$26),"",IF(AND(B18=$AX$27),"",IF(AND(B18=$AX$28),"",IF(AND(B18=$AX$29),"",IF(AND(B18=$AX$32),"",IF(AND(C18=""),"",'Master Data'!$I$43))))))))),"")</f>
        <v/>
      </c>
      <c r="Q18" s="266" t="str">
        <f>IFERROR(IF(OR('Master Data'!$I$28=$AP$6),"",IF(B18="","",IF(C18="","",IF(AND(B18=$AX$24),"",IF(AND(B18=$AX$25),"",IF(AND(B18=$AX$26),"",IF(AND(B18=$AX$27),"",IF(AND(B18=$AX$28),"",IF(AND(B18=$AX$29),"",VLOOKUP(B18,ram,10,0)))))))))),"")</f>
        <v/>
      </c>
      <c r="R18" s="266" t="str">
        <f>IFERROR(IF(OR('Master Data'!$I$28=$AP$6,B18=""),"",IF(AND(B18=$AX$24),"",IF(AND(B18=$AX$25),"",IF(AND(B18=$AX$26),"",IF(AND(B18=$AX$27),"",IF(AND(B18=$AX$28),"",IF(AND(B18=$AX$29),"",IF(AND(C18=""),"",'Master Data'!$K$43)))))))),"")</f>
        <v/>
      </c>
      <c r="S18" s="266" t="str">
        <f>IFERROR(IF(OR('Master Data'!$I$28=$AP$6,B18=""),"",IF(AND(B18=$AX$24),"",IF(AND(B18=$AX$25),"",IF(AND(B18=$AX$26),"",IF(AND(B18=$AX$27),"",IF(AND(B18=$AX$28),"",IF(AND(B18=$AX$29),"",IF(AND(C18=""),"",'Master Data'!$L$43)))))))),"")</f>
        <v/>
      </c>
      <c r="T18" s="266">
        <f>IFERROR(IF(OR('Master Data'!$I$28=$AP$6,B18=""),"",IF(AND(B18=$AX$24,'Master Data'!$I$28=$AP$5,'Master Data'!$I$30=$AN$6),ROUND(K18*50%,0),IF(AND(B18=$AX$25),"",IF(AND(B18=$AX$26,'Master Data'!$I$28=$AP$5,'Master Data'!$I$30=$AN$6),SUM(D18-L18),IF(AND(B18=$AX$27),"",IF(AND(B18=$AX$28),"",IF(AND(B18=$AX$29,'Master Data'!$I$28=$AP$5,'Master Data'!$I$30=$AN$6),SUM(D18-L18),IF(AND(C18=""),"",'Master Data'!$M$43)))))))),"")</f>
        <v>3387</v>
      </c>
      <c r="U18" s="266" t="str">
        <f>IFERROR(IF(OR('Master Data'!$I$28=$AP$6,B18=""),"",IF(AND(B18=$AX$24),"",IF(AND(B18=$AX$25),"",IF(AND(B18=$AX$26),"",IF(AND(B18=$AX$27),"",IF(AND(B18=$AX$28),"",IF(AND(B18=$AX$29),"",IF(AND(E20=""),"",'Master Data'!$O$43)))))))),"")</f>
        <v/>
      </c>
      <c r="V18" s="266" t="str">
        <f>IFERROR(IF(OR('Master Data'!$I$28=$AP$6,B18=""),"",IF(AND(C18=""),"",IF(AND(B18=$AT$17,'Master Data'!$D$18="Gazetted"),500,IF(AND(B18=$AT$17,'Master Data'!$D$18="Non-Gazetted"),250,"")))),"")</f>
        <v/>
      </c>
      <c r="W18" s="266" t="str">
        <f>IFERROR(IF(B18="","",IF(AND(C18=""),"",IF(AND(B18=$AX$24),"",IF(AND(B18=$AX$25),"",IF(AND(B18=$AX$26),"",IF(AND(B18=$AX$27),"",IF(AND(B18=$AX$28),"",IF(AND(B18=$AX$29),"",IF(OR('Master Data'!$I$28=$AP$6,B18=""),"",W17))))))))),"")</f>
        <v/>
      </c>
      <c r="X18" s="266"/>
      <c r="Y18" s="266" t="str">
        <f>IFERROR(IF(OR('Master Data'!$I$28=$AP$6,B18="",'Master Data'!$N$38=""),"",IF(AND(C18=""),"",IF(B18=$AT$9,'Master Data'!$N$38,""))),"")</f>
        <v/>
      </c>
      <c r="Z18" s="266">
        <f>IFERROR(IF(B18="","",IF(AND(M18=""),"",IF(L18="",SUM(N18:Y18),IF(AND('Master Data'!$H$18=$AO$5,'Master Data'!$I$30=$AN$6),SUM(N18:Y18)+L18,SUM(N18:Y18))))),"0")</f>
        <v>3387</v>
      </c>
      <c r="AA18" s="266">
        <f t="shared" si="1"/>
        <v>3387</v>
      </c>
      <c r="AB18" s="266"/>
      <c r="AC18" s="267"/>
      <c r="AM18" s="273"/>
      <c r="AN18" s="273"/>
      <c r="AO18" s="273"/>
      <c r="AP18" s="273"/>
      <c r="AQ18" s="273"/>
      <c r="AR18" s="273"/>
      <c r="AS18" s="273" t="s">
        <v>30</v>
      </c>
      <c r="AT18" s="283">
        <v>44562</v>
      </c>
      <c r="AU18" s="273" t="s">
        <v>90</v>
      </c>
      <c r="AV18" s="273"/>
      <c r="AW18" s="290" t="s">
        <v>27</v>
      </c>
      <c r="AX18" s="284">
        <v>44440</v>
      </c>
      <c r="AY18" s="289">
        <v>9</v>
      </c>
      <c r="AZ18" s="289">
        <f>IF(OR('Master Data'!I36="",'Master Data'!I38=""),MROUND(AZ15*1.03,100),IF('Master Data'!I38&lt;AX16,MROUND('Master Data'!I36*1.03,100),MROUND(AZ15*1.03,100)))</f>
        <v>52300</v>
      </c>
      <c r="BA18" s="291">
        <f>IF(AND('Master Data'!$E$36=""),"",IF(AND('Master Data'!$I$28=$AP$6),$AZ$15,BU18))</f>
        <v>52300</v>
      </c>
      <c r="BB18" s="289">
        <f t="shared" si="6"/>
        <v>52300</v>
      </c>
      <c r="BC18" s="289">
        <f>IF(AND('Master Data'!$E$36=""),"",IF(AND('Master Data'!$N$26=$AO$5),ROUND(28%*BA18,0),ROUND(17%*BA18,0)))</f>
        <v>14644</v>
      </c>
      <c r="BD18" s="289">
        <f t="shared" si="8"/>
        <v>14644</v>
      </c>
      <c r="BE18" s="296">
        <f>IFERROR(IF(AND('Master Data'!$E$36=""),"",ROUND('Master Data'!$E$34%*BB18,0)),"")</f>
        <v>4707</v>
      </c>
      <c r="BF18" s="291">
        <f>'Master Data'!H47</f>
        <v>1500</v>
      </c>
      <c r="BG18" s="291">
        <f>IF(AND('Master Data'!$I$28=$AP$6),"",IF(AND('Master Data'!$I$30=$AN$6,'Master Data'!$N$36=$AO$6),0,IF(AND('Master Data'!$I$30=$AN$6,'Master Data'!$N$36=$AO$5),'Master Data'!$J$43,IF(AND('Master Data'!$I$30=$AN$5),IF($AZ$15&lt;18001,265,IF($AZ$15&lt;33501,440,IF($AZ$15&lt;54001,658,875)))))))</f>
        <v>0</v>
      </c>
      <c r="BH18" s="291">
        <f>IFERROR(IF(OR('Master Data'!$I$28=$AP$6),"",'Master Data'!$G$43),"")</f>
        <v>7000</v>
      </c>
      <c r="BI18" s="297">
        <f>IFERROR(IF(AND('Master Data'!$I$30=$AN$6),ROUND((E14)*0.1,0),IF(AND('Master Data'!$I$28=$AP$6),ROUND((E14+F14)*0.1,0),'Master Data'!$H$43)),"")</f>
        <v>471</v>
      </c>
      <c r="BJ18" s="291">
        <f t="shared" ref="BJ18:BJ23" si="9">BJ17</f>
        <v>52300</v>
      </c>
      <c r="BK18" s="298">
        <v>44440</v>
      </c>
      <c r="BL18" s="298">
        <f>IFERROR(IF('Master Data'!$E$36="","",IF('Master Data'!$F$40="","",IF(AND($AZ$17&gt;$AZ$9),"",DATE(YEAR(BL17),MONTH(BL17)+1,DAY(BL17))))),"")</f>
        <v>44440</v>
      </c>
      <c r="BM18" s="299">
        <f>IFERROR(IF('Master Data'!$E$36="","",IF('Master Data'!$F$40="","",IF(AND($AZ$17&gt;$AZ$9),"",DATE(YEAR(BM17),MONTH(BM17)+1,DAY(BM17))))),"")</f>
        <v>44440</v>
      </c>
      <c r="BN18" s="299">
        <f t="shared" si="2"/>
        <v>44440</v>
      </c>
      <c r="BO18" s="299">
        <f t="shared" si="3"/>
        <v>44440</v>
      </c>
      <c r="BP18" s="299"/>
      <c r="BQ18" s="299">
        <f t="shared" si="4"/>
        <v>44440</v>
      </c>
      <c r="BR18" s="299"/>
      <c r="BS18" s="300"/>
      <c r="BT18" s="300"/>
      <c r="BU18" s="300">
        <f>IF(AND('Master Data'!$I$38=AX18),'Master Data'!$I$36,BU17)</f>
        <v>52300</v>
      </c>
      <c r="BV18" s="299"/>
      <c r="BW18" s="273"/>
      <c r="BX18" s="300">
        <f t="shared" si="5"/>
        <v>1500</v>
      </c>
      <c r="BY18" s="273"/>
      <c r="BZ18" s="273"/>
      <c r="CA18" s="273"/>
      <c r="CB18" s="273"/>
      <c r="CC18" s="273"/>
    </row>
    <row r="19" spans="1:81" ht="21.95" customHeight="1">
      <c r="A19" s="47">
        <v>14</v>
      </c>
      <c r="B19" s="265" t="str">
        <f t="shared" si="0"/>
        <v>PL Surrender</v>
      </c>
      <c r="C19" s="266">
        <f>IFERROR(IF(B19="","",IF(AND(BQ25=""),"",IF(AND('Master Data'!$I$28=$AP$6),VLOOKUP(B19,ram,13,0),VLOOKUP(B19,ram,4,0)))),"")</f>
        <v>0</v>
      </c>
      <c r="D19" s="266">
        <f>IFERROR(IF(B19="","",IF(B19=$AX$24,"",IF(AND(B19=$AX$25),$BC$25,IF(AND(B19=$AX$27),"",IF(AND(B19=$AX$28),"",IF(AND('Master Data'!$I$28=$AP$5),VLOOKUP(B19,ram,7,0),"")))))),"")</f>
        <v>0</v>
      </c>
      <c r="E19" s="266" t="str">
        <f>IFERROR(IF(B19="","",IF(B19=$AX$24,"",IF(AND(B19=$AX$25),"",IF(AND(B19=$AX$26),"",IF(AND(B19=$AX$27),"",IF(AND(B19=$AX$29),"",IF(AND('Master Data'!$I$28=$AP$6),"",VLOOKUP(B19,ram,8,0)))))))),"")</f>
        <v/>
      </c>
      <c r="F19" s="266" t="str">
        <f>IFERROR(IF(B19="","",IF(AND(C19=""),"",IF(OR(B19=$AX$24,B19=$AX$25,B19=$AX$26,B19=$AX$27,B19=$AX$28,B19=$AX$29),"",IF(AND('Master Data'!$I$28=$AP$5),'Master Data'!$B$43,"")))),"")</f>
        <v/>
      </c>
      <c r="G19" s="266" t="str">
        <f>IFERROR(IF(B19="","",IF(AND(C19=""),"",IF(OR(B19=$AX$24,B19=$AX$25,B19=$AX$26,B19=$AX$27,B19=$AX$28,B19=$AX$29),"",IF(AND('Master Data'!$I$28=$AP$5,'Master Data'!$E$28=$AO$5),'Master Data'!$C$43,"0")))),"")</f>
        <v/>
      </c>
      <c r="H19" s="266" t="str">
        <f>IFERROR(IF(OR('Master Data'!$E$32=$AO$6,'Master Data'!$E$32=""),"",IF(B19="","",IF(AND(C19=""),"",IF(OR(B19=$AX$24,B19=$AX$25,B19=$AX$26,B19=$AX$27,B19=$AX$28,B19=$AX$29),"",IF(AND('Master Data'!$I$28=$AP$6),"",IF(AND('Master Data'!$I$32=$AR$9),$AS$6,IF(AND('Master Data'!$I$32=$AR$10),$AS$6,IF(AND('Master Data'!$I$32=$AR$11),$AS$6,IF(AND('Master Data'!$I$32=$AR$12),$AS$6,$AS$5))))))))),"")</f>
        <v/>
      </c>
      <c r="I19" s="266" t="str">
        <f>IFERROR(IF(B19="","",IF(AND(E21=""),"",IF(OR(B19=$AX$24,B19=$AX$25,B19=$AX$26,B19=$AX$27,B19=$AX$28,B19=$AX$29),"",IF(AND('Master Data'!$I$28=$AP$5),'Master Data'!$E$43,"")))),"")</f>
        <v/>
      </c>
      <c r="J19" s="266" t="str">
        <f>IFERROR(IF(B19="","",IF(AND(E21=""),"",IF(OR(B19=$AX$24,B19=$AX$25,B19=$AX$26,B19=$AX$27,B19=$AX$28,B19=$AX$29),"",IF(AND('Master Data'!$I$28=$AP$5),'Master Data'!$F$43,"")))),"")</f>
        <v/>
      </c>
      <c r="K19" s="266" t="str">
        <f>IFERROR(IF(B19="","",IF(AND('Master Data'!$I$28=$AP$6),"",IF(AND('Master Data'!$I$24=$AO$6),"0",IF(AND(B19="Bonus"),VLOOKUP(B19,ram,4,0),"")))),"")</f>
        <v/>
      </c>
      <c r="L19" s="266" t="str">
        <f>IFERROR(IF(AND(B19=""),"",IF(AND(B19=$AX$25),"",IF(AND(B19=$AX$29,'Master Data'!$I$30=$AN$6),ROUND((D19)*0.1,0),IF(AND(B19=$AX$26,'Master Data'!$I$30=$AN$6),ROUND((D19)*0.1,0),IF(AND(B19=$AX$27,'Master Data'!$I$30=$AN$6),ROUND((C19+D19)*0.1,0),IF(AND('Master Data'!$I$30=$AN$5),"",IF(AND('Master Data'!$I$30=$AN$6,'Master Data'!$I$28=$AP$6),ROUND((C19)*0.1,0),ROUND((C19+D19)*0.1,0)))))))),"")</f>
        <v/>
      </c>
      <c r="M19" s="266">
        <f>IF(B19="","",IF('Master Data'!$H$18=$AO$5,SUM(C19:L19),SUM(C19:K19)))</f>
        <v>0</v>
      </c>
      <c r="N19" s="266" t="str">
        <f>IFERROR(IF(OR('Master Data'!$I$28=$AP$6,B19=""),"",IF(AND(B19=$AX$24),"",IF(AND(B19=$AX$25),"",IF(AND(B19=$AX$26),"",IF(AND(B19=$AX$27),"",IF(AND(B19=$AX$28),"",IF(AND(B19=$AX$29),"",IF(AND(E21=""),"",VLOOKUP(B19,ram,11,0))))))))),"")</f>
        <v/>
      </c>
      <c r="O19" s="266" t="str">
        <f>IFERROR(IF(AND(B19="",C19=""),"",IF(AND(B19=$AX$25),"",IF(AND(B19=$AX$29,'Master Data'!$I$30=$AN$6),ROUND((D19)*0.1,0),IF(AND(B19=$AX$26,'Master Data'!$I$30=$AN$6),ROUND((D19)*0.1,0),IF(AND(B19=$AX$27,'Master Data'!$I$30=$AN$6),ROUND((C19+D19)*0.1,0),IF(AND('Master Data'!$I$30=$AN$6,'Master Data'!$I$28=$AP$6),ROUND((C19)*0.1,0),IF(AND('Master Data'!$I$30=$AN$6,'Master Data'!$I$28=$AP$5),ROUND((C19+D19)*0.1,0),IF(AND('Master Data'!$I$30=$AN$5,'Master Data'!$I$28=$AP$5),VLOOKUP(B19,ram,12,0))))))))),"")</f>
        <v/>
      </c>
      <c r="P19" s="266" t="str">
        <f>IFERROR(IF(OR('Master Data'!$I$28=$AP$6,B19=""),"",IF(AND(B19=$AX$24),"",IF(AND(B19=$AX$25),"",IF(AND(B19=$AX$26),"",IF(AND(B19=$AX$27),"",IF(AND(B19=$AX$28),"",IF(AND(B19=$AX$29),"",IF(AND(B19=$AX$32),"",IF(AND(C19=""),"",'Master Data'!$I$43))))))))),"")</f>
        <v/>
      </c>
      <c r="Q19" s="266" t="str">
        <f>IFERROR(IF(OR('Master Data'!$I$28=$AP$6),"",IF(B19="","",IF(C19="","",IF(AND(B19=$AX$24),"",IF(AND(B19=$AX$25),"",IF(AND(B19=$AX$26),"",IF(AND(B19=$AX$27),"",IF(AND(B19=$AX$28),"",IF(AND(B19=$AX$29),"",VLOOKUP(B19,ram,10,0)))))))))),"")</f>
        <v/>
      </c>
      <c r="R19" s="266" t="str">
        <f>IFERROR(IF(OR('Master Data'!$I$28=$AP$6,B19=""),"",IF(AND(B19=$AX$24),"",IF(AND(B19=$AX$25),"",IF(AND(B19=$AX$26),"",IF(AND(B19=$AX$27),"",IF(AND(B19=$AX$28),"",IF(AND(B19=$AX$29),"",IF(AND(C19=""),"",'Master Data'!$K$43)))))))),"")</f>
        <v/>
      </c>
      <c r="S19" s="266" t="str">
        <f>IFERROR(IF(OR('Master Data'!$I$28=$AP$6,B19=""),"",IF(AND(B19=$AX$24),"",IF(AND(B19=$AX$25),"",IF(AND(B19=$AX$26),"",IF(AND(B19=$AX$27),"",IF(AND(B19=$AX$28),"",IF(AND(B19=$AX$29),"",IF(AND(C19=""),"",'Master Data'!$L$43)))))))),"")</f>
        <v/>
      </c>
      <c r="T19" s="266" t="str">
        <f>IFERROR(IF(OR('Master Data'!$I$28=$AP$6,B19=""),"",IF(AND(B19=$AX$24,'Master Data'!$I$28=$AP$5,'Master Data'!$I$30=$AN$6),ROUND(K19*50%,0),IF(AND(B19=$AX$25),"",IF(AND(B19=$AX$26,'Master Data'!$I$28=$AP$5,'Master Data'!$I$30=$AN$6),SUM(D19-L19),IF(AND(B19=$AX$27),"",IF(AND(B19=$AX$28),"",IF(AND(B19=$AX$29,'Master Data'!$I$28=$AP$5,'Master Data'!$I$30=$AN$6),SUM(D19-L19),IF(AND(C19=""),"",'Master Data'!$M$43)))))))),"")</f>
        <v/>
      </c>
      <c r="U19" s="266" t="str">
        <f>IFERROR(IF(OR('Master Data'!$I$28=$AP$6,B19=""),"",IF(AND(B19=$AX$24),"",IF(AND(B19=$AX$25),"",IF(AND(B19=$AX$26),"",IF(AND(B19=$AX$27),"",IF(AND(B19=$AX$28),"",IF(AND(B19=$AX$29),"",IF(AND(E21=""),"",'Master Data'!$O$43)))))))),"")</f>
        <v/>
      </c>
      <c r="V19" s="266" t="str">
        <f>IFERROR(IF(OR('Master Data'!$I$28=$AP$6,B19=""),"",IF(AND(C19=""),"",IF(AND(B19=$AT$17,'Master Data'!$D$18="Gazetted"),500,IF(AND(B19=$AT$17,'Master Data'!$D$18="Non-Gazetted"),250,"")))),"")</f>
        <v/>
      </c>
      <c r="W19" s="266" t="str">
        <f>IFERROR(IF(B19="","",IF(AND(C19=""),"",IF(AND(B19=$AX$24),"",IF(AND(B19=$AX$25),"",IF(AND(B19=$AX$26),"",IF(AND(B19=$AX$27),"",IF(AND(B19=$AX$28),"",IF(AND(B19=$AX$29),"",IF(OR('Master Data'!$I$28=$AP$6,B19=""),"",W18))))))))),"")</f>
        <v/>
      </c>
      <c r="X19" s="266"/>
      <c r="Y19" s="266" t="str">
        <f>IFERROR(IF(OR('Master Data'!$I$28=$AP$6,B19="",'Master Data'!$N$38=""),"",IF(AND(C19=""),"",IF(B19=$AT$9,'Master Data'!$N$38,""))),"")</f>
        <v/>
      </c>
      <c r="Z19" s="266">
        <f>IFERROR(IF(B19="","",IF(AND(M19=""),"",IF(L19="",SUM(N19:Y19),IF(AND('Master Data'!$H$18=$AO$5,'Master Data'!$I$30=$AN$6),SUM(N19:Y19)+L19,SUM(N19:Y19))))),"0")</f>
        <v>0</v>
      </c>
      <c r="AA19" s="266">
        <f t="shared" si="1"/>
        <v>0</v>
      </c>
      <c r="AB19" s="266"/>
      <c r="AC19" s="267"/>
      <c r="AM19" s="273"/>
      <c r="AN19" s="273"/>
      <c r="AO19" s="273"/>
      <c r="AP19" s="273"/>
      <c r="AQ19" s="273"/>
      <c r="AR19" s="273"/>
      <c r="AS19" s="273" t="s">
        <v>33</v>
      </c>
      <c r="AT19" s="283">
        <v>44593</v>
      </c>
      <c r="AU19" s="273" t="s">
        <v>91</v>
      </c>
      <c r="AV19" s="273"/>
      <c r="AW19" s="290" t="s">
        <v>2</v>
      </c>
      <c r="AX19" s="284">
        <v>44470</v>
      </c>
      <c r="AY19" s="289">
        <v>10</v>
      </c>
      <c r="AZ19" s="289"/>
      <c r="BA19" s="291">
        <f>IF(AND('Master Data'!$E$36=""),"",IF(AND('Master Data'!$I$28=$AP$6),$AZ$15,BU19))</f>
        <v>52300</v>
      </c>
      <c r="BB19" s="289">
        <f>IF(AND(AX19&lt;$AZ$16),"",IF(AND(AX19&gt;$AZ$17),"",BA19))</f>
        <v>52300</v>
      </c>
      <c r="BC19" s="289">
        <f>IF(AND('Master Data'!$E$36=""),"",IF(AND('Master Data'!$N$26=$AO$5),ROUND(31%*BA19,0),ROUND(17%*BA19,0)))</f>
        <v>16213</v>
      </c>
      <c r="BD19" s="289">
        <f>IF(BB19="","",BC19)</f>
        <v>16213</v>
      </c>
      <c r="BE19" s="296">
        <f>IFERROR(IF(AND('Master Data'!$E$36=""),"",ROUND('Master Data'!$E$34%*BB19,0)),"")</f>
        <v>4707</v>
      </c>
      <c r="BF19" s="302">
        <f>'Master Data'!I47</f>
        <v>1500</v>
      </c>
      <c r="BG19" s="291">
        <f>IF(AND('Master Data'!$I$28=$AP$6),"",IF(AND('Master Data'!$I$30=$AN$6,'Master Data'!$N$36=$AO$6),0,IF(AND('Master Data'!$I$30=$AN$6,'Master Data'!$N$36=$AO$5),'Master Data'!$J$43,IF(AND('Master Data'!$I$30=$AN$5),IF($AZ$15&lt;18001,265,IF($AZ$15&lt;33501,440,IF($AZ$15&lt;54001,658,875)))))))</f>
        <v>0</v>
      </c>
      <c r="BH19" s="291">
        <f>IFERROR(IF(OR('Master Data'!$I$28=$AP$6),"",'Master Data'!$G$43),"")</f>
        <v>7000</v>
      </c>
      <c r="BI19" s="297">
        <f>IFERROR(IF(AND('Master Data'!$I$30=$AN$6),ROUND((E15)*0.1,0),IF(AND('Master Data'!$I$28=$AP$6),ROUND((E15+F15)*0.1,0),'Master Data'!$H$43)),"")</f>
        <v>471</v>
      </c>
      <c r="BJ19" s="291">
        <f t="shared" si="9"/>
        <v>52300</v>
      </c>
      <c r="BK19" s="298">
        <v>44470</v>
      </c>
      <c r="BL19" s="298">
        <f>IFERROR(IF('Master Data'!$E$36="","",IF('Master Data'!$F$40="","",IF(AND($AZ$17&gt;$AZ$9),"",DATE(YEAR(BL18),MONTH(BL18)+1,DAY(BL18))))),"")</f>
        <v>44470</v>
      </c>
      <c r="BM19" s="299">
        <f>IFERROR(IF('Master Data'!$E$36="","",IF('Master Data'!$F$40="","",IF(AND($AZ$17&gt;$AZ$9),"",DATE(YEAR(BM18),MONTH(BM18)+1,DAY(BM18))))),"")</f>
        <v>44470</v>
      </c>
      <c r="BN19" s="299">
        <f t="shared" si="2"/>
        <v>44470</v>
      </c>
      <c r="BO19" s="299">
        <f t="shared" si="3"/>
        <v>44470</v>
      </c>
      <c r="BP19" s="299"/>
      <c r="BQ19" s="299">
        <f t="shared" si="4"/>
        <v>44470</v>
      </c>
      <c r="BR19" s="299"/>
      <c r="BS19" s="300"/>
      <c r="BT19" s="300"/>
      <c r="BU19" s="300">
        <f>IF(AND('Master Data'!$I$38=AX19),'Master Data'!$I$36,BU18)</f>
        <v>52300</v>
      </c>
      <c r="BV19" s="299"/>
      <c r="BW19" s="273"/>
      <c r="BX19" s="300">
        <f t="shared" si="5"/>
        <v>1500</v>
      </c>
      <c r="BY19" s="273"/>
      <c r="BZ19" s="273"/>
      <c r="CA19" s="273"/>
      <c r="CB19" s="273"/>
      <c r="CC19" s="273"/>
    </row>
    <row r="20" spans="1:81" ht="21.95" customHeight="1">
      <c r="A20" s="47">
        <v>15</v>
      </c>
      <c r="B20" s="265" t="str">
        <f t="shared" si="0"/>
        <v xml:space="preserve">DA Arrear </v>
      </c>
      <c r="C20" s="266" t="str">
        <f>IFERROR(IF(B20="","",IF(AND(BQ26=""),"",IF(AND('Master Data'!$I$28=$AP$6),VLOOKUP(B20,ram,13,0),VLOOKUP(B20,ram,4,0)))),"")</f>
        <v/>
      </c>
      <c r="D20" s="266">
        <f>IFERROR(IF(B20="","",IF(B20=$AX$24,"",IF(AND(B20=$AX$25),$BC$25,IF(AND(B20=$AX$27),"",IF(AND(B20=$AX$28),"",IF(AND('Master Data'!$I$28=$AP$5),VLOOKUP(B20,ram,7,0),"")))))),"")</f>
        <v>4707</v>
      </c>
      <c r="E20" s="266" t="str">
        <f>IFERROR(IF(B20="","",IF(B20=$AX$24,"",IF(AND(B20=$AX$25),"",IF(AND(B20=$AX$26),"",IF(AND(B20=$AX$27),"",IF(AND(B20=$AX$29),"",IF(AND('Master Data'!$I$28=$AP$6),"",VLOOKUP(B20,ram,8,0)))))))),"")</f>
        <v/>
      </c>
      <c r="F20" s="266" t="str">
        <f>IFERROR(IF(B20="","",IF(AND(C20=""),"",IF(OR(B20=$AX$24,B20=$AX$25,B20=$AX$26,B20=$AX$27,B20=$AX$28,B20=$AX$29),"",IF(AND('Master Data'!$I$28=$AP$5),'Master Data'!$B$43,"")))),"")</f>
        <v/>
      </c>
      <c r="G20" s="266" t="str">
        <f>IFERROR(IF(B20="","",IF(AND(C20=""),"",IF(OR(B20=$AX$24,B20=$AX$25,B20=$AX$26,B20=$AX$27,B20=$AX$28,B20=$AX$29),"",IF(AND('Master Data'!$I$28=$AP$5,'Master Data'!$E$28=$AO$5),'Master Data'!$C$43,"0")))),"")</f>
        <v/>
      </c>
      <c r="H20" s="266" t="str">
        <f>IFERROR(IF(OR('Master Data'!$E$32=$AO$6,'Master Data'!$E$32=""),"",IF(B20="","",IF(AND(C20=""),"",IF(OR(B20=$AX$24,B20=$AX$25,B20=$AX$26,B20=$AX$27,B20=$AX$28,B20=$AX$29),"",IF(AND('Master Data'!$I$28=$AP$6),"",IF(AND('Master Data'!$I$32=$AR$9),$AS$6,IF(AND('Master Data'!$I$32=$AR$10),$AS$6,IF(AND('Master Data'!$I$32=$AR$11),$AS$6,IF(AND('Master Data'!$I$32=$AR$12),$AS$6,$AS$5))))))))),"")</f>
        <v/>
      </c>
      <c r="I20" s="266" t="str">
        <f>IFERROR(IF(B20="","",IF(AND(E22=""),"",IF(OR(B20=$AX$24,B20=$AX$25,B20=$AX$26,B20=$AX$27,B20=$AX$28,B20=$AX$29),"",IF(AND('Master Data'!$I$28=$AP$5),'Master Data'!$E$43,"")))),"")</f>
        <v/>
      </c>
      <c r="J20" s="266" t="str">
        <f>IFERROR(IF(B20="","",IF(AND(E22=""),"",IF(OR(B20=$AX$24,B20=$AX$25,B20=$AX$26,B20=$AX$27,B20=$AX$28,B20=$AX$29),"",IF(AND('Master Data'!$I$28=$AP$5),'Master Data'!$F$43,"")))),"")</f>
        <v/>
      </c>
      <c r="K20" s="266" t="str">
        <f>IFERROR(IF(B20="","",IF(AND('Master Data'!$I$28=$AP$6),"",IF(AND('Master Data'!$I$24=$AO$6),"0",IF(AND(B20="Bonus"),VLOOKUP(B20,ram,4,0),"")))),"")</f>
        <v/>
      </c>
      <c r="L20" s="266">
        <f>IFERROR(IF(AND(B20=""),"",IF(AND(B20=$AX$25),"",IF(AND(B20=$AX$29,'Master Data'!$I$30=$AN$6),ROUND((D20)*0.1,0),IF(AND(B20=$AX$26,'Master Data'!$I$30=$AN$6),ROUND((D20)*0.1,0),IF(AND(B20=$AX$27,'Master Data'!$I$30=$AN$6),ROUND((C20+D20)*0.1,0),IF(AND('Master Data'!$I$30=$AN$5),"",IF(AND('Master Data'!$I$30=$AN$6,'Master Data'!$I$28=$AP$6),ROUND((C20)*0.1,0),ROUND((C20+D20)*0.1,0)))))))),"")</f>
        <v>471</v>
      </c>
      <c r="M20" s="266">
        <f>IF(B20="","",IF('Master Data'!$H$18=$AO$5,SUM(C20:L20),SUM(C20:K20)))</f>
        <v>4707</v>
      </c>
      <c r="N20" s="266" t="str">
        <f>IFERROR(IF(OR('Master Data'!$I$28=$AP$6,B20=""),"",IF(AND(B20=$AX$24),"",IF(AND(B20=$AX$25),"",IF(AND(B20=$AX$26),"",IF(AND(B20=$AX$27),"",IF(AND(B20=$AX$28),"",IF(AND(B20=$AX$29),"",IF(AND(E22=""),"",VLOOKUP(B20,ram,11,0))))))))),"")</f>
        <v/>
      </c>
      <c r="O20" s="266">
        <f>IFERROR(IF(AND(B20="",C20=""),"",IF(AND(B20=$AX$25),"",IF(AND(B20=$AX$29,'Master Data'!$I$30=$AN$6),ROUND((D20)*0.1,0),IF(AND(B20=$AX$26,'Master Data'!$I$30=$AN$6),ROUND((D20)*0.1,0),IF(AND(B20=$AX$27,'Master Data'!$I$30=$AN$6),ROUND((C20+D20)*0.1,0),IF(AND('Master Data'!$I$30=$AN$6,'Master Data'!$I$28=$AP$6),ROUND((C20)*0.1,0),IF(AND('Master Data'!$I$30=$AN$6,'Master Data'!$I$28=$AP$5),ROUND((C20+D20)*0.1,0),IF(AND('Master Data'!$I$30=$AN$5,'Master Data'!$I$28=$AP$5),VLOOKUP(B20,ram,12,0))))))))),"")</f>
        <v>471</v>
      </c>
      <c r="P20" s="266" t="str">
        <f>IFERROR(IF(OR('Master Data'!$I$28=$AP$6,B20=""),"",IF(AND(B20=$AX$24),"",IF(AND(B20=$AX$25),"",IF(AND(B20=$AX$26),"",IF(AND(B20=$AX$27),"",IF(AND(B20=$AX$28),"",IF(AND(B20=$AX$29),"",IF(AND(B20=$AX$32),"",IF(AND(C20=""),"",'Master Data'!$I$43))))))))),"")</f>
        <v/>
      </c>
      <c r="Q20" s="266" t="str">
        <f>IFERROR(IF(OR('Master Data'!$I$28=$AP$6),"",IF(B20="","",IF(C20="","",IF(AND(B20=$AX$24),"",IF(AND(B20=$AX$25),"",IF(AND(B20=$AX$26),"",IF(AND(B20=$AX$27),"",IF(AND(B20=$AX$28),"",IF(AND(B20=$AX$29),"",VLOOKUP(B20,ram,10,0)))))))))),"")</f>
        <v/>
      </c>
      <c r="R20" s="266" t="str">
        <f>IFERROR(IF(OR('Master Data'!$I$28=$AP$6,B20=""),"",IF(AND(B20=$AX$24),"",IF(AND(B20=$AX$25),"",IF(AND(B20=$AX$26),"",IF(AND(B20=$AX$27),"",IF(AND(B20=$AX$28),"",IF(AND(B20=$AX$29),"",IF(AND(C20=""),"",'Master Data'!$K$43)))))))),"")</f>
        <v/>
      </c>
      <c r="S20" s="266" t="str">
        <f>IFERROR(IF(OR('Master Data'!$I$28=$AP$6,B20=""),"",IF(AND(B20=$AX$24),"",IF(AND(B20=$AX$25),"",IF(AND(B20=$AX$26),"",IF(AND(B20=$AX$27),"",IF(AND(B20=$AX$28),"",IF(AND(B20=$AX$29),"",IF(AND(C20=""),"",'Master Data'!$L$43)))))))),"")</f>
        <v/>
      </c>
      <c r="T20" s="266">
        <f>IFERROR(IF(OR('Master Data'!$I$28=$AP$6,B20=""),"",IF(AND(B20=$AX$24,'Master Data'!$I$28=$AP$5,'Master Data'!$I$30=$AN$6),ROUND(K20*50%,0),IF(AND(B20=$AX$25),"",IF(AND(B20=$AX$26,'Master Data'!$I$28=$AP$5,'Master Data'!$I$30=$AN$6),SUM(D20-L20),IF(AND(B20=$AX$27),"",IF(AND(B20=$AX$28),"",IF(AND(B20=$AX$29,'Master Data'!$I$28=$AP$5,'Master Data'!$I$30=$AN$6),SUM(D20-L20),IF(AND(C20=""),"",'Master Data'!$M$43)))))))),"")</f>
        <v>4236</v>
      </c>
      <c r="U20" s="266" t="str">
        <f>IFERROR(IF(OR('Master Data'!$I$28=$AP$6,B20=""),"",IF(AND(B20=$AX$24),"",IF(AND(B20=$AX$25),"",IF(AND(B20=$AX$26),"",IF(AND(B20=$AX$27),"",IF(AND(B20=$AX$28),"",IF(AND(B20=$AX$29),"",IF(AND(E22=""),"",'Master Data'!$O$43)))))))),"")</f>
        <v/>
      </c>
      <c r="V20" s="266" t="str">
        <f>IFERROR(IF(OR('Master Data'!$I$28=$AP$6,B20=""),"",IF(AND(C20=""),"",IF(AND(B20=$AT$17,'Master Data'!$D$18="Gazetted"),500,IF(AND(B20=$AT$17,'Master Data'!$D$18="Non-Gazetted"),250,"")))),"")</f>
        <v/>
      </c>
      <c r="W20" s="266" t="str">
        <f>IFERROR(IF(B20="","",IF(AND(C20=""),"",IF(AND(B20=$AX$24),"",IF(AND(B20=$AX$25),"",IF(AND(B20=$AX$26),"",IF(AND(B20=$AX$27),"",IF(AND(B20=$AX$28),"",IF(AND(B20=$AX$29),"",IF(OR('Master Data'!$I$28=$AP$6,B20=""),"",W19))))))))),"")</f>
        <v/>
      </c>
      <c r="X20" s="266"/>
      <c r="Y20" s="266" t="str">
        <f>IFERROR(IF(OR('Master Data'!$I$28=$AP$6,B20="",'Master Data'!$N$38=""),"",IF(AND(C20=""),"",IF(B20=$AT$9,'Master Data'!$N$38,""))),"")</f>
        <v/>
      </c>
      <c r="Z20" s="266">
        <f>IFERROR(IF(B20="","",IF(AND(M20=""),"",IF(L20="",SUM(N20:Y20),IF(AND('Master Data'!$H$18=$AO$5,'Master Data'!$I$30=$AN$6),SUM(N20:Y20)+L20,SUM(N20:Y20))))),"0")</f>
        <v>4707</v>
      </c>
      <c r="AA20" s="266">
        <f t="shared" si="1"/>
        <v>0</v>
      </c>
      <c r="AB20" s="266"/>
      <c r="AC20" s="267"/>
      <c r="AM20" s="273"/>
      <c r="AN20" s="273"/>
      <c r="AO20" s="273"/>
      <c r="AP20" s="273"/>
      <c r="AQ20" s="273"/>
      <c r="AR20" s="273"/>
      <c r="AS20" s="273"/>
      <c r="AT20" s="273"/>
      <c r="AU20" s="273" t="s">
        <v>92</v>
      </c>
      <c r="AV20" s="273"/>
      <c r="AW20" s="290" t="s">
        <v>30</v>
      </c>
      <c r="AX20" s="284">
        <v>44501</v>
      </c>
      <c r="AY20" s="289">
        <v>11</v>
      </c>
      <c r="AZ20" s="289">
        <f>ROUND(17%*AZ18,0)+ROUND(AZ18*'Master Data'!E30%,0)</f>
        <v>13075</v>
      </c>
      <c r="BA20" s="291">
        <f>IF(AND('Master Data'!$E$36=""),"",IF(AND('Master Data'!$I$28=$AP$6),$AZ$15,BU20))</f>
        <v>52300</v>
      </c>
      <c r="BB20" s="289">
        <f t="shared" si="6"/>
        <v>52300</v>
      </c>
      <c r="BC20" s="289">
        <f>IF(AND('Master Data'!$E$36=""),"",IF(AND('Master Data'!$N$26=$AO$5),ROUND(31%*BA20,0),ROUND(17%*BA20,0)))</f>
        <v>16213</v>
      </c>
      <c r="BD20" s="289">
        <f t="shared" si="8"/>
        <v>16213</v>
      </c>
      <c r="BE20" s="296">
        <f>IFERROR(IF(AND('Master Data'!$E$36=""),"",ROUND('Master Data'!$E$34%*BB20,0)),"")</f>
        <v>4707</v>
      </c>
      <c r="BF20" s="291">
        <f>'Master Data'!J47</f>
        <v>1500</v>
      </c>
      <c r="BG20" s="291">
        <f>IF(AND('Master Data'!$I$28=$AP$6),"",IF(AND('Master Data'!$I$30=$AN$6,'Master Data'!$N$36=$AO$6),0,IF(AND('Master Data'!$I$30=$AN$6,'Master Data'!$N$36=$AO$5),'Master Data'!$J$43,IF(AND('Master Data'!$I$30=$AN$5),IF($AZ$15&lt;18001,265,IF($AZ$15&lt;33501,440,IF($AZ$15&lt;54001,658,875)))))))</f>
        <v>0</v>
      </c>
      <c r="BH20" s="291">
        <f>IFERROR(IF(OR('Master Data'!$I$28=$AP$6),"",'Master Data'!$G$43),"")</f>
        <v>7000</v>
      </c>
      <c r="BI20" s="297">
        <f>IFERROR(IF(AND('Master Data'!$I$30=$AN$6),ROUND((E16)*0.1,0),IF(AND('Master Data'!$I$28=$AP$6),ROUND((E16+F16)*0.1,0),'Master Data'!$H$43)),"")</f>
        <v>471</v>
      </c>
      <c r="BJ20" s="291">
        <f t="shared" si="9"/>
        <v>52300</v>
      </c>
      <c r="BK20" s="298">
        <v>44501</v>
      </c>
      <c r="BL20" s="298">
        <f>IFERROR(IF('Master Data'!$E$36="","",IF('Master Data'!$F$40="","",IF(AND($AZ$17&gt;$AZ$9),"",DATE(YEAR(BL19),MONTH(BL19)+1,DAY(BL19))))),"")</f>
        <v>44501</v>
      </c>
      <c r="BM20" s="299">
        <f>IFERROR(IF('Master Data'!$E$36="","",IF('Master Data'!$F$40="","",IF(AND($AZ$17&gt;$AZ$9),"",DATE(YEAR(BM19),MONTH(BM19)+1,DAY(BM19))))),"")</f>
        <v>44501</v>
      </c>
      <c r="BN20" s="299">
        <f t="shared" si="2"/>
        <v>44501</v>
      </c>
      <c r="BO20" s="299">
        <f t="shared" si="3"/>
        <v>44501</v>
      </c>
      <c r="BP20" s="299"/>
      <c r="BQ20" s="299">
        <f t="shared" si="4"/>
        <v>44501</v>
      </c>
      <c r="BR20" s="299"/>
      <c r="BS20" s="300"/>
      <c r="BT20" s="300"/>
      <c r="BU20" s="300">
        <f>IF(AND('Master Data'!$I$38=AX20),'Master Data'!$I$36,BU19)</f>
        <v>52300</v>
      </c>
      <c r="BV20" s="299"/>
      <c r="BW20" s="273"/>
      <c r="BX20" s="300">
        <f t="shared" si="5"/>
        <v>1500</v>
      </c>
      <c r="BY20" s="273"/>
      <c r="BZ20" s="273"/>
      <c r="CA20" s="273"/>
      <c r="CB20" s="273"/>
      <c r="CC20" s="273"/>
    </row>
    <row r="21" spans="1:81" ht="21.95" customHeight="1">
      <c r="A21" s="47">
        <v>16</v>
      </c>
      <c r="B21" s="265" t="str">
        <f t="shared" si="0"/>
        <v>Fixation arear</v>
      </c>
      <c r="C21" s="266" t="str">
        <f>IFERROR(IF(B21="","",IF(AND(BQ27=""),"",IF(AND('Master Data'!$I$28=$AP$6),VLOOKUP(B21,ram,13,0),VLOOKUP(B21,ram,4,0)))),"")</f>
        <v/>
      </c>
      <c r="D21" s="266" t="str">
        <f>IFERROR(IF(B21="","",IF(B21=$AX$24,"",IF(AND(B21=$AX$25),$BC$25,IF(AND(B21=$AX$27),"",IF(AND(B21=$AX$28),"",IF(AND('Master Data'!$I$28=$AP$5),VLOOKUP(B21,ram,7,0),"")))))),"")</f>
        <v/>
      </c>
      <c r="E21" s="266" t="str">
        <f>IFERROR(IF(B21="","",IF(B21=$AX$24,"",IF(AND(B21=$AX$25),"",IF(AND(B21=$AX$26),"",IF(AND(B21=$AX$27),"",IF(AND(B21=$AX$29),"",IF(AND('Master Data'!$I$28=$AP$6),"",VLOOKUP(B21,ram,8,0)))))))),"")</f>
        <v/>
      </c>
      <c r="F21" s="266" t="str">
        <f>IFERROR(IF(B21="","",IF(AND(C21=""),"",IF(OR(B21=$AX$24,B21=$AX$25,B21=$AX$26,B21=$AX$27,B21=$AX$28,B21=$AX$29),"",IF(AND('Master Data'!$I$28=$AP$5),'Master Data'!$B$43,"")))),"")</f>
        <v/>
      </c>
      <c r="G21" s="266" t="str">
        <f>IFERROR(IF(B21="","",IF(AND(C21=""),"",IF(OR(B21=$AX$24,B21=$AX$25,B21=$AX$26,B21=$AX$27,B21=$AX$28,B21=$AX$29),"",IF(AND('Master Data'!$I$28=$AP$5,'Master Data'!$E$28=$AO$5),'Master Data'!$C$43,"0")))),"")</f>
        <v/>
      </c>
      <c r="H21" s="266" t="str">
        <f>IFERROR(IF(OR('Master Data'!$E$32=$AO$6,'Master Data'!$E$32=""),"",IF(B21="","",IF(AND(C21=""),"",IF(OR(B21=$AX$24,B21=$AX$25,B21=$AX$26,B21=$AX$27,B21=$AX$28,B21=$AX$29),"",IF(AND('Master Data'!$I$28=$AP$6),"",IF(AND('Master Data'!$I$32=$AR$9),$AS$6,IF(AND('Master Data'!$I$32=$AR$10),$AS$6,IF(AND('Master Data'!$I$32=$AR$11),$AS$6,IF(AND('Master Data'!$I$32=$AR$12),$AS$6,$AS$5))))))))),"")</f>
        <v/>
      </c>
      <c r="I21" s="266" t="str">
        <f>IFERROR(IF(B21="","",IF(AND(E23=""),"",IF(OR(B21=$AX$24,B21=$AX$25,B21=$AX$26,B21=$AX$27,B21=$AX$28,B21=$AX$29),"",IF(AND('Master Data'!$I$28=$AP$5),'Master Data'!$E$43,"")))),"")</f>
        <v/>
      </c>
      <c r="J21" s="266" t="str">
        <f>IFERROR(IF(B21="","",IF(AND(E23=""),"",IF(OR(B21=$AX$24,B21=$AX$25,B21=$AX$26,B21=$AX$27,B21=$AX$28,B21=$AX$29),"",IF(AND('Master Data'!$I$28=$AP$5),'Master Data'!$F$43,"")))),"")</f>
        <v/>
      </c>
      <c r="K21" s="266" t="str">
        <f>IFERROR(IF(B21="","",IF(AND('Master Data'!$I$28=$AP$6),"",IF(AND('Master Data'!$I$24=$AO$6),"0",IF(AND(B21="Bonus"),VLOOKUP(B21,ram,4,0),"")))),"")</f>
        <v/>
      </c>
      <c r="L21" s="266" t="str">
        <f>IFERROR(IF(AND(B21=""),"",IF(AND(B21=$AX$25),"",IF(AND(B21=$AX$29,'Master Data'!$I$30=$AN$6),ROUND((D21)*0.1,0),IF(AND(B21=$AX$26,'Master Data'!$I$30=$AN$6),ROUND((D21)*0.1,0),IF(AND(B21=$AX$27,'Master Data'!$I$30=$AN$6),ROUND((C21+D21)*0.1,0),IF(AND('Master Data'!$I$30=$AN$5),"",IF(AND('Master Data'!$I$30=$AN$6,'Master Data'!$I$28=$AP$6),ROUND((C21)*0.1,0),ROUND((C21+D21)*0.1,0)))))))),"")</f>
        <v/>
      </c>
      <c r="M21" s="266">
        <f>IF(B21="","",IF('Master Data'!$H$18=$AO$5,SUM(C21:L21),SUM(C21:K21)))</f>
        <v>0</v>
      </c>
      <c r="N21" s="266" t="str">
        <f>IFERROR(IF(OR('Master Data'!$I$28=$AP$6,B21=""),"",IF(AND(B21=$AX$24),"",IF(AND(B21=$AX$25),"",IF(AND(B21=$AX$26),"",IF(AND(B21=$AX$27),"",IF(AND(B21=$AX$28),"",IF(AND(B21=$AX$29),"",IF(AND(E23=""),"",VLOOKUP(B21,ram,11,0))))))))),"")</f>
        <v/>
      </c>
      <c r="O21" s="266" t="str">
        <f>IFERROR(IF(AND(B21="",C21=""),"",IF(AND(B21=$AX$25),"",IF(AND(B21=$AX$29,'Master Data'!$I$30=$AN$6),ROUND((D21)*0.1,0),IF(AND(B21=$AX$26,'Master Data'!$I$30=$AN$6),ROUND((D21)*0.1,0),IF(AND(B21=$AX$27,'Master Data'!$I$30=$AN$6),ROUND((C21+D21)*0.1,0),IF(AND('Master Data'!$I$30=$AN$6,'Master Data'!$I$28=$AP$6),ROUND((C21)*0.1,0),IF(AND('Master Data'!$I$30=$AN$6,'Master Data'!$I$28=$AP$5),ROUND((C21+D21)*0.1,0),IF(AND('Master Data'!$I$30=$AN$5,'Master Data'!$I$28=$AP$5),VLOOKUP(B21,ram,12,0))))))))),"")</f>
        <v/>
      </c>
      <c r="P21" s="266" t="str">
        <f>IFERROR(IF(OR('Master Data'!$I$28=$AP$6,B21=""),"",IF(AND(B21=$AX$24),"",IF(AND(B21=$AX$25),"",IF(AND(B21=$AX$26),"",IF(AND(B21=$AX$27),"",IF(AND(B21=$AX$28),"",IF(AND(B21=$AX$29),"",IF(AND(B21=$AX$32),"",IF(AND(C21=""),"",'Master Data'!$I$43))))))))),"")</f>
        <v/>
      </c>
      <c r="Q21" s="266" t="str">
        <f>IFERROR(IF(OR('Master Data'!$I$28=$AP$6),"",IF(B21="","",IF(C21="","",IF(AND(B21=$AX$24),"",IF(AND(B21=$AX$25),"",IF(AND(B21=$AX$26),"",IF(AND(B21=$AX$27),"",IF(AND(B21=$AX$28),"",IF(AND(B21=$AX$29),"",VLOOKUP(B21,ram,10,0)))))))))),"")</f>
        <v/>
      </c>
      <c r="R21" s="266" t="str">
        <f>IFERROR(IF(OR('Master Data'!$I$28=$AP$6,B21=""),"",IF(AND(B21=$AX$24),"",IF(AND(B21=$AX$25),"",IF(AND(B21=$AX$26),"",IF(AND(B21=$AX$27),"",IF(AND(B21=$AX$28),"",IF(AND(B21=$AX$29),"",IF(AND(C21=""),"",'Master Data'!$K$43)))))))),"")</f>
        <v/>
      </c>
      <c r="S21" s="266" t="str">
        <f>IFERROR(IF(OR('Master Data'!$I$28=$AP$6,B21=""),"",IF(AND(B21=$AX$24),"",IF(AND(B21=$AX$25),"",IF(AND(B21=$AX$26),"",IF(AND(B21=$AX$27),"",IF(AND(B21=$AX$28),"",IF(AND(B21=$AX$29),"",IF(AND(C21=""),"",'Master Data'!$L$43)))))))),"")</f>
        <v/>
      </c>
      <c r="T21" s="266" t="str">
        <f>IFERROR(IF(OR('Master Data'!$I$28=$AP$6,B21=""),"",IF(AND(B21=$AX$24,'Master Data'!$I$28=$AP$5,'Master Data'!$I$30=$AN$6),ROUND(K21*50%,0),IF(AND(B21=$AX$25),"",IF(AND(B21=$AX$26,'Master Data'!$I$28=$AP$5,'Master Data'!$I$30=$AN$6),SUM(D21-L21),IF(AND(B21=$AX$27),"",IF(AND(B21=$AX$28),"",IF(AND(B21=$AX$29,'Master Data'!$I$28=$AP$5,'Master Data'!$I$30=$AN$6),SUM(D21-L21),IF(AND(C21=""),"",'Master Data'!$M$43)))))))),"")</f>
        <v/>
      </c>
      <c r="U21" s="266" t="str">
        <f>IFERROR(IF(OR('Master Data'!$I$28=$AP$6,B21=""),"",IF(AND(B21=$AX$24),"",IF(AND(B21=$AX$25),"",IF(AND(B21=$AX$26),"",IF(AND(B21=$AX$27),"",IF(AND(B21=$AX$28),"",IF(AND(B21=$AX$29),"",IF(AND(E23=""),"",'Master Data'!$O$43)))))))),"")</f>
        <v/>
      </c>
      <c r="V21" s="266" t="str">
        <f>IFERROR(IF(OR('Master Data'!$I$28=$AP$6,B21=""),"",IF(AND(C21=""),"",IF(AND(B21=$AT$17,'Master Data'!$D$18="Gazetted"),500,IF(AND(B21=$AT$17,'Master Data'!$D$18="Non-Gazetted"),250,"")))),"")</f>
        <v/>
      </c>
      <c r="W21" s="266" t="str">
        <f>IFERROR(IF(B21="","",IF(AND(C21=""),"",IF(AND(B21=$AX$24),"",IF(AND(B21=$AX$25),"",IF(AND(B21=$AX$26),"",IF(AND(B21=$AX$27),"",IF(AND(B21=$AX$28),"",IF(AND(B21=$AX$29),"",IF(OR('Master Data'!$I$28=$AP$6,B21=""),"",W20))))))))),"")</f>
        <v/>
      </c>
      <c r="X21" s="266"/>
      <c r="Y21" s="266" t="str">
        <f>IFERROR(IF(OR('Master Data'!$I$28=$AP$6,B21="",'Master Data'!$N$38=""),"",IF(AND(C21=""),"",IF(B21=$AT$9,'Master Data'!$N$38,""))),"")</f>
        <v/>
      </c>
      <c r="Z21" s="266">
        <f>IFERROR(IF(B21="","",IF(AND(M21=""),"",IF(L21="",SUM(N21:Y21),IF(AND('Master Data'!$H$18=$AO$5,'Master Data'!$I$30=$AN$6),SUM(N21:Y21)+L21,SUM(N21:Y21))))),"0")</f>
        <v>0</v>
      </c>
      <c r="AA21" s="266">
        <f t="shared" si="1"/>
        <v>0</v>
      </c>
      <c r="AB21" s="266"/>
      <c r="AC21" s="267"/>
      <c r="AM21" s="273"/>
      <c r="AN21" s="273"/>
      <c r="AO21" s="273"/>
      <c r="AP21" s="273"/>
      <c r="AQ21" s="273"/>
      <c r="AR21" s="273"/>
      <c r="AS21" s="273"/>
      <c r="AT21" s="273"/>
      <c r="AU21" s="273" t="s">
        <v>93</v>
      </c>
      <c r="AV21" s="273"/>
      <c r="AW21" s="290" t="s">
        <v>33</v>
      </c>
      <c r="AX21" s="284">
        <v>44531</v>
      </c>
      <c r="AY21" s="289">
        <v>12</v>
      </c>
      <c r="AZ21" s="289">
        <f>AZ18+AZ20</f>
        <v>65375</v>
      </c>
      <c r="BA21" s="291">
        <f>IF(AND('Master Data'!$E$36=""),"",IF(AND('Master Data'!$I$28=$AP$6),$AZ$15,BU21))</f>
        <v>52300</v>
      </c>
      <c r="BB21" s="289">
        <f t="shared" si="6"/>
        <v>52300</v>
      </c>
      <c r="BC21" s="289">
        <f>IF(AND('Master Data'!$E$36=""),"",IF(AND('Master Data'!$N$26=$AO$5),ROUND(31%*BA21,0),ROUND(17%*BA21,0)))</f>
        <v>16213</v>
      </c>
      <c r="BD21" s="289">
        <f t="shared" si="8"/>
        <v>16213</v>
      </c>
      <c r="BE21" s="296">
        <f>IFERROR(IF(AND('Master Data'!$E$36=""),"",ROUND('Master Data'!$E$34%*BB21,0)),"")</f>
        <v>4707</v>
      </c>
      <c r="BF21" s="291">
        <f>'Master Data'!K47</f>
        <v>1500</v>
      </c>
      <c r="BG21" s="291">
        <f>IF(AND('Master Data'!$I$28=$AP$6),"",IF(AND('Master Data'!$I$30=$AN$6,'Master Data'!$N$36=$AO$6),0,IF(AND('Master Data'!$I$30=$AN$6,'Master Data'!$N$36=$AO$5),'Master Data'!$J$43,IF(AND('Master Data'!$I$30=$AN$5),IF($AZ$15&lt;18001,265,IF($AZ$15&lt;33501,440,IF($AZ$15&lt;54001,658,875)))))))</f>
        <v>0</v>
      </c>
      <c r="BH21" s="291">
        <f>IFERROR(IF(OR('Master Data'!$I$28=$AP$6),"",'Master Data'!$G$43),"")</f>
        <v>7000</v>
      </c>
      <c r="BI21" s="297">
        <f>IFERROR(IF(AND('Master Data'!$I$30=$AN$6),ROUND((E17)*0.1,0),IF(AND('Master Data'!$I$28=$AP$6),ROUND((E17+F17)*0.1,0),'Master Data'!$H$43)),"")</f>
        <v>471</v>
      </c>
      <c r="BJ21" s="291">
        <f t="shared" si="9"/>
        <v>52300</v>
      </c>
      <c r="BK21" s="298">
        <v>44531</v>
      </c>
      <c r="BL21" s="298">
        <f>IFERROR(IF('Master Data'!$E$36="","",IF('Master Data'!$F$40="","",IF(AND($AZ$17&gt;$AZ$9),"",DATE(YEAR(BL20),MONTH(BL20)+1,DAY(BL20))))),"")</f>
        <v>44531</v>
      </c>
      <c r="BM21" s="299">
        <f>IFERROR(IF('Master Data'!$E$36="","",IF('Master Data'!$F$40="","",IF(AND($AZ$17&gt;$AZ$9),"",DATE(YEAR(BM20),MONTH(BM20)+1,DAY(BM20))))),"")</f>
        <v>44531</v>
      </c>
      <c r="BN21" s="299">
        <f t="shared" si="2"/>
        <v>44531</v>
      </c>
      <c r="BO21" s="299">
        <f t="shared" si="3"/>
        <v>44531</v>
      </c>
      <c r="BP21" s="299"/>
      <c r="BQ21" s="299">
        <f t="shared" si="4"/>
        <v>44531</v>
      </c>
      <c r="BR21" s="299"/>
      <c r="BS21" s="300"/>
      <c r="BT21" s="300"/>
      <c r="BU21" s="300">
        <f>IF(AND('Master Data'!$I$38=AX21),'Master Data'!$I$36,BU20)</f>
        <v>52300</v>
      </c>
      <c r="BV21" s="299"/>
      <c r="BW21" s="273"/>
      <c r="BX21" s="300">
        <f t="shared" si="5"/>
        <v>1500</v>
      </c>
      <c r="BY21" s="273"/>
      <c r="BZ21" s="273"/>
      <c r="CA21" s="273"/>
      <c r="CB21" s="273"/>
      <c r="CC21" s="273"/>
    </row>
    <row r="22" spans="1:81" ht="21.95" customHeight="1">
      <c r="A22" s="47">
        <v>17</v>
      </c>
      <c r="B22" s="265" t="str">
        <f t="shared" si="0"/>
        <v>HRA Arrear</v>
      </c>
      <c r="C22" s="266" t="str">
        <f>IFERROR(IF(B22="","",IF(AND(BQ28=""),"",IF(AND('Master Data'!$I$28=$AP$6),VLOOKUP(B22,ram,13,0),VLOOKUP(B22,ram,4,0)))),"")</f>
        <v/>
      </c>
      <c r="D22" s="266" t="str">
        <f>IFERROR(IF(B22="","",IF(B22=$AX$24,"",IF(AND(B22=$AX$25),$BC$25,IF(AND(B22=$AX$27),"",IF(AND(B22=$AX$28),"",IF(AND('Master Data'!$I$28=$AP$5),VLOOKUP(B22,ram,7,0),"")))))),"")</f>
        <v/>
      </c>
      <c r="E22" s="266">
        <f>IFERROR(IF(B22="","",IF(B22=$AX$24,"",IF(AND(B22=$AX$25),"",IF(AND(B22=$AX$26),"",IF(AND(B22=$AX$27),"",IF(AND(B22=$AX$29),"",IF(AND('Master Data'!$I$28=$AP$6),"",VLOOKUP(B22,ram,8,0)))))))),"")</f>
        <v>523</v>
      </c>
      <c r="F22" s="266" t="str">
        <f>IFERROR(IF(B22="","",IF(AND(C22=""),"",IF(OR(B22=$AX$24,B22=$AX$25,B22=$AX$26,B22=$AX$27,B22=$AX$28,B22=$AX$29),"",IF(AND('Master Data'!$I$28=$AP$5),'Master Data'!$B$43,"")))),"")</f>
        <v/>
      </c>
      <c r="G22" s="266" t="str">
        <f>IFERROR(IF(B22="","",IF(AND(C22=""),"",IF(OR(B22=$AX$24,B22=$AX$25,B22=$AX$26,B22=$AX$27,B22=$AX$28,B22=$AX$29),"",IF(AND('Master Data'!$I$28=$AP$5,'Master Data'!$E$28=$AO$5),'Master Data'!$C$43,"0")))),"")</f>
        <v/>
      </c>
      <c r="H22" s="266" t="str">
        <f>IFERROR(IF(OR('Master Data'!$E$32=$AO$6,'Master Data'!$E$32=""),"",IF(B22="","",IF(AND(C22=""),"",IF(OR(B22=$AX$24,B22=$AX$25,B22=$AX$26,B22=$AX$27,B22=$AX$28,B22=$AX$29),"",IF(AND('Master Data'!$I$28=$AP$6),"",IF(AND('Master Data'!$I$32=$AR$9),$AS$6,IF(AND('Master Data'!$I$32=$AR$10),$AS$6,IF(AND('Master Data'!$I$32=$AR$11),$AS$6,IF(AND('Master Data'!$I$32=$AR$12),$AS$6,$AS$5))))))))),"")</f>
        <v/>
      </c>
      <c r="I22" s="266" t="str">
        <f>IFERROR(IF(B22="","",IF(AND(E24=""),"",IF(OR(B22=$AX$24,B22=$AX$25,B22=$AX$26,B22=$AX$27,B22=$AX$28,B22=$AX$29),"",IF(AND('Master Data'!$I$28=$AP$5),'Master Data'!$E$43,"")))),"")</f>
        <v/>
      </c>
      <c r="J22" s="266" t="str">
        <f>IFERROR(IF(B22="","",IF(AND(E24=""),"",IF(OR(B22=$AX$24,B22=$AX$25,B22=$AX$26,B22=$AX$27,B22=$AX$28,B22=$AX$29),"",IF(AND('Master Data'!$I$28=$AP$5),'Master Data'!$F$43,"")))),"")</f>
        <v/>
      </c>
      <c r="K22" s="266" t="str">
        <f>IFERROR(IF(B22="","",IF(AND('Master Data'!$I$28=$AP$6),"",IF(AND('Master Data'!$I$24=$AO$6),"0",IF(AND(B22="Bonus"),VLOOKUP(B22,ram,4,0),"")))),"")</f>
        <v/>
      </c>
      <c r="L22" s="266" t="str">
        <f>IFERROR(IF(AND(B22=""),"",IF(AND(B22=$AX$25),"",IF(AND(B22=$AX$29,'Master Data'!$I$30=$AN$6),ROUND((D22)*0.1,0),IF(AND(B22=$AX$26,'Master Data'!$I$30=$AN$6),ROUND((D22)*0.1,0),IF(AND(B22=$AX$27,'Master Data'!$I$30=$AN$6),ROUND((C22+D22)*0.1,0),IF(AND('Master Data'!$I$30=$AN$5),"",IF(AND('Master Data'!$I$30=$AN$6,'Master Data'!$I$28=$AP$6),ROUND((C22)*0.1,0),ROUND((C22+D22)*0.1,0)))))))),"")</f>
        <v/>
      </c>
      <c r="M22" s="266">
        <f>IF(B22="","",IF('Master Data'!$H$18=$AO$5,SUM(C22:L22),SUM(C22:K22)))</f>
        <v>523</v>
      </c>
      <c r="N22" s="266" t="str">
        <f>IFERROR(IF(OR('Master Data'!$I$28=$AP$6,B22=""),"",IF(AND(B22=$AX$24),"",IF(AND(B22=$AX$25),"",IF(AND(B22=$AX$26),"",IF(AND(B22=$AX$27),"",IF(AND(B22=$AX$28),"",IF(AND(B22=$AX$29),"",IF(AND(E24=""),"",VLOOKUP(B22,ram,11,0))))))))),"")</f>
        <v/>
      </c>
      <c r="O22" s="266" t="str">
        <f>IFERROR(IF(AND(B22="",C22=""),"",IF(AND(B22=$AX$25),"",IF(AND(B22=$AX$29,'Master Data'!$I$30=$AN$6),ROUND((D22)*0.1,0),IF(AND(B22=$AX$26,'Master Data'!$I$30=$AN$6),ROUND((D22)*0.1,0),IF(AND(B22=$AX$27,'Master Data'!$I$30=$AN$6),ROUND((C22+D22)*0.1,0),IF(AND('Master Data'!$I$30=$AN$6,'Master Data'!$I$28=$AP$6),ROUND((C22)*0.1,0),IF(AND('Master Data'!$I$30=$AN$6,'Master Data'!$I$28=$AP$5),ROUND((C22+D22)*0.1,0),IF(AND('Master Data'!$I$30=$AN$5,'Master Data'!$I$28=$AP$5),VLOOKUP(B22,ram,12,0))))))))),"")</f>
        <v/>
      </c>
      <c r="P22" s="266" t="str">
        <f>IFERROR(IF(OR('Master Data'!$I$28=$AP$6,B22=""),"",IF(AND(B22=$AX$24),"",IF(AND(B22=$AX$25),"",IF(AND(B22=$AX$26),"",IF(AND(B22=$AX$27),"",IF(AND(B22=$AX$28),"",IF(AND(B22=$AX$29),"",IF(AND(B22=$AX$32),"",IF(AND(C22=""),"",'Master Data'!$I$43))))))))),"")</f>
        <v/>
      </c>
      <c r="Q22" s="266" t="str">
        <f>IFERROR(IF(OR('Master Data'!$I$28=$AP$6),"",IF(B22="","",IF(C22="","",IF(AND(B22=$AX$24),"",IF(AND(B22=$AX$25),"",IF(AND(B22=$AX$26),"",IF(AND(B22=$AX$27),"",IF(AND(B22=$AX$28),"",IF(AND(B22=$AX$29),"",VLOOKUP(B22,ram,10,0)))))))))),"")</f>
        <v/>
      </c>
      <c r="R22" s="266" t="str">
        <f>IFERROR(IF(OR('Master Data'!$I$28=$AP$6,B22=""),"",IF(AND(B22=$AX$24),"",IF(AND(B22=$AX$25),"",IF(AND(B22=$AX$26),"",IF(AND(B22=$AX$27),"",IF(AND(B22=$AX$28),"",IF(AND(B22=$AX$29),"",IF(AND(C22=""),"",'Master Data'!$K$43)))))))),"")</f>
        <v/>
      </c>
      <c r="S22" s="266" t="str">
        <f>IFERROR(IF(OR('Master Data'!$I$28=$AP$6,B22=""),"",IF(AND(B22=$AX$24),"",IF(AND(B22=$AX$25),"",IF(AND(B22=$AX$26),"",IF(AND(B22=$AX$27),"",IF(AND(B22=$AX$28),"",IF(AND(B22=$AX$29),"",IF(AND(C22=""),"",'Master Data'!$L$43)))))))),"")</f>
        <v/>
      </c>
      <c r="T22" s="266" t="str">
        <f>IFERROR(IF(OR('Master Data'!$I$28=$AP$6,B22=""),"",IF(AND(B22=$AX$24,'Master Data'!$I$28=$AP$5,'Master Data'!$I$30=$AN$6),ROUND(K22*50%,0),IF(AND(B22=$AX$25),"",IF(AND(B22=$AX$26,'Master Data'!$I$28=$AP$5,'Master Data'!$I$30=$AN$6),SUM(D22-L22),IF(AND(B22=$AX$27),"",IF(AND(B22=$AX$28),"",IF(AND(B22=$AX$29,'Master Data'!$I$28=$AP$5,'Master Data'!$I$30=$AN$6),SUM(D22-L22),IF(AND(C22=""),"",'Master Data'!$M$43)))))))),"")</f>
        <v/>
      </c>
      <c r="U22" s="266" t="str">
        <f>IFERROR(IF(OR('Master Data'!$I$28=$AP$6,B22=""),"",IF(AND(B22=$AX$24),"",IF(AND(B22=$AX$25),"",IF(AND(B22=$AX$26),"",IF(AND(B22=$AX$27),"",IF(AND(B22=$AX$28),"",IF(AND(B22=$AX$29),"",IF(AND(E24=""),"",'Master Data'!$O$43)))))))),"")</f>
        <v/>
      </c>
      <c r="V22" s="266" t="str">
        <f>IFERROR(IF(OR('Master Data'!$I$28=$AP$6,B22=""),"",IF(AND(C22=""),"",IF(AND(B22=$AT$17,'Master Data'!$D$18="Gazetted"),500,IF(AND(B22=$AT$17,'Master Data'!$D$18="Non-Gazetted"),250,"")))),"")</f>
        <v/>
      </c>
      <c r="W22" s="266" t="str">
        <f>IFERROR(IF(B22="","",IF(AND(C22=""),"",IF(AND(B22=$AX$24),"",IF(AND(B22=$AX$25),"",IF(AND(B22=$AX$26),"",IF(AND(B22=$AX$27),"",IF(AND(B22=$AX$28),"",IF(AND(B22=$AX$29),"",IF(OR('Master Data'!$I$28=$AP$6,B22=""),"",W21))))))))),"")</f>
        <v/>
      </c>
      <c r="X22" s="266"/>
      <c r="Y22" s="266" t="str">
        <f>IFERROR(IF(OR('Master Data'!$I$28=$AP$6,B22="",'Master Data'!$N$38=""),"",IF(AND(C22=""),"",IF(B22=$AT$9,'Master Data'!$N$38,""))),"")</f>
        <v/>
      </c>
      <c r="Z22" s="266">
        <f>IFERROR(IF(B22="","",IF(AND(M22=""),"",IF(L22="",SUM(N22:Y22),IF(AND('Master Data'!$H$18=$AO$5,'Master Data'!$I$30=$AN$6),SUM(N22:Y22)+L22,SUM(N22:Y22))))),"0")</f>
        <v>0</v>
      </c>
      <c r="AA22" s="266">
        <f t="shared" si="1"/>
        <v>523</v>
      </c>
      <c r="AB22" s="266"/>
      <c r="AC22" s="267"/>
      <c r="AM22" s="273"/>
      <c r="AN22" s="273"/>
      <c r="AO22" s="273"/>
      <c r="AP22" s="273"/>
      <c r="AQ22" s="273"/>
      <c r="AR22" s="273"/>
      <c r="AS22" s="273"/>
      <c r="AT22" s="273"/>
      <c r="AU22" s="273" t="s">
        <v>94</v>
      </c>
      <c r="AV22" s="273"/>
      <c r="AW22" s="290" t="s">
        <v>3</v>
      </c>
      <c r="AX22" s="284">
        <v>44562</v>
      </c>
      <c r="AY22" s="289">
        <v>1</v>
      </c>
      <c r="AZ22" s="289"/>
      <c r="BA22" s="291">
        <f>IF(AND('Master Data'!$E$36=""),"",IF(AND('Master Data'!$I$28=$AP$6),$AZ$15,BU22))</f>
        <v>52300</v>
      </c>
      <c r="BB22" s="289">
        <f t="shared" si="6"/>
        <v>52300</v>
      </c>
      <c r="BC22" s="289">
        <f>IF(AND('Master Data'!$E$36=""),"",IF(AND('Master Data'!$N$26=$AO$5),ROUND(31%*BA22,0),ROUND(17%*BA22,0)))</f>
        <v>16213</v>
      </c>
      <c r="BD22" s="289">
        <f t="shared" si="8"/>
        <v>16213</v>
      </c>
      <c r="BE22" s="296">
        <f>IFERROR(IF(AND('Master Data'!$E$36=""),"",ROUND('Master Data'!$E$34%*BB22,0)),"")</f>
        <v>4707</v>
      </c>
      <c r="BF22" s="291">
        <f>'Master Data'!L47</f>
        <v>1500</v>
      </c>
      <c r="BG22" s="291">
        <f>IF(AND('Master Data'!$I$28=$AP$6),"",IF(AND('Master Data'!$I$30=$AN$6,'Master Data'!$N$36=$AO$6),0,IF(AND('Master Data'!$I$30=$AN$6,'Master Data'!$N$36=$AO$5),'Master Data'!$J$43,IF(AND('Master Data'!$I$30=$AN$5),IF($AZ$15&lt;18001,265,IF($AZ$15&lt;33501,440,IF($AZ$15&lt;54001,658,875)))))))</f>
        <v>0</v>
      </c>
      <c r="BH22" s="291">
        <f>IFERROR(IF(OR('Master Data'!$I$28=$AP$6),"",'Master Data'!$G$43),"")</f>
        <v>7000</v>
      </c>
      <c r="BI22" s="297" t="str">
        <f>IFERROR(IF(AND('Master Data'!$I$30=$AN$6),ROUND((E18)*0.1,0),IF(AND('Master Data'!$I$28=$AP$6),ROUND((E18+F18)*0.1,0),'Master Data'!$H$43)),"")</f>
        <v/>
      </c>
      <c r="BJ22" s="291">
        <f t="shared" si="9"/>
        <v>52300</v>
      </c>
      <c r="BK22" s="298">
        <v>44562</v>
      </c>
      <c r="BL22" s="298">
        <f>IFERROR(IF('Master Data'!$E$36="","",IF('Master Data'!$F$40="","",IF(AND($AZ$17&gt;$AZ$9),"",DATE(YEAR(BL21),MONTH(BL21)+1,DAY(BL21))))),"")</f>
        <v>44562</v>
      </c>
      <c r="BM22" s="299">
        <f>IFERROR(IF('Master Data'!$E$36="","",IF('Master Data'!$F$40="","",IF(AND($AZ$17&gt;$AZ$9),"",DATE(YEAR(BM21),MONTH(BM21)+1,DAY(BM21))))),"")</f>
        <v>44562</v>
      </c>
      <c r="BN22" s="299">
        <f t="shared" si="2"/>
        <v>44562</v>
      </c>
      <c r="BO22" s="299">
        <f t="shared" si="3"/>
        <v>44562</v>
      </c>
      <c r="BP22" s="299"/>
      <c r="BQ22" s="299">
        <f t="shared" si="4"/>
        <v>44562</v>
      </c>
      <c r="BR22" s="299"/>
      <c r="BS22" s="300"/>
      <c r="BT22" s="300"/>
      <c r="BU22" s="300">
        <f>IF(AND('Master Data'!$I$38=AX22),'Master Data'!$I$36,BU21)</f>
        <v>52300</v>
      </c>
      <c r="BV22" s="299"/>
      <c r="BW22" s="273"/>
      <c r="BX22" s="300">
        <f t="shared" si="5"/>
        <v>1500</v>
      </c>
      <c r="BY22" s="273"/>
      <c r="BZ22" s="273"/>
      <c r="CA22" s="273"/>
      <c r="CB22" s="273"/>
      <c r="CC22" s="273"/>
    </row>
    <row r="23" spans="1:81" ht="21.95" customHeight="1">
      <c r="A23" s="47">
        <v>18</v>
      </c>
      <c r="B23" s="265" t="str">
        <f t="shared" si="0"/>
        <v>PL Surrender Arrear</v>
      </c>
      <c r="C23" s="266" t="str">
        <f>IFERROR(IF(B23="","",IF(AND(BQ29=""),"",IF(AND('Master Data'!$I$28=$AP$6),VLOOKUP(B23,ram,13,0),VLOOKUP(B23,ram,4,0)))),"")</f>
        <v/>
      </c>
      <c r="D23" s="266">
        <f>IFERROR(IF(B23="","",IF(B23=$AX$24,"",IF(AND(B23=$AX$25),$BC$25,IF(AND(B23=$AX$27),"",IF(AND(B23=$AX$28),"",IF(AND('Master Data'!$I$28=$AP$5),VLOOKUP(B23,ram,7,0),"")))))),"")</f>
        <v>0</v>
      </c>
      <c r="E23" s="266" t="str">
        <f>IFERROR(IF(B23="","",IF(B23=$AX$24,"",IF(AND(B23=$AX$25),"",IF(AND(B23=$AX$26),"",IF(AND(B23=$AX$27),"",IF(AND(B23=$AX$29),"",IF(AND('Master Data'!$I$28=$AP$6),"",VLOOKUP(B23,ram,8,0)))))))),"")</f>
        <v/>
      </c>
      <c r="F23" s="266" t="str">
        <f>IFERROR(IF(B23="","",IF(AND(C23=""),"",IF(OR(B23=$AX$24,B23=$AX$25,B23=$AX$26,B23=$AX$27,B23=$AX$28,B23=$AX$29),"",IF(AND('Master Data'!$I$28=$AP$5),'Master Data'!$B$43,"")))),"")</f>
        <v/>
      </c>
      <c r="G23" s="266" t="str">
        <f>IFERROR(IF(B23="","",IF(AND(C23=""),"",IF(OR(B23=$AX$24,B23=$AX$25,B23=$AX$26,B23=$AX$27,B23=$AX$28,B23=$AX$29),"",IF(AND('Master Data'!$I$28=$AP$5,'Master Data'!$E$28=$AO$5),'Master Data'!$C$43,"0")))),"")</f>
        <v/>
      </c>
      <c r="H23" s="266" t="str">
        <f>IFERROR(IF(OR('Master Data'!$E$32=$AO$6,'Master Data'!$E$32=""),"",IF(B23="","",IF(AND(C23=""),"",IF(OR(B23=$AX$24,B23=$AX$25,B23=$AX$26,B23=$AX$27,B23=$AX$28,B23=$AX$29),"",IF(AND('Master Data'!$I$28=$AP$6),"",IF(AND('Master Data'!$I$32=$AR$9),$AS$6,IF(AND('Master Data'!$I$32=$AR$10),$AS$6,IF(AND('Master Data'!$I$32=$AR$11),$AS$6,IF(AND('Master Data'!$I$32=$AR$12),$AS$6,$AS$5))))))))),"")</f>
        <v/>
      </c>
      <c r="I23" s="266" t="str">
        <f>IFERROR(IF(B23="","",IF(AND(E25=""),"",IF(OR(B23=$AX$24,B23=$AX$25,B23=$AX$26,B23=$AX$27,B23=$AX$28,B23=$AX$29),"",IF(AND('Master Data'!$I$28=$AP$5),'Master Data'!$E$43,"")))),"")</f>
        <v/>
      </c>
      <c r="J23" s="266" t="str">
        <f>IFERROR(IF(B23="","",IF(AND(E25=""),"",IF(OR(B23=$AX$24,B23=$AX$25,B23=$AX$26,B23=$AX$27,B23=$AX$28,B23=$AX$29),"",IF(AND('Master Data'!$I$28=$AP$5),'Master Data'!$F$43,"")))),"")</f>
        <v/>
      </c>
      <c r="K23" s="266" t="str">
        <f>IFERROR(IF(B23="","",IF(AND('Master Data'!$I$28=$AP$6),"",IF(AND('Master Data'!$I$24=$AO$6),"0",IF(AND(B23="Bonus"),VLOOKUP(B23,ram,4,0),"")))),"")</f>
        <v/>
      </c>
      <c r="L23" s="266">
        <f>IFERROR(IF(AND(B23=""),"",IF(AND(B23=$AX$25),"",IF(AND(B23=$AX$29,'Master Data'!$I$30=$AN$6),ROUND((D23)*0.1,0),IF(AND(B23=$AX$26,'Master Data'!$I$30=$AN$6),ROUND((D23)*0.1,0),IF(AND(B23=$AX$27,'Master Data'!$I$30=$AN$6),ROUND((C23+D23)*0.1,0),IF(AND('Master Data'!$I$30=$AN$5),"",IF(AND('Master Data'!$I$30=$AN$6,'Master Data'!$I$28=$AP$6),ROUND((C23)*0.1,0),ROUND((C23+D23)*0.1,0)))))))),"")</f>
        <v>0</v>
      </c>
      <c r="M23" s="266">
        <f>IF(B23="","",IF('Master Data'!$H$18=$AO$5,SUM(C23:L23),SUM(C23:K23)))</f>
        <v>0</v>
      </c>
      <c r="N23" s="266" t="str">
        <f>IFERROR(IF(OR('Master Data'!$I$28=$AP$6,B23=""),"",IF(AND(B23=$AX$24),"",IF(AND(B23=$AX$25),"",IF(AND(B23=$AX$26),"",IF(AND(B23=$AX$27),"",IF(AND(B23=$AX$28),"",IF(AND(B23=$AX$29),"",IF(AND(E25=""),"",VLOOKUP(B23,ram,11,0))))))))),"")</f>
        <v/>
      </c>
      <c r="O23" s="266">
        <f>IFERROR(IF(AND(B23="",C23=""),"",IF(AND(B23=$AX$25),"",IF(AND(B23=$AX$29,'Master Data'!$I$30=$AN$6),ROUND((D23)*0.1,0),IF(AND(B23=$AX$26,'Master Data'!$I$30=$AN$6),ROUND((D23)*0.1,0),IF(AND(B23=$AX$27,'Master Data'!$I$30=$AN$6),ROUND((C23+D23)*0.1,0),IF(AND('Master Data'!$I$30=$AN$6,'Master Data'!$I$28=$AP$6),ROUND((C23)*0.1,0),IF(AND('Master Data'!$I$30=$AN$6,'Master Data'!$I$28=$AP$5),ROUND((C23+D23)*0.1,0),IF(AND('Master Data'!$I$30=$AN$5,'Master Data'!$I$28=$AP$5),VLOOKUP(B23,ram,12,0))))))))),"")</f>
        <v>0</v>
      </c>
      <c r="P23" s="266" t="str">
        <f>IFERROR(IF(OR('Master Data'!$I$28=$AP$6,B23=""),"",IF(AND(B23=$AX$24),"",IF(AND(B23=$AX$25),"",IF(AND(B23=$AX$26),"",IF(AND(B23=$AX$27),"",IF(AND(B23=$AX$28),"",IF(AND(B23=$AX$29),"",IF(AND(B23=$AX$32),"",IF(AND(C23=""),"",'Master Data'!$I$43))))))))),"")</f>
        <v/>
      </c>
      <c r="Q23" s="266" t="str">
        <f>IFERROR(IF(OR('Master Data'!$I$28=$AP$6),"",IF(B23="","",IF(C23="","",IF(AND(B23=$AX$24),"",IF(AND(B23=$AX$25),"",IF(AND(B23=$AX$26),"",IF(AND(B23=$AX$27),"",IF(AND(B23=$AX$28),"",IF(AND(B23=$AX$29),"",VLOOKUP(B23,ram,10,0)))))))))),"")</f>
        <v/>
      </c>
      <c r="R23" s="266" t="str">
        <f>IFERROR(IF(OR('Master Data'!$I$28=$AP$6,B23=""),"",IF(AND(B23=$AX$24),"",IF(AND(B23=$AX$25),"",IF(AND(B23=$AX$26),"",IF(AND(B23=$AX$27),"",IF(AND(B23=$AX$28),"",IF(AND(B23=$AX$29),"",IF(AND(C23=""),"",'Master Data'!$K$43)))))))),"")</f>
        <v/>
      </c>
      <c r="S23" s="266" t="str">
        <f>IFERROR(IF(OR('Master Data'!$I$28=$AP$6,B23=""),"",IF(AND(B23=$AX$24),"",IF(AND(B23=$AX$25),"",IF(AND(B23=$AX$26),"",IF(AND(B23=$AX$27),"",IF(AND(B23=$AX$28),"",IF(AND(B23=$AX$29),"",IF(AND(C23=""),"",'Master Data'!$L$43)))))))),"")</f>
        <v/>
      </c>
      <c r="T23" s="266">
        <f>IFERROR(IF(OR('Master Data'!$I$28=$AP$6,B23=""),"",IF(AND(B23=$AX$24,'Master Data'!$I$28=$AP$5,'Master Data'!$I$30=$AN$6),ROUND(K23*50%,0),IF(AND(B23=$AX$25),"",IF(AND(B23=$AX$26,'Master Data'!$I$28=$AP$5,'Master Data'!$I$30=$AN$6),SUM(D23-L23),IF(AND(B23=$AX$27),"",IF(AND(B23=$AX$28),"",IF(AND(B23=$AX$29,'Master Data'!$I$28=$AP$5,'Master Data'!$I$30=$AN$6),SUM(D23-L23),IF(AND(C23=""),"",'Master Data'!$M$43)))))))),"")</f>
        <v>0</v>
      </c>
      <c r="U23" s="266" t="str">
        <f>IFERROR(IF(OR('Master Data'!$I$28=$AP$6,B23=""),"",IF(AND(B23=$AX$24),"",IF(AND(B23=$AX$25),"",IF(AND(B23=$AX$26),"",IF(AND(B23=$AX$27),"",IF(AND(B23=$AX$28),"",IF(AND(B23=$AX$29),"",IF(AND(E25=""),"",'Master Data'!$O$43)))))))),"")</f>
        <v/>
      </c>
      <c r="V23" s="266" t="str">
        <f>IFERROR(IF(OR('Master Data'!$I$28=$AP$6,B23=""),"",IF(AND(C23=""),"",IF(AND(B23=$AT$17,'Master Data'!$D$18="Gazetted"),500,IF(AND(B23=$AT$17,'Master Data'!$D$18="Non-Gazetted"),250,"")))),"")</f>
        <v/>
      </c>
      <c r="W23" s="266" t="str">
        <f>IFERROR(IF(B23="","",IF(AND(C23=""),"",IF(AND(B23=$AX$24),"",IF(AND(B23=$AX$25),"",IF(AND(B23=$AX$26),"",IF(AND(B23=$AX$27),"",IF(AND(B23=$AX$28),"",IF(AND(B23=$AX$29),"",IF(OR('Master Data'!$I$28=$AP$6,B23=""),"",W22))))))))),"")</f>
        <v/>
      </c>
      <c r="X23" s="266"/>
      <c r="Y23" s="266" t="str">
        <f>IFERROR(IF(OR('Master Data'!$I$28=$AP$6,B23="",'Master Data'!$N$38=""),"",IF(AND(C23=""),"",IF(B23=$AT$9,'Master Data'!$N$38,""))),"")</f>
        <v/>
      </c>
      <c r="Z23" s="266">
        <f>IFERROR(IF(B23="","",IF(AND(M23=""),"",IF(L23="",SUM(N23:Y23),IF(AND('Master Data'!$H$18=$AO$5,'Master Data'!$I$30=$AN$6),SUM(N23:Y23)+L23,SUM(N23:Y23))))),"0")</f>
        <v>0</v>
      </c>
      <c r="AA23" s="266">
        <f t="shared" si="1"/>
        <v>0</v>
      </c>
      <c r="AB23" s="266"/>
      <c r="AC23" s="267"/>
      <c r="AM23" s="273"/>
      <c r="AN23" s="273"/>
      <c r="AO23" s="273"/>
      <c r="AP23" s="273"/>
      <c r="AQ23" s="273"/>
      <c r="AR23" s="273">
        <f>IF('Master Data'!I38&lt;AX16,MROUND('Master Data'!I36*1.03,100),MROUND(AZ15*1.03,100))</f>
        <v>0</v>
      </c>
      <c r="AS23" s="273"/>
      <c r="AT23" s="273"/>
      <c r="AU23" s="273" t="s">
        <v>95</v>
      </c>
      <c r="AV23" s="273"/>
      <c r="AW23" s="290" t="s">
        <v>79</v>
      </c>
      <c r="AX23" s="284">
        <v>44593</v>
      </c>
      <c r="AY23" s="289">
        <v>2</v>
      </c>
      <c r="AZ23" s="289"/>
      <c r="BA23" s="291">
        <f>IF(AND('Master Data'!$E$36=""),"",IF(AND('Master Data'!$I$28=$AP$6),$AZ$15,BU23))</f>
        <v>52300</v>
      </c>
      <c r="BB23" s="289">
        <f t="shared" si="6"/>
        <v>52300</v>
      </c>
      <c r="BC23" s="289">
        <f>IF(AND('Master Data'!$E$36=""),"",IF(AND('Master Data'!$N$26=$AO$5),ROUND(31%*BA23,0),ROUND(17%*BA23,0)))</f>
        <v>16213</v>
      </c>
      <c r="BD23" s="289">
        <f>IF(BB23="","",BC23)</f>
        <v>16213</v>
      </c>
      <c r="BE23" s="296">
        <f>IFERROR(IF(AND('Master Data'!$E$36=""),"",ROUND('Master Data'!$E$34%*BB23,0)),"")</f>
        <v>4707</v>
      </c>
      <c r="BF23" s="291">
        <f>'Master Data'!M47</f>
        <v>0</v>
      </c>
      <c r="BG23" s="291">
        <f>IF(AND('Master Data'!$I$28=$AP$6),"",IF(AND('Master Data'!$I$30=$AN$6,'Master Data'!$N$36=$AO$6),0,IF(AND('Master Data'!$I$30=$AN$6,'Master Data'!$N$36=$AO$5),'Master Data'!$J$43,IF(AND('Master Data'!$I$30=$AN$5),IF($AZ$15&lt;18001,265,IF($AZ$15&lt;33501,440,IF($AZ$15&lt;54001,658,875)))))))</f>
        <v>0</v>
      </c>
      <c r="BH23" s="291">
        <f>IFERROR(IF(OR('Master Data'!$I$28=$AP$6),"",'Master Data'!$G$43),"")</f>
        <v>7000</v>
      </c>
      <c r="BI23" s="297" t="str">
        <f>IFERROR(IF(AND('Master Data'!$I$30=$AN$6),ROUND((E19)*0.1,0),IF(AND('Master Data'!$I$28=$AP$6),ROUND((E19+F19)*0.1,0),'Master Data'!$H$43)),"")</f>
        <v/>
      </c>
      <c r="BJ23" s="291">
        <f t="shared" si="9"/>
        <v>52300</v>
      </c>
      <c r="BK23" s="298">
        <v>44593</v>
      </c>
      <c r="BL23" s="298">
        <f>IFERROR(IF('Master Data'!$E$36="","",IF('Master Data'!$F$40="","",IF(AND($AZ$17&gt;$AZ$9),"",DATE(YEAR(BL22),MONTH(BL22)+1,DAY(BL22))))),"")</f>
        <v>44593</v>
      </c>
      <c r="BM23" s="299">
        <f>IFERROR(IF('Master Data'!$E$36="","",IF('Master Data'!$F$40="","",IF(AND($AZ$17&gt;$AZ$9),"",DATE(YEAR(BM22),MONTH(BM22)+1,DAY(BM22))))),"")</f>
        <v>44593</v>
      </c>
      <c r="BN23" s="299">
        <f t="shared" si="2"/>
        <v>44593</v>
      </c>
      <c r="BO23" s="299">
        <f t="shared" si="3"/>
        <v>44593</v>
      </c>
      <c r="BP23" s="299"/>
      <c r="BQ23" s="299">
        <f t="shared" si="4"/>
        <v>44593</v>
      </c>
      <c r="BR23" s="299"/>
      <c r="BS23" s="300"/>
      <c r="BT23" s="300"/>
      <c r="BU23" s="300">
        <f>IF(AND('Master Data'!$I$38=AX23),'Master Data'!$I$36,BU22)</f>
        <v>52300</v>
      </c>
      <c r="BV23" s="299"/>
      <c r="BW23" s="273"/>
      <c r="BX23" s="300">
        <f>IF(BB23="",0,BF23)</f>
        <v>0</v>
      </c>
      <c r="BY23" s="273"/>
      <c r="BZ23" s="273"/>
      <c r="CA23" s="273"/>
      <c r="CB23" s="273"/>
      <c r="CC23" s="273"/>
    </row>
    <row r="24" spans="1:81" ht="21.95" customHeight="1">
      <c r="A24" s="47">
        <v>19</v>
      </c>
      <c r="B24" s="265" t="str">
        <f t="shared" si="0"/>
        <v/>
      </c>
      <c r="C24" s="266" t="str">
        <f>IFERROR(IF(B24="","",IF(AND(BQ30=""),"",IF(AND('Master Data'!$I$28=$AP$6),VLOOKUP(B24,ram,13,0),VLOOKUP(B24,ram,4,0)))),"")</f>
        <v/>
      </c>
      <c r="D24" s="266" t="str">
        <f>IFERROR(IF(B24="","",IF(B24=$AX$24,"",IF(AND(B24=$AX$25),$BC$25,IF(AND(B24=$AX$27),"",IF(AND(B24=$AX$28),"",IF(AND('Master Data'!$I$28=$AP$5),VLOOKUP(B24,ram,7,0),"")))))),"")</f>
        <v/>
      </c>
      <c r="E24" s="266" t="str">
        <f>IFERROR(IF(B24="","",IF(B24=$AX$24,"",IF(AND(B24=$AX$25),"",IF(AND(B24=$AX$26),"",IF(AND(B24=$AX$27),"",IF(AND(B24=$AX$29),"",IF(AND('Master Data'!$I$28=$AP$6),"",VLOOKUP(B24,ram,8,0)))))))),"")</f>
        <v/>
      </c>
      <c r="F24" s="266" t="str">
        <f>IFERROR(IF(B24="","",IF(AND(C24=""),"",IF(OR(B24=$AX$24,B24=$AX$25,B24=$AX$26,B24=$AX$27,B24=$AX$28,B24=$AX$29),"",IF(AND('Master Data'!$I$28=$AP$5),'Master Data'!$B$43,"")))),"")</f>
        <v/>
      </c>
      <c r="G24" s="266" t="str">
        <f>IFERROR(IF(B24="","",IF(AND(C24=""),"",IF(OR(B24=$AX$24,B24=$AX$25,B24=$AX$26,B24=$AX$27,B24=$AX$28,B24=$AX$29),"",IF(AND('Master Data'!$I$28=$AP$5,'Master Data'!$E$28=$AO$5),'Master Data'!$C$43,"0")))),"")</f>
        <v/>
      </c>
      <c r="H24" s="266" t="str">
        <f>IFERROR(IF(OR('Master Data'!$E$32=$AO$6,'Master Data'!$E$32=""),"",IF(B24="","",IF(AND(C24=""),"",IF(OR(B24=$AX$24,B24=$AX$25,B24=$AX$26,B24=$AX$27,B24=$AX$28,B24=$AX$29),"",IF(AND('Master Data'!$I$28=$AP$6),"",IF(AND('Master Data'!$I$32=$AR$9),$AS$6,IF(AND('Master Data'!$I$32=$AR$10),$AS$6,IF(AND('Master Data'!$I$32=$AR$11),$AS$6,IF(AND('Master Data'!$I$32=$AR$12),$AS$6,$AS$5))))))))),"")</f>
        <v/>
      </c>
      <c r="I24" s="266" t="str">
        <f>IFERROR(IF(B24="","",IF(AND(E26=""),"",IF(OR(B24=$AX$24,B24=$AX$25,B24=$AX$26,B24=$AX$27,B24=$AX$28,B24=$AX$29),"",IF(AND('Master Data'!$I$28=$AP$5),'Master Data'!$E$43,"")))),"")</f>
        <v/>
      </c>
      <c r="J24" s="266" t="str">
        <f>IFERROR(IF(B24="","",IF(AND(E26=""),"",IF(OR(B24=$AX$24,B24=$AX$25,B24=$AX$26,B24=$AX$27,B24=$AX$28,B24=$AX$29),"",IF(AND('Master Data'!$I$28=$AP$5),'Master Data'!$F$43,"")))),"")</f>
        <v/>
      </c>
      <c r="K24" s="266" t="str">
        <f>IFERROR(IF(B24="","",IF(AND('Master Data'!$I$28=$AP$6),"",IF(AND('Master Data'!$I$24=$AO$6),"0",IF(AND(B24="Bonus"),VLOOKUP(B24,ram,4,0),"")))),"")</f>
        <v/>
      </c>
      <c r="L24" s="266" t="str">
        <f>IFERROR(IF(AND(B24=""),"",IF(AND(B24=$AX$25),"",IF(AND(B24=$AX$29,'Master Data'!$I$30=$AN$6),ROUND((D24)*0.1,0),IF(AND(B24=$AX$26,'Master Data'!$I$30=$AN$6),ROUND((D24)*0.1,0),IF(AND(B24=$AX$27,'Master Data'!$I$30=$AN$6),ROUND((C24+D24)*0.1,0),IF(AND('Master Data'!$I$30=$AN$5),"",IF(AND('Master Data'!$I$30=$AN$6,'Master Data'!$I$28=$AP$6),ROUND((C24)*0.1,0),ROUND((C24+D24)*0.1,0)))))))),"")</f>
        <v/>
      </c>
      <c r="M24" s="266" t="str">
        <f>IF(B24="","",IF('Master Data'!$H$18=$AO$5,SUM(C24:L24),SUM(C24:K24)))</f>
        <v/>
      </c>
      <c r="N24" s="266" t="str">
        <f>IFERROR(IF(OR('Master Data'!$I$28=$AP$6,B24=""),"",IF(AND(B24=$AX$24),"",IF(AND(B24=$AX$25),"",IF(AND(B24=$AX$26),"",IF(AND(B24=$AX$27),"",IF(AND(B24=$AX$28),"",IF(AND(B24=$AX$29),"",IF(AND(E26=""),"",VLOOKUP(B24,ram,11,0))))))))),"")</f>
        <v/>
      </c>
      <c r="O24" s="266" t="str">
        <f>IFERROR(IF(AND(B24="",C24=""),"",IF(AND(B24=$AX$25),"",IF(AND(B24=$AX$29,'Master Data'!$I$30=$AN$6),ROUND((D24)*0.1,0),IF(AND(B24=$AX$26,'Master Data'!$I$30=$AN$6),ROUND((D24)*0.1,0),IF(AND(B24=$AX$27,'Master Data'!$I$30=$AN$6),ROUND((C24+D24)*0.1,0),IF(AND('Master Data'!$I$30=$AN$6,'Master Data'!$I$28=$AP$6),ROUND((C24)*0.1,0),IF(AND('Master Data'!$I$30=$AN$6,'Master Data'!$I$28=$AP$5),ROUND((C24+D24)*0.1,0),IF(AND('Master Data'!$I$30=$AN$5,'Master Data'!$I$28=$AP$5),VLOOKUP(B24,ram,12,0))))))))),"")</f>
        <v/>
      </c>
      <c r="P24" s="266" t="str">
        <f>IFERROR(IF(OR('Master Data'!$I$28=$AP$6,B24=""),"",IF(AND(B24=$AX$24),"",IF(AND(B24=$AX$25),"",IF(AND(B24=$AX$26),"",IF(AND(B24=$AX$27),"",IF(AND(B24=$AX$28),"",IF(AND(B24=$AX$29),"",IF(AND(B24=$AX$32),"",IF(AND(C24=""),"",'Master Data'!$I$43))))))))),"")</f>
        <v/>
      </c>
      <c r="Q24" s="266" t="str">
        <f>IFERROR(IF(OR('Master Data'!$I$28=$AP$6),"",IF(B24="","",IF(C24="","",IF(AND(B24=$AX$24),"",IF(AND(B24=$AX$25),"",IF(AND(B24=$AX$26),"",IF(AND(B24=$AX$27),"",IF(AND(B24=$AX$28),"",IF(AND(B24=$AX$29),"",VLOOKUP(B24,ram,10,0)))))))))),"")</f>
        <v/>
      </c>
      <c r="R24" s="266" t="str">
        <f>IFERROR(IF(OR('Master Data'!$I$28=$AP$6,B24=""),"",IF(AND(B24=$AX$24),"",IF(AND(B24=$AX$25),"",IF(AND(B24=$AX$26),"",IF(AND(B24=$AX$27),"",IF(AND(B24=$AX$28),"",IF(AND(B24=$AX$29),"",IF(AND(C24=""),"",'Master Data'!$K$43)))))))),"")</f>
        <v/>
      </c>
      <c r="S24" s="266" t="str">
        <f>IFERROR(IF(OR('Master Data'!$I$28=$AP$6,B24=""),"",IF(AND(B24=$AX$24),"",IF(AND(B24=$AX$25),"",IF(AND(B24=$AX$26),"",IF(AND(B24=$AX$27),"",IF(AND(B24=$AX$28),"",IF(AND(B24=$AX$29),"",IF(AND(C24=""),"",'Master Data'!$L$43)))))))),"")</f>
        <v/>
      </c>
      <c r="T24" s="266" t="str">
        <f>IFERROR(IF(OR('Master Data'!$I$28=$AP$6,B24=""),"",IF(AND(B24=$AX$24,'Master Data'!$I$28=$AP$5,'Master Data'!$I$30=$AN$6),ROUND(K24*50%,0),IF(AND(B24=$AX$25),"",IF(AND(B24=$AX$26,'Master Data'!$I$28=$AP$5,'Master Data'!$I$30=$AN$6),SUM(D24-L24),IF(AND(B24=$AX$27),"",IF(AND(B24=$AX$28),"",IF(AND(B24=$AX$29,'Master Data'!$I$28=$AP$5,'Master Data'!$I$30=$AN$6),SUM(D24-L24),IF(AND(C24=""),"",'Master Data'!$M$43)))))))),"")</f>
        <v/>
      </c>
      <c r="U24" s="266" t="str">
        <f>IFERROR(IF(OR('Master Data'!$I$28=$AP$6,B24=""),"",IF(AND(B24=$AX$24),"",IF(AND(B24=$AX$25),"",IF(AND(B24=$AX$26),"",IF(AND(B24=$AX$27),"",IF(AND(B24=$AX$28),"",IF(AND(B24=$AX$29),"",IF(AND(E26=""),"",'Master Data'!$O$43)))))))),"")</f>
        <v/>
      </c>
      <c r="V24" s="266" t="str">
        <f>IFERROR(IF(OR('Master Data'!$I$28=$AP$6,B24=""),"",IF(AND(C24=""),"",IF(AND(B24=$AT$17,'Master Data'!$D$18="Gazetted"),500,IF(AND(B24=$AT$17,'Master Data'!$D$18="Non-Gazetted"),250,"")))),"")</f>
        <v/>
      </c>
      <c r="W24" s="266" t="str">
        <f>IFERROR(IF(B24="","",IF(AND(C24=""),"",IF(AND(B24=$AX$24),"",IF(AND(B24=$AX$25),"",IF(AND(B24=$AX$26),"",IF(AND(B24=$AX$27),"",IF(AND(B24=$AX$28),"",IF(AND(B24=$AX$29),"",IF(OR('Master Data'!$I$28=$AP$6,B24=""),"",W23))))))))),"")</f>
        <v/>
      </c>
      <c r="X24" s="266"/>
      <c r="Y24" s="266" t="str">
        <f>IFERROR(IF(OR('Master Data'!$I$28=$AP$6,B24="",'Master Data'!$N$38=""),"",IF(AND(C24=""),"",IF(B24=$AT$9,'Master Data'!$N$38,""))),"")</f>
        <v/>
      </c>
      <c r="Z24" s="266" t="str">
        <f>IFERROR(IF(B24="","",IF(AND(M24=""),"",IF(L24="",SUM(N24:Y24),IF(AND('Master Data'!$H$18=$AO$5,'Master Data'!$I$30=$AN$6),SUM(N24:Y24)+L24,SUM(N24:Y24))))),"0")</f>
        <v/>
      </c>
      <c r="AA24" s="266" t="str">
        <f t="shared" si="1"/>
        <v/>
      </c>
      <c r="AB24" s="266"/>
      <c r="AC24" s="267"/>
      <c r="AM24" s="273"/>
      <c r="AN24" s="273"/>
      <c r="AO24" s="273"/>
      <c r="AP24" s="273"/>
      <c r="AQ24" s="273"/>
      <c r="AR24" s="273"/>
      <c r="AS24" s="273">
        <f>MROUND('Master Data'!I36*1.03,100)</f>
        <v>0</v>
      </c>
      <c r="AT24" s="273"/>
      <c r="AU24" s="273" t="s">
        <v>96</v>
      </c>
      <c r="AV24" s="273"/>
      <c r="AW24" s="290"/>
      <c r="AX24" s="303" t="str">
        <f>BM24</f>
        <v>Bonus</v>
      </c>
      <c r="AY24" s="289"/>
      <c r="AZ24" s="289"/>
      <c r="BA24" s="289">
        <f>IF('Master Data'!$I$26=1,ROUND((6774/12)*1,0),IF('Master Data'!$I$26=2,ROUND((6774/12)*2,0),IF('Master Data'!$I$26=3,ROUND((6774/12)*3,0),IF('Master Data'!$I$26=4,ROUND((6774/12)*4,0),IF('Master Data'!$I$26=5,ROUND((6774/12)*5,0),IF('Master Data'!$I$26=6,ROUND((6774/12)*6,0),IF('Master Data'!$I$26=7,ROUND((6774/12)*7,0),IF('Master Data'!$I$26=8,ROUND((6774/12)*8,0),IF('Master Data'!$I$26=9,ROUND((6774/12)*9,0),IF('Master Data'!$I$26=10,ROUND((6774/12)*10,0),IF('Master Data'!$I$26=11,ROUND((6774/12)*11,0),IF('Master Data'!$I$26=12,ROUND((6774/12)*12,0),0))))))))))))</f>
        <v>6774</v>
      </c>
      <c r="BB24" s="289"/>
      <c r="BC24" s="289"/>
      <c r="BD24" s="289" t="str">
        <f>IF(BC24="","",BC24)</f>
        <v/>
      </c>
      <c r="BE24" s="289"/>
      <c r="BF24" s="289"/>
      <c r="BG24" s="289"/>
      <c r="BH24" s="289"/>
      <c r="BI24" s="292">
        <f>IF(AND('Master Data'!$I$24=$AO$6),"",ROUND(BA24*50%,0))</f>
        <v>3387</v>
      </c>
      <c r="BJ24" s="289"/>
      <c r="BK24" s="298">
        <v>44621</v>
      </c>
      <c r="BL24" s="298">
        <f>IFERROR(IF('Master Data'!$E$36="","",IF('Master Data'!$F$40="","",IF(AND($AZ$17&gt;$AZ$9),"",DATE(YEAR(BL23),MONTH(BL23)+1,DAY(BL23))))),"")</f>
        <v>44621</v>
      </c>
      <c r="BM24" s="273" t="s">
        <v>69</v>
      </c>
      <c r="BN24" s="299" t="str">
        <f t="shared" si="2"/>
        <v/>
      </c>
      <c r="BO24" s="299" t="str">
        <f t="shared" si="3"/>
        <v>Bonus</v>
      </c>
      <c r="BP24" s="299"/>
      <c r="BQ24" s="299" t="str">
        <f t="shared" si="4"/>
        <v/>
      </c>
      <c r="BR24" s="299"/>
      <c r="BS24" s="300"/>
      <c r="BT24" s="300"/>
      <c r="BU24" s="300"/>
      <c r="BV24" s="299"/>
      <c r="BW24" s="273"/>
      <c r="BX24" s="300">
        <f t="shared" si="5"/>
        <v>0</v>
      </c>
      <c r="BY24" s="273"/>
      <c r="BZ24" s="273"/>
      <c r="CA24" s="273"/>
      <c r="CB24" s="273"/>
      <c r="CC24" s="273"/>
    </row>
    <row r="25" spans="1:81" ht="21.95" customHeight="1">
      <c r="A25" s="47">
        <v>20</v>
      </c>
      <c r="B25" s="265" t="str">
        <f t="shared" si="0"/>
        <v/>
      </c>
      <c r="C25" s="266" t="str">
        <f>IFERROR(IF(B25="","",IF(AND(BQ31=""),"",IF(AND('Master Data'!$I$28=$AP$6),VLOOKUP(B25,ram,13,0),VLOOKUP(B25,ram,4,0)))),"")</f>
        <v/>
      </c>
      <c r="D25" s="266" t="str">
        <f>IFERROR(IF(B25="","",IF(B25=$AX$24,"",IF(AND(B25=$AX$25),$BC$25,IF(AND(B25=$AX$27),"",IF(AND(B25=$AX$28),"",IF(AND('Master Data'!$I$28=$AP$5),VLOOKUP(B25,ram,7,0),"")))))),"")</f>
        <v/>
      </c>
      <c r="E25" s="266" t="str">
        <f>IFERROR(IF(B25="","",IF(B25=$AX$24,"",IF(AND(B25=$AX$25),"",IF(AND(B25=$AX$26),"",IF(AND(B25=$AX$27),"",IF(AND(B25=$AX$29),"",IF(AND('Master Data'!$I$28=$AP$6),"",VLOOKUP(B25,ram,8,0)))))))),"")</f>
        <v/>
      </c>
      <c r="F25" s="266" t="str">
        <f>IFERROR(IF(B25="","",IF(AND(C25=""),"",IF(OR(B25=$AX$24,B25=$AX$25,B25=$AX$26,B25=$AX$27,B25=$AX$28,B25=$AX$29),"",IF(AND('Master Data'!$I$28=$AP$5),'Master Data'!$B$43,"")))),"")</f>
        <v/>
      </c>
      <c r="G25" s="266" t="str">
        <f>IFERROR(IF(B25="","",IF(AND(C25=""),"",IF(OR(B25=$AX$24,B25=$AX$25,B25=$AX$26,B25=$AX$27,B25=$AX$28,B25=$AX$29),"",IF(AND('Master Data'!$I$28=$AP$5,'Master Data'!$E$28=$AO$5),'Master Data'!$C$43,"0")))),"")</f>
        <v/>
      </c>
      <c r="H25" s="266" t="str">
        <f>IFERROR(IF(OR('Master Data'!$E$32=$AO$6,'Master Data'!$E$32=""),"",IF(B25="","",IF(AND(C25=""),"",IF(OR(B25=$AX$24,B25=$AX$25,B25=$AX$26,B25=$AX$27,B25=$AX$28,B25=$AX$29),"",IF(AND('Master Data'!$I$28=$AP$6),"",IF(AND('Master Data'!$I$32=$AR$9),$AS$6,IF(AND('Master Data'!$I$32=$AR$10),$AS$6,IF(AND('Master Data'!$I$32=$AR$11),$AS$6,IF(AND('Master Data'!$I$32=$AR$12),$AS$6,$AS$5))))))))),"")</f>
        <v/>
      </c>
      <c r="I25" s="266" t="str">
        <f>IFERROR(IF(B25="","",IF(AND(E27=""),"",IF(OR(B25=$AX$24,B25=$AX$25,B25=$AX$26,B25=$AX$27,B25=$AX$28,B25=$AX$29),"",IF(AND('Master Data'!$I$28=$AP$5),'Master Data'!$E$43,"")))),"")</f>
        <v/>
      </c>
      <c r="J25" s="266" t="str">
        <f>IFERROR(IF(B25="","",IF(AND(E27=""),"",IF(OR(B25=$AX$24,B25=$AX$25,B25=$AX$26,B25=$AX$27,B25=$AX$28,B25=$AX$29),"",IF(AND('Master Data'!$I$28=$AP$5),'Master Data'!$F$43,"")))),"")</f>
        <v/>
      </c>
      <c r="K25" s="266" t="str">
        <f>IFERROR(IF(B25="","",IF(AND('Master Data'!$I$28=$AP$6),"",IF(AND('Master Data'!$I$24=$AO$6),"0",IF(AND(B25="Bonus"),VLOOKUP(B25,ram,4,0),"")))),"")</f>
        <v/>
      </c>
      <c r="L25" s="266" t="str">
        <f>IFERROR(IF(AND(B25=""),"",IF(AND(B25=$AX$25),"",IF(AND(B25=$AX$29,'Master Data'!$I$30=$AN$6),ROUND((D25)*0.1,0),IF(AND(B25=$AX$26,'Master Data'!$I$30=$AN$6),ROUND((D25)*0.1,0),IF(AND(B25=$AX$27,'Master Data'!$I$30=$AN$6),ROUND((C25+D25)*0.1,0),IF(AND('Master Data'!$I$30=$AN$5),"",IF(AND('Master Data'!$I$30=$AN$6,'Master Data'!$I$28=$AP$6),ROUND((C25)*0.1,0),ROUND((C25+D25)*0.1,0)))))))),"")</f>
        <v/>
      </c>
      <c r="M25" s="266" t="str">
        <f>IF(B25="","",IF('Master Data'!$H$18=$AO$5,SUM(C25:L25),SUM(C25:K25)))</f>
        <v/>
      </c>
      <c r="N25" s="266" t="str">
        <f>IFERROR(IF(OR('Master Data'!$I$28=$AP$6,B25=""),"",IF(AND(B25=$AX$24),"",IF(AND(B25=$AX$25),"",IF(AND(B25=$AX$26),"",IF(AND(B25=$AX$27),"",IF(AND(B25=$AX$28),"",IF(AND(B25=$AX$29),"",IF(AND(E27=""),"",VLOOKUP(B25,ram,11,0))))))))),"")</f>
        <v/>
      </c>
      <c r="O25" s="266" t="str">
        <f>IFERROR(IF(AND(B25="",C25=""),"",IF(AND(B25=$AX$25),"",IF(AND(B25=$AX$29,'Master Data'!$I$30=$AN$6),ROUND((D25)*0.1,0),IF(AND(B25=$AX$26,'Master Data'!$I$30=$AN$6),ROUND((D25)*0.1,0),IF(AND(B25=$AX$27,'Master Data'!$I$30=$AN$6),ROUND((C25+D25)*0.1,0),IF(AND('Master Data'!$I$30=$AN$6,'Master Data'!$I$28=$AP$6),ROUND((C25)*0.1,0),IF(AND('Master Data'!$I$30=$AN$6,'Master Data'!$I$28=$AP$5),ROUND((C25+D25)*0.1,0),IF(AND('Master Data'!$I$30=$AN$5,'Master Data'!$I$28=$AP$5),VLOOKUP(B25,ram,12,0))))))))),"")</f>
        <v/>
      </c>
      <c r="P25" s="266" t="str">
        <f>IFERROR(IF(OR('Master Data'!$I$28=$AP$6,B25=""),"",IF(AND(B25=$AX$24),"",IF(AND(B25=$AX$25),"",IF(AND(B25=$AX$26),"",IF(AND(B25=$AX$27),"",IF(AND(B25=$AX$28),"",IF(AND(B25=$AX$29),"",IF(AND(B25=$AX$32),"",IF(AND(C25=""),"",'Master Data'!$I$43))))))))),"")</f>
        <v/>
      </c>
      <c r="Q25" s="266" t="str">
        <f>IFERROR(IF(OR('Master Data'!$I$28=$AP$6),"",IF(B25="","",IF(C25="","",IF(AND(B25=$AX$24),"",IF(AND(B25=$AX$25),"",IF(AND(B25=$AX$26),"",IF(AND(B25=$AX$27),"",IF(AND(B25=$AX$28),"",IF(AND(B25=$AX$29),"",VLOOKUP(B25,ram,10,0)))))))))),"")</f>
        <v/>
      </c>
      <c r="R25" s="266" t="str">
        <f>IFERROR(IF(OR('Master Data'!$I$28=$AP$6,B25=""),"",IF(AND(B25=$AX$24),"",IF(AND(B25=$AX$25),"",IF(AND(B25=$AX$26),"",IF(AND(B25=$AX$27),"",IF(AND(B25=$AX$28),"",IF(AND(B25=$AX$29),"",IF(AND(C25=""),"",'Master Data'!$K$43)))))))),"")</f>
        <v/>
      </c>
      <c r="S25" s="266" t="str">
        <f>IFERROR(IF(OR('Master Data'!$I$28=$AP$6,B25=""),"",IF(AND(B25=$AX$24),"",IF(AND(B25=$AX$25),"",IF(AND(B25=$AX$26),"",IF(AND(B25=$AX$27),"",IF(AND(B25=$AX$28),"",IF(AND(B25=$AX$29),"",IF(AND(C25=""),"",'Master Data'!$L$43)))))))),"")</f>
        <v/>
      </c>
      <c r="T25" s="266" t="str">
        <f>IFERROR(IF(OR('Master Data'!$I$28=$AP$6,B25=""),"",IF(AND(B25=$AX$24,'Master Data'!$I$28=$AP$5,'Master Data'!$I$30=$AN$6),ROUND(K25*50%,0),IF(AND(B25=$AX$25),"",IF(AND(B25=$AX$26,'Master Data'!$I$28=$AP$5,'Master Data'!$I$30=$AN$6),SUM(D25-L25),IF(AND(B25=$AX$27),"",IF(AND(B25=$AX$28),"",IF(AND(B25=$AX$29,'Master Data'!$I$28=$AP$5,'Master Data'!$I$30=$AN$6),SUM(D25-L25),IF(AND(C25=""),"",'Master Data'!$M$43)))))))),"")</f>
        <v/>
      </c>
      <c r="U25" s="266" t="str">
        <f>IFERROR(IF(OR('Master Data'!$I$28=$AP$6,B25=""),"",IF(AND(B25=$AX$24),"",IF(AND(B25=$AX$25),"",IF(AND(B25=$AX$26),"",IF(AND(B25=$AX$27),"",IF(AND(B25=$AX$28),"",IF(AND(B25=$AX$29),"",IF(AND(E27=""),"",'Master Data'!$O$43)))))))),"")</f>
        <v/>
      </c>
      <c r="V25" s="266" t="str">
        <f>IFERROR(IF(OR('Master Data'!$I$28=$AP$6,B25=""),"",IF(AND(C25=""),"",IF(AND(B25=$AT$17,'Master Data'!$D$18="Gazetted"),500,IF(AND(B25=$AT$17,'Master Data'!$D$18="Non-Gazetted"),250,"")))),"")</f>
        <v/>
      </c>
      <c r="W25" s="266" t="str">
        <f>IFERROR(IF(B25="","",IF(AND(C25=""),"",IF(AND(B25=$AX$24),"",IF(AND(B25=$AX$25),"",IF(AND(B25=$AX$26),"",IF(AND(B25=$AX$27),"",IF(AND(B25=$AX$28),"",IF(AND(B25=$AX$29),"",IF(OR('Master Data'!$I$28=$AP$6,B25=""),"",W24))))))))),"")</f>
        <v/>
      </c>
      <c r="X25" s="266"/>
      <c r="Y25" s="266" t="str">
        <f>IFERROR(IF(OR('Master Data'!$I$28=$AP$6,B25="",'Master Data'!$N$38=""),"",IF(AND(C25=""),"",IF(B25=$AT$9,'Master Data'!$N$38,""))),"")</f>
        <v/>
      </c>
      <c r="Z25" s="266" t="str">
        <f>IFERROR(IF(B25="","",IF(AND(M25=""),"",IF(L25="",SUM(N25:Y25),IF(AND('Master Data'!$H$18=$AO$5,'Master Data'!$I$30=$AN$6),SUM(N25:Y25)+L25,SUM(N25:Y25))))),"0")</f>
        <v/>
      </c>
      <c r="AA25" s="266" t="str">
        <f t="shared" si="1"/>
        <v/>
      </c>
      <c r="AB25" s="266"/>
      <c r="AC25" s="267"/>
      <c r="AM25" s="273"/>
      <c r="AN25" s="273"/>
      <c r="AO25" s="273"/>
      <c r="AP25" s="299"/>
      <c r="AQ25" s="273"/>
      <c r="AR25" s="273"/>
      <c r="AS25" s="273">
        <f>MROUND(AZ15*1.03,100)</f>
        <v>52300</v>
      </c>
      <c r="AT25" s="273"/>
      <c r="AU25" s="273" t="s">
        <v>97</v>
      </c>
      <c r="AV25" s="273"/>
      <c r="AW25" s="290"/>
      <c r="AX25" s="303" t="str">
        <f t="shared" ref="AX25:AX28" si="10">BM25</f>
        <v>PL Surrender</v>
      </c>
      <c r="AY25" s="289"/>
      <c r="AZ25" s="289"/>
      <c r="BA25" s="289">
        <f>IF('Master Data'!$I$28=$AP$6,"",IF(OR('Master Data'!E22="NO",'Master Data'!E22=""),0,VLOOKUP('Master Data'!I22,AW12:BD29,5,0)/2))</f>
        <v>0</v>
      </c>
      <c r="BB25" s="289"/>
      <c r="BC25" s="289">
        <f>IF('Master Data'!$I$28=$AP$6,"",IF(AND(BA25=""),"",IF(OR('Master Data'!I22=AW12,'Master Data'!I22=AW13,'Master Data'!I22=AW14,'Master Data'!I22=AW15),ROUND(17%*BA25,0),IF(OR('Master Data'!I22=AW16,'Master Data'!I22=AW17,'Master Data'!I22=AW18),ROUND(28%*BA25,0),ROUND(31%*BA25,0)))))</f>
        <v>0</v>
      </c>
      <c r="BD25" s="289">
        <f>IF(BC25="","",BC25)</f>
        <v>0</v>
      </c>
      <c r="BE25" s="289"/>
      <c r="BF25" s="289"/>
      <c r="BG25" s="289"/>
      <c r="BH25" s="289"/>
      <c r="BI25" s="292"/>
      <c r="BJ25" s="289"/>
      <c r="BK25" s="298">
        <v>44652</v>
      </c>
      <c r="BL25" s="298">
        <f>IFERROR(IF('Master Data'!$E$36="","",IF('Master Data'!$F$40="","",IF(AND($AZ$17&gt;$AZ$9),"",DATE(YEAR(BL24),MONTH(BL24)+1,DAY(BL24))))),"")</f>
        <v>44652</v>
      </c>
      <c r="BM25" s="273" t="s">
        <v>101</v>
      </c>
      <c r="BN25" s="299" t="str">
        <f t="shared" si="2"/>
        <v/>
      </c>
      <c r="BO25" s="299" t="str">
        <f t="shared" si="3"/>
        <v>PL Surrender</v>
      </c>
      <c r="BP25" s="299"/>
      <c r="BQ25" s="299" t="str">
        <f t="shared" si="4"/>
        <v>PL Surrender</v>
      </c>
      <c r="BR25" s="273"/>
      <c r="BS25" s="300"/>
      <c r="BT25" s="300"/>
      <c r="BU25" s="300"/>
      <c r="BV25" s="299"/>
      <c r="BW25" s="273"/>
      <c r="BX25" s="300">
        <f t="shared" si="5"/>
        <v>0</v>
      </c>
      <c r="BY25" s="273"/>
      <c r="BZ25" s="273"/>
      <c r="CA25" s="273"/>
      <c r="CB25" s="273"/>
      <c r="CC25" s="273"/>
    </row>
    <row r="26" spans="1:81" ht="21.95" customHeight="1">
      <c r="A26" s="47">
        <v>21</v>
      </c>
      <c r="B26" s="265" t="str">
        <f t="shared" si="0"/>
        <v/>
      </c>
      <c r="C26" s="266" t="str">
        <f>IFERROR(IF(B26="","",IF(AND(BQ32=""),"",IF(AND('Master Data'!$I$28=$AP$6),VLOOKUP(B26,ram,13,0),VLOOKUP(B26,ram,4,0)))),"")</f>
        <v/>
      </c>
      <c r="D26" s="266" t="str">
        <f>IFERROR(IF(B26="","",IF(B26=$AX$24,"",IF(AND(B26=$AX$25),$BC$25,IF(AND(B26=$AX$27),"",IF(AND(B26=$AX$28),"",IF(AND('Master Data'!$I$28=$AP$5),VLOOKUP(B26,ram,7,0),"")))))),"")</f>
        <v/>
      </c>
      <c r="E26" s="266" t="str">
        <f>IFERROR(IF(B26="","",IF(B26=$AX$24,"",IF(AND(B26=$AX$25),"",IF(AND(B26=$AX$26),"",IF(AND(B26=$AX$27),"",IF(AND(B26=$AX$29),"",IF(AND('Master Data'!$I$28=$AP$6),"",VLOOKUP(B26,ram,8,0)))))))),"")</f>
        <v/>
      </c>
      <c r="F26" s="266" t="str">
        <f>IFERROR(IF(B26="","",IF(AND(C26=""),"",IF(OR(B26=$AX$24,B26=$AX$25,B26=$AX$26,B26=$AX$27,B26=$AX$28,B26=$AX$29),"",IF(AND('Master Data'!$I$28=$AP$5),'Master Data'!$B$43,"")))),"")</f>
        <v/>
      </c>
      <c r="G26" s="266" t="str">
        <f>IFERROR(IF(B26="","",IF(AND(C26=""),"",IF(OR(B26=$AX$24,B26=$AX$25,B26=$AX$26,B26=$AX$27,B26=$AX$28,B26=$AX$29),"",IF(AND('Master Data'!$I$28=$AP$5,'Master Data'!$E$28=$AO$5),'Master Data'!$C$43,"0")))),"")</f>
        <v/>
      </c>
      <c r="H26" s="266" t="str">
        <f>IFERROR(IF(OR('Master Data'!$E$32=$AO$6,'Master Data'!$E$32=""),"",IF(B26="","",IF(AND(C26=""),"",IF(OR(B26=$AX$24,B26=$AX$25,B26=$AX$26,B26=$AX$27,B26=$AX$28,B26=$AX$29),"",IF(AND('Master Data'!$I$28=$AP$6),"",IF(AND('Master Data'!$I$32=$AR$9),$AS$6,IF(AND('Master Data'!$I$32=$AR$10),$AS$6,IF(AND('Master Data'!$I$32=$AR$11),$AS$6,IF(AND('Master Data'!$I$32=$AR$12),$AS$6,$AS$5))))))))),"")</f>
        <v/>
      </c>
      <c r="I26" s="266" t="str">
        <f>IFERROR(IF(B26="","",IF(AND(E28=""),"",IF(OR(B26=$AX$24,B26=$AX$25,B26=$AX$26,B26=$AX$27,B26=$AX$28,B26=$AX$29),"",IF(AND('Master Data'!$I$28=$AP$5),'Master Data'!$E$43,"")))),"")</f>
        <v/>
      </c>
      <c r="J26" s="266" t="str">
        <f>IFERROR(IF(B26="","",IF(AND(E28=""),"",IF(OR(B26=$AX$24,B26=$AX$25,B26=$AX$26,B26=$AX$27,B26=$AX$28,B26=$AX$29),"",IF(AND('Master Data'!$I$28=$AP$5),'Master Data'!$F$43,"")))),"")</f>
        <v/>
      </c>
      <c r="K26" s="266" t="str">
        <f>IFERROR(IF(B26="","",IF(AND('Master Data'!$I$28=$AP$6),"",IF(AND('Master Data'!$I$24=$AO$6),"0",IF(AND(B26="Bonus"),VLOOKUP(B26,ram,4,0),"")))),"")</f>
        <v/>
      </c>
      <c r="L26" s="266" t="str">
        <f>IFERROR(IF(AND(B26=""),"",IF(AND(B26=$AX$25),"",IF(AND(B26=$AX$29,'Master Data'!$I$30=$AN$6),ROUND((D26)*0.1,0),IF(AND(B26=$AX$26,'Master Data'!$I$30=$AN$6),ROUND((D26)*0.1,0),IF(AND(B26=$AX$27,'Master Data'!$I$30=$AN$6),ROUND((C26+D26)*0.1,0),IF(AND('Master Data'!$I$30=$AN$5),"",IF(AND('Master Data'!$I$30=$AN$6,'Master Data'!$I$28=$AP$6),ROUND((C26)*0.1,0),ROUND((C26+D26)*0.1,0)))))))),"")</f>
        <v/>
      </c>
      <c r="M26" s="266" t="str">
        <f>IF(B26="","",IF('Master Data'!$H$18=$AO$5,SUM(C26:L26),SUM(C26:K26)))</f>
        <v/>
      </c>
      <c r="N26" s="266" t="str">
        <f>IFERROR(IF(OR('Master Data'!$I$28=$AP$6,B26=""),"",IF(AND(B26=$AX$24),"",IF(AND(B26=$AX$25),"",IF(AND(B26=$AX$26),"",IF(AND(B26=$AX$27),"",IF(AND(B26=$AX$28),"",IF(AND(B26=$AX$29),"",IF(AND(E28=""),"",VLOOKUP(B26,ram,11,0))))))))),"")</f>
        <v/>
      </c>
      <c r="O26" s="266" t="str">
        <f>IFERROR(IF(AND(B26="",C26=""),"",IF(AND(B26=$AX$25),"",IF(AND(B26=$AX$29,'Master Data'!$I$30=$AN$6),ROUND((D26)*0.1,0),IF(AND(B26=$AX$26,'Master Data'!$I$30=$AN$6),ROUND((D26)*0.1,0),IF(AND(B26=$AX$27,'Master Data'!$I$30=$AN$6),ROUND((C26+D26)*0.1,0),IF(AND('Master Data'!$I$30=$AN$6,'Master Data'!$I$28=$AP$6),ROUND((C26)*0.1,0),IF(AND('Master Data'!$I$30=$AN$6,'Master Data'!$I$28=$AP$5),ROUND((C26+D26)*0.1,0),IF(AND('Master Data'!$I$30=$AN$5,'Master Data'!$I$28=$AP$5),VLOOKUP(B26,ram,12,0))))))))),"")</f>
        <v/>
      </c>
      <c r="P26" s="266" t="str">
        <f>IFERROR(IF(OR('Master Data'!$I$28=$AP$6,B26=""),"",IF(AND(B26=$AX$24),"",IF(AND(B26=$AX$25),"",IF(AND(B26=$AX$26),"",IF(AND(B26=$AX$27),"",IF(AND(B26=$AX$28),"",IF(AND(B26=$AX$29),"",IF(AND(B26=$AX$32),"",IF(AND(C26=""),"",'Master Data'!$I$43))))))))),"")</f>
        <v/>
      </c>
      <c r="Q26" s="266" t="str">
        <f>IFERROR(IF(OR('Master Data'!$I$28=$AP$6),"",IF(B26="","",IF(C26="","",IF(AND(B26=$AX$24),"",IF(AND(B26=$AX$25),"",IF(AND(B26=$AX$26),"",IF(AND(B26=$AX$27),"",IF(AND(B26=$AX$28),"",IF(AND(B26=$AX$29),"",VLOOKUP(B26,ram,10,0)))))))))),"")</f>
        <v/>
      </c>
      <c r="R26" s="266" t="str">
        <f>IFERROR(IF(OR('Master Data'!$I$28=$AP$6,B26=""),"",IF(AND(B26=$AX$24),"",IF(AND(B26=$AX$25),"",IF(AND(B26=$AX$26),"",IF(AND(B26=$AX$27),"",IF(AND(B26=$AX$28),"",IF(AND(B26=$AX$29),"",IF(AND(C26=""),"",'Master Data'!$K$43)))))))),"")</f>
        <v/>
      </c>
      <c r="S26" s="266" t="str">
        <f>IFERROR(IF(OR('Master Data'!$I$28=$AP$6,B26=""),"",IF(AND(B26=$AX$24),"",IF(AND(B26=$AX$25),"",IF(AND(B26=$AX$26),"",IF(AND(B26=$AX$27),"",IF(AND(B26=$AX$28),"",IF(AND(B26=$AX$29),"",IF(AND(C26=""),"",'Master Data'!$L$43)))))))),"")</f>
        <v/>
      </c>
      <c r="T26" s="266" t="str">
        <f>IFERROR(IF(OR('Master Data'!$I$28=$AP$6,B26=""),"",IF(AND(B26=$AX$24,'Master Data'!$I$28=$AP$5,'Master Data'!$I$30=$AN$6),ROUND(K26*50%,0),IF(AND(B26=$AX$25),"",IF(AND(B26=$AX$26,'Master Data'!$I$28=$AP$5,'Master Data'!$I$30=$AN$6),SUM(D26-L26),IF(AND(B26=$AX$27),"",IF(AND(B26=$AX$28),"",IF(AND(B26=$AX$29,'Master Data'!$I$28=$AP$5,'Master Data'!$I$30=$AN$6),SUM(D26-L26),IF(AND(C26=""),"",'Master Data'!$M$43)))))))),"")</f>
        <v/>
      </c>
      <c r="U26" s="266" t="str">
        <f>IFERROR(IF(OR('Master Data'!$I$28=$AP$6,B26=""),"",IF(AND(B26=$AX$24),"",IF(AND(B26=$AX$25),"",IF(AND(B26=$AX$26),"",IF(AND(B26=$AX$27),"",IF(AND(B26=$AX$28),"",IF(AND(B26=$AX$29),"",IF(AND(E28=""),"",'Master Data'!$O$43)))))))),"")</f>
        <v/>
      </c>
      <c r="V26" s="266" t="str">
        <f>IFERROR(IF(OR('Master Data'!$I$28=$AP$6,B26=""),"",IF(AND(C26=""),"",IF(AND(B26=$AT$17,'Master Data'!$D$18="Gazetted"),500,IF(AND(B26=$AT$17,'Master Data'!$D$18="Non-Gazetted"),250,"")))),"")</f>
        <v/>
      </c>
      <c r="W26" s="266" t="str">
        <f>IFERROR(IF(B26="","",IF(AND(C26=""),"",IF(AND(B26=$AX$24),"",IF(AND(B26=$AX$25),"",IF(AND(B26=$AX$26),"",IF(AND(B26=$AX$27),"",IF(AND(B26=$AX$28),"",IF(AND(B26=$AX$29),"",IF(OR('Master Data'!$I$28=$AP$6,B26=""),"",W25))))))))),"")</f>
        <v/>
      </c>
      <c r="X26" s="266"/>
      <c r="Y26" s="266" t="str">
        <f>IFERROR(IF(OR('Master Data'!$I$28=$AP$6,B26="",'Master Data'!$N$38=""),"",IF(AND(C26=""),"",IF(B26=$AT$9,'Master Data'!$N$38,""))),"")</f>
        <v/>
      </c>
      <c r="Z26" s="266" t="str">
        <f>IFERROR(IF(B26="","",IF(AND(M26=""),"",IF(L26="",SUM(N26:Y26),IF(AND('Master Data'!$H$18=$AO$5,'Master Data'!$I$30=$AN$6),SUM(N26:Y26)+L26,SUM(N26:Y26))))),"0")</f>
        <v/>
      </c>
      <c r="AA26" s="266" t="str">
        <f t="shared" si="1"/>
        <v/>
      </c>
      <c r="AB26" s="266"/>
      <c r="AC26" s="267"/>
      <c r="AM26" s="273"/>
      <c r="AN26" s="273"/>
      <c r="AO26" s="273"/>
      <c r="AP26" s="299"/>
      <c r="AQ26" s="273"/>
      <c r="AR26" s="273"/>
      <c r="AS26" s="273"/>
      <c r="AT26" s="273"/>
      <c r="AU26" s="273" t="s">
        <v>98</v>
      </c>
      <c r="AV26" s="273"/>
      <c r="AW26" s="290"/>
      <c r="AX26" s="303" t="str">
        <f t="shared" si="10"/>
        <v xml:space="preserve">DA Arrear </v>
      </c>
      <c r="AY26" s="289"/>
      <c r="AZ26" s="289"/>
      <c r="BA26" s="289"/>
      <c r="BB26" s="289"/>
      <c r="BC26" s="289">
        <f>(ROUND((BA16*31%),0)-ROUND((BA16*28%),0))*3</f>
        <v>4707</v>
      </c>
      <c r="BD26" s="289">
        <f>IF(BC26="","",BC26)</f>
        <v>4707</v>
      </c>
      <c r="BE26" s="289"/>
      <c r="BF26" s="289"/>
      <c r="BG26" s="289"/>
      <c r="BH26" s="289"/>
      <c r="BI26" s="292">
        <f>BD26</f>
        <v>4707</v>
      </c>
      <c r="BJ26" s="289"/>
      <c r="BK26" s="298">
        <v>44682</v>
      </c>
      <c r="BL26" s="298">
        <f>IFERROR(IF('Master Data'!$E$36="","",IF('Master Data'!$F$40="","",IF(AND($AZ$17&gt;$AZ$9),"",DATE(YEAR(BL25),MONTH(BL25)+1,DAY(BL25))))),"")</f>
        <v>44682</v>
      </c>
      <c r="BM26" s="273" t="s">
        <v>433</v>
      </c>
      <c r="BN26" s="299" t="str">
        <f t="shared" si="2"/>
        <v/>
      </c>
      <c r="BO26" s="299" t="str">
        <f t="shared" si="3"/>
        <v xml:space="preserve">DA Arrear </v>
      </c>
      <c r="BP26" s="299"/>
      <c r="BQ26" s="299" t="str">
        <f t="shared" si="4"/>
        <v/>
      </c>
      <c r="BR26" s="273"/>
      <c r="BS26" s="300"/>
      <c r="BT26" s="299"/>
      <c r="BU26" s="300"/>
      <c r="BV26" s="299"/>
      <c r="BW26" s="273"/>
      <c r="BX26" s="300">
        <f t="shared" si="5"/>
        <v>0</v>
      </c>
      <c r="BY26" s="273"/>
      <c r="BZ26" s="273"/>
      <c r="CA26" s="273"/>
      <c r="CB26" s="273"/>
      <c r="CC26" s="273"/>
    </row>
    <row r="27" spans="1:81" ht="28.5" customHeight="1">
      <c r="A27" s="49"/>
      <c r="B27" s="50" t="s">
        <v>110</v>
      </c>
      <c r="C27" s="51">
        <f>IF(AND($D$2="",$M$2="",$U$2="",$C$3=""),"",SUM(C6:C26))</f>
        <v>621600</v>
      </c>
      <c r="D27" s="51">
        <f t="shared" ref="D27:Z27" si="11">IF(AND($D$2="",$M$2="",$U$2="",$C$3=""),"",SUM(D6:D26))</f>
        <v>164248</v>
      </c>
      <c r="E27" s="51">
        <f t="shared" si="11"/>
        <v>53912</v>
      </c>
      <c r="F27" s="51">
        <f t="shared" si="11"/>
        <v>0</v>
      </c>
      <c r="G27" s="51">
        <f t="shared" si="11"/>
        <v>0</v>
      </c>
      <c r="H27" s="51">
        <f t="shared" si="11"/>
        <v>7440</v>
      </c>
      <c r="I27" s="51">
        <f t="shared" si="11"/>
        <v>0</v>
      </c>
      <c r="J27" s="51">
        <f t="shared" si="11"/>
        <v>0</v>
      </c>
      <c r="K27" s="51">
        <f t="shared" si="11"/>
        <v>6774</v>
      </c>
      <c r="L27" s="51">
        <f t="shared" si="11"/>
        <v>78584</v>
      </c>
      <c r="M27" s="51">
        <f t="shared" si="11"/>
        <v>853974</v>
      </c>
      <c r="N27" s="51">
        <f t="shared" si="11"/>
        <v>70000</v>
      </c>
      <c r="O27" s="51">
        <f t="shared" si="11"/>
        <v>78584</v>
      </c>
      <c r="P27" s="51">
        <f t="shared" si="11"/>
        <v>22560</v>
      </c>
      <c r="Q27" s="51">
        <f t="shared" si="11"/>
        <v>0</v>
      </c>
      <c r="R27" s="51">
        <f t="shared" si="11"/>
        <v>0</v>
      </c>
      <c r="S27" s="51">
        <f t="shared" si="11"/>
        <v>0</v>
      </c>
      <c r="T27" s="51">
        <f t="shared" si="11"/>
        <v>7623</v>
      </c>
      <c r="U27" s="51">
        <f t="shared" si="11"/>
        <v>0</v>
      </c>
      <c r="V27" s="51">
        <f t="shared" si="11"/>
        <v>500</v>
      </c>
      <c r="W27" s="51">
        <f t="shared" si="11"/>
        <v>0</v>
      </c>
      <c r="X27" s="51">
        <f>IF(AND($D$2="",$M$2="",$U$2="",$C$3=""),"",SUM(X6:X26))</f>
        <v>15000</v>
      </c>
      <c r="Y27" s="51">
        <f t="shared" si="11"/>
        <v>220</v>
      </c>
      <c r="Z27" s="51">
        <f t="shared" si="11"/>
        <v>194487</v>
      </c>
      <c r="AA27" s="51">
        <f>IF(AND($D$2="",$M$2="",$U$2="",$C$3=""),"",SUM(AA6:AA26))</f>
        <v>659487</v>
      </c>
      <c r="AB27" s="52"/>
      <c r="AC27" s="200"/>
      <c r="AM27" s="273"/>
      <c r="AN27" s="273"/>
      <c r="AO27" s="273"/>
      <c r="AP27" s="273"/>
      <c r="AQ27" s="273"/>
      <c r="AR27" s="273"/>
      <c r="AS27" s="273"/>
      <c r="AT27" s="273"/>
      <c r="AU27" s="273" t="s">
        <v>99</v>
      </c>
      <c r="AV27" s="273"/>
      <c r="AW27" s="290"/>
      <c r="AX27" s="303" t="str">
        <f t="shared" si="10"/>
        <v>Fixation arear</v>
      </c>
      <c r="AY27" s="289"/>
      <c r="AZ27" s="289"/>
      <c r="BA27" s="289"/>
      <c r="BB27" s="289"/>
      <c r="BC27" s="289"/>
      <c r="BD27" s="289" t="str">
        <f>IF(BC27="","",BC27)</f>
        <v/>
      </c>
      <c r="BE27" s="289"/>
      <c r="BF27" s="289"/>
      <c r="BG27" s="289"/>
      <c r="BH27" s="289"/>
      <c r="BI27" s="292"/>
      <c r="BJ27" s="289"/>
      <c r="BK27" s="298">
        <v>44713</v>
      </c>
      <c r="BL27" s="298">
        <f>IFERROR(IF('Master Data'!$E$36="","",IF('Master Data'!$F$40="","",IF(AND($AZ$17&gt;$AZ$9),"",DATE(YEAR(BL26),MONTH(BL26)+1,DAY(BL26))))),"")</f>
        <v>44713</v>
      </c>
      <c r="BM27" s="273" t="s">
        <v>434</v>
      </c>
      <c r="BN27" s="299" t="str">
        <f t="shared" si="2"/>
        <v/>
      </c>
      <c r="BO27" s="299" t="str">
        <f t="shared" si="3"/>
        <v>Fixation arear</v>
      </c>
      <c r="BP27" s="299"/>
      <c r="BQ27" s="299" t="str">
        <f t="shared" si="4"/>
        <v/>
      </c>
      <c r="BR27" s="273"/>
      <c r="BS27" s="300"/>
      <c r="BT27" s="273"/>
      <c r="BU27" s="300"/>
      <c r="BV27" s="299"/>
      <c r="BW27" s="273"/>
      <c r="BX27" s="300">
        <f>IF(BB27="",0,BF27)</f>
        <v>0</v>
      </c>
      <c r="BY27" s="273"/>
      <c r="BZ27" s="273"/>
      <c r="CA27" s="273"/>
      <c r="CB27" s="273"/>
      <c r="CC27" s="273"/>
    </row>
    <row r="28" spans="1:81" ht="34.5" customHeight="1">
      <c r="A28" s="53"/>
      <c r="B28" s="264"/>
      <c r="C28" s="264"/>
      <c r="D28" s="264"/>
      <c r="E28" s="264"/>
      <c r="F28" s="264"/>
      <c r="G28" s="264"/>
      <c r="H28" s="264"/>
      <c r="I28" s="264"/>
      <c r="J28" s="264"/>
      <c r="K28" s="264"/>
      <c r="L28" s="264"/>
      <c r="M28" s="264"/>
      <c r="N28" s="264"/>
      <c r="O28" s="264"/>
      <c r="P28" s="26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5"/>
      <c r="AM28" s="273"/>
      <c r="AN28" s="273"/>
      <c r="AO28" s="273"/>
      <c r="AP28" s="273"/>
      <c r="AQ28" s="273"/>
      <c r="AR28" s="273"/>
      <c r="AS28" s="273"/>
      <c r="AT28" s="273"/>
      <c r="AU28" s="273" t="s">
        <v>100</v>
      </c>
      <c r="AV28" s="273"/>
      <c r="AW28" s="290"/>
      <c r="AX28" s="303" t="str">
        <f t="shared" si="10"/>
        <v>HRA Arrear</v>
      </c>
      <c r="AY28" s="289"/>
      <c r="AZ28" s="289"/>
      <c r="BA28" s="289"/>
      <c r="BB28" s="289"/>
      <c r="BC28" s="289"/>
      <c r="BD28" s="289" t="str">
        <f t="shared" ref="BD28:BD29" si="12">IF(BC28="","",BC28)</f>
        <v/>
      </c>
      <c r="BE28" s="289">
        <f>SUM(ROUND(AZ18*'Master Data'!E34%,0)-ROUND(AZ18*'Master Data'!E30%,0))</f>
        <v>523</v>
      </c>
      <c r="BF28" s="289"/>
      <c r="BG28" s="289"/>
      <c r="BH28" s="289"/>
      <c r="BI28" s="292"/>
      <c r="BJ28" s="289"/>
      <c r="BK28" s="298">
        <v>44743</v>
      </c>
      <c r="BL28" s="298">
        <f>IFERROR(IF('Master Data'!$E$36="","",IF('Master Data'!$F$40="","",IF(AND($AZ$17&gt;$AZ$9),"",DATE(YEAR(BL27),MONTH(BL27)+1,DAY(BL27))))),"")</f>
        <v>44743</v>
      </c>
      <c r="BM28" s="273" t="s">
        <v>432</v>
      </c>
      <c r="BN28" s="299" t="str">
        <f t="shared" si="2"/>
        <v/>
      </c>
      <c r="BO28" s="299" t="str">
        <f t="shared" si="3"/>
        <v>HRA Arrear</v>
      </c>
      <c r="BP28" s="273"/>
      <c r="BQ28" s="299" t="str">
        <f t="shared" si="4"/>
        <v/>
      </c>
      <c r="BR28" s="273"/>
      <c r="BS28" s="300"/>
      <c r="BT28" s="273"/>
      <c r="BU28" s="300"/>
      <c r="BV28" s="299"/>
      <c r="BW28" s="273"/>
      <c r="BX28" s="300">
        <f t="shared" si="5"/>
        <v>0</v>
      </c>
      <c r="BY28" s="273"/>
      <c r="BZ28" s="273"/>
      <c r="CA28" s="273"/>
      <c r="CB28" s="273"/>
      <c r="CC28" s="273"/>
    </row>
    <row r="29" spans="1:81" ht="20.25" customHeight="1">
      <c r="A29" s="53"/>
      <c r="B29" s="264"/>
      <c r="C29" s="406" t="str">
        <f>UPPER(IF('Master Data'!D6="","",'Master Data'!D6))</f>
        <v>HEERALAL JAT</v>
      </c>
      <c r="D29" s="406"/>
      <c r="E29" s="406"/>
      <c r="F29" s="406"/>
      <c r="G29" s="406"/>
      <c r="H29" s="406"/>
      <c r="I29" s="264"/>
      <c r="J29" s="264"/>
      <c r="K29" s="264"/>
      <c r="L29" s="264"/>
      <c r="M29" s="264"/>
      <c r="N29" s="264"/>
      <c r="O29" s="264"/>
      <c r="P29" s="264"/>
      <c r="Q29" s="54"/>
      <c r="R29" s="54"/>
      <c r="S29" s="407" t="str">
        <f>IF(AND('Master Data'!H8=""),"",CONCATENATE("( ",UPPER('Master Data'!H8), " )",))</f>
        <v>( USHA PALIYA )</v>
      </c>
      <c r="T29" s="407"/>
      <c r="U29" s="407"/>
      <c r="V29" s="407"/>
      <c r="W29" s="407"/>
      <c r="X29" s="407"/>
      <c r="Y29" s="407"/>
      <c r="Z29" s="407"/>
      <c r="AA29" s="407"/>
      <c r="AB29" s="56"/>
      <c r="AC29" s="55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5"/>
      <c r="AX29" s="306" t="str">
        <f>IF(BM29="","",BM29)</f>
        <v>PL Surrender Arrear</v>
      </c>
      <c r="AY29" s="307"/>
      <c r="AZ29" s="307"/>
      <c r="BA29" s="307"/>
      <c r="BB29" s="307"/>
      <c r="BC29" s="307">
        <f>IF('Master Data'!$I$28=$AP$6,"",IF(AND(BA25=""),"",IF(OR('Master Data'!I22=AW16,'Master Data'!I22=AW17,'Master Data'!I22=AW18),ROUND(3%*BA25,0),"")))</f>
        <v>0</v>
      </c>
      <c r="BD29" s="289">
        <f t="shared" si="12"/>
        <v>0</v>
      </c>
      <c r="BE29" s="307"/>
      <c r="BF29" s="307"/>
      <c r="BG29" s="307"/>
      <c r="BH29" s="307"/>
      <c r="BI29" s="308">
        <f>BD29</f>
        <v>0</v>
      </c>
      <c r="BJ29" s="309"/>
      <c r="BK29" s="298">
        <v>44774</v>
      </c>
      <c r="BL29" s="310">
        <f>IFERROR(IF('Master Data'!$E$36="","",IF('Master Data'!$F$40="","",IF(AND($AZ$17&gt;$AZ$9),"",DATE(YEAR(BL28),MONTH(BL28)+1,DAY(BL28))))),"")</f>
        <v>44774</v>
      </c>
      <c r="BM29" s="273" t="s">
        <v>435</v>
      </c>
      <c r="BN29" s="299" t="str">
        <f t="shared" si="2"/>
        <v/>
      </c>
      <c r="BO29" s="299" t="str">
        <f t="shared" si="3"/>
        <v>PL Surrender Arrear</v>
      </c>
      <c r="BP29" s="304"/>
      <c r="BQ29" s="299" t="str">
        <f t="shared" si="4"/>
        <v/>
      </c>
      <c r="BR29" s="304"/>
      <c r="BS29" s="304"/>
      <c r="BT29" s="304"/>
      <c r="BU29" s="311"/>
      <c r="BV29" s="312"/>
      <c r="BW29" s="304"/>
      <c r="BX29" s="300">
        <f t="shared" si="5"/>
        <v>0</v>
      </c>
      <c r="BY29" s="304"/>
      <c r="BZ29" s="304"/>
      <c r="CA29" s="304"/>
      <c r="CB29" s="304"/>
      <c r="CC29" s="304"/>
    </row>
    <row r="30" spans="1:81" ht="21" customHeight="1" thickBot="1">
      <c r="A30" s="57"/>
      <c r="B30" s="58"/>
      <c r="C30" s="408" t="s">
        <v>111</v>
      </c>
      <c r="D30" s="408"/>
      <c r="E30" s="408"/>
      <c r="F30" s="408"/>
      <c r="G30" s="408"/>
      <c r="H30" s="408"/>
      <c r="I30" s="59"/>
      <c r="J30" s="59"/>
      <c r="K30" s="58"/>
      <c r="L30" s="58"/>
      <c r="M30" s="58"/>
      <c r="N30" s="58"/>
      <c r="O30" s="58"/>
      <c r="P30" s="58"/>
      <c r="Q30" s="60"/>
      <c r="R30" s="60"/>
      <c r="S30" s="409" t="s">
        <v>112</v>
      </c>
      <c r="T30" s="409"/>
      <c r="U30" s="409"/>
      <c r="V30" s="409"/>
      <c r="W30" s="409"/>
      <c r="X30" s="409"/>
      <c r="Y30" s="409"/>
      <c r="Z30" s="409"/>
      <c r="AA30" s="409"/>
      <c r="AB30" s="61"/>
      <c r="AC30" s="62"/>
      <c r="AR30" s="274">
        <f>ROUND(BA24*50%,0)</f>
        <v>3387</v>
      </c>
      <c r="AW30" s="289"/>
      <c r="AX30" s="284" t="str">
        <f>IF(BM30="","",BM30)</f>
        <v/>
      </c>
      <c r="AY30" s="289"/>
      <c r="AZ30" s="289"/>
      <c r="BA30" s="289" t="str">
        <f>IF(AND('Master Data'!$E$36=""),"",IF('Master Data'!$N$32=$AO$5,'Master Data'!$E$36,""))</f>
        <v/>
      </c>
      <c r="BB30" s="289" t="str">
        <f>IF('Master Data'!$N$32=$AO$5,BA30,"")</f>
        <v/>
      </c>
      <c r="BC30" s="289" t="str">
        <f>IFERROR(IF(AND('Master Data'!$E$36=""),"",ROUND(17%*BB30,0)),"")</f>
        <v/>
      </c>
      <c r="BD30" s="289" t="str">
        <f>IF(BC30="","",BC30)</f>
        <v/>
      </c>
      <c r="BE30" s="289" t="str">
        <f>IFERROR(IF(AND('Master Data'!$E$36=""),"",ROUND('Master Data'!$E$30%*BB30,0)),"")</f>
        <v/>
      </c>
      <c r="BF30" s="289"/>
      <c r="BG30" s="289">
        <f>IF(AND('Master Data'!$I$28=$AP$6),"",IF(AND('Master Data'!$I$30=$AN$6,'Master Data'!$N$36=$AO$6),0,IF(AND('Master Data'!$I$30=$AN$6,'Master Data'!$N$36=$AO$5),'Master Data'!$J$43,IF(AND('Master Data'!$I$30=$AN$5),IF($AZ$15&lt;18001,265,IF($AZ$15&lt;33501,440,IF($AZ$15&lt;54001,658,875)))))))</f>
        <v>0</v>
      </c>
      <c r="BH30" s="289" t="str">
        <f>IFERROR(IF(OR('Master Data'!$I$28=$AP$6),"",IF('Master Data'!$N$32=$AO$5,'Master Data'!$G$43,"")),"")</f>
        <v/>
      </c>
      <c r="BI30" s="289" t="str">
        <f>IFERROR(IF('Master Data'!$N$32=$AO$6,"",IF(AND('Master Data'!I$30=$AN$6),ROUND((BB30)*0.1,0),IF(AND('Master Data'!$I$28=$AP$6),ROUND((BB30+BD30)*0.1,0),'Master Data'!$H$43))),"")</f>
        <v/>
      </c>
      <c r="BK30" s="298">
        <v>44805</v>
      </c>
      <c r="BL30" s="310">
        <f>IFERROR(IF('Master Data'!$E$36="","",IF('Master Data'!$F$40="","",IF(AND($AZ$17&gt;$AZ$9),"",DATE(YEAR(BL29),MONTH(BL29)+1,DAY(BL29))))),"")</f>
        <v>44805</v>
      </c>
      <c r="BM30" s="284" t="str">
        <f>IF(OR('Master Data'!N34=AO5,'Master Data'!N32=AO5,'Master Data'!N40=AO5),AX10,"")</f>
        <v/>
      </c>
      <c r="BN30" s="299" t="str">
        <f t="shared" si="2"/>
        <v/>
      </c>
      <c r="BO30" s="299" t="str">
        <f t="shared" si="3"/>
        <v/>
      </c>
      <c r="BQ30" s="299" t="str">
        <f t="shared" si="4"/>
        <v/>
      </c>
      <c r="BV30" s="299"/>
      <c r="BX30" s="300">
        <f>IF(BB30="",0,BF30)</f>
        <v>0</v>
      </c>
    </row>
    <row r="31" spans="1:81">
      <c r="AA31" s="39"/>
      <c r="AB31" s="39"/>
      <c r="AX31" s="284" t="str">
        <f>IF(BM31="","",BM31)</f>
        <v/>
      </c>
      <c r="BA31" s="289" t="str">
        <f>IF(AND('Master Data'!$E$36=""),"",IF('Master Data'!$N$34=$AO$5,'Master Data'!$E$36,""))</f>
        <v/>
      </c>
      <c r="BB31" s="289" t="str">
        <f>IF('Master Data'!$N$34=$AO$5,BA31,"")</f>
        <v/>
      </c>
      <c r="BC31" s="289" t="str">
        <f>IFERROR(IF(AND('Master Data'!$E$36=""),"",ROUND(17%*BB31,0)),"")</f>
        <v/>
      </c>
      <c r="BD31" s="289" t="str">
        <f>IF(BC31="","",BC31)</f>
        <v/>
      </c>
      <c r="BE31" s="289" t="str">
        <f>IFERROR(IF(AND('Master Data'!$E$36=""),"",ROUND('Master Data'!$E$30%*BB31,0)),"")</f>
        <v/>
      </c>
      <c r="BG31" s="289">
        <f>IF(AND('Master Data'!$I$28=$AP$6),"",IF(AND('Master Data'!$I$30=$AN$6,'Master Data'!$N$36=$AO$6),0,IF(AND('Master Data'!$I$30=$AN$6,'Master Data'!$N$36=$AO$5),'Master Data'!$J$43,IF(AND('Master Data'!$I$30=$AN$5),IF($AZ$15&lt;18001,265,IF($AZ$15&lt;33501,440,IF($AZ$15&lt;54001,658,875)))))))</f>
        <v>0</v>
      </c>
      <c r="BH31" s="289" t="str">
        <f>IFERROR(IF(OR('Master Data'!$I$28=$AP$6),"",IF('Master Data'!$N$34=$AO$5,'Master Data'!$G$43,"")),"")</f>
        <v/>
      </c>
      <c r="BI31" s="289" t="str">
        <f>IFERROR(IF('Master Data'!$N$34=$AO$6,"",IF(AND('Master Data'!I$30=$AN$6),ROUND((BB31)*0.1,0),IF(AND('Master Data'!$I$28=$AP$6),ROUND((BB31+BD31)*0.1,0),'Master Data'!$H$43))),"")</f>
        <v/>
      </c>
      <c r="BK31" s="298">
        <v>44835</v>
      </c>
      <c r="BL31" s="310">
        <f>IFERROR(IF('Master Data'!$E$36="","",IF('Master Data'!$F$40="","",IF(AND($AZ$17&gt;$AZ$9),"",DATE(YEAR(BL30),MONTH(BL30)+1,DAY(BL30))))),"")</f>
        <v>44835</v>
      </c>
      <c r="BM31" s="284" t="str">
        <f>IF(OR('Master Data'!N34=AO5,'Master Data'!N40=AO5),AX11,"")</f>
        <v/>
      </c>
      <c r="BN31" s="299" t="str">
        <f t="shared" si="2"/>
        <v/>
      </c>
      <c r="BO31" s="299" t="str">
        <f t="shared" si="3"/>
        <v/>
      </c>
      <c r="BQ31" s="299" t="str">
        <f t="shared" si="4"/>
        <v/>
      </c>
    </row>
    <row r="32" spans="1:81">
      <c r="AA32" s="39"/>
      <c r="AB32" s="39"/>
      <c r="AX32" s="284" t="str">
        <f>IF(BM32="","",BM32)</f>
        <v/>
      </c>
      <c r="BA32" s="275" t="str">
        <f>IF('Master Data'!N40=$AO$5,(AZ3-AZ1),"")</f>
        <v/>
      </c>
      <c r="BB32" s="289" t="str">
        <f>IF('Master Data'!N40=$AO$5,BA32,"")</f>
        <v/>
      </c>
      <c r="BC32" s="275" t="str">
        <f>IF(OR('Master Data'!$E$36="",BB32=""),"",ROUND(17%*BB32,0))</f>
        <v/>
      </c>
      <c r="BD32" s="289" t="str">
        <f>IF(BC32="","",BC32)</f>
        <v/>
      </c>
      <c r="BE32" s="289" t="str">
        <f>IFERROR(IF(AND('Master Data'!$E$36=""),"",ROUND('Master Data'!$E$30%*BB32,0)),"")</f>
        <v/>
      </c>
      <c r="BG32" s="289"/>
      <c r="BI32" s="275" t="str">
        <f>IFERROR(IF(AND('Master Data'!$I$30=$AN$6),ROUND((E19)*0.1,0),IF(AND('Master Data'!$I$28=$AP$6),ROUND((E19+F19)*0.1,0),'Master Data'!$H$43)),"")</f>
        <v/>
      </c>
      <c r="BK32" s="298">
        <v>44866</v>
      </c>
      <c r="BL32" s="310">
        <f>IFERROR(IF('Master Data'!$E$36="","",IF('Master Data'!$F$40="","",IF(AND($AZ$17&gt;$AZ$9),"",DATE(YEAR(BL31),MONTH(BL31)+1,DAY(BL31))))),"")</f>
        <v>44866</v>
      </c>
      <c r="BM32" s="313" t="str">
        <f>IF('Master Data'!N40=AO5,CONCATENATE("Defer Salary"," - ","March-20"),"")</f>
        <v/>
      </c>
      <c r="BN32" s="299" t="str">
        <f t="shared" si="2"/>
        <v/>
      </c>
      <c r="BO32" s="299" t="str">
        <f>IFERROR(IF(BM32="","",IF(AND(BL32=$BK$24),$BM$24,IF(AND(BL32=$BK$25),$BM$25,IF(AND(BL32=$BK$26),$BM$26,IF(AND(BL32=$BK$27),$BM$27,IF(AND(BL32=$BK$28),$BM$28,IF(AND(BL32=$BK$29),$BM$29,IF(AND(BL32=$BK$30),$BM$30,IF(AND(BL32=$BK$31),$BM$31,IF(AND(BL32=$BK$32),$BM$32,BN32)))))))))),"")</f>
        <v/>
      </c>
      <c r="BQ32" s="299" t="str">
        <f t="shared" si="4"/>
        <v/>
      </c>
      <c r="BX32" s="314">
        <f>SUM(BX12:BX30)</f>
        <v>15000</v>
      </c>
    </row>
    <row r="35" spans="12:64">
      <c r="L35" s="39" t="str">
        <f>VLOOKUP(B24,ram,7,0)</f>
        <v/>
      </c>
      <c r="BL35" s="277"/>
    </row>
    <row r="41" spans="12:64">
      <c r="AX41" s="275" t="str">
        <f>IFERROR(IF(D23="","",IF(AND(D23=AX34),VLOOKUP(D23,ram,4,0),IF(AND('Master Data'!$I$28=$AP$6),'Master Data'!$E$36,VLOOKUP(D23,ram,4,0)))),"")</f>
        <v/>
      </c>
    </row>
  </sheetData>
  <sheetProtection password="C1FB" sheet="1" objects="1" scenarios="1" formatCells="0" formatColumns="0" formatRows="0"/>
  <mergeCells count="27">
    <mergeCell ref="D2:H2"/>
    <mergeCell ref="M2:P2"/>
    <mergeCell ref="Q2:T2"/>
    <mergeCell ref="U2:AA2"/>
    <mergeCell ref="AB2:AC2"/>
    <mergeCell ref="I2:L2"/>
    <mergeCell ref="B1:Z1"/>
    <mergeCell ref="W3:Z3"/>
    <mergeCell ref="AA3:AC3"/>
    <mergeCell ref="A4:M4"/>
    <mergeCell ref="N4:Z4"/>
    <mergeCell ref="AA4:AA5"/>
    <mergeCell ref="AB4:AB5"/>
    <mergeCell ref="AC4:AC5"/>
    <mergeCell ref="A3:B3"/>
    <mergeCell ref="C3:E3"/>
    <mergeCell ref="G3:I3"/>
    <mergeCell ref="K3:N3"/>
    <mergeCell ref="O3:Q3"/>
    <mergeCell ref="R3:V3"/>
    <mergeCell ref="AA1:AC1"/>
    <mergeCell ref="A2:C2"/>
    <mergeCell ref="AE5:AG5"/>
    <mergeCell ref="C29:H29"/>
    <mergeCell ref="S29:AA29"/>
    <mergeCell ref="C30:H30"/>
    <mergeCell ref="S30:AA30"/>
  </mergeCells>
  <hyperlinks>
    <hyperlink ref="AE5" r:id="rId1"/>
  </hyperlinks>
  <pageMargins left="0.49" right="0.27" top="0.37" bottom="0.12" header="0.19" footer="0.3"/>
  <pageSetup paperSize="9" scale="75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AK89"/>
  <sheetViews>
    <sheetView showGridLines="0" zoomScaleSheetLayoutView="100" workbookViewId="0">
      <selection activeCell="R33" sqref="R33:R34"/>
    </sheetView>
  </sheetViews>
  <sheetFormatPr defaultColWidth="9.125" defaultRowHeight="15"/>
  <cols>
    <col min="1" max="1" width="4" style="30" customWidth="1"/>
    <col min="2" max="2" width="4.375" style="30" customWidth="1"/>
    <col min="3" max="3" width="10.125" style="30" customWidth="1"/>
    <col min="4" max="4" width="11.125" style="30" customWidth="1"/>
    <col min="5" max="5" width="8.625" style="30" customWidth="1"/>
    <col min="6" max="6" width="3.125" style="30" customWidth="1"/>
    <col min="7" max="7" width="12.375" style="30" customWidth="1"/>
    <col min="8" max="8" width="4.625" style="30" customWidth="1"/>
    <col min="9" max="9" width="12.125" style="30" customWidth="1"/>
    <col min="10" max="10" width="11.125" style="30" customWidth="1"/>
    <col min="11" max="11" width="9.25" style="30" customWidth="1"/>
    <col min="12" max="12" width="3.25" style="30" customWidth="1"/>
    <col min="13" max="13" width="10.25" style="30" customWidth="1"/>
    <col min="14" max="14" width="3" style="30" customWidth="1"/>
    <col min="15" max="15" width="15.625" style="30" customWidth="1"/>
    <col min="16" max="16" width="9.125" style="30"/>
    <col min="17" max="17" width="5.125" style="30" customWidth="1"/>
    <col min="18" max="18" width="10.5" style="30" customWidth="1"/>
    <col min="19" max="19" width="10.625" style="30" customWidth="1"/>
    <col min="20" max="20" width="8.875" style="30" hidden="1" customWidth="1"/>
    <col min="21" max="21" width="11.625" style="30" customWidth="1"/>
    <col min="22" max="23" width="7.375" style="30" customWidth="1"/>
    <col min="24" max="33" width="9.125" style="30" hidden="1" customWidth="1"/>
    <col min="34" max="34" width="10.875" style="30" customWidth="1"/>
    <col min="35" max="35" width="11" style="30" customWidth="1"/>
    <col min="36" max="36" width="12" style="30" customWidth="1"/>
    <col min="37" max="37" width="10.625" style="30" customWidth="1"/>
    <col min="38" max="16384" width="9.125" style="30"/>
  </cols>
  <sheetData>
    <row r="1" spans="1:23" ht="18.75">
      <c r="A1" s="529" t="str">
        <f>IF(AND('Master Data'!D4=""),"",CONCATENATE("Office Name :- ",PROPER('Master Data'!D4)))</f>
        <v>Office Name :- Mahatma Gandhi Govt. School (English Medium) Bar, Pali</v>
      </c>
      <c r="B1" s="529"/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T1" s="234">
        <v>2</v>
      </c>
    </row>
    <row r="2" spans="1:23" ht="21" customHeight="1" thickBot="1">
      <c r="A2" s="225"/>
      <c r="B2" s="225"/>
      <c r="C2" s="535" t="s">
        <v>290</v>
      </c>
      <c r="D2" s="535"/>
      <c r="E2" s="535"/>
      <c r="F2" s="536" t="s">
        <v>444</v>
      </c>
      <c r="G2" s="536"/>
      <c r="H2" s="535" t="s">
        <v>291</v>
      </c>
      <c r="I2" s="535"/>
      <c r="J2" s="539" t="s">
        <v>445</v>
      </c>
      <c r="K2" s="539"/>
      <c r="L2" s="537" t="str">
        <f>IF(T14=T2,"Old Tax Regime","New Tax Regime")</f>
        <v>Old Tax Regime</v>
      </c>
      <c r="M2" s="538"/>
      <c r="N2" s="538"/>
      <c r="O2" s="538"/>
      <c r="T2" s="234">
        <v>1</v>
      </c>
    </row>
    <row r="3" spans="1:23" ht="17.25" thickTop="1" thickBot="1">
      <c r="A3" s="220">
        <v>1</v>
      </c>
      <c r="B3" s="530" t="s">
        <v>292</v>
      </c>
      <c r="C3" s="530"/>
      <c r="D3" s="531" t="str">
        <f>UPPER('Master Data'!D6)</f>
        <v>HEERALAL JAT</v>
      </c>
      <c r="E3" s="531"/>
      <c r="F3" s="531"/>
      <c r="G3" s="531"/>
      <c r="H3" s="531"/>
      <c r="I3" s="211" t="s">
        <v>293</v>
      </c>
      <c r="J3" s="532" t="str">
        <f>UPPER('Master Data'!H6)</f>
        <v>SR TEACHER</v>
      </c>
      <c r="K3" s="532"/>
      <c r="L3" s="532"/>
      <c r="M3" s="212" t="s">
        <v>117</v>
      </c>
      <c r="N3" s="533" t="str">
        <f>UPPER('Master Data'!D12)</f>
        <v>ABCDE1234H</v>
      </c>
      <c r="O3" s="534"/>
      <c r="P3" s="147"/>
      <c r="Q3" s="147"/>
      <c r="T3" s="172"/>
    </row>
    <row r="4" spans="1:23" ht="18.75" customHeight="1">
      <c r="A4" s="514">
        <v>2</v>
      </c>
      <c r="B4" s="500" t="s">
        <v>446</v>
      </c>
      <c r="C4" s="501"/>
      <c r="D4" s="501"/>
      <c r="E4" s="501"/>
      <c r="F4" s="501"/>
      <c r="G4" s="501"/>
      <c r="H4" s="501"/>
      <c r="I4" s="501"/>
      <c r="J4" s="482" t="str">
        <f>IF('Master Data'!H18="Yes","सरकार द्वारा देय NPS की राशि सहित कुल वेतन -","")</f>
        <v/>
      </c>
      <c r="K4" s="482"/>
      <c r="L4" s="482"/>
      <c r="M4" s="483"/>
      <c r="N4" s="213" t="s">
        <v>312</v>
      </c>
      <c r="O4" s="148">
        <f>'GA55'!M27</f>
        <v>853974</v>
      </c>
      <c r="P4" s="149"/>
      <c r="Q4" s="65"/>
      <c r="R4" s="541" t="s">
        <v>140</v>
      </c>
      <c r="S4" s="542"/>
      <c r="T4" s="542"/>
      <c r="U4" s="542"/>
      <c r="V4" s="543"/>
      <c r="W4" s="109"/>
    </row>
    <row r="5" spans="1:23" ht="15.75" customHeight="1">
      <c r="A5" s="515"/>
      <c r="B5" s="481" t="str">
        <f>IF('Master Data'!H18="Yes","","सरकार द्वारा देय NPS की राशि :-")</f>
        <v>सरकार द्वारा देय NPS की राशि :-</v>
      </c>
      <c r="C5" s="482"/>
      <c r="D5" s="482"/>
      <c r="E5" s="482"/>
      <c r="F5" s="482"/>
      <c r="G5" s="482"/>
      <c r="H5" s="482"/>
      <c r="I5" s="482"/>
      <c r="J5" s="482"/>
      <c r="K5" s="482"/>
      <c r="L5" s="482"/>
      <c r="M5" s="483"/>
      <c r="N5" s="213" t="s">
        <v>312</v>
      </c>
      <c r="O5" s="148">
        <f>IF('Master Data'!H18="Yes",0,IF('Master Data'!I30='GA55'!AN6,'GA55'!O27,0))</f>
        <v>78584</v>
      </c>
      <c r="P5" s="149"/>
      <c r="Q5" s="65"/>
      <c r="R5" s="544"/>
      <c r="S5" s="545"/>
      <c r="T5" s="545"/>
      <c r="U5" s="545"/>
      <c r="V5" s="546"/>
      <c r="W5" s="109"/>
    </row>
    <row r="6" spans="1:23" ht="15.75" customHeight="1">
      <c r="A6" s="221">
        <v>3</v>
      </c>
      <c r="B6" s="454" t="s">
        <v>294</v>
      </c>
      <c r="C6" s="454"/>
      <c r="D6" s="454"/>
      <c r="E6" s="454"/>
      <c r="F6" s="454"/>
      <c r="G6" s="454"/>
      <c r="H6" s="454"/>
      <c r="I6" s="454"/>
      <c r="J6" s="454"/>
      <c r="K6" s="454"/>
      <c r="L6" s="454"/>
      <c r="M6" s="454"/>
      <c r="N6" s="213" t="s">
        <v>312</v>
      </c>
      <c r="O6" s="246">
        <f>IF(T14=T2,SUM('Extra Ded. '!I7+'Extra Ded. '!E6+'GA55'!G27),"0")</f>
        <v>0</v>
      </c>
      <c r="P6" s="150"/>
      <c r="Q6" s="65" t="s">
        <v>118</v>
      </c>
      <c r="R6" s="544"/>
      <c r="S6" s="545"/>
      <c r="T6" s="545"/>
      <c r="U6" s="545"/>
      <c r="V6" s="546"/>
      <c r="W6" s="109"/>
    </row>
    <row r="7" spans="1:23" ht="18.75">
      <c r="A7" s="221">
        <v>4</v>
      </c>
      <c r="B7" s="487" t="s">
        <v>295</v>
      </c>
      <c r="C7" s="487"/>
      <c r="D7" s="487"/>
      <c r="E7" s="487"/>
      <c r="F7" s="487"/>
      <c r="G7" s="487"/>
      <c r="H7" s="487"/>
      <c r="I7" s="487"/>
      <c r="J7" s="487"/>
      <c r="K7" s="487"/>
      <c r="L7" s="487"/>
      <c r="M7" s="487"/>
      <c r="N7" s="213" t="s">
        <v>312</v>
      </c>
      <c r="O7" s="148">
        <f>(O4+O5)-O6</f>
        <v>932558</v>
      </c>
      <c r="P7" s="150"/>
      <c r="Q7" s="150"/>
      <c r="R7" s="544"/>
      <c r="S7" s="545"/>
      <c r="T7" s="545"/>
      <c r="U7" s="545"/>
      <c r="V7" s="546"/>
      <c r="W7" s="109"/>
    </row>
    <row r="8" spans="1:23" ht="19.5" thickBot="1">
      <c r="A8" s="442">
        <v>5</v>
      </c>
      <c r="B8" s="469" t="s">
        <v>296</v>
      </c>
      <c r="C8" s="469"/>
      <c r="D8" s="469"/>
      <c r="E8" s="469"/>
      <c r="F8" s="469"/>
      <c r="G8" s="469"/>
      <c r="H8" s="469"/>
      <c r="I8" s="469"/>
      <c r="J8" s="469"/>
      <c r="K8" s="510">
        <f>IF(T14=T2,'Extra Ded. '!E8,"0")</f>
        <v>0</v>
      </c>
      <c r="L8" s="510"/>
      <c r="M8" s="510"/>
      <c r="N8" s="512"/>
      <c r="O8" s="513"/>
      <c r="P8" s="151"/>
      <c r="Q8" s="151"/>
      <c r="R8" s="544"/>
      <c r="S8" s="545"/>
      <c r="T8" s="547"/>
      <c r="U8" s="547"/>
      <c r="V8" s="548"/>
      <c r="W8" s="109"/>
    </row>
    <row r="9" spans="1:23" ht="18.75">
      <c r="A9" s="442"/>
      <c r="B9" s="469" t="s">
        <v>376</v>
      </c>
      <c r="C9" s="469"/>
      <c r="D9" s="469"/>
      <c r="E9" s="469"/>
      <c r="F9" s="469"/>
      <c r="G9" s="469"/>
      <c r="H9" s="469"/>
      <c r="I9" s="469"/>
      <c r="J9" s="469"/>
      <c r="K9" s="510">
        <f>IF(T14=T2,'Extra Ded. '!E9,"0")</f>
        <v>0</v>
      </c>
      <c r="L9" s="510"/>
      <c r="M9" s="510"/>
      <c r="N9" s="512"/>
      <c r="O9" s="513"/>
      <c r="P9" s="151"/>
      <c r="Q9" s="151"/>
      <c r="R9" s="438" t="s">
        <v>373</v>
      </c>
      <c r="S9" s="439"/>
      <c r="T9" s="66"/>
      <c r="U9" s="66"/>
      <c r="V9" s="66"/>
      <c r="W9" s="66"/>
    </row>
    <row r="10" spans="1:23" ht="20.25">
      <c r="A10" s="442"/>
      <c r="B10" s="469" t="s">
        <v>377</v>
      </c>
      <c r="C10" s="469"/>
      <c r="D10" s="469"/>
      <c r="E10" s="469"/>
      <c r="F10" s="469"/>
      <c r="G10" s="469"/>
      <c r="H10" s="469"/>
      <c r="I10" s="469"/>
      <c r="J10" s="469"/>
      <c r="K10" s="540">
        <f>IF(T14=T2,'Extra Ded. '!E7,"0")</f>
        <v>50000</v>
      </c>
      <c r="L10" s="540"/>
      <c r="M10" s="540"/>
      <c r="N10" s="213" t="s">
        <v>312</v>
      </c>
      <c r="O10" s="148">
        <f>SUM(K8:M10)</f>
        <v>50000</v>
      </c>
      <c r="P10" s="150"/>
      <c r="Q10" s="150"/>
      <c r="R10" s="440"/>
      <c r="S10" s="441"/>
      <c r="T10" s="98"/>
      <c r="U10" s="98"/>
      <c r="V10" s="98"/>
      <c r="W10" s="98"/>
    </row>
    <row r="11" spans="1:23" ht="17.25" customHeight="1" thickBot="1">
      <c r="A11" s="221">
        <v>6</v>
      </c>
      <c r="B11" s="487" t="s">
        <v>297</v>
      </c>
      <c r="C11" s="487"/>
      <c r="D11" s="487"/>
      <c r="E11" s="487"/>
      <c r="F11" s="487"/>
      <c r="G11" s="487"/>
      <c r="H11" s="487"/>
      <c r="I11" s="487"/>
      <c r="J11" s="487"/>
      <c r="K11" s="487"/>
      <c r="L11" s="487"/>
      <c r="M11" s="487"/>
      <c r="N11" s="213" t="s">
        <v>312</v>
      </c>
      <c r="O11" s="148">
        <f>O7-O10</f>
        <v>882558</v>
      </c>
      <c r="P11" s="150"/>
      <c r="Q11" s="150"/>
      <c r="R11" s="436" t="s">
        <v>372</v>
      </c>
      <c r="S11" s="437"/>
      <c r="T11" s="173"/>
      <c r="U11" s="99"/>
      <c r="V11" s="99"/>
      <c r="W11" s="99"/>
    </row>
    <row r="12" spans="1:23" ht="15.75">
      <c r="A12" s="442">
        <v>7</v>
      </c>
      <c r="B12" s="469" t="s">
        <v>298</v>
      </c>
      <c r="C12" s="469"/>
      <c r="D12" s="469"/>
      <c r="E12" s="469"/>
      <c r="F12" s="469"/>
      <c r="G12" s="469"/>
      <c r="H12" s="469"/>
      <c r="I12" s="443" t="s">
        <v>303</v>
      </c>
      <c r="J12" s="443"/>
      <c r="K12" s="510">
        <f>'Extra Ded. '!E10</f>
        <v>0</v>
      </c>
      <c r="L12" s="510"/>
      <c r="M12" s="510"/>
      <c r="N12" s="503"/>
      <c r="O12" s="504"/>
      <c r="P12" s="152"/>
      <c r="Q12" s="152"/>
      <c r="T12" s="172"/>
    </row>
    <row r="13" spans="1:23" ht="15" customHeight="1">
      <c r="A13" s="442"/>
      <c r="B13" s="505" t="s">
        <v>337</v>
      </c>
      <c r="C13" s="506"/>
      <c r="D13" s="443" t="s">
        <v>299</v>
      </c>
      <c r="E13" s="443"/>
      <c r="F13" s="479" t="s">
        <v>300</v>
      </c>
      <c r="G13" s="509"/>
      <c r="H13" s="480"/>
      <c r="I13" s="443" t="s">
        <v>301</v>
      </c>
      <c r="J13" s="443"/>
      <c r="K13" s="479" t="s">
        <v>302</v>
      </c>
      <c r="L13" s="509"/>
      <c r="M13" s="480"/>
      <c r="N13" s="503"/>
      <c r="O13" s="504"/>
      <c r="P13" s="152"/>
      <c r="Q13" s="152"/>
      <c r="T13" s="172"/>
    </row>
    <row r="14" spans="1:23" ht="15.75">
      <c r="A14" s="442"/>
      <c r="B14" s="507"/>
      <c r="C14" s="508"/>
      <c r="D14" s="510">
        <f>IF(T14=T2,ROUND(K12*0.3,0),"0")</f>
        <v>0</v>
      </c>
      <c r="E14" s="510"/>
      <c r="F14" s="510">
        <f>IF(T14=T2,'Extra Ded. '!E13,"0")</f>
        <v>0</v>
      </c>
      <c r="G14" s="510"/>
      <c r="H14" s="510"/>
      <c r="I14" s="510">
        <f>IF(T14=T2,'Extra Ded. '!E11,"0")</f>
        <v>0</v>
      </c>
      <c r="J14" s="510"/>
      <c r="K14" s="510">
        <f>D14+F14+I14</f>
        <v>0</v>
      </c>
      <c r="L14" s="510"/>
      <c r="M14" s="510"/>
      <c r="N14" s="503"/>
      <c r="O14" s="504"/>
      <c r="P14" s="152"/>
      <c r="Q14" s="152"/>
      <c r="T14" s="234">
        <f>IF(R11="New Tax Regime",2,IF(R11="Old Tax Regime",1,""))</f>
        <v>1</v>
      </c>
    </row>
    <row r="15" spans="1:23" ht="15.75">
      <c r="A15" s="221"/>
      <c r="B15" s="498" t="s">
        <v>304</v>
      </c>
      <c r="C15" s="498"/>
      <c r="D15" s="498"/>
      <c r="E15" s="498"/>
      <c r="F15" s="498"/>
      <c r="G15" s="498"/>
      <c r="H15" s="498"/>
      <c r="I15" s="498"/>
      <c r="J15" s="498"/>
      <c r="K15" s="498"/>
      <c r="L15" s="498"/>
      <c r="M15" s="498"/>
      <c r="N15" s="213" t="s">
        <v>312</v>
      </c>
      <c r="O15" s="148">
        <f>K12-K14</f>
        <v>0</v>
      </c>
      <c r="P15" s="150"/>
      <c r="Q15" s="150"/>
      <c r="T15" s="172"/>
    </row>
    <row r="16" spans="1:23" ht="15.75">
      <c r="A16" s="221">
        <v>8</v>
      </c>
      <c r="B16" s="500" t="s">
        <v>305</v>
      </c>
      <c r="C16" s="501"/>
      <c r="D16" s="502"/>
      <c r="E16" s="511">
        <f>'Extra Ded. '!I21</f>
        <v>1500</v>
      </c>
      <c r="F16" s="511"/>
      <c r="G16" s="478" t="s">
        <v>306</v>
      </c>
      <c r="H16" s="478"/>
      <c r="I16" s="219">
        <f>'Extra Ded. '!E24</f>
        <v>0</v>
      </c>
      <c r="J16" s="498" t="s">
        <v>309</v>
      </c>
      <c r="K16" s="498"/>
      <c r="L16" s="498"/>
      <c r="M16" s="498"/>
      <c r="N16" s="213" t="s">
        <v>312</v>
      </c>
      <c r="O16" s="148">
        <f>O11+O15</f>
        <v>882558</v>
      </c>
      <c r="P16" s="150"/>
      <c r="Q16" s="150"/>
      <c r="T16" s="172"/>
    </row>
    <row r="17" spans="1:37" ht="15.75">
      <c r="A17" s="221">
        <v>9</v>
      </c>
      <c r="B17" s="500" t="s">
        <v>307</v>
      </c>
      <c r="C17" s="501"/>
      <c r="D17" s="502"/>
      <c r="E17" s="476">
        <f>'Extra Ded. '!I23</f>
        <v>0</v>
      </c>
      <c r="F17" s="477"/>
      <c r="G17" s="479" t="s">
        <v>308</v>
      </c>
      <c r="H17" s="480"/>
      <c r="I17" s="216">
        <f>'Extra Ded. '!E23</f>
        <v>0</v>
      </c>
      <c r="J17" s="481" t="s">
        <v>310</v>
      </c>
      <c r="K17" s="482"/>
      <c r="L17" s="482"/>
      <c r="M17" s="483"/>
      <c r="N17" s="213" t="s">
        <v>312</v>
      </c>
      <c r="O17" s="148">
        <f>E16+E17+I16+I17</f>
        <v>1500</v>
      </c>
      <c r="P17" s="150"/>
      <c r="Q17" s="150"/>
      <c r="T17" s="172"/>
    </row>
    <row r="18" spans="1:37" ht="15.75">
      <c r="A18" s="221">
        <v>10</v>
      </c>
      <c r="B18" s="484" t="s">
        <v>311</v>
      </c>
      <c r="C18" s="485"/>
      <c r="D18" s="485"/>
      <c r="E18" s="485"/>
      <c r="F18" s="485"/>
      <c r="G18" s="485"/>
      <c r="H18" s="485"/>
      <c r="I18" s="485"/>
      <c r="J18" s="485"/>
      <c r="K18" s="485"/>
      <c r="L18" s="485"/>
      <c r="M18" s="486"/>
      <c r="N18" s="213" t="s">
        <v>312</v>
      </c>
      <c r="O18" s="148">
        <f>O16+O17</f>
        <v>884058</v>
      </c>
      <c r="P18" s="149"/>
      <c r="Q18" s="149"/>
      <c r="T18" s="172"/>
    </row>
    <row r="19" spans="1:37" ht="18.75">
      <c r="A19" s="442">
        <v>11</v>
      </c>
      <c r="B19" s="470" t="s">
        <v>313</v>
      </c>
      <c r="C19" s="470"/>
      <c r="D19" s="470"/>
      <c r="E19" s="470"/>
      <c r="F19" s="470"/>
      <c r="G19" s="470"/>
      <c r="H19" s="470"/>
      <c r="I19" s="470"/>
      <c r="J19" s="470"/>
      <c r="K19" s="470"/>
      <c r="L19" s="470"/>
      <c r="M19" s="470"/>
      <c r="N19" s="470"/>
      <c r="O19" s="490"/>
      <c r="P19" s="153"/>
      <c r="Q19" s="153"/>
      <c r="R19" s="434" t="s">
        <v>462</v>
      </c>
      <c r="S19" s="435"/>
      <c r="T19" s="435"/>
      <c r="U19" s="435"/>
    </row>
    <row r="20" spans="1:37">
      <c r="A20" s="442"/>
      <c r="B20" s="454" t="s">
        <v>314</v>
      </c>
      <c r="C20" s="454"/>
      <c r="D20" s="454"/>
      <c r="E20" s="454"/>
      <c r="F20" s="454"/>
      <c r="G20" s="454"/>
      <c r="H20" s="454"/>
      <c r="I20" s="454"/>
      <c r="J20" s="454"/>
      <c r="K20" s="454"/>
      <c r="L20" s="454"/>
      <c r="M20" s="454"/>
      <c r="N20" s="454"/>
      <c r="O20" s="473"/>
      <c r="P20" s="154"/>
      <c r="Q20" s="154"/>
      <c r="T20" s="172"/>
    </row>
    <row r="21" spans="1:37" ht="15.75">
      <c r="A21" s="442"/>
      <c r="B21" s="214" t="s">
        <v>119</v>
      </c>
      <c r="C21" s="454" t="s">
        <v>315</v>
      </c>
      <c r="D21" s="454"/>
      <c r="E21" s="454"/>
      <c r="F21" s="213" t="s">
        <v>312</v>
      </c>
      <c r="G21" s="155">
        <f>IF(T14=T2,SUM('GA55'!N27),"0")</f>
        <v>70000</v>
      </c>
      <c r="H21" s="226" t="s">
        <v>120</v>
      </c>
      <c r="I21" s="492" t="s">
        <v>326</v>
      </c>
      <c r="J21" s="493"/>
      <c r="K21" s="494"/>
      <c r="L21" s="213" t="s">
        <v>312</v>
      </c>
      <c r="M21" s="244">
        <f>IF('Master Data'!I30='GA55'!AN5,0,IF(T14=T1,0,IF(R33="Yes",AA27,AB23)))</f>
        <v>78584</v>
      </c>
      <c r="N21" s="495"/>
      <c r="O21" s="496"/>
      <c r="P21" s="156"/>
      <c r="Q21" s="156"/>
      <c r="R21" s="205"/>
      <c r="S21" s="205"/>
      <c r="T21" s="206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</row>
    <row r="22" spans="1:37" ht="15.75" customHeight="1">
      <c r="A22" s="442"/>
      <c r="B22" s="214" t="s">
        <v>121</v>
      </c>
      <c r="C22" s="454" t="s">
        <v>316</v>
      </c>
      <c r="D22" s="454"/>
      <c r="E22" s="454"/>
      <c r="F22" s="213" t="s">
        <v>312</v>
      </c>
      <c r="G22" s="155">
        <f>IF(T14=T2,'GA55'!P27,"0")</f>
        <v>22560</v>
      </c>
      <c r="H22" s="226" t="s">
        <v>122</v>
      </c>
      <c r="I22" s="455" t="s">
        <v>325</v>
      </c>
      <c r="J22" s="455"/>
      <c r="K22" s="455"/>
      <c r="L22" s="213" t="s">
        <v>312</v>
      </c>
      <c r="M22" s="155">
        <f>IF(T14=T2,'Extra Ded. '!I12,"0")</f>
        <v>0</v>
      </c>
      <c r="N22" s="495"/>
      <c r="O22" s="496"/>
      <c r="P22" s="156"/>
      <c r="Q22" s="518" t="s">
        <v>274</v>
      </c>
      <c r="R22" s="518"/>
      <c r="S22" s="518"/>
      <c r="T22" s="518"/>
      <c r="U22" s="518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</row>
    <row r="23" spans="1:37" ht="15.75" customHeight="1">
      <c r="A23" s="442"/>
      <c r="B23" s="214" t="s">
        <v>123</v>
      </c>
      <c r="C23" s="454" t="s">
        <v>317</v>
      </c>
      <c r="D23" s="454"/>
      <c r="E23" s="454"/>
      <c r="F23" s="213" t="s">
        <v>312</v>
      </c>
      <c r="G23" s="155">
        <f>IF(T14=T2,'Extra Ded. '!E18,"0")</f>
        <v>0</v>
      </c>
      <c r="H23" s="226" t="s">
        <v>124</v>
      </c>
      <c r="I23" s="455" t="s">
        <v>327</v>
      </c>
      <c r="J23" s="455"/>
      <c r="K23" s="455"/>
      <c r="L23" s="213" t="s">
        <v>312</v>
      </c>
      <c r="M23" s="157">
        <f>IF(T14=T2,'Extra Ded. '!E19,"0")</f>
        <v>0</v>
      </c>
      <c r="N23" s="495"/>
      <c r="O23" s="496"/>
      <c r="P23" s="156"/>
      <c r="Q23" s="518"/>
      <c r="R23" s="518"/>
      <c r="S23" s="518"/>
      <c r="T23" s="518"/>
      <c r="U23" s="518"/>
      <c r="V23" s="205"/>
      <c r="W23" s="205"/>
      <c r="X23" s="205"/>
      <c r="Y23" s="205"/>
      <c r="Z23" s="205">
        <f>IF(AA23&gt;AB23,AB23,AA23)</f>
        <v>78584</v>
      </c>
      <c r="AA23" s="205">
        <f>IF('Master Data'!I30='GA55'!AN5,0,ROUND(10%*'GA55'!M27,0))</f>
        <v>85397</v>
      </c>
      <c r="AB23" s="205">
        <f>IF('Master Data'!I30='GA55'!AN6,'GA55'!O27,0)</f>
        <v>78584</v>
      </c>
      <c r="AC23" s="205"/>
      <c r="AD23" s="205"/>
      <c r="AE23" s="205"/>
      <c r="AF23" s="205"/>
      <c r="AG23" s="205"/>
      <c r="AH23" s="519" t="s">
        <v>275</v>
      </c>
      <c r="AI23" s="519"/>
      <c r="AJ23" s="519"/>
      <c r="AK23" s="519"/>
    </row>
    <row r="24" spans="1:37" ht="15.75">
      <c r="A24" s="442"/>
      <c r="B24" s="214" t="s">
        <v>125</v>
      </c>
      <c r="C24" s="454" t="s">
        <v>318</v>
      </c>
      <c r="D24" s="454"/>
      <c r="E24" s="454"/>
      <c r="F24" s="213" t="s">
        <v>312</v>
      </c>
      <c r="G24" s="155">
        <f>IF(T14=T2,'Extra Ded. '!E20,"0")</f>
        <v>0</v>
      </c>
      <c r="H24" s="226" t="s">
        <v>126</v>
      </c>
      <c r="I24" s="455" t="s">
        <v>328</v>
      </c>
      <c r="J24" s="455"/>
      <c r="K24" s="455"/>
      <c r="L24" s="213" t="s">
        <v>312</v>
      </c>
      <c r="M24" s="157">
        <f>IF(T14=T2,'Extra Ded. '!E16,"0")</f>
        <v>0</v>
      </c>
      <c r="N24" s="495"/>
      <c r="O24" s="496"/>
      <c r="P24" s="156"/>
      <c r="Q24" s="518"/>
      <c r="R24" s="518"/>
      <c r="S24" s="518"/>
      <c r="T24" s="518"/>
      <c r="U24" s="518"/>
      <c r="V24" s="205"/>
      <c r="W24" s="205"/>
      <c r="X24" s="205"/>
      <c r="Y24" s="205"/>
      <c r="Z24" s="207">
        <f>SUM(G21:G31)+SUM(M22:M30)+O33</f>
        <v>171364</v>
      </c>
      <c r="AA24" s="205">
        <f>IF('Extra Ded. '!I14&gt;50000,50000,'Extra Ded. '!I14)</f>
        <v>50000</v>
      </c>
      <c r="AB24" s="205">
        <f>IF(Z24&gt;150000,Z24-150000,0)</f>
        <v>21364</v>
      </c>
      <c r="AC24" s="205"/>
      <c r="AD24" s="205"/>
      <c r="AE24" s="205"/>
      <c r="AF24" s="205"/>
      <c r="AG24" s="205"/>
      <c r="AH24" s="519"/>
      <c r="AI24" s="519"/>
      <c r="AJ24" s="519"/>
      <c r="AK24" s="519"/>
    </row>
    <row r="25" spans="1:37" ht="16.5" thickBot="1">
      <c r="A25" s="442"/>
      <c r="B25" s="214" t="s">
        <v>127</v>
      </c>
      <c r="C25" s="454" t="s">
        <v>319</v>
      </c>
      <c r="D25" s="454"/>
      <c r="E25" s="454"/>
      <c r="F25" s="213" t="s">
        <v>312</v>
      </c>
      <c r="G25" s="155">
        <f>IF(T14=T2,'Extra Ded. '!E21,"0")</f>
        <v>0</v>
      </c>
      <c r="H25" s="226" t="s">
        <v>128</v>
      </c>
      <c r="I25" s="455" t="s">
        <v>329</v>
      </c>
      <c r="J25" s="455"/>
      <c r="K25" s="455"/>
      <c r="L25" s="213" t="s">
        <v>312</v>
      </c>
      <c r="M25" s="155">
        <f>IF(T14=T2,'Extra Ded. '!I6,"0")</f>
        <v>0</v>
      </c>
      <c r="N25" s="495"/>
      <c r="O25" s="496"/>
      <c r="P25" s="151"/>
      <c r="Q25" s="151"/>
      <c r="S25" s="102"/>
    </row>
    <row r="26" spans="1:37" ht="15.75">
      <c r="A26" s="442"/>
      <c r="B26" s="214" t="s">
        <v>129</v>
      </c>
      <c r="C26" s="454" t="s">
        <v>320</v>
      </c>
      <c r="D26" s="454"/>
      <c r="E26" s="454"/>
      <c r="F26" s="213" t="s">
        <v>312</v>
      </c>
      <c r="G26" s="155" t="str">
        <f>IF(AND(T14=T2,'Master Data'!I30='GA55'!AN5),'GA55'!O27,"0")</f>
        <v>0</v>
      </c>
      <c r="H26" s="226" t="s">
        <v>130</v>
      </c>
      <c r="I26" s="455" t="s">
        <v>330</v>
      </c>
      <c r="J26" s="455"/>
      <c r="K26" s="455"/>
      <c r="L26" s="213" t="s">
        <v>312</v>
      </c>
      <c r="M26" s="155">
        <f>IF(T14=T2,'Extra Ded. '!I8,"0")</f>
        <v>0</v>
      </c>
      <c r="N26" s="495"/>
      <c r="O26" s="496"/>
      <c r="P26" s="151"/>
      <c r="Q26" s="520" t="s">
        <v>145</v>
      </c>
      <c r="R26" s="521"/>
      <c r="S26" s="522"/>
    </row>
    <row r="27" spans="1:37" ht="15.75" customHeight="1">
      <c r="A27" s="442"/>
      <c r="B27" s="214" t="s">
        <v>131</v>
      </c>
      <c r="C27" s="454" t="s">
        <v>321</v>
      </c>
      <c r="D27" s="454"/>
      <c r="E27" s="454"/>
      <c r="F27" s="213" t="s">
        <v>312</v>
      </c>
      <c r="G27" s="157">
        <f>IF(T14=T2,'GA55'!Y27,"0")</f>
        <v>220</v>
      </c>
      <c r="H27" s="226" t="s">
        <v>132</v>
      </c>
      <c r="I27" s="497" t="s">
        <v>331</v>
      </c>
      <c r="J27" s="497"/>
      <c r="K27" s="497"/>
      <c r="L27" s="213" t="s">
        <v>312</v>
      </c>
      <c r="M27" s="155">
        <f>IF(T14=T2,'Extra Ded. '!E15,"0")</f>
        <v>0</v>
      </c>
      <c r="N27" s="495"/>
      <c r="O27" s="496"/>
      <c r="P27" s="151"/>
      <c r="Q27" s="523"/>
      <c r="R27" s="524"/>
      <c r="S27" s="525"/>
      <c r="AA27" s="30">
        <f>IFERROR(SUM(Z23)-MIN(AA24,AB24),0)</f>
        <v>57220</v>
      </c>
      <c r="AC27" s="30">
        <f>MIN(AA24,AB24)</f>
        <v>21364</v>
      </c>
    </row>
    <row r="28" spans="1:37" ht="15.75" customHeight="1">
      <c r="A28" s="442"/>
      <c r="B28" s="214" t="s">
        <v>133</v>
      </c>
      <c r="C28" s="454" t="s">
        <v>322</v>
      </c>
      <c r="D28" s="454"/>
      <c r="E28" s="454"/>
      <c r="F28" s="213" t="s">
        <v>312</v>
      </c>
      <c r="G28" s="157">
        <f>IF(T14=T2,'Extra Ded. '!E17,"0")</f>
        <v>0</v>
      </c>
      <c r="H28" s="226" t="s">
        <v>134</v>
      </c>
      <c r="I28" s="475" t="s">
        <v>332</v>
      </c>
      <c r="J28" s="475"/>
      <c r="K28" s="475"/>
      <c r="L28" s="213" t="s">
        <v>312</v>
      </c>
      <c r="M28" s="155">
        <f>IF(T14=T2,'Extra Ded. '!I13,"0")</f>
        <v>0</v>
      </c>
      <c r="N28" s="495"/>
      <c r="O28" s="496"/>
      <c r="P28" s="151"/>
      <c r="Q28" s="523"/>
      <c r="R28" s="524"/>
      <c r="S28" s="525"/>
    </row>
    <row r="29" spans="1:37" ht="15.75">
      <c r="A29" s="442"/>
      <c r="B29" s="214" t="s">
        <v>135</v>
      </c>
      <c r="C29" s="454" t="s">
        <v>323</v>
      </c>
      <c r="D29" s="454"/>
      <c r="E29" s="454"/>
      <c r="F29" s="213" t="s">
        <v>312</v>
      </c>
      <c r="G29" s="157">
        <f>IF(T14=T2,'Extra Ded. '!E12,"0")</f>
        <v>0</v>
      </c>
      <c r="H29" s="226" t="s">
        <v>136</v>
      </c>
      <c r="I29" s="475" t="s">
        <v>333</v>
      </c>
      <c r="J29" s="475"/>
      <c r="K29" s="475"/>
      <c r="L29" s="213" t="s">
        <v>312</v>
      </c>
      <c r="M29" s="155">
        <f>IF(T14=T2,'Extra Ded. '!E22,"0")</f>
        <v>0</v>
      </c>
      <c r="N29" s="495"/>
      <c r="O29" s="496"/>
      <c r="P29" s="151"/>
      <c r="Q29" s="523"/>
      <c r="R29" s="524"/>
      <c r="S29" s="525"/>
      <c r="AA29" s="30">
        <f>IF(Z24&gt;=200000,50000,AC27)</f>
        <v>21364</v>
      </c>
    </row>
    <row r="30" spans="1:37" ht="15.75">
      <c r="A30" s="442"/>
      <c r="B30" s="214" t="s">
        <v>137</v>
      </c>
      <c r="C30" s="454" t="s">
        <v>324</v>
      </c>
      <c r="D30" s="454"/>
      <c r="E30" s="454"/>
      <c r="F30" s="213" t="s">
        <v>312</v>
      </c>
      <c r="G30" s="155">
        <f>IF(T14=T2,'Extra Ded. '!E14,"0")</f>
        <v>0</v>
      </c>
      <c r="H30" s="226" t="s">
        <v>138</v>
      </c>
      <c r="I30" s="497" t="s">
        <v>334</v>
      </c>
      <c r="J30" s="497"/>
      <c r="K30" s="497"/>
      <c r="L30" s="213" t="s">
        <v>312</v>
      </c>
      <c r="M30" s="155">
        <f>IF(T14=T2,'Extra Ded. '!I10,"0")</f>
        <v>0</v>
      </c>
      <c r="N30" s="495"/>
      <c r="O30" s="496"/>
      <c r="P30" s="151"/>
      <c r="Q30" s="523"/>
      <c r="R30" s="524"/>
      <c r="S30" s="525"/>
    </row>
    <row r="31" spans="1:37" ht="16.5" thickBot="1">
      <c r="A31" s="442"/>
      <c r="B31" s="214" t="s">
        <v>277</v>
      </c>
      <c r="C31" s="488" t="str">
        <f>IF('Master Data'!M43="Yes","बोनस से कटोती GPF-2004 ","")</f>
        <v/>
      </c>
      <c r="D31" s="489"/>
      <c r="E31" s="255" t="str">
        <f>IF('Master Data'!M43="Yes","(GPF-2004 )","")</f>
        <v/>
      </c>
      <c r="F31" s="213" t="s">
        <v>312</v>
      </c>
      <c r="G31" s="155">
        <f>IF('Master Data'!N43="No",0,IF(T14=T2,'GA55'!T27,"0"))</f>
        <v>0</v>
      </c>
      <c r="H31" s="445" t="s">
        <v>370</v>
      </c>
      <c r="I31" s="446"/>
      <c r="J31" s="446"/>
      <c r="K31" s="447"/>
      <c r="L31" s="213" t="s">
        <v>312</v>
      </c>
      <c r="M31" s="158">
        <f>SUM(G21:G31)+SUM(M21:M30)</f>
        <v>171364</v>
      </c>
      <c r="N31" s="495"/>
      <c r="O31" s="496"/>
      <c r="P31" s="151"/>
      <c r="Q31" s="526"/>
      <c r="R31" s="527"/>
      <c r="S31" s="528"/>
      <c r="T31" s="239"/>
      <c r="AA31" s="30">
        <f>('Extra Ded. '!I23+'Extra Ded. '!I21)</f>
        <v>1500</v>
      </c>
    </row>
    <row r="32" spans="1:37" ht="15.75" customHeight="1" thickBot="1">
      <c r="A32" s="442"/>
      <c r="B32" s="498" t="s">
        <v>335</v>
      </c>
      <c r="C32" s="498"/>
      <c r="D32" s="498"/>
      <c r="E32" s="498"/>
      <c r="F32" s="498"/>
      <c r="G32" s="498"/>
      <c r="H32" s="498"/>
      <c r="I32" s="498"/>
      <c r="J32" s="498"/>
      <c r="K32" s="498"/>
      <c r="L32" s="498"/>
      <c r="M32" s="498"/>
      <c r="N32" s="213" t="s">
        <v>312</v>
      </c>
      <c r="O32" s="148">
        <f>IF(M31&lt;150001,ROUND(M31,0),150000)</f>
        <v>150000</v>
      </c>
      <c r="P32" s="149"/>
      <c r="Q32" s="65"/>
      <c r="R32" s="243" t="s">
        <v>144</v>
      </c>
      <c r="S32" s="449" t="s">
        <v>414</v>
      </c>
      <c r="T32" s="240"/>
      <c r="U32" s="105"/>
      <c r="V32" s="105"/>
      <c r="W32" s="105"/>
      <c r="AA32" s="30">
        <f>IF(AA31&gt;10000,10000,AA31)</f>
        <v>1500</v>
      </c>
      <c r="AB32" s="30">
        <f>IF(AA31&gt;50000,50000,AA31)</f>
        <v>1500</v>
      </c>
    </row>
    <row r="33" spans="1:28" ht="15.75" customHeight="1">
      <c r="A33" s="442"/>
      <c r="B33" s="491" t="s">
        <v>336</v>
      </c>
      <c r="C33" s="491"/>
      <c r="D33" s="491"/>
      <c r="E33" s="491"/>
      <c r="F33" s="491"/>
      <c r="G33" s="491"/>
      <c r="H33" s="491"/>
      <c r="I33" s="491"/>
      <c r="J33" s="491"/>
      <c r="K33" s="491"/>
      <c r="L33" s="491"/>
      <c r="M33" s="491"/>
      <c r="N33" s="213" t="s">
        <v>312</v>
      </c>
      <c r="O33" s="148">
        <f>IF('Master Data'!I30='GA55'!AN6,'GA55'!O27,0)</f>
        <v>78584</v>
      </c>
      <c r="P33" s="150"/>
      <c r="Q33" s="65"/>
      <c r="R33" s="516" t="s">
        <v>76</v>
      </c>
      <c r="S33" s="449"/>
      <c r="T33" s="240"/>
      <c r="U33" s="105"/>
      <c r="V33" s="105"/>
      <c r="W33" s="105"/>
      <c r="AA33" s="30">
        <f>IF('Master Data'!E24="Under 60",AA32,IF('Master Data'!E24="Above 60",AB32,IF('Master Data'!E24="Above 80",AB32,0)))</f>
        <v>1500</v>
      </c>
    </row>
    <row r="34" spans="1:28" ht="15.75" customHeight="1" thickBot="1">
      <c r="A34" s="442"/>
      <c r="B34" s="499" t="s">
        <v>338</v>
      </c>
      <c r="C34" s="499"/>
      <c r="D34" s="499"/>
      <c r="E34" s="499"/>
      <c r="F34" s="499"/>
      <c r="G34" s="499"/>
      <c r="H34" s="499"/>
      <c r="I34" s="499"/>
      <c r="J34" s="499"/>
      <c r="K34" s="499"/>
      <c r="L34" s="499"/>
      <c r="M34" s="499"/>
      <c r="N34" s="213" t="s">
        <v>312</v>
      </c>
      <c r="O34" s="245">
        <f>IF(T14=T1,0,IF(R33="Yes",AB35,0))</f>
        <v>0</v>
      </c>
      <c r="P34" s="150"/>
      <c r="Q34" s="150"/>
      <c r="R34" s="517"/>
      <c r="S34" s="450"/>
      <c r="T34" s="240"/>
      <c r="U34" s="105"/>
      <c r="V34" s="105"/>
      <c r="W34" s="105"/>
    </row>
    <row r="35" spans="1:28" ht="17.25" customHeight="1">
      <c r="A35" s="442"/>
      <c r="B35" s="487" t="s">
        <v>339</v>
      </c>
      <c r="C35" s="487"/>
      <c r="D35" s="487"/>
      <c r="E35" s="487"/>
      <c r="F35" s="487"/>
      <c r="G35" s="487"/>
      <c r="H35" s="487"/>
      <c r="I35" s="487"/>
      <c r="J35" s="487"/>
      <c r="K35" s="487"/>
      <c r="L35" s="487"/>
      <c r="M35" s="487"/>
      <c r="N35" s="213" t="s">
        <v>312</v>
      </c>
      <c r="O35" s="148">
        <f>SUM(O32:O34)</f>
        <v>228584</v>
      </c>
      <c r="P35" s="149"/>
      <c r="Q35" s="149"/>
      <c r="R35" s="105"/>
      <c r="S35" s="105"/>
      <c r="T35" s="240"/>
      <c r="U35" s="105"/>
      <c r="V35" s="105"/>
      <c r="W35" s="105"/>
      <c r="AB35" s="30">
        <f>IF('Master Data'!I30='GA55'!AN6,AA29,0)</f>
        <v>21364</v>
      </c>
    </row>
    <row r="36" spans="1:28" ht="15.75" customHeight="1">
      <c r="A36" s="442">
        <v>12</v>
      </c>
      <c r="B36" s="470" t="s">
        <v>340</v>
      </c>
      <c r="C36" s="470"/>
      <c r="D36" s="470"/>
      <c r="E36" s="470"/>
      <c r="F36" s="470"/>
      <c r="G36" s="470"/>
      <c r="H36" s="470"/>
      <c r="I36" s="470"/>
      <c r="J36" s="470"/>
      <c r="K36" s="470"/>
      <c r="L36" s="470"/>
      <c r="M36" s="470"/>
      <c r="N36" s="470"/>
      <c r="O36" s="490"/>
      <c r="P36" s="153"/>
      <c r="Q36" s="153"/>
      <c r="R36" s="105"/>
      <c r="S36" s="105"/>
      <c r="T36" s="240"/>
      <c r="U36" s="105"/>
      <c r="V36" s="105"/>
      <c r="W36" s="105"/>
    </row>
    <row r="37" spans="1:28" s="67" customFormat="1" ht="15.75" customHeight="1">
      <c r="A37" s="442"/>
      <c r="B37" s="454" t="s">
        <v>341</v>
      </c>
      <c r="C37" s="454"/>
      <c r="D37" s="454"/>
      <c r="E37" s="454"/>
      <c r="F37" s="454"/>
      <c r="G37" s="454"/>
      <c r="H37" s="454"/>
      <c r="I37" s="454"/>
      <c r="J37" s="454"/>
      <c r="K37" s="454"/>
      <c r="L37" s="454"/>
      <c r="M37" s="454"/>
      <c r="N37" s="213" t="s">
        <v>312</v>
      </c>
      <c r="O37" s="159">
        <f>IF(T14=T2,'Extra Ded. '!I15,"0")</f>
        <v>0</v>
      </c>
      <c r="P37" s="150"/>
      <c r="Q37" s="150"/>
      <c r="R37" s="105"/>
      <c r="S37" s="105"/>
      <c r="T37" s="241"/>
      <c r="U37" s="105"/>
      <c r="V37" s="105"/>
      <c r="W37" s="105"/>
    </row>
    <row r="38" spans="1:28" s="67" customFormat="1" ht="15.75">
      <c r="A38" s="442"/>
      <c r="B38" s="454" t="s">
        <v>342</v>
      </c>
      <c r="C38" s="454"/>
      <c r="D38" s="454"/>
      <c r="E38" s="454"/>
      <c r="F38" s="454"/>
      <c r="G38" s="454"/>
      <c r="H38" s="454"/>
      <c r="I38" s="454"/>
      <c r="J38" s="454"/>
      <c r="K38" s="454"/>
      <c r="L38" s="454"/>
      <c r="M38" s="454"/>
      <c r="N38" s="213" t="s">
        <v>312</v>
      </c>
      <c r="O38" s="159">
        <f>IF(T14=T2,'Extra Ded. '!I16,"0")</f>
        <v>0</v>
      </c>
      <c r="P38" s="150"/>
      <c r="Q38" s="150"/>
      <c r="T38" s="242"/>
      <c r="AB38" s="103">
        <f>'GA55'!N27+'GA55'!P27+'Extra Ded. '!E18+'Extra Ded. '!E20+'Extra Ded. '!E21+'GA55'!O27+'GA55'!Y27+'Extra Ded. '!E17+'Extra Ded. '!E12+'Extra Ded. '!E14+'Extra Ded. '!I12+'Extra Ded. '!E19+'Extra Ded. '!E16+'Extra Ded. '!I6+'Extra Ded. '!I8+'Extra Ded. '!E15+'Extra Ded. '!I10+'Extra Ded. '!E22+'Extra Ded. '!E24</f>
        <v>171364</v>
      </c>
    </row>
    <row r="39" spans="1:28" s="67" customFormat="1" ht="15.75">
      <c r="A39" s="442"/>
      <c r="B39" s="454" t="s">
        <v>343</v>
      </c>
      <c r="C39" s="454"/>
      <c r="D39" s="454"/>
      <c r="E39" s="454"/>
      <c r="F39" s="454"/>
      <c r="G39" s="454"/>
      <c r="H39" s="454"/>
      <c r="I39" s="454"/>
      <c r="J39" s="454"/>
      <c r="K39" s="454"/>
      <c r="L39" s="454"/>
      <c r="M39" s="454"/>
      <c r="N39" s="213" t="s">
        <v>312</v>
      </c>
      <c r="O39" s="159">
        <f>IF(T14=T2,'Extra Ded. '!I17,"0")</f>
        <v>0</v>
      </c>
      <c r="P39" s="150"/>
      <c r="Q39" s="150"/>
      <c r="R39" s="86"/>
      <c r="S39" s="86"/>
      <c r="T39" s="86"/>
      <c r="U39" s="86"/>
      <c r="V39" s="86"/>
      <c r="W39" s="86"/>
    </row>
    <row r="40" spans="1:28" s="67" customFormat="1" ht="15.75">
      <c r="A40" s="442"/>
      <c r="B40" s="454" t="s">
        <v>344</v>
      </c>
      <c r="C40" s="454"/>
      <c r="D40" s="454"/>
      <c r="E40" s="454"/>
      <c r="F40" s="454"/>
      <c r="G40" s="454"/>
      <c r="H40" s="454"/>
      <c r="I40" s="454"/>
      <c r="J40" s="454"/>
      <c r="K40" s="454"/>
      <c r="L40" s="454"/>
      <c r="M40" s="454"/>
      <c r="N40" s="213" t="s">
        <v>312</v>
      </c>
      <c r="O40" s="159">
        <f>IF(T14=T2,'Extra Ded. '!I18,"0")</f>
        <v>0</v>
      </c>
      <c r="P40" s="150"/>
      <c r="Q40" s="150"/>
      <c r="R40" s="86"/>
      <c r="S40" s="86"/>
      <c r="T40" s="86"/>
      <c r="U40" s="86"/>
      <c r="V40" s="86"/>
      <c r="W40" s="86"/>
      <c r="AB40" s="104">
        <f>'Extra Ded. '!I15+'Extra Ded. '!I16+'Extra Ded. '!I17+'Extra Ded. '!I18+('Extra Ded. '!I19+'GA55'!U27)+'Extra Ded. '!I20+AA33+'Extra Ded. '!I22</f>
        <v>1500</v>
      </c>
    </row>
    <row r="41" spans="1:28" s="67" customFormat="1" ht="15.75">
      <c r="A41" s="442"/>
      <c r="B41" s="454" t="s">
        <v>345</v>
      </c>
      <c r="C41" s="454"/>
      <c r="D41" s="454"/>
      <c r="E41" s="454"/>
      <c r="F41" s="454"/>
      <c r="G41" s="454"/>
      <c r="H41" s="454"/>
      <c r="I41" s="454"/>
      <c r="J41" s="454"/>
      <c r="K41" s="454"/>
      <c r="L41" s="454"/>
      <c r="M41" s="454"/>
      <c r="N41" s="213" t="s">
        <v>312</v>
      </c>
      <c r="O41" s="159">
        <f>IF(T14=T2,('Extra Ded. '!I19),"0")</f>
        <v>0</v>
      </c>
      <c r="P41" s="150"/>
      <c r="Q41" s="150"/>
      <c r="R41" s="451"/>
      <c r="S41" s="451"/>
      <c r="T41" s="451"/>
      <c r="U41" s="451"/>
      <c r="V41" s="451"/>
      <c r="W41" s="86"/>
    </row>
    <row r="42" spans="1:28" s="67" customFormat="1" ht="15.75">
      <c r="A42" s="442"/>
      <c r="B42" s="454" t="s">
        <v>346</v>
      </c>
      <c r="C42" s="454"/>
      <c r="D42" s="454"/>
      <c r="E42" s="454"/>
      <c r="F42" s="454"/>
      <c r="G42" s="454"/>
      <c r="H42" s="454"/>
      <c r="I42" s="454"/>
      <c r="J42" s="454"/>
      <c r="K42" s="454"/>
      <c r="L42" s="454"/>
      <c r="M42" s="454"/>
      <c r="N42" s="213" t="s">
        <v>312</v>
      </c>
      <c r="O42" s="159">
        <f>IF(T14=T2,'Extra Ded. '!I20,"0")</f>
        <v>0</v>
      </c>
      <c r="P42" s="150"/>
      <c r="Q42" s="150"/>
      <c r="R42" s="451"/>
      <c r="S42" s="451"/>
      <c r="T42" s="451"/>
      <c r="U42" s="451"/>
      <c r="V42" s="451"/>
      <c r="W42" s="86"/>
    </row>
    <row r="43" spans="1:28" s="67" customFormat="1" ht="15.75">
      <c r="A43" s="442"/>
      <c r="B43" s="454" t="s">
        <v>347</v>
      </c>
      <c r="C43" s="454"/>
      <c r="D43" s="454"/>
      <c r="E43" s="454"/>
      <c r="F43" s="454"/>
      <c r="G43" s="454"/>
      <c r="H43" s="454"/>
      <c r="I43" s="454"/>
      <c r="J43" s="454"/>
      <c r="K43" s="454"/>
      <c r="L43" s="454"/>
      <c r="M43" s="454"/>
      <c r="N43" s="213" t="s">
        <v>312</v>
      </c>
      <c r="O43" s="159">
        <f>IF(T14=T2,AA33,"0")</f>
        <v>1500</v>
      </c>
      <c r="P43" s="150"/>
      <c r="Q43" s="150"/>
      <c r="R43" s="451"/>
      <c r="S43" s="451"/>
      <c r="T43" s="451"/>
      <c r="U43" s="451"/>
      <c r="V43" s="451"/>
      <c r="W43" s="86"/>
    </row>
    <row r="44" spans="1:28" ht="15.75">
      <c r="A44" s="442"/>
      <c r="B44" s="454" t="s">
        <v>348</v>
      </c>
      <c r="C44" s="454"/>
      <c r="D44" s="454"/>
      <c r="E44" s="454"/>
      <c r="F44" s="454"/>
      <c r="G44" s="454"/>
      <c r="H44" s="454"/>
      <c r="I44" s="454"/>
      <c r="J44" s="454"/>
      <c r="K44" s="454"/>
      <c r="L44" s="454"/>
      <c r="M44" s="454"/>
      <c r="N44" s="213" t="s">
        <v>312</v>
      </c>
      <c r="O44" s="159">
        <f>IF(T14=T2,'Extra Ded. '!I22,"0")</f>
        <v>0</v>
      </c>
      <c r="P44" s="150"/>
      <c r="Q44" s="150"/>
      <c r="R44" s="452"/>
      <c r="S44" s="452"/>
      <c r="T44" s="235"/>
      <c r="U44" s="236"/>
      <c r="V44" s="236"/>
      <c r="W44" s="87"/>
    </row>
    <row r="45" spans="1:28" ht="15.75">
      <c r="A45" s="442"/>
      <c r="B45" s="456" t="s">
        <v>349</v>
      </c>
      <c r="C45" s="456"/>
      <c r="D45" s="456"/>
      <c r="E45" s="456"/>
      <c r="F45" s="456"/>
      <c r="G45" s="456"/>
      <c r="H45" s="456"/>
      <c r="I45" s="456"/>
      <c r="J45" s="456"/>
      <c r="K45" s="456"/>
      <c r="L45" s="456"/>
      <c r="M45" s="456"/>
      <c r="N45" s="213" t="s">
        <v>312</v>
      </c>
      <c r="O45" s="160">
        <f>SUM(O37:O44)</f>
        <v>1500</v>
      </c>
      <c r="P45" s="161"/>
      <c r="Q45" s="161"/>
      <c r="R45" s="452"/>
      <c r="S45" s="452"/>
      <c r="T45" s="235"/>
      <c r="U45" s="236"/>
      <c r="V45" s="236"/>
      <c r="W45" s="87"/>
    </row>
    <row r="46" spans="1:28" ht="15.75">
      <c r="A46" s="221">
        <v>13</v>
      </c>
      <c r="B46" s="453" t="s">
        <v>350</v>
      </c>
      <c r="C46" s="453"/>
      <c r="D46" s="453"/>
      <c r="E46" s="453"/>
      <c r="F46" s="453"/>
      <c r="G46" s="453"/>
      <c r="H46" s="453"/>
      <c r="I46" s="453"/>
      <c r="J46" s="453"/>
      <c r="K46" s="453"/>
      <c r="L46" s="453"/>
      <c r="M46" s="453"/>
      <c r="N46" s="213" t="s">
        <v>312</v>
      </c>
      <c r="O46" s="148">
        <f>O35+O45</f>
        <v>230084</v>
      </c>
      <c r="P46" s="150"/>
      <c r="Q46" s="150"/>
      <c r="R46" s="87"/>
      <c r="S46" s="87"/>
      <c r="T46" s="87"/>
      <c r="U46" s="87"/>
      <c r="V46" s="87"/>
      <c r="W46" s="87"/>
    </row>
    <row r="47" spans="1:28" ht="15.75">
      <c r="A47" s="221">
        <v>14</v>
      </c>
      <c r="B47" s="454" t="s">
        <v>351</v>
      </c>
      <c r="C47" s="454"/>
      <c r="D47" s="454"/>
      <c r="E47" s="454"/>
      <c r="F47" s="454"/>
      <c r="G47" s="454"/>
      <c r="H47" s="454"/>
      <c r="I47" s="454"/>
      <c r="J47" s="454"/>
      <c r="K47" s="454"/>
      <c r="L47" s="454"/>
      <c r="M47" s="454"/>
      <c r="N47" s="213" t="s">
        <v>312</v>
      </c>
      <c r="O47" s="148">
        <f>(O18-O46)</f>
        <v>653974</v>
      </c>
      <c r="P47" s="150"/>
      <c r="Q47" s="150"/>
      <c r="R47" s="87"/>
      <c r="S47" s="87"/>
      <c r="T47" s="87"/>
      <c r="U47" s="87"/>
      <c r="V47" s="87"/>
      <c r="W47" s="87"/>
    </row>
    <row r="48" spans="1:28" s="67" customFormat="1" ht="15.75">
      <c r="A48" s="221">
        <v>15</v>
      </c>
      <c r="B48" s="453" t="s">
        <v>352</v>
      </c>
      <c r="C48" s="453"/>
      <c r="D48" s="453"/>
      <c r="E48" s="453"/>
      <c r="F48" s="453"/>
      <c r="G48" s="453"/>
      <c r="H48" s="453"/>
      <c r="I48" s="453"/>
      <c r="J48" s="453"/>
      <c r="K48" s="453"/>
      <c r="L48" s="453"/>
      <c r="M48" s="453"/>
      <c r="N48" s="213" t="s">
        <v>312</v>
      </c>
      <c r="O48" s="148">
        <f>ROUND(O47,-1)</f>
        <v>653970</v>
      </c>
      <c r="P48" s="149"/>
      <c r="Q48" s="149"/>
    </row>
    <row r="49" spans="1:31" s="67" customFormat="1" ht="15.75">
      <c r="A49" s="442">
        <v>16</v>
      </c>
      <c r="B49" s="454" t="s">
        <v>353</v>
      </c>
      <c r="C49" s="454"/>
      <c r="D49" s="454"/>
      <c r="E49" s="454"/>
      <c r="F49" s="454"/>
      <c r="G49" s="454"/>
      <c r="H49" s="454"/>
      <c r="I49" s="454"/>
      <c r="J49" s="454"/>
      <c r="K49" s="454"/>
      <c r="L49" s="454"/>
      <c r="M49" s="454"/>
      <c r="N49" s="454"/>
      <c r="O49" s="473"/>
      <c r="P49" s="162"/>
      <c r="Q49" s="162"/>
      <c r="X49" s="448" t="s">
        <v>142</v>
      </c>
      <c r="Y49" s="448"/>
      <c r="Z49" s="448"/>
      <c r="AB49" s="448" t="s">
        <v>143</v>
      </c>
      <c r="AC49" s="448"/>
      <c r="AD49" s="448"/>
    </row>
    <row r="50" spans="1:31" s="67" customFormat="1" ht="15.75">
      <c r="A50" s="442"/>
      <c r="B50" s="474" t="s">
        <v>354</v>
      </c>
      <c r="C50" s="474"/>
      <c r="D50" s="474"/>
      <c r="E50" s="474"/>
      <c r="F50" s="474" t="s">
        <v>355</v>
      </c>
      <c r="G50" s="474"/>
      <c r="H50" s="474"/>
      <c r="I50" s="474"/>
      <c r="J50" s="474" t="s">
        <v>356</v>
      </c>
      <c r="K50" s="474"/>
      <c r="L50" s="474"/>
      <c r="M50" s="474"/>
      <c r="N50" s="222"/>
      <c r="O50" s="227"/>
      <c r="P50" s="163"/>
      <c r="Q50" s="237"/>
      <c r="R50" s="86"/>
      <c r="S50" s="86"/>
      <c r="T50" s="86"/>
      <c r="U50" s="86"/>
      <c r="V50" s="86"/>
      <c r="W50" s="86"/>
      <c r="X50" s="67">
        <v>0</v>
      </c>
      <c r="Y50" s="67">
        <v>0</v>
      </c>
      <c r="Z50" s="67">
        <v>0</v>
      </c>
      <c r="AA50" s="100">
        <v>0</v>
      </c>
      <c r="AB50" s="67">
        <v>0</v>
      </c>
      <c r="AC50" s="67">
        <v>0</v>
      </c>
      <c r="AD50" s="67">
        <v>0</v>
      </c>
      <c r="AE50" s="101">
        <v>0</v>
      </c>
    </row>
    <row r="51" spans="1:31" s="67" customFormat="1" ht="15.75">
      <c r="A51" s="442"/>
      <c r="B51" s="443" t="s">
        <v>139</v>
      </c>
      <c r="C51" s="443"/>
      <c r="D51" s="443"/>
      <c r="E51" s="164">
        <v>0</v>
      </c>
      <c r="F51" s="443" t="str">
        <f>IF(T14=T2,"Up to Rs. 3,00,000","Up to Rs. 2,50,000")</f>
        <v>Up to Rs. 3,00,000</v>
      </c>
      <c r="G51" s="443"/>
      <c r="H51" s="443"/>
      <c r="I51" s="164">
        <v>0</v>
      </c>
      <c r="J51" s="443" t="str">
        <f>IF(T14=T2,"","Up to Rs. 2,50,000")</f>
        <v/>
      </c>
      <c r="K51" s="443"/>
      <c r="L51" s="443"/>
      <c r="M51" s="164">
        <v>0</v>
      </c>
      <c r="N51" s="213" t="s">
        <v>312</v>
      </c>
      <c r="O51" s="165">
        <v>0</v>
      </c>
      <c r="P51" s="166"/>
      <c r="Q51" s="235"/>
      <c r="R51" s="86"/>
      <c r="S51" s="86"/>
      <c r="T51" s="86"/>
      <c r="U51" s="86"/>
      <c r="V51" s="86"/>
      <c r="W51" s="86"/>
      <c r="X51" s="67">
        <f>ROUND(IF(O48&lt;=250000,0,IF(O48&gt;=500000,12500,IF(O48&lt;=500000,0+(O48-250000)*0.05))),0)</f>
        <v>12500</v>
      </c>
      <c r="Y51" s="67">
        <f>ROUND(IF(O48&lt;=300000,0,IF(O48&gt;=500000,10000,IF(O48&lt;=500000,(O48-300000)*0.05))),0)</f>
        <v>10000</v>
      </c>
      <c r="Z51" s="67">
        <v>0</v>
      </c>
      <c r="AA51" s="100">
        <f>IF('Master Data'!$E$24="Under 60",X51,IF('Master Data'!$E$24="Above 60",Y51,Z51))</f>
        <v>12500</v>
      </c>
      <c r="AB51" s="67">
        <f>ROUND(IF(O48&lt;250001,0,IF(O48&gt;500000,12500,((O48-250000)*0.05))),0)</f>
        <v>12500</v>
      </c>
      <c r="AC51" s="67">
        <f>ROUND(IF(O48&lt;250001,0,IF(O48&gt;500000,12500,((O48-250000)*0.05))),0)</f>
        <v>12500</v>
      </c>
      <c r="AD51" s="67">
        <f>ROUND(IF(O48&lt;250001,0,IF(O48&gt;500000,12500,((O48-250000)*0.05))),0)</f>
        <v>12500</v>
      </c>
      <c r="AE51" s="101">
        <f>IF('Master Data'!$E$24="Under 60",AB51,IF('Master Data'!$E$24="Above 60",AC51,AD51))</f>
        <v>12500</v>
      </c>
    </row>
    <row r="52" spans="1:31" s="67" customFormat="1" ht="15.75">
      <c r="A52" s="442"/>
      <c r="B52" s="443" t="s">
        <v>141</v>
      </c>
      <c r="C52" s="443"/>
      <c r="D52" s="443"/>
      <c r="E52" s="164">
        <v>0.05</v>
      </c>
      <c r="F52" s="443" t="str">
        <f>IF(T14=T2,"3,00,001 to 5,00,000"," 2,50,001 to  5,00,000")</f>
        <v>3,00,001 to 5,00,000</v>
      </c>
      <c r="G52" s="443"/>
      <c r="H52" s="443"/>
      <c r="I52" s="164">
        <v>0.05</v>
      </c>
      <c r="J52" s="443" t="str">
        <f>IF(T14=T2,"Up to Rs. 5,00,000","2,50,001 to  5,00,000")</f>
        <v>Up to Rs. 5,00,000</v>
      </c>
      <c r="K52" s="443"/>
      <c r="L52" s="443"/>
      <c r="M52" s="217" t="str">
        <f>IF(T14=T2,"0%","5%")</f>
        <v>0%</v>
      </c>
      <c r="N52" s="213" t="s">
        <v>312</v>
      </c>
      <c r="O52" s="165">
        <f>IF($T$14=$T$2,AA51,AE51)</f>
        <v>12500</v>
      </c>
      <c r="P52" s="166"/>
      <c r="Q52" s="235"/>
      <c r="R52" s="86"/>
      <c r="S52" s="86"/>
      <c r="T52" s="86"/>
      <c r="U52" s="86"/>
      <c r="V52" s="86"/>
      <c r="W52" s="86"/>
      <c r="X52" s="67">
        <f>ROUND(IF(O48&lt;=500000,0,IF(O48&gt;=1000000,100000,IF(O48&lt;=1000000,(O48-500000)*0.2,"0"))),0)</f>
        <v>30794</v>
      </c>
      <c r="Y52" s="67">
        <f>ROUND(IF(O48&lt;=500000,0,IF(O48&gt;=1000000,100000,IF(O48&lt;=1000000,(O48-500000)*0.2,"0"))),0)</f>
        <v>30794</v>
      </c>
      <c r="Z52" s="67">
        <f>ROUND(IF(O48&lt;=500000,0,IF(O48&gt;=1000000,100000,IF(O48&lt;=1000000,(O48-500000)*0.2,"0"))),0)</f>
        <v>30794</v>
      </c>
      <c r="AA52" s="100">
        <f>IF('Master Data'!$E$24="Under 60",X52,IF('Master Data'!$E$24="Above 60",Y52,Z52))</f>
        <v>30794</v>
      </c>
      <c r="AB52" s="67">
        <f>ROUND(IF(O48&lt;500001,0,IF(O48&gt;750000,25000,((O48-500000)*0.1))),0)</f>
        <v>15397</v>
      </c>
      <c r="AC52" s="67">
        <f>ROUND(IF(O48&lt;500001,0,IF(O48&gt;750000,25000,((O48-500000)*0.1))),0)</f>
        <v>15397</v>
      </c>
      <c r="AD52" s="67">
        <f>ROUND(IF(O48&lt;500001,0,IF(O48&gt;750000,25000,((O48-500000)*0.1))),0)</f>
        <v>15397</v>
      </c>
      <c r="AE52" s="101">
        <f>IF('Master Data'!$E$24="Under 60",AB52,IF('Master Data'!$E$24="Above 60",AC52,AD52))</f>
        <v>15397</v>
      </c>
    </row>
    <row r="53" spans="1:31" s="67" customFormat="1" ht="15.75">
      <c r="A53" s="442"/>
      <c r="B53" s="443" t="str">
        <f>IF(T14=T2,"5,00,001 to 10,00,000","5,00,001  to  7,50,000")</f>
        <v>5,00,001 to 10,00,000</v>
      </c>
      <c r="C53" s="443"/>
      <c r="D53" s="443"/>
      <c r="E53" s="164" t="str">
        <f>IF(T14=T2,"20%","10%")</f>
        <v>20%</v>
      </c>
      <c r="F53" s="443" t="str">
        <f>IF(T14=T2,"5,00,001 to 10,00,000","5,00,001  to  7,50,000")</f>
        <v>5,00,001 to 10,00,000</v>
      </c>
      <c r="G53" s="443"/>
      <c r="H53" s="443"/>
      <c r="I53" s="164" t="str">
        <f>IF(T14=T2,"20%","10%")</f>
        <v>20%</v>
      </c>
      <c r="J53" s="443" t="str">
        <f>IF(T14=T2,"5,00,001 to 10,00,000","5,00,001  to  7,50,000")</f>
        <v>5,00,001 to 10,00,000</v>
      </c>
      <c r="K53" s="443"/>
      <c r="L53" s="443"/>
      <c r="M53" s="164" t="str">
        <f>IF(T14=T2,"20%","10%")</f>
        <v>20%</v>
      </c>
      <c r="N53" s="213" t="s">
        <v>312</v>
      </c>
      <c r="O53" s="165">
        <f t="shared" ref="O53:O56" si="0">IF($T$14=$T$2,AA52,AE52)</f>
        <v>30794</v>
      </c>
      <c r="P53" s="166"/>
      <c r="Q53" s="235"/>
      <c r="R53" s="86"/>
      <c r="S53" s="86"/>
      <c r="T53" s="86"/>
      <c r="U53" s="86"/>
      <c r="V53" s="86"/>
      <c r="W53" s="86"/>
      <c r="X53" s="67">
        <f>ROUND(IF(O48&gt;1000000,(O48-1000000)*0.3,"0"),0)</f>
        <v>0</v>
      </c>
      <c r="Y53" s="67">
        <f>ROUND(IF(O48&gt;1000000,(O48-1000000)*0.3,"0"),0)</f>
        <v>0</v>
      </c>
      <c r="Z53" s="67">
        <f>ROUND(IF(O48&gt;1000000,(O48-1000000)*0.3,"0"),0)</f>
        <v>0</v>
      </c>
      <c r="AA53" s="100">
        <f>IF('Master Data'!$E$24="Under 60",X53,IF('Master Data'!$E$24="Above 60",Y53,Z53))</f>
        <v>0</v>
      </c>
      <c r="AB53" s="67">
        <f>ROUND(IF(O48&lt;750001,0,IF(O48&gt;1000000,37500,((O48-750000)*0.15))),0)</f>
        <v>0</v>
      </c>
      <c r="AC53" s="67">
        <f>ROUND(IF(O48&lt;750001,0,IF(O48&gt;1000000,37500,((O48-750000)*0.15))),0)</f>
        <v>0</v>
      </c>
      <c r="AD53" s="67">
        <f>ROUND(IF(O48&lt;750001,0,IF(O48&gt;1000000,37500,((O48-750000)*0.15))),0)</f>
        <v>0</v>
      </c>
      <c r="AE53" s="101">
        <f>IF('Master Data'!$E$24="Under 60",AB53,IF('Master Data'!$E$24="Above 60",AC53,AD53))</f>
        <v>0</v>
      </c>
    </row>
    <row r="54" spans="1:31" s="67" customFormat="1" ht="15.75">
      <c r="A54" s="442"/>
      <c r="B54" s="443" t="str">
        <f>IF(T14=T2,"Above  10,00,000"," 7,50,001 to  10,00,000")</f>
        <v>Above  10,00,000</v>
      </c>
      <c r="C54" s="464"/>
      <c r="D54" s="464"/>
      <c r="E54" s="164" t="str">
        <f>IF(T14=T2,"30%","15%")</f>
        <v>30%</v>
      </c>
      <c r="F54" s="443" t="str">
        <f>IF(T14=T2,"Above  10,00,000"," 7,50,001 to  10,00,000")</f>
        <v>Above  10,00,000</v>
      </c>
      <c r="G54" s="443"/>
      <c r="H54" s="443"/>
      <c r="I54" s="164" t="str">
        <f>IF(T14=T2,"30%","15%")</f>
        <v>30%</v>
      </c>
      <c r="J54" s="443" t="str">
        <f>IF(T14=T2,"Above  10,00,000"," 7,50,001 to  10,00,000")</f>
        <v>Above  10,00,000</v>
      </c>
      <c r="K54" s="443"/>
      <c r="L54" s="443"/>
      <c r="M54" s="164" t="str">
        <f>IF(T14=T2,"30%","15%")</f>
        <v>30%</v>
      </c>
      <c r="N54" s="213" t="s">
        <v>312</v>
      </c>
      <c r="O54" s="165">
        <f t="shared" si="0"/>
        <v>0</v>
      </c>
      <c r="P54" s="166"/>
      <c r="Q54" s="235"/>
      <c r="R54" s="86"/>
      <c r="S54" s="86"/>
      <c r="T54" s="86"/>
      <c r="U54" s="86"/>
      <c r="V54" s="86"/>
      <c r="W54" s="86"/>
      <c r="AA54" s="100">
        <f>IF('Master Data'!$E$24="Under 60",X54,IF('Master Data'!$E$24="Above 60",Y54,Z54))</f>
        <v>0</v>
      </c>
      <c r="AB54" s="67">
        <f>ROUND(IF(O48&lt;1000001,0,IF(O48&gt;1250000,50000,((O48-1000000)*0.2))),0)</f>
        <v>0</v>
      </c>
      <c r="AC54" s="67">
        <f>ROUND(IF(O48&lt;1000001,0,IF(O48&gt;1250000,50000,((O48-1000000)*0.2))),0)</f>
        <v>0</v>
      </c>
      <c r="AD54" s="67">
        <f>ROUND(IF(O48&lt;1000001,0,IF(O48&gt;1250000,50000,((O48-1000000)*0.2))),0)</f>
        <v>0</v>
      </c>
      <c r="AE54" s="101">
        <f>IF('Master Data'!$E$24="Under 60",AB54,IF('Master Data'!$E$24="Above 60",AC54,AD54))</f>
        <v>0</v>
      </c>
    </row>
    <row r="55" spans="1:31" s="67" customFormat="1" ht="15.75">
      <c r="A55" s="442"/>
      <c r="B55" s="443" t="str">
        <f>IF(T14=T2," ","10,00,001 to  12,50,000")</f>
        <v xml:space="preserve"> </v>
      </c>
      <c r="C55" s="464"/>
      <c r="D55" s="464"/>
      <c r="E55" s="164" t="str">
        <f>IF(T14=T2," ","20%")</f>
        <v xml:space="preserve"> </v>
      </c>
      <c r="F55" s="443" t="str">
        <f>IF(T14=T2," ","10,00,001 to  12,50,000")</f>
        <v xml:space="preserve"> </v>
      </c>
      <c r="G55" s="443"/>
      <c r="H55" s="443"/>
      <c r="I55" s="164" t="str">
        <f>IF(T14=T2," ","20%")</f>
        <v xml:space="preserve"> </v>
      </c>
      <c r="J55" s="443" t="str">
        <f>IF(T14=T2," ","10,00,001 to  12,50,000")</f>
        <v xml:space="preserve"> </v>
      </c>
      <c r="K55" s="443"/>
      <c r="L55" s="443"/>
      <c r="M55" s="164" t="str">
        <f>IF(T14=T2," ","20%")</f>
        <v xml:space="preserve"> </v>
      </c>
      <c r="N55" s="218" t="str">
        <f>IF(T14=T2," ","रु.")</f>
        <v xml:space="preserve"> </v>
      </c>
      <c r="O55" s="165">
        <f>IF($T$14=$T$2,AA54,AE54)</f>
        <v>0</v>
      </c>
      <c r="P55" s="166"/>
      <c r="Q55" s="235"/>
      <c r="R55" s="462"/>
      <c r="S55" s="462"/>
      <c r="T55" s="462"/>
      <c r="U55" s="462"/>
      <c r="V55" s="462"/>
      <c r="W55" s="86"/>
      <c r="AA55" s="100">
        <f>IF('Master Data'!$E$24="Under 60",X55,IF('Master Data'!$E$24="Above 60",Y55,Z55))</f>
        <v>0</v>
      </c>
      <c r="AB55" s="67">
        <f>ROUND(IF(O48&lt;1250001,0,IF(O48&gt;1500000,62500,((O48-1250000)*0.25))),0)</f>
        <v>0</v>
      </c>
      <c r="AC55" s="67">
        <f>ROUND(IF(O48&lt;1250001,0,IF(O48&gt;1500000,62500,((O48-1250000)*0.25))),0)</f>
        <v>0</v>
      </c>
      <c r="AD55" s="67">
        <f>ROUND(IF(O48&lt;1250001,0,IF(O48&gt;1500000,62500,((O48-1250000)*0.25))),0)</f>
        <v>0</v>
      </c>
      <c r="AE55" s="101">
        <f>IF('Master Data'!$E$24="Under 60",AB55,IF('Master Data'!$E$24="Above 60",AC55,AD55))</f>
        <v>0</v>
      </c>
    </row>
    <row r="56" spans="1:31" s="67" customFormat="1" ht="16.5" customHeight="1">
      <c r="A56" s="442"/>
      <c r="B56" s="443" t="str">
        <f>IF(T14=T2," ","12,50,001 to  15,00,000")</f>
        <v xml:space="preserve"> </v>
      </c>
      <c r="C56" s="464"/>
      <c r="D56" s="464"/>
      <c r="E56" s="164" t="str">
        <f>IF(T14=T2," ","25%")</f>
        <v xml:space="preserve"> </v>
      </c>
      <c r="F56" s="443" t="str">
        <f>IF(T14=T2," ","12,50,001 to  15,00,000")</f>
        <v xml:space="preserve"> </v>
      </c>
      <c r="G56" s="443"/>
      <c r="H56" s="443"/>
      <c r="I56" s="164" t="str">
        <f>IF(T14=T2," ","25%")</f>
        <v xml:space="preserve"> </v>
      </c>
      <c r="J56" s="443" t="str">
        <f>IF(T14=T2," ","12,50,001 to  15,00,000")</f>
        <v xml:space="preserve"> </v>
      </c>
      <c r="K56" s="443"/>
      <c r="L56" s="443"/>
      <c r="M56" s="164" t="str">
        <f>IF(T14=T2," ","25%")</f>
        <v xml:space="preserve"> </v>
      </c>
      <c r="N56" s="218" t="str">
        <f>IF(T14=T2," ","रु.")</f>
        <v xml:space="preserve"> </v>
      </c>
      <c r="O56" s="165">
        <f t="shared" si="0"/>
        <v>0</v>
      </c>
      <c r="P56" s="166"/>
      <c r="Q56" s="235"/>
      <c r="R56" s="462"/>
      <c r="S56" s="462"/>
      <c r="T56" s="462"/>
      <c r="U56" s="462"/>
      <c r="V56" s="462"/>
      <c r="W56" s="86"/>
      <c r="AA56" s="100">
        <f>IF('Master Data'!$E$24="Under 60",X56,IF('Master Data'!$E$24="Above 60",Y56,Z56))</f>
        <v>0</v>
      </c>
      <c r="AB56" s="67">
        <f>ROUND(IF(O48&lt;1500001,0,(O48-1500000)*0.3),0)</f>
        <v>0</v>
      </c>
      <c r="AC56" s="67">
        <f>ROUND(IF(O48&lt;1500001,0,(O48-1500000)*0.3),0)</f>
        <v>0</v>
      </c>
      <c r="AD56" s="67">
        <f>ROUND(IF(O48&lt;1500001,0,(O48-1500000)*0.3),0)</f>
        <v>0</v>
      </c>
      <c r="AE56" s="101">
        <f>IF('Master Data'!$E$24="Under 60",AB56,IF('Master Data'!$E$24="Above 60",AC56,AD56))</f>
        <v>0</v>
      </c>
    </row>
    <row r="57" spans="1:31" s="67" customFormat="1" ht="15.75">
      <c r="A57" s="442"/>
      <c r="B57" s="443" t="str">
        <f>IF(T14=T2," ","Above Rs. 15,00,000")</f>
        <v xml:space="preserve"> </v>
      </c>
      <c r="C57" s="464"/>
      <c r="D57" s="464"/>
      <c r="E57" s="164" t="str">
        <f>IF(T14=T2," ","30%")</f>
        <v xml:space="preserve"> </v>
      </c>
      <c r="F57" s="443" t="str">
        <f>IF(T14=T2," ","Above Rs. 15,00,000")</f>
        <v xml:space="preserve"> </v>
      </c>
      <c r="G57" s="443"/>
      <c r="H57" s="443"/>
      <c r="I57" s="164" t="str">
        <f>IF(T14=T2," ","30%")</f>
        <v xml:space="preserve"> </v>
      </c>
      <c r="J57" s="443" t="str">
        <f>IF(T14=T2," ","Above Rs. 15,00,000")</f>
        <v xml:space="preserve"> </v>
      </c>
      <c r="K57" s="443"/>
      <c r="L57" s="443"/>
      <c r="M57" s="164" t="str">
        <f>IF(T14=T2," ","30%")</f>
        <v xml:space="preserve"> </v>
      </c>
      <c r="N57" s="218" t="str">
        <f>IF(T14=T2," ","रु.")</f>
        <v xml:space="preserve"> </v>
      </c>
      <c r="O57" s="165">
        <f>IF($T$14=$T$2,AA56,AE56)</f>
        <v>0</v>
      </c>
      <c r="P57" s="166"/>
      <c r="Q57" s="235"/>
      <c r="R57" s="462"/>
      <c r="S57" s="462"/>
      <c r="T57" s="462"/>
      <c r="U57" s="462"/>
      <c r="V57" s="462"/>
      <c r="W57" s="86"/>
      <c r="X57" s="67">
        <f>SUM(X50:X53)</f>
        <v>43294</v>
      </c>
      <c r="Y57" s="67">
        <f t="shared" ref="Y57:Z57" si="1">SUM(Y50:Y53)</f>
        <v>40794</v>
      </c>
      <c r="Z57" s="67">
        <f t="shared" si="1"/>
        <v>30794</v>
      </c>
      <c r="AA57" s="100">
        <f>IF('Master Data'!$E$24="Under 60",X57,IF('Master Data'!$E$24="Above 60",Y57,Z57))</f>
        <v>43294</v>
      </c>
      <c r="AB57" s="67">
        <f>SUM(AB50:AB56)</f>
        <v>27897</v>
      </c>
      <c r="AC57" s="67">
        <f t="shared" ref="AC57:AD57" si="2">SUM(AC50:AC56)</f>
        <v>27897</v>
      </c>
      <c r="AD57" s="67">
        <f t="shared" si="2"/>
        <v>27897</v>
      </c>
      <c r="AE57" s="101">
        <f>IF('Master Data'!$E$24="Under 60",AB57,IF('Master Data'!$E$24="Above 60",AC57,AD57))</f>
        <v>27897</v>
      </c>
    </row>
    <row r="58" spans="1:31" s="67" customFormat="1" ht="15.75">
      <c r="A58" s="442"/>
      <c r="B58" s="444" t="s">
        <v>357</v>
      </c>
      <c r="C58" s="444"/>
      <c r="D58" s="444"/>
      <c r="E58" s="444"/>
      <c r="F58" s="444"/>
      <c r="G58" s="444"/>
      <c r="H58" s="444"/>
      <c r="I58" s="444"/>
      <c r="J58" s="444"/>
      <c r="K58" s="444"/>
      <c r="L58" s="444"/>
      <c r="M58" s="444"/>
      <c r="N58" s="213" t="s">
        <v>312</v>
      </c>
      <c r="O58" s="148">
        <f>SUM(O51:O57)</f>
        <v>43294</v>
      </c>
      <c r="P58" s="149"/>
      <c r="Q58" s="238"/>
      <c r="R58" s="86"/>
      <c r="S58" s="86"/>
      <c r="T58" s="86"/>
      <c r="U58" s="86"/>
      <c r="V58" s="86"/>
      <c r="W58" s="86"/>
    </row>
    <row r="59" spans="1:31" s="67" customFormat="1" ht="15.75">
      <c r="A59" s="442"/>
      <c r="B59" s="463" t="s">
        <v>358</v>
      </c>
      <c r="C59" s="463"/>
      <c r="D59" s="463"/>
      <c r="E59" s="463"/>
      <c r="F59" s="463"/>
      <c r="G59" s="463"/>
      <c r="H59" s="463"/>
      <c r="I59" s="463"/>
      <c r="J59" s="463"/>
      <c r="K59" s="463"/>
      <c r="L59" s="463"/>
      <c r="M59" s="463"/>
      <c r="N59" s="213" t="s">
        <v>312</v>
      </c>
      <c r="O59" s="148">
        <f>IF(O48&gt;500000,0,IF(O58&lt;12500,O58,12500))</f>
        <v>0</v>
      </c>
      <c r="P59" s="150"/>
      <c r="Q59" s="461"/>
      <c r="R59" s="461"/>
      <c r="S59" s="461"/>
      <c r="T59" s="86"/>
      <c r="U59" s="86"/>
      <c r="V59" s="86"/>
      <c r="W59" s="86"/>
      <c r="X59" s="67">
        <f>ROUND(IF(O48&lt;=250000,0,IF(O48&lt;=500000,(O48-250000)*0.05,IF(O48&lt;=1000000,12500+(O48-500000)*0.2,IF(O48&gt;1000000,112500+(O48-1000000)*0.3,"0")))),0)</f>
        <v>43294</v>
      </c>
      <c r="Y59" s="67">
        <f>ROUND(IF(O48&lt;=300000,0,IF(O48&lt;=500000,(O48-300000)*0.05,IF(O48&lt;=1000000,10000+(O48-500000)*0.2,IF(O48&gt;1000000,110000+(O48-1000000)*0.3,"0")))),0)</f>
        <v>40794</v>
      </c>
      <c r="Z59" s="67">
        <f>ROUND(IF(O48&lt;=250000,0,IF(O48&lt;=500000,(O48-250000)*0.05,IF(O48&lt;=1000000,0+(O48-500000)*0.2,IF(O48&gt;1000000,100000+(O48-1000000)*0.3,"0")))),0)</f>
        <v>30794</v>
      </c>
    </row>
    <row r="60" spans="1:31" s="67" customFormat="1" ht="15.75">
      <c r="A60" s="442"/>
      <c r="B60" s="444" t="s">
        <v>359</v>
      </c>
      <c r="C60" s="444"/>
      <c r="D60" s="444"/>
      <c r="E60" s="444"/>
      <c r="F60" s="444"/>
      <c r="G60" s="444"/>
      <c r="H60" s="444"/>
      <c r="I60" s="444"/>
      <c r="J60" s="444"/>
      <c r="K60" s="444"/>
      <c r="L60" s="444"/>
      <c r="M60" s="444"/>
      <c r="N60" s="213" t="s">
        <v>312</v>
      </c>
      <c r="O60" s="148">
        <f>O58-O59</f>
        <v>43294</v>
      </c>
      <c r="P60" s="149"/>
      <c r="Q60" s="461"/>
      <c r="R60" s="461"/>
      <c r="S60" s="461"/>
      <c r="T60" s="86"/>
      <c r="U60" s="86"/>
      <c r="V60" s="86"/>
      <c r="W60" s="86"/>
      <c r="Y60" s="67">
        <f>IF(T63&gt;350000,0,IF(T63&lt;2501,T63,2500))</f>
        <v>0</v>
      </c>
    </row>
    <row r="61" spans="1:31" ht="15.75">
      <c r="A61" s="442"/>
      <c r="B61" s="223" t="s">
        <v>360</v>
      </c>
      <c r="C61" s="463" t="s">
        <v>455</v>
      </c>
      <c r="D61" s="463"/>
      <c r="E61" s="463"/>
      <c r="F61" s="463"/>
      <c r="G61" s="463"/>
      <c r="H61" s="463"/>
      <c r="I61" s="463"/>
      <c r="J61" s="463"/>
      <c r="K61" s="463"/>
      <c r="L61" s="463"/>
      <c r="M61" s="463"/>
      <c r="N61" s="213" t="s">
        <v>312</v>
      </c>
      <c r="O61" s="148">
        <f>ROUND((O60*0.04),0)</f>
        <v>1732</v>
      </c>
      <c r="P61" s="150"/>
      <c r="Q61" s="150"/>
    </row>
    <row r="62" spans="1:31" ht="15.75">
      <c r="A62" s="442"/>
      <c r="B62" s="466" t="s">
        <v>362</v>
      </c>
      <c r="C62" s="467"/>
      <c r="D62" s="467"/>
      <c r="E62" s="467"/>
      <c r="F62" s="467"/>
      <c r="G62" s="467"/>
      <c r="H62" s="467"/>
      <c r="I62" s="467"/>
      <c r="J62" s="467"/>
      <c r="K62" s="467"/>
      <c r="L62" s="467"/>
      <c r="M62" s="468"/>
      <c r="N62" s="213" t="s">
        <v>312</v>
      </c>
      <c r="O62" s="148">
        <f>SUM(O60:O61)</f>
        <v>45026</v>
      </c>
      <c r="P62" s="149"/>
      <c r="Q62" s="149"/>
    </row>
    <row r="63" spans="1:31" ht="15.75">
      <c r="A63" s="221">
        <v>17</v>
      </c>
      <c r="B63" s="469" t="s">
        <v>361</v>
      </c>
      <c r="C63" s="469"/>
      <c r="D63" s="469"/>
      <c r="E63" s="469"/>
      <c r="F63" s="469"/>
      <c r="G63" s="469"/>
      <c r="H63" s="469"/>
      <c r="I63" s="469"/>
      <c r="J63" s="469"/>
      <c r="K63" s="469"/>
      <c r="L63" s="469"/>
      <c r="M63" s="469"/>
      <c r="N63" s="213" t="s">
        <v>312</v>
      </c>
      <c r="O63" s="148">
        <f>'Extra Ded. '!I24</f>
        <v>0</v>
      </c>
      <c r="P63" s="150"/>
      <c r="Q63" s="150"/>
    </row>
    <row r="64" spans="1:31" ht="15.75">
      <c r="A64" s="221">
        <v>18</v>
      </c>
      <c r="B64" s="470" t="s">
        <v>363</v>
      </c>
      <c r="C64" s="470"/>
      <c r="D64" s="470"/>
      <c r="E64" s="470"/>
      <c r="F64" s="470"/>
      <c r="G64" s="470"/>
      <c r="H64" s="470"/>
      <c r="I64" s="470"/>
      <c r="J64" s="470"/>
      <c r="K64" s="470"/>
      <c r="L64" s="470"/>
      <c r="M64" s="470"/>
      <c r="N64" s="213" t="s">
        <v>312</v>
      </c>
      <c r="O64" s="148">
        <f>O62-O63</f>
        <v>45026</v>
      </c>
      <c r="P64" s="149"/>
      <c r="Q64" s="149"/>
    </row>
    <row r="65" spans="1:26" ht="31.5" customHeight="1">
      <c r="A65" s="442">
        <v>19</v>
      </c>
      <c r="B65" s="457" t="s">
        <v>364</v>
      </c>
      <c r="C65" s="457"/>
      <c r="D65" s="457"/>
      <c r="E65" s="457" t="s">
        <v>447</v>
      </c>
      <c r="F65" s="457"/>
      <c r="G65" s="457"/>
      <c r="H65" s="458" t="s">
        <v>448</v>
      </c>
      <c r="I65" s="459"/>
      <c r="J65" s="233" t="s">
        <v>449</v>
      </c>
      <c r="K65" s="458" t="s">
        <v>450</v>
      </c>
      <c r="L65" s="459"/>
      <c r="M65" s="457" t="s">
        <v>371</v>
      </c>
      <c r="N65" s="457"/>
      <c r="O65" s="224" t="s">
        <v>366</v>
      </c>
      <c r="P65" s="167"/>
      <c r="Q65" s="167"/>
    </row>
    <row r="66" spans="1:26" ht="15.75">
      <c r="A66" s="442"/>
      <c r="B66" s="457"/>
      <c r="C66" s="457"/>
      <c r="D66" s="457"/>
      <c r="E66" s="460">
        <f>SUM('GA55'!BX12:BX18)</f>
        <v>9000</v>
      </c>
      <c r="F66" s="460"/>
      <c r="G66" s="460"/>
      <c r="H66" s="460">
        <f>SUM('GA55'!BX19:BX21)</f>
        <v>4500</v>
      </c>
      <c r="I66" s="460"/>
      <c r="J66" s="215">
        <f>'GA55'!BX22</f>
        <v>1500</v>
      </c>
      <c r="K66" s="460">
        <f>'GA55'!BX23</f>
        <v>0</v>
      </c>
      <c r="L66" s="460"/>
      <c r="M66" s="460">
        <f>SUM((E66+H66+J66+K66)-'GA55'!BX32)</f>
        <v>0</v>
      </c>
      <c r="N66" s="460"/>
      <c r="O66" s="168">
        <f>SUM(E66,H66,J66,K66,M66)</f>
        <v>15000</v>
      </c>
      <c r="P66" s="169"/>
      <c r="Q66" s="169"/>
    </row>
    <row r="67" spans="1:26" ht="19.5" thickBot="1">
      <c r="A67" s="471" t="str">
        <f>IF(O64&gt;O66,"Income Tax Payable",IF(O64&lt;O66,"Income Tax Refundable","Income Tax Payble/Refundable"))</f>
        <v>Income Tax Payable</v>
      </c>
      <c r="B67" s="472"/>
      <c r="C67" s="472"/>
      <c r="D67" s="472"/>
      <c r="E67" s="472"/>
      <c r="F67" s="472"/>
      <c r="G67" s="472"/>
      <c r="H67" s="472"/>
      <c r="I67" s="472"/>
      <c r="J67" s="472"/>
      <c r="K67" s="472"/>
      <c r="L67" s="472"/>
      <c r="M67" s="472"/>
      <c r="N67" s="213" t="s">
        <v>312</v>
      </c>
      <c r="O67" s="170">
        <f>IF(O64&gt;O66,O64-O66,O66-O64)</f>
        <v>30026</v>
      </c>
      <c r="P67" s="150"/>
      <c r="Q67" s="150"/>
    </row>
    <row r="68" spans="1:26" ht="16.5" thickTop="1">
      <c r="A68" s="171"/>
      <c r="B68" s="171"/>
      <c r="C68" s="228"/>
      <c r="D68" s="228"/>
      <c r="E68" s="228"/>
      <c r="F68" s="228"/>
      <c r="G68" s="228"/>
      <c r="H68" s="228"/>
      <c r="I68" s="228"/>
      <c r="J68" s="228"/>
      <c r="K68" s="228"/>
      <c r="L68" s="228"/>
      <c r="M68" s="228"/>
      <c r="N68" s="229"/>
      <c r="O68" s="150"/>
      <c r="P68" s="150"/>
      <c r="Q68" s="150"/>
    </row>
    <row r="69" spans="1:26" ht="17.25">
      <c r="A69" s="68"/>
      <c r="B69" s="69"/>
      <c r="C69" s="230"/>
      <c r="D69" s="231"/>
      <c r="E69" s="230"/>
      <c r="F69" s="230"/>
      <c r="G69" s="230"/>
      <c r="H69" s="230"/>
      <c r="I69" s="230"/>
      <c r="J69" s="230"/>
      <c r="K69" s="230"/>
      <c r="L69" s="465" t="s">
        <v>365</v>
      </c>
      <c r="M69" s="465"/>
      <c r="N69" s="465"/>
      <c r="O69" s="232"/>
      <c r="P69" s="71"/>
      <c r="Q69" s="71"/>
    </row>
    <row r="70" spans="1:26" ht="16.5">
      <c r="A70" s="68"/>
      <c r="B70" s="69"/>
      <c r="C70" s="69"/>
      <c r="D70" s="70"/>
      <c r="E70" s="69"/>
      <c r="F70" s="69"/>
      <c r="G70" s="69"/>
      <c r="H70" s="69"/>
      <c r="I70" s="69"/>
      <c r="J70" s="69"/>
      <c r="K70" s="69"/>
      <c r="L70" s="72"/>
      <c r="M70" s="73"/>
      <c r="N70" s="74"/>
      <c r="O70" s="71"/>
      <c r="P70" s="71"/>
      <c r="Q70" s="71"/>
    </row>
    <row r="71" spans="1:26" ht="15.75">
      <c r="A71" s="75"/>
      <c r="B71" s="76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7"/>
      <c r="P71" s="77"/>
      <c r="Q71" s="77"/>
      <c r="R71" s="67"/>
      <c r="S71" s="67"/>
      <c r="T71" s="67"/>
      <c r="U71" s="67"/>
      <c r="V71" s="67"/>
      <c r="W71" s="67"/>
      <c r="X71" s="67"/>
      <c r="Y71" s="67"/>
      <c r="Z71" s="67"/>
    </row>
    <row r="72" spans="1:26" ht="15.75">
      <c r="A72" s="78"/>
      <c r="B72" s="76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7"/>
      <c r="P72" s="77"/>
      <c r="Q72" s="77"/>
      <c r="R72" s="67"/>
      <c r="S72" s="67"/>
      <c r="T72" s="67"/>
      <c r="U72" s="67"/>
      <c r="V72" s="67"/>
      <c r="W72" s="67"/>
      <c r="X72" s="67"/>
      <c r="Y72" s="67"/>
      <c r="Z72" s="67"/>
    </row>
    <row r="73" spans="1:26" ht="15.75">
      <c r="A73" s="75"/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7"/>
      <c r="P73" s="77"/>
      <c r="Q73" s="77"/>
      <c r="R73" s="67"/>
      <c r="S73" s="67"/>
      <c r="T73" s="67"/>
      <c r="U73" s="67"/>
      <c r="V73" s="67"/>
      <c r="W73" s="67"/>
      <c r="X73" s="67"/>
      <c r="Y73" s="67"/>
      <c r="Z73" s="67"/>
    </row>
    <row r="74" spans="1:26" ht="15.75">
      <c r="A74" s="75"/>
      <c r="B74" s="79"/>
      <c r="C74" s="79"/>
      <c r="D74" s="79"/>
      <c r="E74" s="79"/>
      <c r="F74" s="79"/>
      <c r="G74" s="79"/>
      <c r="H74" s="79"/>
      <c r="I74" s="80"/>
      <c r="J74" s="80"/>
      <c r="K74" s="80"/>
      <c r="L74" s="80"/>
      <c r="M74" s="80"/>
      <c r="N74" s="80"/>
      <c r="O74" s="77"/>
      <c r="P74" s="77"/>
      <c r="Q74" s="77"/>
      <c r="R74" s="67"/>
      <c r="S74" s="67"/>
      <c r="T74" s="67"/>
      <c r="U74" s="67"/>
      <c r="V74" s="67"/>
      <c r="W74" s="67"/>
      <c r="X74" s="67"/>
      <c r="Y74" s="67"/>
      <c r="Z74" s="67"/>
    </row>
    <row r="75" spans="1:26" ht="15.75">
      <c r="A75" s="75"/>
      <c r="B75" s="79"/>
      <c r="C75" s="79"/>
      <c r="D75" s="79"/>
      <c r="E75" s="79"/>
      <c r="F75" s="79"/>
      <c r="G75" s="79"/>
      <c r="H75" s="79"/>
      <c r="I75" s="80"/>
      <c r="J75" s="80"/>
      <c r="K75" s="80"/>
      <c r="L75" s="80"/>
      <c r="M75" s="80"/>
      <c r="N75" s="80"/>
      <c r="O75" s="77"/>
      <c r="P75" s="77"/>
      <c r="Q75" s="77"/>
      <c r="R75" s="67"/>
      <c r="S75" s="67"/>
      <c r="T75" s="67"/>
      <c r="U75" s="67"/>
      <c r="V75" s="67"/>
      <c r="W75" s="67"/>
      <c r="X75" s="67"/>
      <c r="Y75" s="67"/>
      <c r="Z75" s="67"/>
    </row>
    <row r="76" spans="1:26" ht="15.75">
      <c r="A76" s="75"/>
      <c r="B76" s="79"/>
      <c r="C76" s="79"/>
      <c r="D76" s="79"/>
      <c r="E76" s="79"/>
      <c r="F76" s="79"/>
      <c r="G76" s="79"/>
      <c r="H76" s="79"/>
      <c r="I76" s="80"/>
      <c r="J76" s="80"/>
      <c r="K76" s="80"/>
      <c r="L76" s="80"/>
      <c r="M76" s="80"/>
      <c r="N76" s="80"/>
      <c r="O76" s="77"/>
      <c r="P76" s="77"/>
      <c r="Q76" s="77"/>
      <c r="R76" s="67"/>
      <c r="S76" s="67"/>
      <c r="T76" s="67"/>
      <c r="U76" s="67"/>
      <c r="V76" s="67"/>
      <c r="W76" s="67"/>
      <c r="X76" s="67"/>
      <c r="Y76" s="67"/>
      <c r="Z76" s="67"/>
    </row>
    <row r="77" spans="1:26" ht="15.75">
      <c r="A77" s="75"/>
      <c r="B77" s="79"/>
      <c r="C77" s="79"/>
      <c r="D77" s="79"/>
      <c r="E77" s="79"/>
      <c r="F77" s="79"/>
      <c r="G77" s="79"/>
      <c r="H77" s="79"/>
      <c r="I77" s="80"/>
      <c r="J77" s="80"/>
      <c r="K77" s="80"/>
      <c r="L77" s="80"/>
      <c r="M77" s="80"/>
      <c r="N77" s="80"/>
      <c r="O77" s="77"/>
      <c r="P77" s="77"/>
      <c r="Q77" s="77"/>
      <c r="R77" s="67"/>
      <c r="S77" s="67"/>
      <c r="T77" s="67"/>
      <c r="U77" s="67"/>
      <c r="V77" s="67"/>
      <c r="W77" s="67"/>
      <c r="X77" s="67"/>
      <c r="Y77" s="67"/>
      <c r="Z77" s="67"/>
    </row>
    <row r="78" spans="1:26" ht="15.75">
      <c r="A78" s="75"/>
      <c r="B78" s="79"/>
      <c r="C78" s="79"/>
      <c r="D78" s="79"/>
      <c r="E78" s="79"/>
      <c r="F78" s="79"/>
      <c r="G78" s="79"/>
      <c r="H78" s="79"/>
      <c r="I78" s="80"/>
      <c r="J78" s="80"/>
      <c r="K78" s="80"/>
      <c r="L78" s="80"/>
      <c r="M78" s="80"/>
      <c r="N78" s="80"/>
      <c r="O78" s="77"/>
      <c r="P78" s="77"/>
      <c r="Q78" s="77"/>
      <c r="R78" s="67"/>
      <c r="S78" s="67"/>
      <c r="T78" s="67"/>
      <c r="U78" s="67"/>
      <c r="V78" s="67"/>
      <c r="W78" s="67"/>
      <c r="X78" s="67"/>
      <c r="Y78" s="67"/>
      <c r="Z78" s="67"/>
    </row>
    <row r="79" spans="1:26" ht="15.75">
      <c r="A79" s="78"/>
      <c r="B79" s="81"/>
      <c r="C79" s="82"/>
      <c r="D79" s="82"/>
      <c r="E79" s="82"/>
      <c r="F79" s="82"/>
      <c r="G79" s="82"/>
      <c r="H79" s="81"/>
      <c r="I79" s="80"/>
      <c r="J79" s="80"/>
      <c r="K79" s="80"/>
      <c r="L79" s="80"/>
      <c r="M79" s="80"/>
      <c r="N79" s="80"/>
      <c r="O79" s="77"/>
      <c r="P79" s="77"/>
      <c r="Q79" s="77"/>
      <c r="R79" s="67"/>
      <c r="S79" s="67"/>
      <c r="T79" s="67"/>
      <c r="U79" s="67"/>
      <c r="V79" s="67"/>
      <c r="W79" s="67"/>
      <c r="X79" s="67"/>
      <c r="Y79" s="67"/>
      <c r="Z79" s="67"/>
    </row>
    <row r="80" spans="1:26" s="87" customFormat="1" ht="15.75">
      <c r="A80" s="83"/>
      <c r="B80" s="84"/>
      <c r="C80" s="84"/>
      <c r="D80" s="84"/>
      <c r="E80" s="84"/>
      <c r="F80" s="84"/>
      <c r="G80" s="84"/>
      <c r="H80" s="84"/>
      <c r="I80" s="80"/>
      <c r="J80" s="80"/>
      <c r="K80" s="80"/>
      <c r="L80" s="80"/>
      <c r="M80" s="80"/>
      <c r="N80" s="80"/>
      <c r="O80" s="85"/>
      <c r="P80" s="85"/>
      <c r="Q80" s="85"/>
      <c r="R80" s="86"/>
      <c r="S80" s="86"/>
      <c r="T80" s="86"/>
      <c r="U80" s="86"/>
      <c r="V80" s="86"/>
      <c r="W80" s="86"/>
      <c r="X80" s="86"/>
      <c r="Y80" s="86"/>
      <c r="Z80" s="86"/>
    </row>
    <row r="81" spans="1:26" s="87" customFormat="1" ht="15.75">
      <c r="A81" s="83"/>
      <c r="B81" s="84"/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8"/>
      <c r="N81" s="89"/>
      <c r="O81" s="85"/>
      <c r="P81" s="85"/>
      <c r="Q81" s="85"/>
      <c r="R81" s="86"/>
      <c r="S81" s="86"/>
      <c r="T81" s="86"/>
      <c r="U81" s="86"/>
      <c r="V81" s="86"/>
      <c r="W81" s="86"/>
      <c r="X81" s="86"/>
      <c r="Y81" s="86"/>
      <c r="Z81" s="86"/>
    </row>
    <row r="82" spans="1:26" s="87" customFormat="1" ht="15.75">
      <c r="A82" s="83"/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8"/>
      <c r="N82" s="89"/>
      <c r="O82" s="85"/>
      <c r="P82" s="85"/>
      <c r="Q82" s="85"/>
      <c r="R82" s="86"/>
      <c r="S82" s="86"/>
      <c r="T82" s="86"/>
      <c r="U82" s="86"/>
      <c r="V82" s="86"/>
      <c r="W82" s="86"/>
      <c r="X82" s="86"/>
      <c r="Y82" s="86"/>
      <c r="Z82" s="86"/>
    </row>
    <row r="83" spans="1:26" s="87" customFormat="1" ht="15.75">
      <c r="A83" s="83"/>
      <c r="B83" s="84"/>
      <c r="C83" s="84"/>
      <c r="D83" s="84"/>
      <c r="E83" s="84"/>
      <c r="F83" s="84"/>
      <c r="G83" s="84"/>
      <c r="H83" s="84"/>
      <c r="I83" s="84"/>
      <c r="J83" s="84"/>
      <c r="K83" s="84"/>
      <c r="L83" s="84"/>
      <c r="M83" s="88"/>
      <c r="N83" s="89"/>
      <c r="O83" s="85"/>
      <c r="P83" s="85"/>
      <c r="Q83" s="85"/>
      <c r="R83" s="86"/>
      <c r="S83" s="86"/>
      <c r="T83" s="86"/>
      <c r="U83" s="86"/>
      <c r="V83" s="86"/>
      <c r="W83" s="86"/>
      <c r="X83" s="86"/>
      <c r="Y83" s="86"/>
      <c r="Z83" s="86"/>
    </row>
    <row r="84" spans="1:26" s="87" customFormat="1" ht="15.75">
      <c r="A84" s="83"/>
      <c r="B84" s="84"/>
      <c r="C84" s="84"/>
      <c r="D84" s="84"/>
      <c r="E84" s="84"/>
      <c r="F84" s="84"/>
      <c r="G84" s="84"/>
      <c r="H84" s="84"/>
      <c r="I84" s="84"/>
      <c r="J84" s="84"/>
      <c r="K84" s="84"/>
      <c r="L84" s="90"/>
      <c r="M84" s="88"/>
      <c r="N84" s="91"/>
      <c r="O84" s="85"/>
      <c r="P84" s="85"/>
      <c r="Q84" s="85"/>
      <c r="R84" s="86"/>
      <c r="S84" s="86"/>
      <c r="T84" s="86"/>
      <c r="U84" s="86"/>
      <c r="V84" s="86"/>
      <c r="W84" s="86"/>
      <c r="X84" s="86"/>
      <c r="Y84" s="86"/>
      <c r="Z84" s="86"/>
    </row>
    <row r="85" spans="1:26" ht="15.75">
      <c r="A85" s="92"/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4"/>
      <c r="N85" s="95"/>
      <c r="O85" s="71"/>
      <c r="P85" s="71"/>
      <c r="Q85" s="71"/>
      <c r="R85" s="67"/>
      <c r="S85" s="67"/>
      <c r="T85" s="67"/>
      <c r="U85" s="67"/>
      <c r="V85" s="67"/>
      <c r="W85" s="67"/>
      <c r="X85" s="67"/>
      <c r="Y85" s="67"/>
      <c r="Z85" s="67"/>
    </row>
    <row r="86" spans="1:26">
      <c r="A86" s="96"/>
      <c r="B86" s="97"/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67"/>
      <c r="S86" s="67"/>
      <c r="T86" s="67"/>
      <c r="U86" s="67"/>
      <c r="V86" s="67"/>
      <c r="W86" s="67"/>
      <c r="X86" s="67"/>
      <c r="Y86" s="67"/>
      <c r="Z86" s="67"/>
    </row>
    <row r="87" spans="1:26">
      <c r="A87" s="96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67"/>
      <c r="S87" s="67"/>
      <c r="T87" s="67"/>
      <c r="U87" s="67"/>
      <c r="V87" s="67"/>
      <c r="W87" s="67"/>
      <c r="X87" s="67"/>
      <c r="Y87" s="67"/>
      <c r="Z87" s="67"/>
    </row>
    <row r="88" spans="1:26">
      <c r="A88" s="96"/>
      <c r="B88" s="97"/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67"/>
      <c r="S88" s="67"/>
      <c r="T88" s="67"/>
      <c r="U88" s="67"/>
      <c r="V88" s="67"/>
      <c r="W88" s="67"/>
      <c r="X88" s="67"/>
      <c r="Y88" s="67"/>
      <c r="Z88" s="67"/>
    </row>
    <row r="89" spans="1:26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</row>
  </sheetData>
  <sheetProtection password="C1FB" sheet="1" objects="1" scenarios="1" formatCells="0" formatColumns="0" formatRows="0"/>
  <mergeCells count="153">
    <mergeCell ref="R33:R34"/>
    <mergeCell ref="Q22:U24"/>
    <mergeCell ref="AH23:AK24"/>
    <mergeCell ref="Q26:S31"/>
    <mergeCell ref="A1:O1"/>
    <mergeCell ref="B3:C3"/>
    <mergeCell ref="D3:H3"/>
    <mergeCell ref="J3:L3"/>
    <mergeCell ref="N3:O3"/>
    <mergeCell ref="C2:E2"/>
    <mergeCell ref="F2:G2"/>
    <mergeCell ref="H2:I2"/>
    <mergeCell ref="L2:O2"/>
    <mergeCell ref="J2:K2"/>
    <mergeCell ref="B10:J10"/>
    <mergeCell ref="K10:M10"/>
    <mergeCell ref="B11:M11"/>
    <mergeCell ref="A12:A14"/>
    <mergeCell ref="B12:H12"/>
    <mergeCell ref="I12:J12"/>
    <mergeCell ref="K12:M12"/>
    <mergeCell ref="R4:V8"/>
    <mergeCell ref="B6:M6"/>
    <mergeCell ref="B7:M7"/>
    <mergeCell ref="A8:A10"/>
    <mergeCell ref="B8:J8"/>
    <mergeCell ref="K8:M8"/>
    <mergeCell ref="N8:O9"/>
    <mergeCell ref="B9:J9"/>
    <mergeCell ref="K9:M9"/>
    <mergeCell ref="B5:M5"/>
    <mergeCell ref="A4:A5"/>
    <mergeCell ref="B4:I4"/>
    <mergeCell ref="J4:M4"/>
    <mergeCell ref="B15:M15"/>
    <mergeCell ref="B16:D16"/>
    <mergeCell ref="J16:M16"/>
    <mergeCell ref="B17:D17"/>
    <mergeCell ref="N12:O14"/>
    <mergeCell ref="B13:C14"/>
    <mergeCell ref="D13:E13"/>
    <mergeCell ref="F13:H13"/>
    <mergeCell ref="I13:J13"/>
    <mergeCell ref="K13:M13"/>
    <mergeCell ref="D14:E14"/>
    <mergeCell ref="F14:H14"/>
    <mergeCell ref="I14:J14"/>
    <mergeCell ref="K14:M14"/>
    <mergeCell ref="E16:F16"/>
    <mergeCell ref="B43:M43"/>
    <mergeCell ref="B44:M44"/>
    <mergeCell ref="B48:M48"/>
    <mergeCell ref="B36:O36"/>
    <mergeCell ref="B33:M33"/>
    <mergeCell ref="A19:A35"/>
    <mergeCell ref="B19:O19"/>
    <mergeCell ref="B20:O20"/>
    <mergeCell ref="C21:E21"/>
    <mergeCell ref="I21:K21"/>
    <mergeCell ref="N21:O31"/>
    <mergeCell ref="C22:E22"/>
    <mergeCell ref="I22:K22"/>
    <mergeCell ref="C23:E23"/>
    <mergeCell ref="C30:E30"/>
    <mergeCell ref="I30:K30"/>
    <mergeCell ref="B32:M32"/>
    <mergeCell ref="C27:E27"/>
    <mergeCell ref="I27:K27"/>
    <mergeCell ref="C28:E28"/>
    <mergeCell ref="I28:K28"/>
    <mergeCell ref="C29:E29"/>
    <mergeCell ref="I23:K23"/>
    <mergeCell ref="B34:M34"/>
    <mergeCell ref="B38:M38"/>
    <mergeCell ref="B39:M39"/>
    <mergeCell ref="I29:K29"/>
    <mergeCell ref="E17:F17"/>
    <mergeCell ref="G16:H16"/>
    <mergeCell ref="G17:H17"/>
    <mergeCell ref="J17:M17"/>
    <mergeCell ref="B18:M18"/>
    <mergeCell ref="B35:M35"/>
    <mergeCell ref="I24:K24"/>
    <mergeCell ref="C31:D31"/>
    <mergeCell ref="L69:N69"/>
    <mergeCell ref="C61:M61"/>
    <mergeCell ref="B62:M62"/>
    <mergeCell ref="B63:M63"/>
    <mergeCell ref="B64:M64"/>
    <mergeCell ref="A67:M67"/>
    <mergeCell ref="A49:A62"/>
    <mergeCell ref="B49:O49"/>
    <mergeCell ref="B50:E50"/>
    <mergeCell ref="F50:I50"/>
    <mergeCell ref="J50:M50"/>
    <mergeCell ref="B51:D51"/>
    <mergeCell ref="B55:D55"/>
    <mergeCell ref="F55:H55"/>
    <mergeCell ref="J55:L55"/>
    <mergeCell ref="B56:D56"/>
    <mergeCell ref="F56:H56"/>
    <mergeCell ref="J56:L56"/>
    <mergeCell ref="B57:D57"/>
    <mergeCell ref="J51:L51"/>
    <mergeCell ref="F51:H51"/>
    <mergeCell ref="AB49:AD49"/>
    <mergeCell ref="A65:A66"/>
    <mergeCell ref="B65:D66"/>
    <mergeCell ref="E65:G65"/>
    <mergeCell ref="H65:I65"/>
    <mergeCell ref="K65:L65"/>
    <mergeCell ref="M65:N65"/>
    <mergeCell ref="E66:G66"/>
    <mergeCell ref="H66:I66"/>
    <mergeCell ref="K66:L66"/>
    <mergeCell ref="M66:N66"/>
    <mergeCell ref="Q59:S60"/>
    <mergeCell ref="R55:V57"/>
    <mergeCell ref="F57:H57"/>
    <mergeCell ref="J57:L57"/>
    <mergeCell ref="B59:M59"/>
    <mergeCell ref="B60:M60"/>
    <mergeCell ref="B54:D54"/>
    <mergeCell ref="B53:D53"/>
    <mergeCell ref="F53:H53"/>
    <mergeCell ref="J53:L53"/>
    <mergeCell ref="B52:D52"/>
    <mergeCell ref="F52:H52"/>
    <mergeCell ref="J52:L52"/>
    <mergeCell ref="R19:U19"/>
    <mergeCell ref="R11:S11"/>
    <mergeCell ref="R9:S10"/>
    <mergeCell ref="A36:A45"/>
    <mergeCell ref="F54:H54"/>
    <mergeCell ref="J54:L54"/>
    <mergeCell ref="B58:M58"/>
    <mergeCell ref="H31:K31"/>
    <mergeCell ref="X49:Z49"/>
    <mergeCell ref="S32:S34"/>
    <mergeCell ref="R41:V43"/>
    <mergeCell ref="R44:S45"/>
    <mergeCell ref="B46:M46"/>
    <mergeCell ref="B47:M47"/>
    <mergeCell ref="B40:M40"/>
    <mergeCell ref="B41:M41"/>
    <mergeCell ref="C24:E24"/>
    <mergeCell ref="C25:E25"/>
    <mergeCell ref="I25:K25"/>
    <mergeCell ref="C26:E26"/>
    <mergeCell ref="I26:K26"/>
    <mergeCell ref="B45:M45"/>
    <mergeCell ref="B42:M42"/>
    <mergeCell ref="B37:M37"/>
  </mergeCells>
  <conditionalFormatting sqref="J70">
    <cfRule type="iconSet" priority="4">
      <iconSet iconSet="3TrafficLights2">
        <cfvo type="percent" val="0"/>
        <cfvo type="percent" val="33"/>
        <cfvo type="percent" val="67"/>
      </iconSet>
    </cfRule>
  </conditionalFormatting>
  <conditionalFormatting sqref="N71:R74">
    <cfRule type="iconSet" priority="3">
      <iconSet iconSet="3TrafficLights2">
        <cfvo type="percent" val="0"/>
        <cfvo type="percent" val="33"/>
        <cfvo type="percent" val="67"/>
      </iconSet>
    </cfRule>
  </conditionalFormatting>
  <conditionalFormatting sqref="B66:D66">
    <cfRule type="iconSet" priority="1">
      <iconSet iconSet="3TrafficLights2">
        <cfvo type="percent" val="0"/>
        <cfvo type="percent" val="&quot;Income Tax Payable&quot;"/>
        <cfvo type="formula" val="&quot;Income Tax Refundable&quot;"/>
      </iconSet>
    </cfRule>
    <cfRule type="iconSet" priority="2">
      <iconSet iconSet="3TrafficLights2">
        <cfvo type="percent" val="0"/>
        <cfvo type="percent" val="33"/>
        <cfvo type="percent" val="67"/>
      </iconSet>
    </cfRule>
  </conditionalFormatting>
  <dataValidations count="2">
    <dataValidation type="list" allowBlank="1" showInputMessage="1" showErrorMessage="1" errorTitle="इनपुट ओल्ड एंड न्यू टैक्स regime" error="नई व पुराणी आयकर कर में से कोई एक सलेक्ट करे " sqref="R11:S11">
      <formula1>"New Tax Regime, Old Tax Regime"</formula1>
    </dataValidation>
    <dataValidation type="list" allowBlank="1" showInputMessage="1" showErrorMessage="1" sqref="R33">
      <formula1>"Yes, No"</formula1>
    </dataValidation>
  </dataValidations>
  <hyperlinks>
    <hyperlink ref="Q22" r:id="rId1"/>
    <hyperlink ref="R19" r:id="rId2"/>
  </hyperlinks>
  <printOptions horizontalCentered="1" verticalCentered="1"/>
  <pageMargins left="0.55000000000000004" right="0.4" top="0.25" bottom="0.25" header="0.3" footer="0.3"/>
  <pageSetup paperSize="9" scale="72" orientation="portrait" blackAndWhite="1" horizontalDpi="720" r:id="rId3"/>
  <headerFooter>
    <oddFooter>&amp;Lheeralaljatchandawal@gmail.com</oddFooter>
  </headerFooter>
  <drawing r:id="rId4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B1:P120"/>
  <sheetViews>
    <sheetView showGridLines="0" view="pageBreakPreview" zoomScale="120" zoomScaleSheetLayoutView="120" workbookViewId="0">
      <selection activeCell="N32" sqref="N32"/>
    </sheetView>
  </sheetViews>
  <sheetFormatPr defaultRowHeight="15"/>
  <cols>
    <col min="1" max="1" width="9" style="30"/>
    <col min="2" max="2" width="8.5" style="30" customWidth="1"/>
    <col min="3" max="3" width="8" style="30" customWidth="1"/>
    <col min="4" max="4" width="5.5" style="30" customWidth="1"/>
    <col min="5" max="5" width="11.5" style="30" customWidth="1"/>
    <col min="6" max="6" width="17.375" style="30" customWidth="1"/>
    <col min="7" max="7" width="7" style="30" customWidth="1"/>
    <col min="8" max="8" width="6.625" style="30" customWidth="1"/>
    <col min="9" max="9" width="7.875" style="30" customWidth="1"/>
    <col min="10" max="10" width="6.625" style="30" customWidth="1"/>
    <col min="11" max="11" width="8.375" style="30" customWidth="1"/>
    <col min="12" max="12" width="6.75" style="30" customWidth="1"/>
    <col min="13" max="16384" width="9" style="30"/>
  </cols>
  <sheetData>
    <row r="1" spans="2:16" ht="13.5" customHeight="1">
      <c r="B1" s="690" t="s">
        <v>150</v>
      </c>
      <c r="C1" s="690"/>
      <c r="D1" s="690"/>
      <c r="E1" s="690"/>
      <c r="F1" s="690"/>
      <c r="G1" s="690"/>
      <c r="H1" s="690"/>
      <c r="I1" s="690"/>
      <c r="J1" s="690"/>
      <c r="K1" s="690"/>
      <c r="L1" s="690"/>
    </row>
    <row r="2" spans="2:16" ht="11.25" customHeight="1">
      <c r="B2" s="691" t="s">
        <v>151</v>
      </c>
      <c r="C2" s="691"/>
      <c r="D2" s="691"/>
      <c r="E2" s="691"/>
      <c r="F2" s="691"/>
      <c r="G2" s="691"/>
      <c r="H2" s="691"/>
      <c r="I2" s="691"/>
      <c r="J2" s="691"/>
      <c r="K2" s="691"/>
      <c r="L2" s="691"/>
      <c r="N2" s="549" t="s">
        <v>462</v>
      </c>
      <c r="O2" s="448"/>
      <c r="P2" s="448"/>
    </row>
    <row r="3" spans="2:16" ht="11.25" customHeight="1">
      <c r="B3" s="692" t="s">
        <v>152</v>
      </c>
      <c r="C3" s="692"/>
      <c r="D3" s="692"/>
      <c r="E3" s="692"/>
      <c r="F3" s="692"/>
      <c r="G3" s="692"/>
      <c r="H3" s="692"/>
      <c r="I3" s="692"/>
      <c r="J3" s="692"/>
      <c r="K3" s="692"/>
      <c r="L3" s="692"/>
    </row>
    <row r="4" spans="2:16" ht="18" customHeight="1" thickBot="1">
      <c r="B4" s="692" t="s">
        <v>153</v>
      </c>
      <c r="C4" s="692"/>
      <c r="D4" s="692"/>
      <c r="E4" s="692"/>
      <c r="F4" s="692"/>
      <c r="G4" s="692"/>
      <c r="H4" s="692"/>
      <c r="I4" s="692"/>
      <c r="J4" s="692"/>
      <c r="K4" s="692"/>
      <c r="L4" s="692"/>
    </row>
    <row r="5" spans="2:16" ht="14.1" customHeight="1" thickTop="1" thickBot="1">
      <c r="B5" s="693" t="s">
        <v>154</v>
      </c>
      <c r="C5" s="693"/>
      <c r="D5" s="693"/>
      <c r="E5" s="693"/>
      <c r="F5" s="693"/>
      <c r="G5" s="693" t="s">
        <v>155</v>
      </c>
      <c r="H5" s="693"/>
      <c r="I5" s="693"/>
      <c r="J5" s="693"/>
      <c r="K5" s="693"/>
      <c r="L5" s="693"/>
    </row>
    <row r="6" spans="2:16" ht="14.1" customHeight="1" thickTop="1" thickBot="1">
      <c r="B6" s="705" t="str">
        <f>IF('Master Data'!H8="","",UPPER('Master Data'!H8))</f>
        <v>USHA PALIYA</v>
      </c>
      <c r="C6" s="706"/>
      <c r="D6" s="706"/>
      <c r="E6" s="706"/>
      <c r="F6" s="707"/>
      <c r="G6" s="680" t="str">
        <f>IF('Master Data'!D6="","",UPPER('Master Data'!D6))</f>
        <v>HEERALAL JAT</v>
      </c>
      <c r="H6" s="680"/>
      <c r="I6" s="680"/>
      <c r="J6" s="680"/>
      <c r="K6" s="680"/>
      <c r="L6" s="680"/>
    </row>
    <row r="7" spans="2:16" ht="14.1" customHeight="1" thickTop="1" thickBot="1">
      <c r="B7" s="677"/>
      <c r="C7" s="678"/>
      <c r="D7" s="678"/>
      <c r="E7" s="678"/>
      <c r="F7" s="679"/>
      <c r="G7" s="680" t="str">
        <f>IF('Master Data'!D8="","",UPPER('Master Data'!D8))</f>
        <v>M.G.G.S. BAR</v>
      </c>
      <c r="H7" s="680"/>
      <c r="I7" s="680"/>
      <c r="J7" s="680"/>
      <c r="K7" s="680"/>
      <c r="L7" s="680"/>
    </row>
    <row r="8" spans="2:16" ht="14.1" customHeight="1" thickTop="1" thickBot="1">
      <c r="B8" s="681" t="s">
        <v>156</v>
      </c>
      <c r="C8" s="681"/>
      <c r="D8" s="681"/>
      <c r="E8" s="681" t="s">
        <v>157</v>
      </c>
      <c r="F8" s="681"/>
      <c r="G8" s="682" t="s">
        <v>158</v>
      </c>
      <c r="H8" s="682"/>
      <c r="I8" s="682"/>
      <c r="J8" s="682" t="s">
        <v>159</v>
      </c>
      <c r="K8" s="682"/>
      <c r="L8" s="682"/>
    </row>
    <row r="9" spans="2:16" ht="14.1" customHeight="1" thickTop="1" thickBot="1">
      <c r="B9" s="703"/>
      <c r="C9" s="704"/>
      <c r="D9" s="704"/>
      <c r="E9" s="672">
        <f>'Master Data'!H12</f>
        <v>0</v>
      </c>
      <c r="F9" s="672"/>
      <c r="G9" s="589" t="str">
        <f>UPPER('Master Data'!D12)</f>
        <v>ABCDE1234H</v>
      </c>
      <c r="H9" s="589"/>
      <c r="I9" s="589"/>
      <c r="J9" s="589" t="str">
        <f>UPPER('Master Data'!D10)</f>
        <v>RJPAXXXXXXXX4272</v>
      </c>
      <c r="K9" s="589"/>
      <c r="L9" s="589"/>
    </row>
    <row r="10" spans="2:16" ht="14.1" customHeight="1" thickTop="1" thickBot="1">
      <c r="B10" s="563" t="s">
        <v>160</v>
      </c>
      <c r="C10" s="563"/>
      <c r="D10" s="563"/>
      <c r="E10" s="563"/>
      <c r="F10" s="563"/>
      <c r="G10" s="589" t="s">
        <v>161</v>
      </c>
      <c r="H10" s="589"/>
      <c r="I10" s="589" t="s">
        <v>162</v>
      </c>
      <c r="J10" s="589"/>
      <c r="K10" s="589"/>
      <c r="L10" s="589"/>
    </row>
    <row r="11" spans="2:16" ht="14.1" customHeight="1" thickTop="1" thickBot="1">
      <c r="B11" s="268" t="s">
        <v>163</v>
      </c>
      <c r="C11" s="674" t="s">
        <v>261</v>
      </c>
      <c r="D11" s="674"/>
      <c r="E11" s="674"/>
      <c r="F11" s="674"/>
      <c r="G11" s="675" t="s">
        <v>451</v>
      </c>
      <c r="H11" s="675"/>
      <c r="I11" s="676" t="s">
        <v>164</v>
      </c>
      <c r="J11" s="676"/>
      <c r="K11" s="589" t="s">
        <v>165</v>
      </c>
      <c r="L11" s="589"/>
    </row>
    <row r="12" spans="2:16" ht="14.1" customHeight="1" thickTop="1" thickBot="1">
      <c r="B12" s="268" t="s">
        <v>166</v>
      </c>
      <c r="C12" s="674" t="s">
        <v>262</v>
      </c>
      <c r="D12" s="674"/>
      <c r="E12" s="268" t="s">
        <v>167</v>
      </c>
      <c r="F12" s="317">
        <v>306401</v>
      </c>
      <c r="G12" s="675"/>
      <c r="H12" s="675"/>
      <c r="I12" s="675" t="s">
        <v>452</v>
      </c>
      <c r="J12" s="675"/>
      <c r="K12" s="675" t="s">
        <v>453</v>
      </c>
      <c r="L12" s="675"/>
    </row>
    <row r="13" spans="2:16" ht="14.1" customHeight="1" thickTop="1" thickBot="1">
      <c r="B13" s="589" t="s">
        <v>168</v>
      </c>
      <c r="C13" s="589"/>
      <c r="D13" s="589"/>
      <c r="E13" s="589"/>
      <c r="F13" s="589"/>
      <c r="G13" s="589"/>
      <c r="H13" s="589"/>
      <c r="I13" s="589"/>
      <c r="J13" s="589"/>
      <c r="K13" s="589"/>
      <c r="L13" s="589"/>
    </row>
    <row r="14" spans="2:16" ht="14.1" customHeight="1" thickTop="1" thickBot="1">
      <c r="B14" s="177" t="s">
        <v>169</v>
      </c>
      <c r="C14" s="682" t="s">
        <v>170</v>
      </c>
      <c r="D14" s="682"/>
      <c r="E14" s="682"/>
      <c r="F14" s="177" t="s">
        <v>171</v>
      </c>
      <c r="G14" s="587" t="s">
        <v>172</v>
      </c>
      <c r="H14" s="587"/>
      <c r="I14" s="587"/>
      <c r="J14" s="681" t="s">
        <v>173</v>
      </c>
      <c r="K14" s="681"/>
      <c r="L14" s="681"/>
    </row>
    <row r="15" spans="2:16" ht="14.1" customHeight="1" thickTop="1" thickBot="1">
      <c r="B15" s="318" t="s">
        <v>458</v>
      </c>
      <c r="C15" s="669"/>
      <c r="D15" s="669"/>
      <c r="E15" s="669"/>
      <c r="F15" s="176"/>
      <c r="G15" s="670">
        <f>SUM('GA55'!BX12:BX14)</f>
        <v>3000</v>
      </c>
      <c r="H15" s="670"/>
      <c r="I15" s="670"/>
      <c r="J15" s="671">
        <f>G15</f>
        <v>3000</v>
      </c>
      <c r="K15" s="671"/>
      <c r="L15" s="671"/>
    </row>
    <row r="16" spans="2:16" ht="14.1" customHeight="1" thickTop="1" thickBot="1">
      <c r="B16" s="318" t="s">
        <v>459</v>
      </c>
      <c r="C16" s="669"/>
      <c r="D16" s="669"/>
      <c r="E16" s="669"/>
      <c r="F16" s="176"/>
      <c r="G16" s="670">
        <f>SUM('GA55'!BX15:BX17)</f>
        <v>4500</v>
      </c>
      <c r="H16" s="670"/>
      <c r="I16" s="670"/>
      <c r="J16" s="671">
        <f>G16</f>
        <v>4500</v>
      </c>
      <c r="K16" s="671"/>
      <c r="L16" s="671"/>
    </row>
    <row r="17" spans="2:12" ht="14.1" customHeight="1" thickTop="1" thickBot="1">
      <c r="B17" s="318" t="s">
        <v>460</v>
      </c>
      <c r="C17" s="669"/>
      <c r="D17" s="669"/>
      <c r="E17" s="669"/>
      <c r="F17" s="176"/>
      <c r="G17" s="670">
        <f>SUM('GA55'!BX18:BX20)</f>
        <v>4500</v>
      </c>
      <c r="H17" s="670"/>
      <c r="I17" s="670"/>
      <c r="J17" s="671">
        <f>G17</f>
        <v>4500</v>
      </c>
      <c r="K17" s="671"/>
      <c r="L17" s="671"/>
    </row>
    <row r="18" spans="2:12" ht="14.1" customHeight="1" thickTop="1" thickBot="1">
      <c r="B18" s="318" t="s">
        <v>461</v>
      </c>
      <c r="C18" s="669"/>
      <c r="D18" s="669"/>
      <c r="E18" s="669"/>
      <c r="F18" s="176"/>
      <c r="G18" s="670">
        <f>SUM('GA55'!BX21:BX23)+SUM('GA55'!X18:X26)</f>
        <v>3000</v>
      </c>
      <c r="H18" s="670"/>
      <c r="I18" s="670"/>
      <c r="J18" s="671">
        <f>G18</f>
        <v>3000</v>
      </c>
      <c r="K18" s="671"/>
      <c r="L18" s="671"/>
    </row>
    <row r="19" spans="2:12" ht="14.1" customHeight="1" thickTop="1" thickBot="1">
      <c r="B19" s="672" t="s">
        <v>174</v>
      </c>
      <c r="C19" s="672"/>
      <c r="D19" s="672"/>
      <c r="E19" s="672"/>
      <c r="F19" s="179">
        <f>SUM(F15:F18)</f>
        <v>0</v>
      </c>
      <c r="G19" s="673">
        <f>SUM(G15:G18)</f>
        <v>15000</v>
      </c>
      <c r="H19" s="673"/>
      <c r="I19" s="673"/>
      <c r="J19" s="673">
        <f>SUM(J15:J18)</f>
        <v>15000</v>
      </c>
      <c r="K19" s="673"/>
      <c r="L19" s="673"/>
    </row>
    <row r="20" spans="2:12" ht="14.1" customHeight="1" thickTop="1">
      <c r="B20" s="661" t="s">
        <v>175</v>
      </c>
      <c r="C20" s="662"/>
      <c r="D20" s="662"/>
      <c r="E20" s="662"/>
      <c r="F20" s="662"/>
      <c r="G20" s="662"/>
      <c r="H20" s="662"/>
      <c r="I20" s="662"/>
      <c r="J20" s="662"/>
      <c r="K20" s="662"/>
      <c r="L20" s="663"/>
    </row>
    <row r="21" spans="2:12" ht="14.1" customHeight="1" thickBot="1">
      <c r="B21" s="664" t="s">
        <v>176</v>
      </c>
      <c r="C21" s="665"/>
      <c r="D21" s="665"/>
      <c r="E21" s="665"/>
      <c r="F21" s="665"/>
      <c r="G21" s="665"/>
      <c r="H21" s="665"/>
      <c r="I21" s="665"/>
      <c r="J21" s="665"/>
      <c r="K21" s="665"/>
      <c r="L21" s="666"/>
    </row>
    <row r="22" spans="2:12" ht="14.1" customHeight="1" thickTop="1" thickBot="1">
      <c r="B22" s="667" t="s">
        <v>65</v>
      </c>
      <c r="C22" s="668" t="s">
        <v>177</v>
      </c>
      <c r="D22" s="668"/>
      <c r="E22" s="668" t="s">
        <v>178</v>
      </c>
      <c r="F22" s="668"/>
      <c r="G22" s="668"/>
      <c r="H22" s="668"/>
      <c r="I22" s="668"/>
      <c r="J22" s="668"/>
      <c r="K22" s="668"/>
      <c r="L22" s="668"/>
    </row>
    <row r="23" spans="2:12" ht="14.1" customHeight="1" thickTop="1" thickBot="1">
      <c r="B23" s="667"/>
      <c r="C23" s="668"/>
      <c r="D23" s="668"/>
      <c r="E23" s="180" t="s">
        <v>179</v>
      </c>
      <c r="F23" s="180" t="s">
        <v>180</v>
      </c>
      <c r="G23" s="668" t="s">
        <v>181</v>
      </c>
      <c r="H23" s="668"/>
      <c r="I23" s="668"/>
      <c r="J23" s="668" t="s">
        <v>182</v>
      </c>
      <c r="K23" s="668"/>
      <c r="L23" s="668"/>
    </row>
    <row r="24" spans="2:12" ht="13.5" customHeight="1" thickTop="1" thickBot="1">
      <c r="B24" s="181">
        <v>1</v>
      </c>
      <c r="C24" s="657">
        <f>'GA55'!X6</f>
        <v>0</v>
      </c>
      <c r="D24" s="657"/>
      <c r="E24" s="175"/>
      <c r="F24" s="175"/>
      <c r="G24" s="658"/>
      <c r="H24" s="658"/>
      <c r="I24" s="658"/>
      <c r="J24" s="659" t="str">
        <f>IF(E24&gt;"0","Yes","-")</f>
        <v>-</v>
      </c>
      <c r="K24" s="659"/>
      <c r="L24" s="659"/>
    </row>
    <row r="25" spans="2:12" ht="13.5" customHeight="1" thickTop="1" thickBot="1">
      <c r="B25" s="181">
        <v>2</v>
      </c>
      <c r="C25" s="657">
        <f>'GA55'!X7</f>
        <v>1500</v>
      </c>
      <c r="D25" s="657"/>
      <c r="E25" s="175"/>
      <c r="F25" s="175"/>
      <c r="G25" s="658"/>
      <c r="H25" s="658"/>
      <c r="I25" s="658"/>
      <c r="J25" s="659" t="str">
        <f t="shared" ref="J25:J37" si="0">IF(E25&gt;"0","Yes","-")</f>
        <v>-</v>
      </c>
      <c r="K25" s="659"/>
      <c r="L25" s="659"/>
    </row>
    <row r="26" spans="2:12" ht="13.5" customHeight="1" thickTop="1" thickBot="1">
      <c r="B26" s="181">
        <v>3</v>
      </c>
      <c r="C26" s="657">
        <f>'GA55'!X8</f>
        <v>1500</v>
      </c>
      <c r="D26" s="657"/>
      <c r="E26" s="175"/>
      <c r="F26" s="175"/>
      <c r="G26" s="658"/>
      <c r="H26" s="658"/>
      <c r="I26" s="658"/>
      <c r="J26" s="659" t="str">
        <f t="shared" si="0"/>
        <v>-</v>
      </c>
      <c r="K26" s="659"/>
      <c r="L26" s="659"/>
    </row>
    <row r="27" spans="2:12" ht="13.5" customHeight="1" thickTop="1" thickBot="1">
      <c r="B27" s="181">
        <v>4</v>
      </c>
      <c r="C27" s="657">
        <f>'GA55'!X9</f>
        <v>1500</v>
      </c>
      <c r="D27" s="657"/>
      <c r="E27" s="175"/>
      <c r="F27" s="175"/>
      <c r="G27" s="658"/>
      <c r="H27" s="658"/>
      <c r="I27" s="658"/>
      <c r="J27" s="659" t="str">
        <f t="shared" si="0"/>
        <v>-</v>
      </c>
      <c r="K27" s="659"/>
      <c r="L27" s="659"/>
    </row>
    <row r="28" spans="2:12" ht="13.5" customHeight="1" thickTop="1" thickBot="1">
      <c r="B28" s="181">
        <v>5</v>
      </c>
      <c r="C28" s="657">
        <f>'GA55'!X10</f>
        <v>1500</v>
      </c>
      <c r="D28" s="657"/>
      <c r="E28" s="175"/>
      <c r="F28" s="175"/>
      <c r="G28" s="658"/>
      <c r="H28" s="658"/>
      <c r="I28" s="658"/>
      <c r="J28" s="659" t="str">
        <f t="shared" si="0"/>
        <v>-</v>
      </c>
      <c r="K28" s="659"/>
      <c r="L28" s="659"/>
    </row>
    <row r="29" spans="2:12" ht="13.5" customHeight="1" thickTop="1" thickBot="1">
      <c r="B29" s="181">
        <v>6</v>
      </c>
      <c r="C29" s="657">
        <f>'GA55'!X11</f>
        <v>1500</v>
      </c>
      <c r="D29" s="657"/>
      <c r="E29" s="175"/>
      <c r="F29" s="175"/>
      <c r="G29" s="658"/>
      <c r="H29" s="658"/>
      <c r="I29" s="658"/>
      <c r="J29" s="659" t="str">
        <f t="shared" si="0"/>
        <v>-</v>
      </c>
      <c r="K29" s="659"/>
      <c r="L29" s="659"/>
    </row>
    <row r="30" spans="2:12" ht="13.5" customHeight="1" thickTop="1" thickBot="1">
      <c r="B30" s="181">
        <v>7</v>
      </c>
      <c r="C30" s="657">
        <f>'GA55'!X12</f>
        <v>1500</v>
      </c>
      <c r="D30" s="657"/>
      <c r="E30" s="175"/>
      <c r="F30" s="175"/>
      <c r="G30" s="658"/>
      <c r="H30" s="658"/>
      <c r="I30" s="658"/>
      <c r="J30" s="659" t="str">
        <f t="shared" si="0"/>
        <v>-</v>
      </c>
      <c r="K30" s="659"/>
      <c r="L30" s="659"/>
    </row>
    <row r="31" spans="2:12" ht="13.5" customHeight="1" thickTop="1" thickBot="1">
      <c r="B31" s="181">
        <v>8</v>
      </c>
      <c r="C31" s="657">
        <f>'GA55'!X13</f>
        <v>1500</v>
      </c>
      <c r="D31" s="657"/>
      <c r="E31" s="175"/>
      <c r="F31" s="175"/>
      <c r="G31" s="658"/>
      <c r="H31" s="658"/>
      <c r="I31" s="658"/>
      <c r="J31" s="659" t="str">
        <f t="shared" si="0"/>
        <v>-</v>
      </c>
      <c r="K31" s="659"/>
      <c r="L31" s="659"/>
    </row>
    <row r="32" spans="2:12" ht="13.5" customHeight="1" thickTop="1" thickBot="1">
      <c r="B32" s="181">
        <v>9</v>
      </c>
      <c r="C32" s="657">
        <f>'GA55'!X14</f>
        <v>1500</v>
      </c>
      <c r="D32" s="657"/>
      <c r="E32" s="175"/>
      <c r="F32" s="175"/>
      <c r="G32" s="658"/>
      <c r="H32" s="658"/>
      <c r="I32" s="658"/>
      <c r="J32" s="659" t="str">
        <f t="shared" si="0"/>
        <v>-</v>
      </c>
      <c r="K32" s="659"/>
      <c r="L32" s="659"/>
    </row>
    <row r="33" spans="2:13" ht="13.5" customHeight="1" thickTop="1" thickBot="1">
      <c r="B33" s="181">
        <v>10</v>
      </c>
      <c r="C33" s="657">
        <f>'GA55'!X15</f>
        <v>1500</v>
      </c>
      <c r="D33" s="657"/>
      <c r="E33" s="175"/>
      <c r="F33" s="175"/>
      <c r="G33" s="658"/>
      <c r="H33" s="658"/>
      <c r="I33" s="658"/>
      <c r="J33" s="659" t="str">
        <f t="shared" si="0"/>
        <v>-</v>
      </c>
      <c r="K33" s="659"/>
      <c r="L33" s="659"/>
    </row>
    <row r="34" spans="2:13" ht="13.5" customHeight="1" thickTop="1" thickBot="1">
      <c r="B34" s="181">
        <v>11</v>
      </c>
      <c r="C34" s="657">
        <f>'GA55'!X16</f>
        <v>1500</v>
      </c>
      <c r="D34" s="657"/>
      <c r="E34" s="175"/>
      <c r="F34" s="175"/>
      <c r="G34" s="658"/>
      <c r="H34" s="658"/>
      <c r="I34" s="658"/>
      <c r="J34" s="659" t="str">
        <f t="shared" si="0"/>
        <v>-</v>
      </c>
      <c r="K34" s="659"/>
      <c r="L34" s="659"/>
    </row>
    <row r="35" spans="2:13" ht="13.5" customHeight="1" thickTop="1" thickBot="1">
      <c r="B35" s="181">
        <v>12</v>
      </c>
      <c r="C35" s="657">
        <f>'GA55'!X17</f>
        <v>0</v>
      </c>
      <c r="D35" s="657"/>
      <c r="E35" s="175"/>
      <c r="F35" s="175"/>
      <c r="G35" s="658"/>
      <c r="H35" s="658"/>
      <c r="I35" s="658"/>
      <c r="J35" s="659" t="str">
        <f t="shared" si="0"/>
        <v>-</v>
      </c>
      <c r="K35" s="659"/>
      <c r="L35" s="659"/>
    </row>
    <row r="36" spans="2:13" ht="13.5" customHeight="1" thickTop="1" thickBot="1">
      <c r="B36" s="181">
        <v>13</v>
      </c>
      <c r="C36" s="657">
        <f>'GA55'!X27-SUM(C24:D34)</f>
        <v>0</v>
      </c>
      <c r="D36" s="657"/>
      <c r="E36" s="175"/>
      <c r="F36" s="175"/>
      <c r="G36" s="658"/>
      <c r="H36" s="658"/>
      <c r="I36" s="658"/>
      <c r="J36" s="659" t="str">
        <f t="shared" si="0"/>
        <v>-</v>
      </c>
      <c r="K36" s="659"/>
      <c r="L36" s="659"/>
    </row>
    <row r="37" spans="2:13" ht="13.5" customHeight="1" thickTop="1" thickBot="1">
      <c r="B37" s="181">
        <v>14</v>
      </c>
      <c r="C37" s="657">
        <f>'[2]G.A. 55'!T24+'[2]G.A. 55'!T26</f>
        <v>0</v>
      </c>
      <c r="D37" s="657"/>
      <c r="E37" s="182"/>
      <c r="F37" s="182"/>
      <c r="G37" s="660"/>
      <c r="H37" s="660"/>
      <c r="I37" s="660"/>
      <c r="J37" s="659" t="str">
        <f t="shared" si="0"/>
        <v>-</v>
      </c>
      <c r="K37" s="659"/>
      <c r="L37" s="659"/>
    </row>
    <row r="38" spans="2:13" ht="14.1" customHeight="1" thickTop="1" thickBot="1">
      <c r="B38" s="183" t="s">
        <v>183</v>
      </c>
      <c r="C38" s="655">
        <f>SUM(C24:D37)</f>
        <v>15000</v>
      </c>
      <c r="D38" s="655"/>
      <c r="E38" s="656"/>
      <c r="F38" s="656"/>
      <c r="G38" s="656"/>
      <c r="H38" s="656"/>
      <c r="I38" s="656"/>
      <c r="J38" s="656"/>
      <c r="K38" s="656"/>
      <c r="L38" s="656"/>
    </row>
    <row r="39" spans="2:13" ht="14.1" customHeight="1" thickTop="1">
      <c r="B39" s="650" t="s">
        <v>184</v>
      </c>
      <c r="C39" s="650"/>
      <c r="D39" s="650"/>
      <c r="E39" s="650"/>
      <c r="F39" s="650"/>
      <c r="G39" s="650"/>
      <c r="H39" s="650"/>
      <c r="I39" s="650"/>
      <c r="J39" s="650"/>
      <c r="K39" s="650"/>
      <c r="L39" s="650"/>
    </row>
    <row r="40" spans="2:13" ht="14.1" customHeight="1">
      <c r="B40" s="184" t="s">
        <v>185</v>
      </c>
      <c r="C40" s="553" t="str">
        <f>B6&amp;","</f>
        <v>USHA PALIYA,</v>
      </c>
      <c r="D40" s="553"/>
      <c r="E40" s="553"/>
      <c r="F40" s="185" t="s">
        <v>186</v>
      </c>
      <c r="G40" s="651"/>
      <c r="H40" s="651"/>
      <c r="I40" s="651"/>
      <c r="J40" s="651"/>
      <c r="K40" s="652" t="s">
        <v>187</v>
      </c>
      <c r="L40" s="652"/>
    </row>
    <row r="41" spans="2:13" ht="14.1" customHeight="1">
      <c r="B41" s="653" t="s">
        <v>188</v>
      </c>
      <c r="C41" s="653"/>
      <c r="D41" s="651" t="s">
        <v>263</v>
      </c>
      <c r="E41" s="651"/>
      <c r="F41" s="651"/>
      <c r="G41" s="654" t="s">
        <v>189</v>
      </c>
      <c r="H41" s="654"/>
      <c r="I41" s="654"/>
      <c r="J41" s="654"/>
      <c r="K41" s="654"/>
      <c r="L41" s="654"/>
    </row>
    <row r="42" spans="2:13" ht="14.1" customHeight="1">
      <c r="B42" s="186" t="s">
        <v>190</v>
      </c>
      <c r="C42" s="187">
        <f>J19</f>
        <v>15000</v>
      </c>
      <c r="D42" s="647" t="str">
        <f>IF(OR(LEN(FLOOR(C42,1))=13,FLOOR(C42,1)&lt;=0),"Out of range",PROPER(SUBSTITUTE(CONCATENATE(CHOOSE(MID(TEXT(INT(C42),REPT(0,12)),1,1)+1,"","one hundred ","two hundred ","three hundred ","four hundred ","five hundred ","six hundred ","seven hundred ","eight hundred ","nine hundred "),CHOOSE(MID(TEXT(INT(C42),REPT(0,12)),2,1)+1,"",CHOOSE(MID(TEXT(INT(C42),REPT(0,12)),3,1)+1,"ten","eleven","twelve","thirteen","fourteen","fifteen","sixteen","seventeen","eighteen","nineteen"),"twenty","thirty","forty","fifty","sixty","seventy","eighty","ninety"),IF(VALUE(MID(TEXT(INT(C42),REPT(0,12)),2,1))&gt;1,CHOOSE(MID(TEXT(INT(C42),REPT(0,12)),3,1)+1,"","-one","-two","-three","-four","-five","-six","-seven","-eight","-nine"),IF(VALUE(MID(TEXT(INT(C42),REPT(0,12)),2,1))=0,CHOOSE(MID(TEXT(INT(C42),REPT(0,12)),3,1)+1,"","one","two","three","four","five","six","seven","eight","nine"),"")),IF(C42&gt;=10^9," billion ",""),CHOOSE(MID(TEXT(INT(C42),REPT(0,12)),4,1)+1,"","one hundred ","two hundred ","three hundred ","four hundred ","five hundred ","six hundred ","seven hundred ","eight hundred ","nine hundred "),CHOOSE(MID(TEXT(INT(C42),REPT(0,12)),5,1)+1,"",CHOOSE(MID(TEXT(INT(C42),REPT(0,12)),6,1)+1,"ten","eleven","twelve","thirteen","fourteen","fifteen","sixteen","seventeen","eighteen","nineteen"),"twenty","thirty","forty","fifty","sixty","seventy","eighty","ninety"),IF(VALUE(MID(TEXT(INT(C42),REPT(0,12)),5,1))&gt;1,CHOOSE(MID(TEXT(INT(C42),REPT(0,12)),6,1)+1,"","-one","-two","-three","-four","-five","-six","-seven","-eight","-nine"),IF(VALUE(MID(TEXT(INT(C42),REPT(0,12)),5,1))=0,CHOOSE(MID(TEXT(INT(C42),REPT(0,12)),6,1)+1,"","one","two","three","four","five","six","seven","eight","nine"),"")),IF(VALUE(MID(TEXT(INT(C42),REPT(0,12)),4,3))&gt;0," million ",""),CHOOSE(MID(TEXT(INT(C42),REPT(0,12)),7,1)+1,"","one hundred ","two hundred ","three hundred ","four hundred ","five hundred ","six hundred ","seven hundred ","eight hundred ","nine hundred "),CHOOSE(MID(TEXT(INT(C42),REPT(0,12)),8,1)+1,"",CHOOSE(MID(TEXT(INT(C42),REPT(0,12)),9,1)+1,"ten","eleven","twelve","thirteen","fourteen","fifteen","sixteen","seventeen","eighteen","nineteen"),"twenty","thirty","forty","fifty","sixty","seventy","eighty","ninety"),IF(VALUE(MID(TEXT(INT(C42),REPT(0,12)),8,1))&gt;1,CHOOSE(MID(TEXT(INT(C42),REPT(0,12)),9,1)+1,"","-one","-two","-three","-four","-five","-six","-seven","-eight","-nine"),IF(VALUE(MID(TEXT(INT(C42),REPT(0,12)),8,1))=0,CHOOSE(MID(TEXT(INT(C42),REPT(0,12)),9,1)+1,"","one","two","three","four","five","six","seven","eight","nine"),"")),IF(VALUE(MID(TEXT(INT(C42),REPT(0,12)),7,3))," thousand ",""),CHOOSE(MID(TEXT(INT(C42),REPT(0,12)),10,1)+1,"","one hundred ","two hundred ","three hundred ","four hundred ","five hundred ","six hundred ","seven hundred ","eight hundred ","nine hundred "),CHOOSE(MID(TEXT(INT(C42),REPT(0,12)),11,1)+1,"",CHOOSE(MID(TEXT(INT(C42),REPT(0,12)),12,1)+1,"ten","eleven","twelve","thirteen","fourteen","fifteen","sixteen","seventeen","eighteen","nineteen"),"twenty","thirty","forty","fifty","sixty","seventy","eighty","ninety"),IF(VALUE(MID(TEXT(INT(C42),REPT(0,12)),11,1))&gt;1,CHOOSE(MID(TEXT(INT(C42),REPT(0,12)),12,1)+1,"","-one","-two","-three","-four","-five","-six","-seven","-eight","-nine"),IF(VALUE(MID(TEXT(INT(C42),REPT(0,12)),11,1))=0,CHOOSE(MID(TEXT(INT(C42),REPT(0,12)),12,1)+1,"","one","two","three","four","five","six","seven","eight","nine"),""))),"  "," ")&amp;IF(FLOOR(C42,1)&gt;1," Rupees"," Rupees"))&amp;IF(ISERROR(FIND(".",C42,1)),""," and "&amp;PROPER(IF(LEN(LEFT(TRIM(MID(SUBSTITUTE('[2]16 NO.'!$B$62,".",REPT(" ",255)),255,200)),2))=1,CHOOSE(1*LEFT(TRIM(MID(SUBSTITUTE('[2]16 NO.'!$B$62,".",REPT(" ",255)),255,200)),2),"ten","twenty","thirty","forty","fifty","sixty","seventy","eighty","ninety")&amp;" Paise","")&amp;CONCATENATE(CHOOSE(MID(TEXT(INT(LEFT(TRIM(MID(SUBSTITUTE('[2]16 NO.'!$B$62,".",REPT(" ",255)),255,200)),2)),REPT(0,12)),11,1)+1,"",CHOOSE(MID(TEXT(INT(LEFT(TRIM(MID(SUBSTITUTE('[2]16 NO.'!$B$62,".",REPT(" ",255)),255,200)),2)),REPT(0,12)),12,1)+1,"ten","eleven","twelve","thirteen","fourteen","fifteen","sixteen","seventeen","eighteen","nineteen"),"twenty","thirty","forty","fifty","sixty","seventy","eighty","ninety"),IF(VALUE(MID(TEXT(INT(LEFT(TRIM(MID(SUBSTITUTE('[2]16 NO.'!$B$62,".",REPT(" ",255)),255,200)),2)),REPT(0,12)),11,1))&gt;1,CHOOSE(MID(TEXT(INT(LEFT(TRIM(MID(SUBSTITUTE('[2]16 NO.'!$B$62,".",REPT(" ",255)),255,200)),2)),REPT(0,12)),12,1)+1,"","-one","-two","-three","-four","-five","-six","-seven","-eight","-nine")&amp;" Paise",IF(LEFT(TRIM(MID(SUBSTITUTE('[2]16 NO.'!$B$62,".",REPT(" ",255)),255,200)),2)="01","one Paise",IF(LEFT(TRIM(MID(SUBSTITUTE('[2]16 NO.'!$B$62,".",REPT(" ",255)),255,200)),1)="0",CHOOSE(MID(TEXT(INT(LEFT(TRIM(MID(SUBSTITUTE('[2]16 NO.'!$B$62,".",REPT(" ",255)),255,200)),2)),REPT(0,12)),12,1)+1,"","one","two","three","four","five","six","seven","eight","nine")&amp;" Paise","")))))))</f>
        <v>Fifteen Thousand  Rupees</v>
      </c>
      <c r="E42" s="647"/>
      <c r="F42" s="647"/>
      <c r="G42" s="647"/>
      <c r="H42" s="647"/>
      <c r="I42" s="648" t="s">
        <v>191</v>
      </c>
      <c r="J42" s="648"/>
      <c r="K42" s="648"/>
      <c r="L42" s="648"/>
    </row>
    <row r="43" spans="2:13" ht="14.1" customHeight="1">
      <c r="B43" s="560" t="s">
        <v>265</v>
      </c>
      <c r="C43" s="560"/>
      <c r="D43" s="560"/>
      <c r="E43" s="560"/>
      <c r="F43" s="560"/>
      <c r="G43" s="560"/>
      <c r="H43" s="560"/>
      <c r="I43" s="560"/>
      <c r="J43" s="560"/>
      <c r="K43" s="560"/>
      <c r="L43" s="560"/>
    </row>
    <row r="44" spans="2:13" ht="14.1" customHeight="1">
      <c r="B44" s="560" t="s">
        <v>264</v>
      </c>
      <c r="C44" s="560"/>
      <c r="D44" s="560"/>
      <c r="E44" s="560"/>
      <c r="F44" s="560"/>
      <c r="G44" s="560"/>
      <c r="H44" s="560"/>
      <c r="I44" s="560"/>
      <c r="J44" s="560"/>
      <c r="K44" s="560"/>
      <c r="L44" s="560"/>
    </row>
    <row r="45" spans="2:13" ht="14.1" customHeight="1">
      <c r="B45" s="643" t="s">
        <v>192</v>
      </c>
      <c r="C45" s="643"/>
      <c r="D45" s="649" t="str">
        <f>G7</f>
        <v>M.G.G.S. BAR</v>
      </c>
      <c r="E45" s="649"/>
      <c r="F45" s="553"/>
      <c r="G45" s="553"/>
      <c r="H45" s="553"/>
      <c r="I45" s="553"/>
      <c r="J45" s="553"/>
      <c r="K45" s="553"/>
      <c r="L45" s="553"/>
    </row>
    <row r="46" spans="2:13" ht="14.1" customHeight="1">
      <c r="B46" s="643" t="s">
        <v>193</v>
      </c>
      <c r="C46" s="643"/>
      <c r="D46" s="555">
        <f ca="1">TODAY()</f>
        <v>44569</v>
      </c>
      <c r="E46" s="555"/>
      <c r="F46" s="644" t="s">
        <v>194</v>
      </c>
      <c r="G46" s="644"/>
      <c r="H46" s="644"/>
      <c r="I46" s="644"/>
      <c r="J46" s="644"/>
      <c r="K46" s="644"/>
      <c r="L46" s="644"/>
    </row>
    <row r="47" spans="2:13" ht="14.1" customHeight="1">
      <c r="B47" s="643" t="s">
        <v>195</v>
      </c>
      <c r="C47" s="643"/>
      <c r="D47" s="645" t="str">
        <f>D41</f>
        <v>PRINCIPAL</v>
      </c>
      <c r="E47" s="645"/>
      <c r="F47" s="188" t="s">
        <v>266</v>
      </c>
      <c r="G47" s="646" t="str">
        <f>B6</f>
        <v>USHA PALIYA</v>
      </c>
      <c r="H47" s="646"/>
      <c r="I47" s="646"/>
      <c r="J47" s="646"/>
      <c r="K47" s="646"/>
      <c r="L47" s="646"/>
    </row>
    <row r="48" spans="2:13" ht="14.1" customHeight="1" thickBot="1">
      <c r="B48" s="636" t="s">
        <v>196</v>
      </c>
      <c r="C48" s="636"/>
      <c r="D48" s="636"/>
      <c r="E48" s="636"/>
      <c r="F48" s="636"/>
      <c r="G48" s="636"/>
      <c r="H48" s="636"/>
      <c r="I48" s="636"/>
      <c r="J48" s="636"/>
      <c r="K48" s="636"/>
      <c r="L48" s="636"/>
      <c r="M48" s="34"/>
    </row>
    <row r="49" spans="2:13" ht="14.1" customHeight="1" thickTop="1" thickBot="1">
      <c r="B49" s="633" t="s">
        <v>197</v>
      </c>
      <c r="C49" s="633"/>
      <c r="D49" s="633"/>
      <c r="E49" s="633"/>
      <c r="F49" s="633"/>
      <c r="G49" s="633"/>
      <c r="H49" s="633"/>
      <c r="I49" s="633"/>
      <c r="J49" s="633"/>
      <c r="K49" s="633"/>
      <c r="L49" s="633"/>
      <c r="M49" s="34"/>
    </row>
    <row r="50" spans="2:13" ht="14.1" customHeight="1" thickTop="1" thickBot="1">
      <c r="B50" s="634" t="s">
        <v>198</v>
      </c>
      <c r="C50" s="634"/>
      <c r="D50" s="634"/>
      <c r="E50" s="634"/>
      <c r="F50" s="634"/>
      <c r="G50" s="637"/>
      <c r="H50" s="637"/>
      <c r="I50" s="629"/>
      <c r="J50" s="629"/>
      <c r="K50" s="626"/>
      <c r="L50" s="626"/>
    </row>
    <row r="51" spans="2:13" ht="14.1" customHeight="1" thickTop="1" thickBot="1">
      <c r="B51" s="603" t="s">
        <v>199</v>
      </c>
      <c r="C51" s="603"/>
      <c r="D51" s="603"/>
      <c r="E51" s="603"/>
      <c r="F51" s="603"/>
      <c r="G51" s="600">
        <f>COMPUTATION!O4+COMPUTATION!O5</f>
        <v>932558</v>
      </c>
      <c r="H51" s="600"/>
      <c r="I51" s="629"/>
      <c r="J51" s="629"/>
      <c r="K51" s="626"/>
      <c r="L51" s="626"/>
    </row>
    <row r="52" spans="2:13" ht="14.1" customHeight="1" thickTop="1" thickBot="1">
      <c r="B52" s="603" t="s">
        <v>200</v>
      </c>
      <c r="C52" s="603"/>
      <c r="D52" s="603"/>
      <c r="E52" s="603"/>
      <c r="F52" s="603"/>
      <c r="G52" s="638"/>
      <c r="H52" s="638"/>
      <c r="I52" s="629"/>
      <c r="J52" s="629"/>
      <c r="K52" s="626"/>
      <c r="L52" s="626"/>
    </row>
    <row r="53" spans="2:13" ht="14.1" customHeight="1" thickTop="1" thickBot="1">
      <c r="B53" s="603" t="s">
        <v>201</v>
      </c>
      <c r="C53" s="603"/>
      <c r="D53" s="603"/>
      <c r="E53" s="603"/>
      <c r="F53" s="603"/>
      <c r="G53" s="639">
        <v>0</v>
      </c>
      <c r="H53" s="639"/>
      <c r="I53" s="629"/>
      <c r="J53" s="629"/>
      <c r="K53" s="626"/>
      <c r="L53" s="626"/>
    </row>
    <row r="54" spans="2:13" ht="14.1" customHeight="1" thickTop="1" thickBot="1">
      <c r="B54" s="640" t="s">
        <v>202</v>
      </c>
      <c r="C54" s="640"/>
      <c r="D54" s="640"/>
      <c r="E54" s="640"/>
      <c r="F54" s="640"/>
      <c r="G54" s="641"/>
      <c r="H54" s="641"/>
      <c r="I54" s="601">
        <f>G51+G52+G53</f>
        <v>932558</v>
      </c>
      <c r="J54" s="601"/>
      <c r="K54" s="626"/>
      <c r="L54" s="626"/>
    </row>
    <row r="55" spans="2:13" ht="14.1" customHeight="1" thickTop="1" thickBot="1">
      <c r="B55" s="603" t="s">
        <v>203</v>
      </c>
      <c r="C55" s="603"/>
      <c r="D55" s="603"/>
      <c r="E55" s="603"/>
      <c r="F55" s="603"/>
      <c r="G55" s="641"/>
      <c r="H55" s="641"/>
      <c r="I55" s="632"/>
      <c r="J55" s="632"/>
      <c r="K55" s="626"/>
      <c r="L55" s="626"/>
    </row>
    <row r="56" spans="2:13" ht="14.1" customHeight="1" thickTop="1" thickBot="1">
      <c r="B56" s="700" t="s">
        <v>204</v>
      </c>
      <c r="C56" s="701"/>
      <c r="D56" s="701"/>
      <c r="E56" s="701"/>
      <c r="F56" s="702"/>
      <c r="G56" s="641"/>
      <c r="H56" s="641"/>
      <c r="I56" s="632"/>
      <c r="J56" s="632"/>
      <c r="K56" s="626"/>
      <c r="L56" s="626"/>
    </row>
    <row r="57" spans="2:13" ht="14.1" customHeight="1" thickTop="1" thickBot="1">
      <c r="B57" s="642" t="s">
        <v>205</v>
      </c>
      <c r="C57" s="642"/>
      <c r="D57" s="642"/>
      <c r="E57" s="189">
        <f>COMPUTATION!O6</f>
        <v>0</v>
      </c>
      <c r="F57" s="189">
        <f>E57</f>
        <v>0</v>
      </c>
      <c r="G57" s="641"/>
      <c r="H57" s="641"/>
      <c r="I57" s="632"/>
      <c r="J57" s="632"/>
      <c r="K57" s="626"/>
      <c r="L57" s="626"/>
    </row>
    <row r="58" spans="2:13" ht="14.1" customHeight="1" thickTop="1" thickBot="1">
      <c r="B58" s="633" t="s">
        <v>206</v>
      </c>
      <c r="C58" s="633"/>
      <c r="D58" s="633"/>
      <c r="E58" s="190"/>
      <c r="F58" s="199">
        <v>0</v>
      </c>
      <c r="G58" s="600">
        <f>F57+F58</f>
        <v>0</v>
      </c>
      <c r="H58" s="600"/>
      <c r="I58" s="632"/>
      <c r="J58" s="632"/>
      <c r="K58" s="626"/>
      <c r="L58" s="626"/>
    </row>
    <row r="59" spans="2:13" ht="14.1" customHeight="1" thickTop="1" thickBot="1">
      <c r="B59" s="634" t="s">
        <v>207</v>
      </c>
      <c r="C59" s="634"/>
      <c r="D59" s="634"/>
      <c r="E59" s="634"/>
      <c r="F59" s="634"/>
      <c r="G59" s="632"/>
      <c r="H59" s="632"/>
      <c r="I59" s="601">
        <f>I54-G58</f>
        <v>932558</v>
      </c>
      <c r="J59" s="601"/>
      <c r="K59" s="626"/>
      <c r="L59" s="626"/>
    </row>
    <row r="60" spans="2:13" ht="14.1" customHeight="1" thickTop="1" thickBot="1">
      <c r="B60" s="603" t="s">
        <v>208</v>
      </c>
      <c r="C60" s="603"/>
      <c r="D60" s="603"/>
      <c r="E60" s="603"/>
      <c r="F60" s="603"/>
      <c r="G60" s="632"/>
      <c r="H60" s="632"/>
      <c r="I60" s="694"/>
      <c r="J60" s="695"/>
      <c r="K60" s="626"/>
      <c r="L60" s="626"/>
    </row>
    <row r="61" spans="2:13" ht="14.1" customHeight="1" thickTop="1" thickBot="1">
      <c r="B61" s="635" t="s">
        <v>209</v>
      </c>
      <c r="C61" s="635"/>
      <c r="D61" s="603" t="s">
        <v>210</v>
      </c>
      <c r="E61" s="603"/>
      <c r="F61" s="603"/>
      <c r="G61" s="628">
        <f>COMPUTATION!K10</f>
        <v>50000</v>
      </c>
      <c r="H61" s="628"/>
      <c r="I61" s="696"/>
      <c r="J61" s="697"/>
      <c r="K61" s="626"/>
      <c r="L61" s="626"/>
    </row>
    <row r="62" spans="2:13" ht="14.1" customHeight="1" thickTop="1" thickBot="1">
      <c r="B62" s="635" t="s">
        <v>211</v>
      </c>
      <c r="C62" s="635"/>
      <c r="D62" s="603" t="s">
        <v>212</v>
      </c>
      <c r="E62" s="603"/>
      <c r="F62" s="603"/>
      <c r="G62" s="632">
        <f>COMPUTATION!K8</f>
        <v>0</v>
      </c>
      <c r="H62" s="632"/>
      <c r="I62" s="696"/>
      <c r="J62" s="697"/>
      <c r="K62" s="626"/>
      <c r="L62" s="626"/>
    </row>
    <row r="63" spans="2:13" ht="14.1" customHeight="1" thickTop="1" thickBot="1">
      <c r="B63" s="635" t="s">
        <v>213</v>
      </c>
      <c r="C63" s="635"/>
      <c r="D63" s="603" t="s">
        <v>214</v>
      </c>
      <c r="E63" s="603"/>
      <c r="F63" s="603"/>
      <c r="G63" s="632">
        <f>COMPUTATION!K9</f>
        <v>0</v>
      </c>
      <c r="H63" s="632"/>
      <c r="I63" s="698"/>
      <c r="J63" s="699"/>
      <c r="K63" s="626"/>
      <c r="L63" s="626"/>
    </row>
    <row r="64" spans="2:13" ht="14.1" customHeight="1" thickTop="1" thickBot="1">
      <c r="B64" s="685" t="s">
        <v>299</v>
      </c>
      <c r="C64" s="685"/>
      <c r="D64" s="683" t="s">
        <v>415</v>
      </c>
      <c r="E64" s="684"/>
      <c r="F64" s="247" t="s">
        <v>416</v>
      </c>
      <c r="G64" s="686"/>
      <c r="H64" s="687"/>
      <c r="I64" s="600">
        <f>G62+G63+G61</f>
        <v>50000</v>
      </c>
      <c r="J64" s="600"/>
      <c r="K64" s="626"/>
      <c r="L64" s="626"/>
    </row>
    <row r="65" spans="2:12" ht="14.1" customHeight="1" thickTop="1" thickBot="1">
      <c r="B65" s="600">
        <f>COMPUTATION!D14</f>
        <v>0</v>
      </c>
      <c r="C65" s="600"/>
      <c r="D65" s="600">
        <f>COMPUTATION!F14</f>
        <v>0</v>
      </c>
      <c r="E65" s="600"/>
      <c r="F65" s="199">
        <f>COMPUTATION!I14</f>
        <v>0</v>
      </c>
      <c r="G65" s="688"/>
      <c r="H65" s="689"/>
      <c r="I65" s="601">
        <f>B65+D65+F65</f>
        <v>0</v>
      </c>
      <c r="J65" s="601"/>
      <c r="K65" s="626"/>
      <c r="L65" s="626"/>
    </row>
    <row r="66" spans="2:12" ht="14.1" customHeight="1" thickTop="1" thickBot="1">
      <c r="B66" s="603" t="s">
        <v>215</v>
      </c>
      <c r="C66" s="603"/>
      <c r="D66" s="603"/>
      <c r="E66" s="603"/>
      <c r="F66" s="603"/>
      <c r="G66" s="256"/>
      <c r="H66" s="257"/>
      <c r="I66" s="600">
        <f>I64+I65</f>
        <v>50000</v>
      </c>
      <c r="J66" s="600"/>
      <c r="K66" s="626"/>
      <c r="L66" s="626"/>
    </row>
    <row r="67" spans="2:12" ht="14.1" customHeight="1" thickTop="1" thickBot="1">
      <c r="B67" s="625" t="s">
        <v>216</v>
      </c>
      <c r="C67" s="625"/>
      <c r="D67" s="625"/>
      <c r="E67" s="625"/>
      <c r="F67" s="625"/>
      <c r="G67" s="258"/>
      <c r="H67" s="259"/>
      <c r="I67" s="629"/>
      <c r="J67" s="629"/>
      <c r="K67" s="624">
        <f>I59-I66</f>
        <v>882558</v>
      </c>
      <c r="L67" s="624"/>
    </row>
    <row r="68" spans="2:12" ht="14.1" customHeight="1" thickTop="1" thickBot="1">
      <c r="B68" s="625" t="s">
        <v>217</v>
      </c>
      <c r="C68" s="625"/>
      <c r="D68" s="625"/>
      <c r="E68" s="625"/>
      <c r="F68" s="625"/>
      <c r="G68" s="258"/>
      <c r="H68" s="259"/>
      <c r="I68" s="629"/>
      <c r="J68" s="629"/>
      <c r="K68" s="626"/>
      <c r="L68" s="626"/>
    </row>
    <row r="69" spans="2:12" ht="14.1" customHeight="1" thickTop="1" thickBot="1">
      <c r="B69" s="627" t="s">
        <v>218</v>
      </c>
      <c r="C69" s="627"/>
      <c r="D69" s="627"/>
      <c r="E69" s="627"/>
      <c r="F69" s="191" t="s">
        <v>420</v>
      </c>
      <c r="G69" s="628">
        <f>COMPUTATION!E17+COMPUTATION!I16</f>
        <v>0</v>
      </c>
      <c r="H69" s="628"/>
      <c r="I69" s="629"/>
      <c r="J69" s="629"/>
      <c r="K69" s="626"/>
      <c r="L69" s="626"/>
    </row>
    <row r="70" spans="2:12" ht="14.1" customHeight="1" thickTop="1" thickBot="1">
      <c r="B70" s="627" t="s">
        <v>219</v>
      </c>
      <c r="C70" s="627"/>
      <c r="D70" s="627"/>
      <c r="E70" s="627"/>
      <c r="F70" s="192">
        <f>COMPUTATION!K12</f>
        <v>0</v>
      </c>
      <c r="G70" s="628"/>
      <c r="H70" s="628"/>
      <c r="I70" s="629"/>
      <c r="J70" s="629"/>
      <c r="K70" s="626"/>
      <c r="L70" s="626"/>
    </row>
    <row r="71" spans="2:12" ht="14.1" customHeight="1" thickTop="1" thickBot="1">
      <c r="B71" s="621" t="s">
        <v>220</v>
      </c>
      <c r="C71" s="621"/>
      <c r="D71" s="621"/>
      <c r="E71" s="621"/>
      <c r="F71" s="192">
        <f>COMPUTATION!E16</f>
        <v>1500</v>
      </c>
      <c r="G71" s="628">
        <f>F70+F71</f>
        <v>1500</v>
      </c>
      <c r="H71" s="628"/>
      <c r="I71" s="600">
        <f>F70+F71+G69</f>
        <v>1500</v>
      </c>
      <c r="J71" s="600"/>
      <c r="K71" s="626"/>
      <c r="L71" s="626"/>
    </row>
    <row r="72" spans="2:12" ht="14.1" customHeight="1" thickTop="1" thickBot="1">
      <c r="B72" s="630" t="s">
        <v>221</v>
      </c>
      <c r="C72" s="630"/>
      <c r="D72" s="630"/>
      <c r="E72" s="630"/>
      <c r="F72" s="630"/>
      <c r="G72" s="258"/>
      <c r="H72" s="259"/>
      <c r="I72" s="629"/>
      <c r="J72" s="629"/>
      <c r="K72" s="624">
        <f>K67+I71</f>
        <v>884058</v>
      </c>
      <c r="L72" s="624"/>
    </row>
    <row r="73" spans="2:12" ht="14.1" customHeight="1" thickTop="1" thickBot="1">
      <c r="B73" s="630" t="s">
        <v>222</v>
      </c>
      <c r="C73" s="630"/>
      <c r="D73" s="630"/>
      <c r="E73" s="630"/>
      <c r="F73" s="630"/>
      <c r="G73" s="258"/>
      <c r="H73" s="259"/>
      <c r="I73" s="629"/>
      <c r="J73" s="629"/>
      <c r="K73" s="626"/>
      <c r="L73" s="626"/>
    </row>
    <row r="74" spans="2:12" ht="14.1" customHeight="1" thickTop="1" thickBot="1">
      <c r="B74" s="631" t="s">
        <v>223</v>
      </c>
      <c r="C74" s="631"/>
      <c r="D74" s="631"/>
      <c r="E74" s="631"/>
      <c r="F74" s="631"/>
      <c r="G74" s="260"/>
      <c r="H74" s="261"/>
      <c r="I74" s="629"/>
      <c r="J74" s="629"/>
      <c r="K74" s="626"/>
      <c r="L74" s="626"/>
    </row>
    <row r="75" spans="2:12" ht="14.1" customHeight="1" thickTop="1" thickBot="1">
      <c r="B75" s="622" t="s">
        <v>224</v>
      </c>
      <c r="C75" s="622"/>
      <c r="D75" s="622"/>
      <c r="E75" s="622"/>
      <c r="F75" s="622"/>
      <c r="G75" s="623"/>
      <c r="H75" s="623"/>
      <c r="I75" s="623" t="s">
        <v>225</v>
      </c>
      <c r="J75" s="623"/>
      <c r="K75" s="623" t="s">
        <v>226</v>
      </c>
      <c r="L75" s="623"/>
    </row>
    <row r="76" spans="2:12" ht="13.5" customHeight="1" thickTop="1" thickBot="1">
      <c r="B76" s="618" t="s">
        <v>227</v>
      </c>
      <c r="C76" s="193">
        <v>1</v>
      </c>
      <c r="D76" s="619" t="s">
        <v>228</v>
      </c>
      <c r="E76" s="602" t="s">
        <v>4</v>
      </c>
      <c r="F76" s="602"/>
      <c r="G76" s="599" t="str">
        <f>COMPUTATION!G26</f>
        <v>0</v>
      </c>
      <c r="H76" s="599"/>
      <c r="I76" s="606"/>
      <c r="J76" s="607"/>
      <c r="K76" s="612"/>
      <c r="L76" s="613"/>
    </row>
    <row r="77" spans="2:12" ht="13.5" customHeight="1" thickTop="1" thickBot="1">
      <c r="B77" s="618"/>
      <c r="C77" s="193">
        <v>2</v>
      </c>
      <c r="D77" s="619"/>
      <c r="E77" s="602" t="s">
        <v>229</v>
      </c>
      <c r="F77" s="602"/>
      <c r="G77" s="599">
        <f>COMPUTATION!G21</f>
        <v>70000</v>
      </c>
      <c r="H77" s="599"/>
      <c r="I77" s="608"/>
      <c r="J77" s="609"/>
      <c r="K77" s="614"/>
      <c r="L77" s="615"/>
    </row>
    <row r="78" spans="2:12" ht="13.5" customHeight="1" thickTop="1" thickBot="1">
      <c r="B78" s="618"/>
      <c r="C78" s="193">
        <v>3</v>
      </c>
      <c r="D78" s="619"/>
      <c r="E78" s="602" t="s">
        <v>230</v>
      </c>
      <c r="F78" s="602"/>
      <c r="G78" s="599">
        <f>COMPUTATION!G27</f>
        <v>220</v>
      </c>
      <c r="H78" s="599"/>
      <c r="I78" s="608"/>
      <c r="J78" s="609"/>
      <c r="K78" s="614"/>
      <c r="L78" s="615"/>
    </row>
    <row r="79" spans="2:12" ht="13.5" customHeight="1" thickTop="1" thickBot="1">
      <c r="B79" s="618"/>
      <c r="C79" s="193">
        <v>4</v>
      </c>
      <c r="D79" s="619"/>
      <c r="E79" s="602" t="s">
        <v>231</v>
      </c>
      <c r="F79" s="602"/>
      <c r="G79" s="599">
        <f>COMPUTATION!G22+COMPUTATION!G30+COMPUTATION!M27+COMPUTATION!G28</f>
        <v>22560</v>
      </c>
      <c r="H79" s="599"/>
      <c r="I79" s="608"/>
      <c r="J79" s="609"/>
      <c r="K79" s="614"/>
      <c r="L79" s="615"/>
    </row>
    <row r="80" spans="2:12" ht="13.5" customHeight="1" thickTop="1" thickBot="1">
      <c r="B80" s="618"/>
      <c r="C80" s="193">
        <v>5</v>
      </c>
      <c r="D80" s="619"/>
      <c r="E80" s="602" t="s">
        <v>232</v>
      </c>
      <c r="F80" s="602"/>
      <c r="G80" s="599">
        <f>COMPUTATION!G24</f>
        <v>0</v>
      </c>
      <c r="H80" s="599"/>
      <c r="I80" s="608"/>
      <c r="J80" s="609"/>
      <c r="K80" s="614"/>
      <c r="L80" s="615"/>
    </row>
    <row r="81" spans="2:12" ht="13.5" customHeight="1" thickTop="1" thickBot="1">
      <c r="B81" s="618"/>
      <c r="C81" s="193">
        <v>6</v>
      </c>
      <c r="D81" s="619"/>
      <c r="E81" s="602" t="s">
        <v>233</v>
      </c>
      <c r="F81" s="602"/>
      <c r="G81" s="599">
        <f>COMPUTATION!G29</f>
        <v>0</v>
      </c>
      <c r="H81" s="599"/>
      <c r="I81" s="608"/>
      <c r="J81" s="609"/>
      <c r="K81" s="614"/>
      <c r="L81" s="615"/>
    </row>
    <row r="82" spans="2:12" ht="13.5" customHeight="1" thickTop="1" thickBot="1">
      <c r="B82" s="618"/>
      <c r="C82" s="193">
        <v>7</v>
      </c>
      <c r="D82" s="619"/>
      <c r="E82" s="603" t="s">
        <v>457</v>
      </c>
      <c r="F82" s="603"/>
      <c r="G82" s="599">
        <f>COMPUTATION!G31</f>
        <v>0</v>
      </c>
      <c r="H82" s="599"/>
      <c r="I82" s="608"/>
      <c r="J82" s="609"/>
      <c r="K82" s="614"/>
      <c r="L82" s="615"/>
    </row>
    <row r="83" spans="2:12" ht="13.5" customHeight="1" thickTop="1" thickBot="1">
      <c r="B83" s="618"/>
      <c r="C83" s="193">
        <v>8</v>
      </c>
      <c r="D83" s="619"/>
      <c r="E83" s="620" t="s">
        <v>456</v>
      </c>
      <c r="F83" s="620"/>
      <c r="G83" s="599">
        <f>COMPUTATION!M21+COMPUTATION!M22</f>
        <v>78584</v>
      </c>
      <c r="H83" s="599"/>
      <c r="I83" s="608"/>
      <c r="J83" s="609"/>
      <c r="K83" s="614"/>
      <c r="L83" s="615"/>
    </row>
    <row r="84" spans="2:12" ht="13.5" customHeight="1" thickTop="1" thickBot="1">
      <c r="B84" s="618"/>
      <c r="C84" s="193">
        <v>9</v>
      </c>
      <c r="D84" s="619"/>
      <c r="E84" s="602" t="s">
        <v>234</v>
      </c>
      <c r="F84" s="602"/>
      <c r="G84" s="599">
        <f>COMPUTATION!M24</f>
        <v>0</v>
      </c>
      <c r="H84" s="599"/>
      <c r="I84" s="608"/>
      <c r="J84" s="609"/>
      <c r="K84" s="614"/>
      <c r="L84" s="615"/>
    </row>
    <row r="85" spans="2:12" ht="13.5" customHeight="1" thickTop="1" thickBot="1">
      <c r="B85" s="618"/>
      <c r="C85" s="193">
        <v>10</v>
      </c>
      <c r="D85" s="619"/>
      <c r="E85" s="602" t="s">
        <v>235</v>
      </c>
      <c r="F85" s="602"/>
      <c r="G85" s="599">
        <f>COMPUTATION!G25+COMPUTATION!M23</f>
        <v>0</v>
      </c>
      <c r="H85" s="599"/>
      <c r="I85" s="608"/>
      <c r="J85" s="609"/>
      <c r="K85" s="614"/>
      <c r="L85" s="615"/>
    </row>
    <row r="86" spans="2:12" ht="13.5" customHeight="1" thickTop="1" thickBot="1">
      <c r="B86" s="618"/>
      <c r="C86" s="193">
        <v>11</v>
      </c>
      <c r="D86" s="619"/>
      <c r="E86" s="603" t="s">
        <v>236</v>
      </c>
      <c r="F86" s="603"/>
      <c r="G86" s="599">
        <f>COMPUTATION!M29</f>
        <v>0</v>
      </c>
      <c r="H86" s="599"/>
      <c r="I86" s="608"/>
      <c r="J86" s="609"/>
      <c r="K86" s="614"/>
      <c r="L86" s="615"/>
    </row>
    <row r="87" spans="2:12" ht="13.5" customHeight="1" thickTop="1" thickBot="1">
      <c r="B87" s="618"/>
      <c r="C87" s="193">
        <v>12</v>
      </c>
      <c r="D87" s="619"/>
      <c r="E87" s="602" t="s">
        <v>237</v>
      </c>
      <c r="F87" s="602"/>
      <c r="G87" s="599">
        <f>COMPUTATION!M30</f>
        <v>0</v>
      </c>
      <c r="H87" s="599"/>
      <c r="I87" s="610"/>
      <c r="J87" s="611"/>
      <c r="K87" s="616"/>
      <c r="L87" s="617"/>
    </row>
    <row r="88" spans="2:12" ht="13.5" customHeight="1" thickTop="1" thickBot="1">
      <c r="B88" s="618"/>
      <c r="C88" s="193">
        <v>13</v>
      </c>
      <c r="D88" s="619"/>
      <c r="E88" s="603" t="s">
        <v>238</v>
      </c>
      <c r="F88" s="603"/>
      <c r="G88" s="599">
        <f>COMPUTATION!M28</f>
        <v>0</v>
      </c>
      <c r="H88" s="599"/>
      <c r="I88" s="604">
        <f>SUM(G76:H88)</f>
        <v>171364</v>
      </c>
      <c r="J88" s="604"/>
      <c r="K88" s="605">
        <f>IF(I88&lt;=150000, I88, 150000)</f>
        <v>150000</v>
      </c>
      <c r="L88" s="605"/>
    </row>
    <row r="89" spans="2:12" ht="13.5" customHeight="1" thickTop="1" thickBot="1">
      <c r="B89" s="618"/>
      <c r="C89" s="621" t="s">
        <v>239</v>
      </c>
      <c r="D89" s="621"/>
      <c r="E89" s="621"/>
      <c r="F89" s="621"/>
      <c r="G89" s="599">
        <f>COMPUTATION!O33</f>
        <v>78584</v>
      </c>
      <c r="H89" s="599"/>
      <c r="I89" s="597">
        <f>G89</f>
        <v>78584</v>
      </c>
      <c r="J89" s="597"/>
      <c r="K89" s="597">
        <f>I89</f>
        <v>78584</v>
      </c>
      <c r="L89" s="597"/>
    </row>
    <row r="90" spans="2:12" ht="13.5" customHeight="1" thickTop="1" thickBot="1">
      <c r="B90" s="618"/>
      <c r="C90" s="598" t="s">
        <v>240</v>
      </c>
      <c r="D90" s="598"/>
      <c r="E90" s="598"/>
      <c r="F90" s="598"/>
      <c r="G90" s="599">
        <f>COMPUTATION!O34</f>
        <v>0</v>
      </c>
      <c r="H90" s="599"/>
      <c r="I90" s="600">
        <f>SUM(K88,G89,G90)</f>
        <v>228584</v>
      </c>
      <c r="J90" s="600"/>
      <c r="K90" s="601">
        <f>I90</f>
        <v>228584</v>
      </c>
      <c r="L90" s="601"/>
    </row>
    <row r="91" spans="2:12" ht="14.1" customHeight="1" thickTop="1" thickBot="1">
      <c r="B91" s="593" t="s">
        <v>267</v>
      </c>
      <c r="C91" s="593"/>
      <c r="D91" s="593"/>
      <c r="E91" s="593"/>
      <c r="F91" s="593"/>
      <c r="G91" s="594" t="s">
        <v>225</v>
      </c>
      <c r="H91" s="594"/>
      <c r="I91" s="594" t="s">
        <v>241</v>
      </c>
      <c r="J91" s="594"/>
      <c r="K91" s="594" t="s">
        <v>226</v>
      </c>
      <c r="L91" s="594"/>
    </row>
    <row r="92" spans="2:12" ht="13.5" customHeight="1" thickTop="1" thickBot="1">
      <c r="B92" s="194">
        <v>1</v>
      </c>
      <c r="C92" s="589" t="s">
        <v>242</v>
      </c>
      <c r="D92" s="589"/>
      <c r="E92" s="589"/>
      <c r="F92" s="589"/>
      <c r="G92" s="588">
        <f>COMPUTATION!O37</f>
        <v>0</v>
      </c>
      <c r="H92" s="588"/>
      <c r="I92" s="562">
        <f t="shared" ref="I92:I99" si="1">G92</f>
        <v>0</v>
      </c>
      <c r="J92" s="562"/>
      <c r="K92" s="592"/>
      <c r="L92" s="592"/>
    </row>
    <row r="93" spans="2:12" ht="13.5" customHeight="1" thickTop="1" thickBot="1">
      <c r="B93" s="194">
        <v>2</v>
      </c>
      <c r="C93" s="589" t="s">
        <v>243</v>
      </c>
      <c r="D93" s="589"/>
      <c r="E93" s="589"/>
      <c r="F93" s="589"/>
      <c r="G93" s="588">
        <f>COMPUTATION!O38</f>
        <v>0</v>
      </c>
      <c r="H93" s="588"/>
      <c r="I93" s="562">
        <f t="shared" si="1"/>
        <v>0</v>
      </c>
      <c r="J93" s="562"/>
      <c r="K93" s="592"/>
      <c r="L93" s="592"/>
    </row>
    <row r="94" spans="2:12" ht="13.5" customHeight="1" thickTop="1" thickBot="1">
      <c r="B94" s="194">
        <v>3</v>
      </c>
      <c r="C94" s="589" t="s">
        <v>244</v>
      </c>
      <c r="D94" s="589"/>
      <c r="E94" s="589"/>
      <c r="F94" s="589"/>
      <c r="G94" s="588">
        <f>COMPUTATION!O39</f>
        <v>0</v>
      </c>
      <c r="H94" s="588"/>
      <c r="I94" s="562">
        <f t="shared" si="1"/>
        <v>0</v>
      </c>
      <c r="J94" s="562"/>
      <c r="K94" s="592"/>
      <c r="L94" s="592"/>
    </row>
    <row r="95" spans="2:12" ht="13.5" customHeight="1" thickTop="1" thickBot="1">
      <c r="B95" s="194">
        <v>4</v>
      </c>
      <c r="C95" s="589" t="s">
        <v>245</v>
      </c>
      <c r="D95" s="589"/>
      <c r="E95" s="589"/>
      <c r="F95" s="589"/>
      <c r="G95" s="588">
        <f>COMPUTATION!O40</f>
        <v>0</v>
      </c>
      <c r="H95" s="588"/>
      <c r="I95" s="562">
        <f t="shared" si="1"/>
        <v>0</v>
      </c>
      <c r="J95" s="562"/>
      <c r="K95" s="592"/>
      <c r="L95" s="592"/>
    </row>
    <row r="96" spans="2:12" ht="13.5" customHeight="1" thickTop="1" thickBot="1">
      <c r="B96" s="194">
        <v>5</v>
      </c>
      <c r="C96" s="589" t="s">
        <v>246</v>
      </c>
      <c r="D96" s="589"/>
      <c r="E96" s="589"/>
      <c r="F96" s="589"/>
      <c r="G96" s="595">
        <f>COMPUTATION!O41</f>
        <v>0</v>
      </c>
      <c r="H96" s="596"/>
      <c r="I96" s="562">
        <f t="shared" si="1"/>
        <v>0</v>
      </c>
      <c r="J96" s="562"/>
      <c r="K96" s="592"/>
      <c r="L96" s="592"/>
    </row>
    <row r="97" spans="2:12" ht="13.5" customHeight="1" thickTop="1" thickBot="1">
      <c r="B97" s="194">
        <v>6</v>
      </c>
      <c r="C97" s="589" t="s">
        <v>247</v>
      </c>
      <c r="D97" s="589"/>
      <c r="E97" s="589"/>
      <c r="F97" s="589"/>
      <c r="G97" s="590"/>
      <c r="H97" s="590"/>
      <c r="I97" s="562">
        <f t="shared" si="1"/>
        <v>0</v>
      </c>
      <c r="J97" s="562"/>
      <c r="K97" s="592"/>
      <c r="L97" s="592"/>
    </row>
    <row r="98" spans="2:12" ht="13.5" customHeight="1" thickTop="1" thickBot="1">
      <c r="B98" s="194">
        <v>7</v>
      </c>
      <c r="C98" s="589" t="s">
        <v>248</v>
      </c>
      <c r="D98" s="589"/>
      <c r="E98" s="589"/>
      <c r="F98" s="589"/>
      <c r="G98" s="591">
        <f>COMPUTATION!O44</f>
        <v>0</v>
      </c>
      <c r="H98" s="591"/>
      <c r="I98" s="562">
        <f t="shared" si="1"/>
        <v>0</v>
      </c>
      <c r="J98" s="562"/>
      <c r="K98" s="592"/>
      <c r="L98" s="592"/>
    </row>
    <row r="99" spans="2:12" ht="13.5" customHeight="1" thickTop="1" thickBot="1">
      <c r="B99" s="194">
        <v>8</v>
      </c>
      <c r="C99" s="589" t="s">
        <v>249</v>
      </c>
      <c r="D99" s="589"/>
      <c r="E99" s="589"/>
      <c r="F99" s="589"/>
      <c r="G99" s="588">
        <f>COMPUTATION!O42</f>
        <v>0</v>
      </c>
      <c r="H99" s="588"/>
      <c r="I99" s="562">
        <f t="shared" si="1"/>
        <v>0</v>
      </c>
      <c r="J99" s="562"/>
      <c r="K99" s="592"/>
      <c r="L99" s="592"/>
    </row>
    <row r="100" spans="2:12" ht="13.5" customHeight="1" thickTop="1" thickBot="1">
      <c r="B100" s="178">
        <v>9</v>
      </c>
      <c r="C100" s="587" t="s">
        <v>270</v>
      </c>
      <c r="D100" s="587"/>
      <c r="E100" s="587"/>
      <c r="F100" s="587"/>
      <c r="G100" s="588">
        <f>COMPUTATION!O43</f>
        <v>1500</v>
      </c>
      <c r="H100" s="588"/>
      <c r="I100" s="562">
        <f t="shared" ref="I100" si="2">G100</f>
        <v>1500</v>
      </c>
      <c r="J100" s="562"/>
      <c r="K100" s="580">
        <f>ROUND(SUM(I92:J100),0)</f>
        <v>1500</v>
      </c>
      <c r="L100" s="580"/>
    </row>
    <row r="101" spans="2:12" ht="13.5" customHeight="1" thickTop="1" thickBot="1">
      <c r="B101" s="582" t="s">
        <v>250</v>
      </c>
      <c r="C101" s="583"/>
      <c r="D101" s="583"/>
      <c r="E101" s="583"/>
      <c r="F101" s="583"/>
      <c r="G101" s="583"/>
      <c r="H101" s="583"/>
      <c r="I101" s="583"/>
      <c r="J101" s="584"/>
      <c r="K101" s="562">
        <f>ROUND((K90+K100),0)</f>
        <v>230084</v>
      </c>
      <c r="L101" s="562"/>
    </row>
    <row r="102" spans="2:12" ht="13.5" customHeight="1" thickTop="1" thickBot="1">
      <c r="B102" s="570" t="s">
        <v>251</v>
      </c>
      <c r="C102" s="581"/>
      <c r="D102" s="581"/>
      <c r="E102" s="585" t="s">
        <v>252</v>
      </c>
      <c r="F102" s="585"/>
      <c r="G102" s="585"/>
      <c r="H102" s="585"/>
      <c r="I102" s="585"/>
      <c r="J102" s="586"/>
      <c r="K102" s="562">
        <f>ROUND((K72-K101),-1)</f>
        <v>653970</v>
      </c>
      <c r="L102" s="562"/>
    </row>
    <row r="103" spans="2:12" ht="13.5" customHeight="1" thickTop="1" thickBot="1">
      <c r="B103" s="577" t="s">
        <v>253</v>
      </c>
      <c r="C103" s="578"/>
      <c r="D103" s="578"/>
      <c r="E103" s="578"/>
      <c r="F103" s="578"/>
      <c r="G103" s="579"/>
      <c r="H103" s="579"/>
      <c r="I103" s="571"/>
      <c r="J103" s="572"/>
      <c r="K103" s="562">
        <f>ROUND(IF(K102&lt;=250000,0,IF(K102&lt;=500000,(K102-250000)*0.05,IF(K102&lt;=1000000,12500+(K102-500000)*0.2,IF(K102&gt;1000000,112500+(K102-1000000)*0.3,"0")))),0)</f>
        <v>43294</v>
      </c>
      <c r="L103" s="562"/>
    </row>
    <row r="104" spans="2:12" ht="13.5" customHeight="1" thickTop="1" thickBot="1">
      <c r="B104" s="573" t="s">
        <v>254</v>
      </c>
      <c r="C104" s="574"/>
      <c r="D104" s="574"/>
      <c r="E104" s="574"/>
      <c r="F104" s="574"/>
      <c r="G104" s="195"/>
      <c r="H104" s="196"/>
      <c r="I104" s="575">
        <f>[3]COMPUTATION!O59</f>
        <v>0</v>
      </c>
      <c r="J104" s="576"/>
      <c r="K104" s="562"/>
      <c r="L104" s="562"/>
    </row>
    <row r="105" spans="2:12" ht="13.5" customHeight="1" thickTop="1" thickBot="1">
      <c r="B105" s="570" t="s">
        <v>255</v>
      </c>
      <c r="C105" s="571"/>
      <c r="D105" s="571"/>
      <c r="E105" s="571"/>
      <c r="F105" s="571"/>
      <c r="G105" s="571"/>
      <c r="H105" s="571"/>
      <c r="I105" s="571"/>
      <c r="J105" s="572"/>
      <c r="K105" s="562">
        <f>K103-I104</f>
        <v>43294</v>
      </c>
      <c r="L105" s="562"/>
    </row>
    <row r="106" spans="2:12" ht="13.5" customHeight="1" thickTop="1" thickBot="1">
      <c r="B106" s="570" t="s">
        <v>256</v>
      </c>
      <c r="C106" s="571"/>
      <c r="D106" s="571"/>
      <c r="E106" s="571"/>
      <c r="F106" s="571"/>
      <c r="G106" s="571"/>
      <c r="H106" s="571"/>
      <c r="I106" s="571"/>
      <c r="J106" s="572"/>
      <c r="K106" s="562">
        <f>ROUND((K105*0.04),0)</f>
        <v>1732</v>
      </c>
      <c r="L106" s="562"/>
    </row>
    <row r="107" spans="2:12" ht="13.5" customHeight="1" thickTop="1" thickBot="1">
      <c r="B107" s="570" t="s">
        <v>257</v>
      </c>
      <c r="C107" s="571"/>
      <c r="D107" s="571"/>
      <c r="E107" s="571"/>
      <c r="F107" s="571"/>
      <c r="G107" s="571"/>
      <c r="H107" s="571"/>
      <c r="I107" s="571"/>
      <c r="J107" s="572"/>
      <c r="K107" s="562">
        <f>K105+K106</f>
        <v>45026</v>
      </c>
      <c r="L107" s="562"/>
    </row>
    <row r="108" spans="2:12" ht="13.5" customHeight="1" thickTop="1" thickBot="1">
      <c r="B108" s="570" t="s">
        <v>258</v>
      </c>
      <c r="C108" s="571"/>
      <c r="D108" s="571"/>
      <c r="E108" s="571"/>
      <c r="F108" s="571"/>
      <c r="G108" s="571"/>
      <c r="H108" s="571"/>
      <c r="I108" s="571"/>
      <c r="J108" s="572"/>
      <c r="K108" s="562">
        <f>COMPUTATION!O63</f>
        <v>0</v>
      </c>
      <c r="L108" s="562"/>
    </row>
    <row r="109" spans="2:12" ht="13.5" customHeight="1" thickTop="1" thickBot="1">
      <c r="B109" s="570" t="s">
        <v>259</v>
      </c>
      <c r="C109" s="571"/>
      <c r="D109" s="571"/>
      <c r="E109" s="571"/>
      <c r="F109" s="571"/>
      <c r="G109" s="571"/>
      <c r="H109" s="571"/>
      <c r="I109" s="571"/>
      <c r="J109" s="572"/>
      <c r="K109" s="562">
        <f>K107-K108</f>
        <v>45026</v>
      </c>
      <c r="L109" s="562"/>
    </row>
    <row r="110" spans="2:12" ht="13.5" customHeight="1" thickTop="1" thickBot="1">
      <c r="B110" s="561" t="s">
        <v>260</v>
      </c>
      <c r="C110" s="561"/>
      <c r="D110" s="561"/>
      <c r="E110" s="561"/>
      <c r="F110" s="561"/>
      <c r="G110" s="561"/>
      <c r="H110" s="561"/>
      <c r="I110" s="561"/>
      <c r="J110" s="561"/>
      <c r="K110" s="562">
        <f>COMPUTATION!O66</f>
        <v>15000</v>
      </c>
      <c r="L110" s="563"/>
    </row>
    <row r="111" spans="2:12" ht="13.5" customHeight="1" thickTop="1" thickBot="1">
      <c r="B111" s="567" t="str">
        <f>IF(K109&gt;K110,"Income Tax Payable",IF(K109&lt;K110,"Income Tax Refundable","Income Tax Payble/Refundable"))</f>
        <v>Income Tax Payable</v>
      </c>
      <c r="C111" s="568"/>
      <c r="D111" s="568"/>
      <c r="E111" s="568"/>
      <c r="F111" s="568"/>
      <c r="G111" s="568"/>
      <c r="H111" s="568"/>
      <c r="I111" s="568"/>
      <c r="J111" s="569"/>
      <c r="K111" s="562">
        <f>IF(K109&gt;K110,K109-K110,K110-K109)</f>
        <v>30026</v>
      </c>
      <c r="L111" s="562"/>
    </row>
    <row r="112" spans="2:12" ht="15.75" customHeight="1" thickTop="1">
      <c r="B112" s="564" t="s">
        <v>184</v>
      </c>
      <c r="C112" s="564"/>
      <c r="D112" s="564"/>
      <c r="E112" s="564"/>
      <c r="F112" s="564"/>
      <c r="G112" s="564"/>
      <c r="H112" s="564"/>
      <c r="I112" s="564"/>
      <c r="J112" s="564"/>
      <c r="K112" s="564"/>
      <c r="L112" s="564"/>
    </row>
    <row r="113" spans="2:12" ht="14.1" customHeight="1">
      <c r="B113" s="174" t="s">
        <v>185</v>
      </c>
      <c r="C113" s="558" t="str">
        <f>B6&amp;","</f>
        <v>USHA PALIYA,</v>
      </c>
      <c r="D113" s="558"/>
      <c r="E113" s="558"/>
      <c r="F113" s="197" t="s">
        <v>186</v>
      </c>
      <c r="G113" s="565" t="str">
        <f>IF(G40="","",G40)</f>
        <v/>
      </c>
      <c r="H113" s="565"/>
      <c r="I113" s="565"/>
      <c r="J113" s="565"/>
      <c r="K113" s="566" t="s">
        <v>187</v>
      </c>
      <c r="L113" s="566"/>
    </row>
    <row r="114" spans="2:12" ht="14.1" customHeight="1">
      <c r="B114" s="557" t="s">
        <v>188</v>
      </c>
      <c r="C114" s="557"/>
      <c r="D114" s="558" t="str">
        <f>D41</f>
        <v>PRINCIPAL</v>
      </c>
      <c r="E114" s="558"/>
      <c r="F114" s="558"/>
      <c r="G114" s="559" t="s">
        <v>189</v>
      </c>
      <c r="H114" s="559"/>
      <c r="I114" s="559"/>
      <c r="J114" s="559"/>
      <c r="K114" s="559"/>
      <c r="L114" s="559"/>
    </row>
    <row r="115" spans="2:12" ht="14.1" customHeight="1">
      <c r="B115" s="174" t="s">
        <v>190</v>
      </c>
      <c r="C115" s="198">
        <f>K110</f>
        <v>15000</v>
      </c>
      <c r="D115" s="550" t="str">
        <f>IF(OR(LEN(FLOOR(C42,1))=13,FLOOR(C42,1)&lt;=0),"Out of range",PROPER(SUBSTITUTE(CONCATENATE(CHOOSE(MID(TEXT(INT(C42),REPT(0,12)),1,1)+1,"","one hundred ","two hundred ","three hundred ","four hundred ","five hundred ","six hundred ","seven hundred ","eight hundred ","nine hundred "),CHOOSE(MID(TEXT(INT(C42),REPT(0,12)),2,1)+1,"",CHOOSE(MID(TEXT(INT(C42),REPT(0,12)),3,1)+1,"ten","eleven","twelve","thirteen","fourteen","fifteen","sixteen","seventeen","eighteen","nineteen"),"twenty","thirty","forty","fifty","sixty","seventy","eighty","ninety"),IF(VALUE(MID(TEXT(INT(C42),REPT(0,12)),2,1))&gt;1,CHOOSE(MID(TEXT(INT(C42),REPT(0,12)),3,1)+1,"","-one","-two","-three","-four","-five","-six","-seven","-eight","-nine"),IF(VALUE(MID(TEXT(INT(C42),REPT(0,12)),2,1))=0,CHOOSE(MID(TEXT(INT(C42),REPT(0,12)),3,1)+1,"","one","two","three","four","five","six","seven","eight","nine"),"")),IF(C42&gt;=10^9," billion ",""),CHOOSE(MID(TEXT(INT(C42),REPT(0,12)),4,1)+1,"","one hundred ","two hundred ","three hundred ","four hundred ","five hundred ","six hundred ","seven hundred ","eight hundred ","nine hundred "),CHOOSE(MID(TEXT(INT(C42),REPT(0,12)),5,1)+1,"",CHOOSE(MID(TEXT(INT(C42),REPT(0,12)),6,1)+1,"ten","eleven","twelve","thirteen","fourteen","fifteen","sixteen","seventeen","eighteen","nineteen"),"twenty","thirty","forty","fifty","sixty","seventy","eighty","ninety"),IF(VALUE(MID(TEXT(INT(C42),REPT(0,12)),5,1))&gt;1,CHOOSE(MID(TEXT(INT(C42),REPT(0,12)),6,1)+1,"","-one","-two","-three","-four","-five","-six","-seven","-eight","-nine"),IF(VALUE(MID(TEXT(INT(C42),REPT(0,12)),5,1))=0,CHOOSE(MID(TEXT(INT(C42),REPT(0,12)),6,1)+1,"","one","two","three","four","five","six","seven","eight","nine"),"")),IF(VALUE(MID(TEXT(INT(C42),REPT(0,12)),4,3))&gt;0," million ",""),CHOOSE(MID(TEXT(INT(C42),REPT(0,12)),7,1)+1,"","one hundred ","two hundred ","three hundred ","four hundred ","five hundred ","six hundred ","seven hundred ","eight hundred ","nine hundred "),CHOOSE(MID(TEXT(INT(C42),REPT(0,12)),8,1)+1,"",CHOOSE(MID(TEXT(INT(C42),REPT(0,12)),9,1)+1,"ten","eleven","twelve","thirteen","fourteen","fifteen","sixteen","seventeen","eighteen","nineteen"),"twenty","thirty","forty","fifty","sixty","seventy","eighty","ninety"),IF(VALUE(MID(TEXT(INT(C42),REPT(0,12)),8,1))&gt;1,CHOOSE(MID(TEXT(INT(C42),REPT(0,12)),9,1)+1,"","-one","-two","-three","-four","-five","-six","-seven","-eight","-nine"),IF(VALUE(MID(TEXT(INT(C42),REPT(0,12)),8,1))=0,CHOOSE(MID(TEXT(INT(C42),REPT(0,12)),9,1)+1,"","one","two","three","four","five","six","seven","eight","nine"),"")),IF(VALUE(MID(TEXT(INT(C42),REPT(0,12)),7,3))," thousand ",""),CHOOSE(MID(TEXT(INT(C42),REPT(0,12)),10,1)+1,"","one hundred ","two hundred ","three hundred ","four hundred ","five hundred ","six hundred ","seven hundred ","eight hundred ","nine hundred "),CHOOSE(MID(TEXT(INT(C42),REPT(0,12)),11,1)+1,"",CHOOSE(MID(TEXT(INT(C42),REPT(0,12)),12,1)+1,"ten","eleven","twelve","thirteen","fourteen","fifteen","sixteen","seventeen","eighteen","nineteen"),"twenty","thirty","forty","fifty","sixty","seventy","eighty","ninety"),IF(VALUE(MID(TEXT(INT(C42),REPT(0,12)),11,1))&gt;1,CHOOSE(MID(TEXT(INT(C42),REPT(0,12)),12,1)+1,"","-one","-two","-three","-four","-five","-six","-seven","-eight","-nine"),IF(VALUE(MID(TEXT(INT(C42),REPT(0,12)),11,1))=0,CHOOSE(MID(TEXT(INT(C42),REPT(0,12)),12,1)+1,"","one","two","three","four","five","six","seven","eight","nine"),""))),"  "," ")&amp;IF(FLOOR(C42,1)&gt;1," Rupees"," Rupees"))&amp;IF(ISERROR(FIND(".",C42,1)),""," and "&amp;PROPER(IF(LEN(LEFT(TRIM(MID(SUBSTITUTE('[2]16 NO.'!$B$62,".",REPT(" ",255)),255,200)),2))=1,CHOOSE(1*LEFT(TRIM(MID(SUBSTITUTE('[2]16 NO.'!$B$62,".",REPT(" ",255)),255,200)),2),"ten","twenty","thirty","forty","fifty","sixty","seventy","eighty","ninety")&amp;" Paise","")&amp;CONCATENATE(CHOOSE(MID(TEXT(INT(LEFT(TRIM(MID(SUBSTITUTE('[2]16 NO.'!$B$62,".",REPT(" ",255)),255,200)),2)),REPT(0,12)),11,1)+1,"",CHOOSE(MID(TEXT(INT(LEFT(TRIM(MID(SUBSTITUTE('[2]16 NO.'!$B$62,".",REPT(" ",255)),255,200)),2)),REPT(0,12)),12,1)+1,"ten","eleven","twelve","thirteen","fourteen","fifteen","sixteen","seventeen","eighteen","nineteen"),"twenty","thirty","forty","fifty","sixty","seventy","eighty","ninety"),IF(VALUE(MID(TEXT(INT(LEFT(TRIM(MID(SUBSTITUTE('[2]16 NO.'!$B$62,".",REPT(" ",255)),255,200)),2)),REPT(0,12)),11,1))&gt;1,CHOOSE(MID(TEXT(INT(LEFT(TRIM(MID(SUBSTITUTE('[2]16 NO.'!$B$62,".",REPT(" ",255)),255,200)),2)),REPT(0,12)),12,1)+1,"","-one","-two","-three","-four","-five","-six","-seven","-eight","-nine")&amp;" Paise",IF(LEFT(TRIM(MID(SUBSTITUTE('[2]16 NO.'!$B$62,".",REPT(" ",255)),255,200)),2)="01","one Paise",IF(LEFT(TRIM(MID(SUBSTITUTE('[2]16 NO.'!$B$62,".",REPT(" ",255)),255,200)),1)="0",CHOOSE(MID(TEXT(INT(LEFT(TRIM(MID(SUBSTITUTE('[2]16 NO.'!$B$62,".",REPT(" ",255)),255,200)),2)),REPT(0,12)),12,1)+1,"","one","two","three","four","five","six","seven","eight","nine")&amp;" Paise","")))))))</f>
        <v>Fifteen Thousand  Rupees</v>
      </c>
      <c r="E115" s="550"/>
      <c r="F115" s="550"/>
      <c r="G115" s="550"/>
      <c r="H115" s="550"/>
      <c r="I115" s="559" t="s">
        <v>268</v>
      </c>
      <c r="J115" s="559"/>
      <c r="K115" s="559"/>
      <c r="L115" s="559"/>
    </row>
    <row r="116" spans="2:12" ht="14.1" customHeight="1">
      <c r="B116" s="560" t="s">
        <v>269</v>
      </c>
      <c r="C116" s="560"/>
      <c r="D116" s="560"/>
      <c r="E116" s="560"/>
      <c r="F116" s="560"/>
      <c r="G116" s="560"/>
      <c r="H116" s="560"/>
      <c r="I116" s="560"/>
      <c r="J116" s="560"/>
      <c r="K116" s="560"/>
      <c r="L116" s="560"/>
    </row>
    <row r="117" spans="2:12" ht="14.1" customHeight="1">
      <c r="B117" s="553" t="s">
        <v>192</v>
      </c>
      <c r="C117" s="553"/>
      <c r="D117" s="554" t="str">
        <f>D45</f>
        <v>M.G.G.S. BAR</v>
      </c>
      <c r="E117" s="554"/>
      <c r="F117" s="553"/>
      <c r="G117" s="553"/>
      <c r="H117" s="553"/>
      <c r="I117" s="553"/>
      <c r="J117" s="553"/>
      <c r="K117" s="553"/>
      <c r="L117" s="553"/>
    </row>
    <row r="118" spans="2:12" ht="14.1" customHeight="1">
      <c r="B118" s="550" t="s">
        <v>193</v>
      </c>
      <c r="C118" s="550"/>
      <c r="D118" s="555">
        <f ca="1">TODAY()</f>
        <v>44569</v>
      </c>
      <c r="E118" s="555"/>
      <c r="F118" s="556" t="s">
        <v>194</v>
      </c>
      <c r="G118" s="556"/>
      <c r="H118" s="556"/>
      <c r="I118" s="556"/>
      <c r="J118" s="556"/>
      <c r="K118" s="556"/>
      <c r="L118" s="556"/>
    </row>
    <row r="119" spans="2:12" ht="14.1" customHeight="1">
      <c r="B119" s="550" t="s">
        <v>195</v>
      </c>
      <c r="C119" s="550"/>
      <c r="D119" s="551" t="str">
        <f>D114</f>
        <v>PRINCIPAL</v>
      </c>
      <c r="E119" s="551"/>
      <c r="F119" s="188" t="s">
        <v>266</v>
      </c>
      <c r="G119" s="552" t="str">
        <f>B6</f>
        <v>USHA PALIYA</v>
      </c>
      <c r="H119" s="552"/>
      <c r="I119" s="552"/>
      <c r="J119" s="552"/>
      <c r="K119" s="552"/>
      <c r="L119" s="552"/>
    </row>
    <row r="120" spans="2:12" ht="14.1" customHeight="1"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</row>
  </sheetData>
  <sheetProtection password="C1FB" sheet="1" objects="1" scenarios="1" formatCells="0" formatColumns="0" formatRows="0"/>
  <mergeCells count="301">
    <mergeCell ref="I65:J65"/>
    <mergeCell ref="D64:E64"/>
    <mergeCell ref="D65:E65"/>
    <mergeCell ref="B64:C64"/>
    <mergeCell ref="B65:C65"/>
    <mergeCell ref="G64:H65"/>
    <mergeCell ref="I64:J64"/>
    <mergeCell ref="B1:L1"/>
    <mergeCell ref="B2:L2"/>
    <mergeCell ref="B3:L3"/>
    <mergeCell ref="B4:L4"/>
    <mergeCell ref="B5:F5"/>
    <mergeCell ref="G5:L5"/>
    <mergeCell ref="I60:J63"/>
    <mergeCell ref="B56:F56"/>
    <mergeCell ref="B9:D9"/>
    <mergeCell ref="E9:F9"/>
    <mergeCell ref="G9:I9"/>
    <mergeCell ref="J9:L9"/>
    <mergeCell ref="B10:F10"/>
    <mergeCell ref="G10:H10"/>
    <mergeCell ref="I10:L10"/>
    <mergeCell ref="B6:F6"/>
    <mergeCell ref="G6:L6"/>
    <mergeCell ref="B7:F7"/>
    <mergeCell ref="G7:L7"/>
    <mergeCell ref="B8:D8"/>
    <mergeCell ref="E8:F8"/>
    <mergeCell ref="G8:I8"/>
    <mergeCell ref="J8:L8"/>
    <mergeCell ref="B13:L13"/>
    <mergeCell ref="C14:E14"/>
    <mergeCell ref="G14:I14"/>
    <mergeCell ref="J14:L14"/>
    <mergeCell ref="C15:E15"/>
    <mergeCell ref="G15:I15"/>
    <mergeCell ref="J15:L15"/>
    <mergeCell ref="C11:F11"/>
    <mergeCell ref="G11:H12"/>
    <mergeCell ref="I11:J11"/>
    <mergeCell ref="K11:L11"/>
    <mergeCell ref="C12:D12"/>
    <mergeCell ref="I12:J12"/>
    <mergeCell ref="K12:L12"/>
    <mergeCell ref="C18:E18"/>
    <mergeCell ref="G18:I18"/>
    <mergeCell ref="J18:L18"/>
    <mergeCell ref="B19:E19"/>
    <mergeCell ref="G19:I19"/>
    <mergeCell ref="J19:L19"/>
    <mergeCell ref="C16:E16"/>
    <mergeCell ref="G16:I16"/>
    <mergeCell ref="J16:L16"/>
    <mergeCell ref="C17:E17"/>
    <mergeCell ref="G17:I17"/>
    <mergeCell ref="J17:L17"/>
    <mergeCell ref="C24:D24"/>
    <mergeCell ref="G24:I24"/>
    <mergeCell ref="J24:L24"/>
    <mergeCell ref="C25:D25"/>
    <mergeCell ref="G25:I25"/>
    <mergeCell ref="J25:L25"/>
    <mergeCell ref="B20:L20"/>
    <mergeCell ref="B21:L21"/>
    <mergeCell ref="B22:B23"/>
    <mergeCell ref="C22:D23"/>
    <mergeCell ref="E22:L22"/>
    <mergeCell ref="G23:I23"/>
    <mergeCell ref="J23:L23"/>
    <mergeCell ref="C28:D28"/>
    <mergeCell ref="G28:I28"/>
    <mergeCell ref="J28:L28"/>
    <mergeCell ref="C29:D29"/>
    <mergeCell ref="G29:I29"/>
    <mergeCell ref="J29:L29"/>
    <mergeCell ref="C26:D26"/>
    <mergeCell ref="G26:I26"/>
    <mergeCell ref="J26:L26"/>
    <mergeCell ref="C27:D27"/>
    <mergeCell ref="G27:I27"/>
    <mergeCell ref="J27:L27"/>
    <mergeCell ref="C32:D32"/>
    <mergeCell ref="G32:I32"/>
    <mergeCell ref="J32:L32"/>
    <mergeCell ref="C33:D33"/>
    <mergeCell ref="G33:I33"/>
    <mergeCell ref="J33:L33"/>
    <mergeCell ref="C30:D30"/>
    <mergeCell ref="G30:I30"/>
    <mergeCell ref="J30:L30"/>
    <mergeCell ref="C31:D31"/>
    <mergeCell ref="G31:I31"/>
    <mergeCell ref="J31:L31"/>
    <mergeCell ref="C36:D36"/>
    <mergeCell ref="G36:I36"/>
    <mergeCell ref="J36:L36"/>
    <mergeCell ref="C37:D37"/>
    <mergeCell ref="G37:I37"/>
    <mergeCell ref="J37:L37"/>
    <mergeCell ref="C34:D34"/>
    <mergeCell ref="G34:I34"/>
    <mergeCell ref="J34:L34"/>
    <mergeCell ref="C35:D35"/>
    <mergeCell ref="G35:I35"/>
    <mergeCell ref="J35:L35"/>
    <mergeCell ref="B39:L39"/>
    <mergeCell ref="C40:E40"/>
    <mergeCell ref="G40:J40"/>
    <mergeCell ref="K40:L40"/>
    <mergeCell ref="B41:C41"/>
    <mergeCell ref="D41:F41"/>
    <mergeCell ref="G41:L41"/>
    <mergeCell ref="C38:D38"/>
    <mergeCell ref="E38:L38"/>
    <mergeCell ref="B46:C46"/>
    <mergeCell ref="D46:E46"/>
    <mergeCell ref="F46:L46"/>
    <mergeCell ref="B47:C47"/>
    <mergeCell ref="D47:E47"/>
    <mergeCell ref="G47:L47"/>
    <mergeCell ref="D42:H42"/>
    <mergeCell ref="I42:L42"/>
    <mergeCell ref="B43:L43"/>
    <mergeCell ref="B44:L44"/>
    <mergeCell ref="B45:C45"/>
    <mergeCell ref="D45:E45"/>
    <mergeCell ref="F45:L45"/>
    <mergeCell ref="B48:L48"/>
    <mergeCell ref="B49:L49"/>
    <mergeCell ref="B50:F50"/>
    <mergeCell ref="G50:H50"/>
    <mergeCell ref="I50:J53"/>
    <mergeCell ref="K50:L66"/>
    <mergeCell ref="B51:F51"/>
    <mergeCell ref="G51:H51"/>
    <mergeCell ref="B52:F52"/>
    <mergeCell ref="G52:H52"/>
    <mergeCell ref="I59:J59"/>
    <mergeCell ref="B60:F60"/>
    <mergeCell ref="B53:F53"/>
    <mergeCell ref="G53:H53"/>
    <mergeCell ref="B54:F54"/>
    <mergeCell ref="G54:H57"/>
    <mergeCell ref="I54:J54"/>
    <mergeCell ref="B55:F55"/>
    <mergeCell ref="I55:J58"/>
    <mergeCell ref="B57:D57"/>
    <mergeCell ref="B61:C61"/>
    <mergeCell ref="D61:F61"/>
    <mergeCell ref="G61:H61"/>
    <mergeCell ref="B62:C62"/>
    <mergeCell ref="D62:F62"/>
    <mergeCell ref="G62:H62"/>
    <mergeCell ref="B58:D58"/>
    <mergeCell ref="G58:H58"/>
    <mergeCell ref="B59:F59"/>
    <mergeCell ref="G59:H60"/>
    <mergeCell ref="B63:C63"/>
    <mergeCell ref="D63:F63"/>
    <mergeCell ref="G63:H63"/>
    <mergeCell ref="B66:F66"/>
    <mergeCell ref="I66:J66"/>
    <mergeCell ref="B67:F67"/>
    <mergeCell ref="I67:J70"/>
    <mergeCell ref="B72:F72"/>
    <mergeCell ref="I72:J74"/>
    <mergeCell ref="K72:L72"/>
    <mergeCell ref="B73:F73"/>
    <mergeCell ref="K73:L74"/>
    <mergeCell ref="B74:F74"/>
    <mergeCell ref="B75:F75"/>
    <mergeCell ref="G75:H75"/>
    <mergeCell ref="I75:J75"/>
    <mergeCell ref="K75:L75"/>
    <mergeCell ref="K67:L67"/>
    <mergeCell ref="B68:F68"/>
    <mergeCell ref="K68:L71"/>
    <mergeCell ref="B69:E69"/>
    <mergeCell ref="B70:E70"/>
    <mergeCell ref="B71:E71"/>
    <mergeCell ref="I71:J71"/>
    <mergeCell ref="G69:H69"/>
    <mergeCell ref="G70:H70"/>
    <mergeCell ref="G71:H71"/>
    <mergeCell ref="B76:B90"/>
    <mergeCell ref="D76:D88"/>
    <mergeCell ref="E76:F76"/>
    <mergeCell ref="G76:H76"/>
    <mergeCell ref="E77:F77"/>
    <mergeCell ref="G77:H77"/>
    <mergeCell ref="E78:F78"/>
    <mergeCell ref="G78:H78"/>
    <mergeCell ref="E84:F84"/>
    <mergeCell ref="G84:H84"/>
    <mergeCell ref="E85:F85"/>
    <mergeCell ref="G85:H85"/>
    <mergeCell ref="E86:F86"/>
    <mergeCell ref="G86:H86"/>
    <mergeCell ref="E82:F82"/>
    <mergeCell ref="G82:H82"/>
    <mergeCell ref="E83:F83"/>
    <mergeCell ref="G83:H83"/>
    <mergeCell ref="C89:F89"/>
    <mergeCell ref="G89:H89"/>
    <mergeCell ref="I89:J89"/>
    <mergeCell ref="K89:L89"/>
    <mergeCell ref="C90:F90"/>
    <mergeCell ref="G90:H90"/>
    <mergeCell ref="I90:J90"/>
    <mergeCell ref="K90:L90"/>
    <mergeCell ref="E87:F87"/>
    <mergeCell ref="G87:H87"/>
    <mergeCell ref="E88:F88"/>
    <mergeCell ref="G88:H88"/>
    <mergeCell ref="I88:J88"/>
    <mergeCell ref="K88:L88"/>
    <mergeCell ref="I76:J87"/>
    <mergeCell ref="K76:L87"/>
    <mergeCell ref="E79:F79"/>
    <mergeCell ref="G79:H79"/>
    <mergeCell ref="E80:F80"/>
    <mergeCell ref="G80:H80"/>
    <mergeCell ref="E81:F81"/>
    <mergeCell ref="G81:H81"/>
    <mergeCell ref="B91:F91"/>
    <mergeCell ref="G91:H91"/>
    <mergeCell ref="I91:J91"/>
    <mergeCell ref="K91:L91"/>
    <mergeCell ref="C95:F95"/>
    <mergeCell ref="G95:H95"/>
    <mergeCell ref="I95:J95"/>
    <mergeCell ref="C96:F96"/>
    <mergeCell ref="G96:H96"/>
    <mergeCell ref="I96:J96"/>
    <mergeCell ref="C92:F92"/>
    <mergeCell ref="G92:H92"/>
    <mergeCell ref="I92:J92"/>
    <mergeCell ref="C97:F97"/>
    <mergeCell ref="G97:H97"/>
    <mergeCell ref="I97:J97"/>
    <mergeCell ref="C98:F98"/>
    <mergeCell ref="G98:H98"/>
    <mergeCell ref="I98:J98"/>
    <mergeCell ref="K92:L99"/>
    <mergeCell ref="C93:F93"/>
    <mergeCell ref="G93:H93"/>
    <mergeCell ref="I93:J93"/>
    <mergeCell ref="C94:F94"/>
    <mergeCell ref="G94:H94"/>
    <mergeCell ref="I94:J94"/>
    <mergeCell ref="C99:F99"/>
    <mergeCell ref="G99:H99"/>
    <mergeCell ref="K100:L100"/>
    <mergeCell ref="K101:L101"/>
    <mergeCell ref="B102:D102"/>
    <mergeCell ref="K102:L102"/>
    <mergeCell ref="B101:J101"/>
    <mergeCell ref="E102:J102"/>
    <mergeCell ref="I99:J99"/>
    <mergeCell ref="C100:F100"/>
    <mergeCell ref="G100:H100"/>
    <mergeCell ref="I100:J100"/>
    <mergeCell ref="K108:L108"/>
    <mergeCell ref="K109:L109"/>
    <mergeCell ref="K106:L106"/>
    <mergeCell ref="K107:L107"/>
    <mergeCell ref="B106:J106"/>
    <mergeCell ref="B107:J107"/>
    <mergeCell ref="B108:J108"/>
    <mergeCell ref="B109:J109"/>
    <mergeCell ref="K103:L103"/>
    <mergeCell ref="B104:F104"/>
    <mergeCell ref="I104:J104"/>
    <mergeCell ref="K104:L104"/>
    <mergeCell ref="K105:L105"/>
    <mergeCell ref="B103:J103"/>
    <mergeCell ref="B105:J105"/>
    <mergeCell ref="N2:P2"/>
    <mergeCell ref="B119:C119"/>
    <mergeCell ref="D119:E119"/>
    <mergeCell ref="G119:L119"/>
    <mergeCell ref="B117:C117"/>
    <mergeCell ref="D117:E117"/>
    <mergeCell ref="F117:L117"/>
    <mergeCell ref="B118:C118"/>
    <mergeCell ref="D118:E118"/>
    <mergeCell ref="F118:L118"/>
    <mergeCell ref="B114:C114"/>
    <mergeCell ref="D114:F114"/>
    <mergeCell ref="G114:L114"/>
    <mergeCell ref="B116:L116"/>
    <mergeCell ref="B110:J110"/>
    <mergeCell ref="K110:L110"/>
    <mergeCell ref="K111:L111"/>
    <mergeCell ref="B112:L112"/>
    <mergeCell ref="C113:E113"/>
    <mergeCell ref="G113:J113"/>
    <mergeCell ref="K113:L113"/>
    <mergeCell ref="B111:J111"/>
    <mergeCell ref="I115:L115"/>
    <mergeCell ref="D115:H115"/>
  </mergeCells>
  <conditionalFormatting sqref="E76:E77">
    <cfRule type="containsBlanks" dxfId="0" priority="1">
      <formula>LEN(TRIM(E76))=0</formula>
    </cfRule>
  </conditionalFormatting>
  <dataValidations count="1">
    <dataValidation allowBlank="1" showInputMessage="1" showErrorMessage="1" promptTitle="Vijay" prompt="Employee Reference No. provided by the Employer (If available)." sqref="J9:L9"/>
  </dataValidations>
  <hyperlinks>
    <hyperlink ref="N2" r:id="rId1"/>
  </hyperlinks>
  <pageMargins left="0.45" right="0.35" top="0.25" bottom="0.25" header="0.3" footer="0.3"/>
  <pageSetup paperSize="9" fitToHeight="2" orientation="portrait" blackAndWhite="1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11</vt:i4>
      </vt:variant>
    </vt:vector>
  </HeadingPairs>
  <TitlesOfParts>
    <vt:vector size="16" baseType="lpstr">
      <vt:lpstr>Master Data</vt:lpstr>
      <vt:lpstr>Extra Ded. </vt:lpstr>
      <vt:lpstr>GA55</vt:lpstr>
      <vt:lpstr>COMPUTATION</vt:lpstr>
      <vt:lpstr>Form No. 16</vt:lpstr>
      <vt:lpstr>CCA</vt:lpstr>
      <vt:lpstr>cities</vt:lpstr>
      <vt:lpstr>gp</vt:lpstr>
      <vt:lpstr>level</vt:lpstr>
      <vt:lpstr>Month</vt:lpstr>
      <vt:lpstr>Month1</vt:lpstr>
      <vt:lpstr>pay</vt:lpstr>
      <vt:lpstr>'Form No. 16'!Print_Area</vt:lpstr>
      <vt:lpstr>ram</vt:lpstr>
      <vt:lpstr>und</vt:lpstr>
      <vt:lpstr>ye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2021-11-21T10:16:30Z</cp:lastPrinted>
  <dcterms:created xsi:type="dcterms:W3CDTF">2020-09-27T00:42:28Z</dcterms:created>
  <dcterms:modified xsi:type="dcterms:W3CDTF">2022-01-08T03:02:41Z</dcterms:modified>
</cp:coreProperties>
</file>