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codeName="ThisWorkbook" defaultThemeVersion="124226"/>
  <bookViews>
    <workbookView xWindow="240" yWindow="30" windowWidth="23580" windowHeight="9990"/>
  </bookViews>
  <sheets>
    <sheet name="Instructions" sheetId="1" r:id="rId1"/>
    <sheet name="Master Data" sheetId="2" r:id="rId2"/>
    <sheet name="GA55 Check &amp; Edit" sheetId="3" state="hidden" r:id="rId3"/>
    <sheet name="Extra Ded " sheetId="4" state="hidden" r:id="rId4"/>
    <sheet name="GA 55 " sheetId="5" state="hidden" r:id="rId5"/>
    <sheet name="COMPUTATION" sheetId="6" state="hidden" r:id="rId6"/>
    <sheet name="Form No. 16" sheetId="11" state="hidden" r:id="rId7"/>
  </sheets>
  <externalReferences>
    <externalReference r:id="rId8"/>
    <externalReference r:id="rId9"/>
    <externalReference r:id="rId10"/>
  </externalReferences>
  <definedNames>
    <definedName name="CCA">'GA55 Check &amp; Edit'!$AR$8:$AR$12</definedName>
    <definedName name="cities">'[1]hra-calculator'!$P$5:$P$9</definedName>
    <definedName name="gp">'GA55 Check &amp; Edit'!$AN$5:$AN$6</definedName>
    <definedName name="level">'GA55 Check &amp; Edit'!$AU$8:$AU$28</definedName>
    <definedName name="Month">'GA55 Check &amp; Edit'!$AT$8:$AT$19</definedName>
    <definedName name="Month1">'GA55 Check &amp; Edit'!$AS$8:$AS$19</definedName>
    <definedName name="pay">'GA55 Check &amp; Edit'!$AP$5:$AP$6</definedName>
    <definedName name="_xlnm.Print_Area" localSheetId="5">COMPUTATION!$A$1:$O$69</definedName>
    <definedName name="_xlnm.Print_Area" localSheetId="6">'Form No. 16'!$B$1:$L$143</definedName>
    <definedName name="_xlnm.Print_Area" localSheetId="4">'GA 55 '!$A$2:$AC$31</definedName>
    <definedName name="ram">'GA55 Check &amp; Edit'!$AX$10:$BJ$29</definedName>
    <definedName name="und">'GA55 Check &amp; Edit'!$AQ$5:$AQ$6</definedName>
    <definedName name="ye">'GA55 Check &amp; Edit'!$AO$5:$AO$6</definedName>
  </definedNames>
  <calcPr calcId="124519"/>
</workbook>
</file>

<file path=xl/calcChain.xml><?xml version="1.0" encoding="utf-8"?>
<calcChain xmlns="http://schemas.openxmlformats.org/spreadsheetml/2006/main">
  <c r="O34" i="6"/>
  <c r="S30" i="5"/>
  <c r="C30"/>
  <c r="G4"/>
  <c r="X19"/>
  <c r="K20"/>
  <c r="X20"/>
  <c r="K21"/>
  <c r="X21"/>
  <c r="K22"/>
  <c r="X22"/>
  <c r="K23"/>
  <c r="X23"/>
  <c r="K24"/>
  <c r="X24"/>
  <c r="K25"/>
  <c r="X25"/>
  <c r="K26"/>
  <c r="X26"/>
  <c r="K27"/>
  <c r="X27"/>
  <c r="AA4"/>
  <c r="R4"/>
  <c r="K4"/>
  <c r="C4"/>
  <c r="U3"/>
  <c r="M3"/>
  <c r="D3"/>
  <c r="B2"/>
  <c r="G31" i="6"/>
  <c r="J9" i="11" l="1"/>
  <c r="G9"/>
  <c r="E9"/>
  <c r="G7"/>
  <c r="G6"/>
  <c r="B6"/>
  <c r="G67" s="1"/>
  <c r="D142"/>
  <c r="D138"/>
  <c r="D143" s="1"/>
  <c r="G137"/>
  <c r="I121"/>
  <c r="D67"/>
  <c r="D66"/>
  <c r="C57"/>
  <c r="K54"/>
  <c r="K53"/>
  <c r="K52"/>
  <c r="K51"/>
  <c r="K50"/>
  <c r="K49"/>
  <c r="K48"/>
  <c r="K47"/>
  <c r="K46"/>
  <c r="K45"/>
  <c r="K44"/>
  <c r="K43"/>
  <c r="J37"/>
  <c r="C37"/>
  <c r="J36"/>
  <c r="J35"/>
  <c r="J34"/>
  <c r="J33"/>
  <c r="J32"/>
  <c r="J31"/>
  <c r="J30"/>
  <c r="J29"/>
  <c r="J28"/>
  <c r="J27"/>
  <c r="J26"/>
  <c r="J25"/>
  <c r="J24"/>
  <c r="F19"/>
  <c r="D65"/>
  <c r="D141" s="1"/>
  <c r="C137" l="1"/>
  <c r="G143"/>
  <c r="C60"/>
  <c r="G104" l="1"/>
  <c r="F14" i="6"/>
  <c r="D88" i="11" s="1"/>
  <c r="O63" i="6"/>
  <c r="K132" i="11" s="1"/>
  <c r="O44" i="6"/>
  <c r="G122" i="11" s="1"/>
  <c r="I122" s="1"/>
  <c r="O42" i="6"/>
  <c r="G123" i="11" s="1"/>
  <c r="I123" s="1"/>
  <c r="O40" i="6"/>
  <c r="G119" i="11" s="1"/>
  <c r="I119" s="1"/>
  <c r="O39" i="6"/>
  <c r="G118" i="11" s="1"/>
  <c r="I118" s="1"/>
  <c r="O38" i="6"/>
  <c r="G117" i="11" s="1"/>
  <c r="I117" s="1"/>
  <c r="O37" i="6"/>
  <c r="G116" i="11" s="1"/>
  <c r="I116" s="1"/>
  <c r="M30" i="6"/>
  <c r="G109" i="11" s="1"/>
  <c r="G30" i="6"/>
  <c r="M29"/>
  <c r="G108" i="11" s="1"/>
  <c r="G29" i="6"/>
  <c r="G103" i="11" s="1"/>
  <c r="M28" i="6"/>
  <c r="G110" i="11" s="1"/>
  <c r="G28" i="6"/>
  <c r="M27"/>
  <c r="M26"/>
  <c r="M25"/>
  <c r="G25"/>
  <c r="M24"/>
  <c r="G106" i="11" s="1"/>
  <c r="G24" i="6"/>
  <c r="G102" i="11" s="1"/>
  <c r="M23" i="6"/>
  <c r="G23"/>
  <c r="M22"/>
  <c r="I17"/>
  <c r="E17"/>
  <c r="I16"/>
  <c r="F92" i="11" s="1"/>
  <c r="E16" i="6"/>
  <c r="F93" i="11" s="1"/>
  <c r="G93" s="1"/>
  <c r="I14" i="6"/>
  <c r="F88" i="11" s="1"/>
  <c r="K12" i="6"/>
  <c r="D89" i="11" s="1"/>
  <c r="K10" i="6"/>
  <c r="G81" i="11" s="1"/>
  <c r="K9" i="6"/>
  <c r="G83" i="11" s="1"/>
  <c r="K8" i="6"/>
  <c r="G82" i="11" s="1"/>
  <c r="C31" i="6"/>
  <c r="B5"/>
  <c r="J4"/>
  <c r="N3"/>
  <c r="J3"/>
  <c r="D3"/>
  <c r="A1"/>
  <c r="G112" i="11"/>
  <c r="N57" i="6"/>
  <c r="M57"/>
  <c r="J57"/>
  <c r="I57"/>
  <c r="F57"/>
  <c r="E57"/>
  <c r="B57"/>
  <c r="N56"/>
  <c r="M56"/>
  <c r="J56"/>
  <c r="I56"/>
  <c r="F56"/>
  <c r="E56"/>
  <c r="B56"/>
  <c r="N55"/>
  <c r="M55"/>
  <c r="J55"/>
  <c r="I55"/>
  <c r="F55"/>
  <c r="E55"/>
  <c r="B55"/>
  <c r="M54"/>
  <c r="J54"/>
  <c r="I54"/>
  <c r="F54"/>
  <c r="E54"/>
  <c r="B54"/>
  <c r="M53"/>
  <c r="J53"/>
  <c r="I53"/>
  <c r="F53"/>
  <c r="E53"/>
  <c r="B53"/>
  <c r="M52"/>
  <c r="J52"/>
  <c r="F52"/>
  <c r="J51"/>
  <c r="F51"/>
  <c r="O17"/>
  <c r="D14"/>
  <c r="L2"/>
  <c r="G26"/>
  <c r="G98" i="11" s="1"/>
  <c r="BM32" i="3"/>
  <c r="BB32"/>
  <c r="BC32" s="1"/>
  <c r="BD32" s="1"/>
  <c r="BA32"/>
  <c r="BM31"/>
  <c r="BI31"/>
  <c r="BH31"/>
  <c r="BB31"/>
  <c r="BA31"/>
  <c r="BM30"/>
  <c r="BI30"/>
  <c r="BH30"/>
  <c r="BB30"/>
  <c r="BA30"/>
  <c r="W29"/>
  <c r="J28"/>
  <c r="H27" i="5" s="1"/>
  <c r="J27" i="3"/>
  <c r="H26" i="5" s="1"/>
  <c r="J26" i="3"/>
  <c r="H25" i="5" s="1"/>
  <c r="BA25" i="3"/>
  <c r="BC29" s="1"/>
  <c r="BD29" s="1"/>
  <c r="BI29" s="1"/>
  <c r="J25"/>
  <c r="H24" i="5" s="1"/>
  <c r="J24" i="3"/>
  <c r="H23" i="5" s="1"/>
  <c r="BH23" i="3"/>
  <c r="AR23"/>
  <c r="J23"/>
  <c r="H22" i="5" s="1"/>
  <c r="BH22" i="3"/>
  <c r="J22"/>
  <c r="H21" i="5" s="1"/>
  <c r="BH21" i="3"/>
  <c r="J21"/>
  <c r="H20" i="5" s="1"/>
  <c r="BH20" i="3"/>
  <c r="J20"/>
  <c r="H19" i="5" s="1"/>
  <c r="BH19" i="3"/>
  <c r="J19"/>
  <c r="H18" i="5" s="1"/>
  <c r="BH18" i="3"/>
  <c r="J18"/>
  <c r="H17" i="5" s="1"/>
  <c r="BH17" i="3"/>
  <c r="J17"/>
  <c r="H16" i="5" s="1"/>
  <c r="BH16" i="3"/>
  <c r="J16"/>
  <c r="H15" i="5" s="1"/>
  <c r="BH15" i="3"/>
  <c r="J15"/>
  <c r="H14" i="5" s="1"/>
  <c r="BH14" i="3"/>
  <c r="J14"/>
  <c r="H13" i="5" s="1"/>
  <c r="BU13" i="3"/>
  <c r="BU14" s="1"/>
  <c r="BH13"/>
  <c r="BG13"/>
  <c r="J13"/>
  <c r="H12" i="5" s="1"/>
  <c r="BU12" i="3"/>
  <c r="BH12"/>
  <c r="BA12"/>
  <c r="J12"/>
  <c r="H11" i="5" s="1"/>
  <c r="BH11" i="3"/>
  <c r="J11"/>
  <c r="H10" i="5" s="1"/>
  <c r="BH10" i="3"/>
  <c r="J10"/>
  <c r="H9" i="5" s="1"/>
  <c r="BC9" i="3"/>
  <c r="J9"/>
  <c r="H8" i="5" s="1"/>
  <c r="J8" i="3"/>
  <c r="H7" i="5" s="1"/>
  <c r="BC31" i="3"/>
  <c r="BD31" s="1"/>
  <c r="BC30"/>
  <c r="BA24"/>
  <c r="BI24" s="1"/>
  <c r="AS24"/>
  <c r="BF23"/>
  <c r="BF22"/>
  <c r="BF21"/>
  <c r="BF20"/>
  <c r="BF19"/>
  <c r="BF18"/>
  <c r="BF17"/>
  <c r="AZ17"/>
  <c r="BL10" s="1"/>
  <c r="BF16"/>
  <c r="AZ16"/>
  <c r="BF15"/>
  <c r="AZ15"/>
  <c r="BG31" s="1"/>
  <c r="BF14"/>
  <c r="BF13"/>
  <c r="BM12"/>
  <c r="BM13" s="1"/>
  <c r="BM14" s="1"/>
  <c r="BM15" s="1"/>
  <c r="BM16" s="1"/>
  <c r="BF12"/>
  <c r="BC12"/>
  <c r="BA11"/>
  <c r="BC11" s="1"/>
  <c r="BA10"/>
  <c r="BC10" s="1"/>
  <c r="W6"/>
  <c r="V6"/>
  <c r="U6"/>
  <c r="T6"/>
  <c r="S6"/>
  <c r="R6"/>
  <c r="Q6"/>
  <c r="P6"/>
  <c r="L6"/>
  <c r="K6"/>
  <c r="J6"/>
  <c r="I6"/>
  <c r="H6"/>
  <c r="AM5"/>
  <c r="F3"/>
  <c r="BN32"/>
  <c r="BO32"/>
  <c r="D28" s="1"/>
  <c r="B27" i="5" s="1"/>
  <c r="AX32" i="3"/>
  <c r="BQ31"/>
  <c r="BN31"/>
  <c r="BO31"/>
  <c r="D27" s="1"/>
  <c r="B26" i="5" s="1"/>
  <c r="AX31" i="3"/>
  <c r="BN30"/>
  <c r="BX30"/>
  <c r="BX29"/>
  <c r="BN29"/>
  <c r="AX29"/>
  <c r="BX28"/>
  <c r="BN28"/>
  <c r="BD28"/>
  <c r="AX28"/>
  <c r="BX27"/>
  <c r="BN27"/>
  <c r="BD27"/>
  <c r="AX27"/>
  <c r="BX26"/>
  <c r="BN26"/>
  <c r="AX26"/>
  <c r="BX25"/>
  <c r="BN25"/>
  <c r="AX25"/>
  <c r="BX24"/>
  <c r="BN24"/>
  <c r="BD24"/>
  <c r="AR30"/>
  <c r="AX24"/>
  <c r="BJ12"/>
  <c r="BB11"/>
  <c r="BD11" s="1"/>
  <c r="BB10"/>
  <c r="M26" i="5" l="1"/>
  <c r="Z26"/>
  <c r="AS25" i="3"/>
  <c r="H28" i="5"/>
  <c r="BA13" i="3"/>
  <c r="F91" i="11"/>
  <c r="I93" s="1"/>
  <c r="M27" i="5"/>
  <c r="Z27"/>
  <c r="AZ3" i="3"/>
  <c r="AZ1" s="1"/>
  <c r="AA27"/>
  <c r="Y26" i="5" s="1"/>
  <c r="AB27" i="3"/>
  <c r="X28"/>
  <c r="V27" i="5" s="1"/>
  <c r="AB28" i="3"/>
  <c r="G107" i="11"/>
  <c r="K14" i="6"/>
  <c r="O15" s="1"/>
  <c r="B88" i="11"/>
  <c r="G89" s="1"/>
  <c r="O10" i="6"/>
  <c r="I84" i="11"/>
  <c r="BG17" i="3"/>
  <c r="AZ18"/>
  <c r="BG12"/>
  <c r="BG16"/>
  <c r="BG30"/>
  <c r="BG10"/>
  <c r="BG11"/>
  <c r="BG14"/>
  <c r="BG15"/>
  <c r="BG23"/>
  <c r="BG18"/>
  <c r="BG19"/>
  <c r="BG20"/>
  <c r="BG21"/>
  <c r="BG22"/>
  <c r="BL12"/>
  <c r="BN12"/>
  <c r="BC25"/>
  <c r="BA14"/>
  <c r="BU15"/>
  <c r="BA15" s="1"/>
  <c r="H27"/>
  <c r="F26" i="5" s="1"/>
  <c r="L27" i="3"/>
  <c r="J26" i="5" s="1"/>
  <c r="U27" i="3"/>
  <c r="S26" i="5" s="1"/>
  <c r="Y27" i="3"/>
  <c r="W26" i="5" s="1"/>
  <c r="F28" i="3"/>
  <c r="D27" i="5" s="1"/>
  <c r="O28" i="3"/>
  <c r="S28"/>
  <c r="Q27" i="5" s="1"/>
  <c r="W28" i="3"/>
  <c r="U27" i="5" s="1"/>
  <c r="G27" i="3"/>
  <c r="E26" i="5" s="1"/>
  <c r="K27" i="3"/>
  <c r="I26" i="5" s="1"/>
  <c r="P27" i="3"/>
  <c r="N26" i="5" s="1"/>
  <c r="T27" i="3"/>
  <c r="R26" i="5" s="1"/>
  <c r="X27" i="3"/>
  <c r="V26" i="5" s="1"/>
  <c r="E28" i="3"/>
  <c r="C27" i="5" s="1"/>
  <c r="I28" i="3"/>
  <c r="G27" i="5" s="1"/>
  <c r="N28" i="3"/>
  <c r="L27" i="5" s="1"/>
  <c r="R28" i="3"/>
  <c r="P27" i="5" s="1"/>
  <c r="V28" i="3"/>
  <c r="T27" i="5" s="1"/>
  <c r="AA28" i="3"/>
  <c r="Y27" i="5" s="1"/>
  <c r="F27" i="3"/>
  <c r="D26" i="5" s="1"/>
  <c r="O27" i="3"/>
  <c r="S27"/>
  <c r="Q26" i="5" s="1"/>
  <c r="W27" i="3"/>
  <c r="U26" i="5" s="1"/>
  <c r="H28" i="3"/>
  <c r="F27" i="5" s="1"/>
  <c r="L28" i="3"/>
  <c r="J27" i="5" s="1"/>
  <c r="U28" i="3"/>
  <c r="S27" i="5" s="1"/>
  <c r="Y28" i="3"/>
  <c r="W27" i="5" s="1"/>
  <c r="E27" i="3"/>
  <c r="C26" i="5" s="1"/>
  <c r="I27" i="3"/>
  <c r="G26" i="5" s="1"/>
  <c r="N27" i="3"/>
  <c r="L26" i="5" s="1"/>
  <c r="R27" i="3"/>
  <c r="P26" i="5" s="1"/>
  <c r="V27" i="3"/>
  <c r="T26" i="5" s="1"/>
  <c r="G28" i="3"/>
  <c r="E27" i="5" s="1"/>
  <c r="K28" i="3"/>
  <c r="I27" i="5" s="1"/>
  <c r="P28" i="3"/>
  <c r="N27" i="5" s="1"/>
  <c r="T28" i="3"/>
  <c r="R27" i="5" s="1"/>
  <c r="BC15" i="3"/>
  <c r="BC14"/>
  <c r="BE32"/>
  <c r="BD10"/>
  <c r="BE31"/>
  <c r="BE30"/>
  <c r="BM17"/>
  <c r="BM18" s="1"/>
  <c r="BM19" s="1"/>
  <c r="BM20" s="1"/>
  <c r="BM21" s="1"/>
  <c r="BM22" s="1"/>
  <c r="BM23" s="1"/>
  <c r="B27"/>
  <c r="B28"/>
  <c r="BJ10"/>
  <c r="BD25"/>
  <c r="BQ30"/>
  <c r="BJ11"/>
  <c r="AX30"/>
  <c r="BO30"/>
  <c r="D26" s="1"/>
  <c r="B25" i="5" s="1"/>
  <c r="BQ32" i="3"/>
  <c r="BB12"/>
  <c r="BE12" s="1"/>
  <c r="BD30"/>
  <c r="BB13"/>
  <c r="BE13" s="1"/>
  <c r="AA26" i="5" l="1"/>
  <c r="M25"/>
  <c r="Z25"/>
  <c r="AA27"/>
  <c r="BJ13" i="3"/>
  <c r="BC13"/>
  <c r="AB26"/>
  <c r="BO12"/>
  <c r="Q27"/>
  <c r="O26" i="5" s="1"/>
  <c r="Q28" i="3"/>
  <c r="O27" i="5" s="1"/>
  <c r="BE28" i="3"/>
  <c r="BU16"/>
  <c r="BL13"/>
  <c r="BL14" s="1"/>
  <c r="BL15" s="1"/>
  <c r="BL16" s="1"/>
  <c r="BL17" s="1"/>
  <c r="BL18" s="1"/>
  <c r="BL19" s="1"/>
  <c r="BL20" s="1"/>
  <c r="BL21" s="1"/>
  <c r="BL22" s="1"/>
  <c r="BL23" s="1"/>
  <c r="BL24" s="1"/>
  <c r="BL25" s="1"/>
  <c r="BL26" s="1"/>
  <c r="BL27" s="1"/>
  <c r="BL28" s="1"/>
  <c r="BL29" s="1"/>
  <c r="BL30" s="1"/>
  <c r="BL31" s="1"/>
  <c r="BL32" s="1"/>
  <c r="X26"/>
  <c r="V25" i="5" s="1"/>
  <c r="T26" i="3"/>
  <c r="R25" i="5" s="1"/>
  <c r="P26" i="3"/>
  <c r="N25" i="5" s="1"/>
  <c r="K26" i="3"/>
  <c r="I25" i="5" s="1"/>
  <c r="G26" i="3"/>
  <c r="E25" i="5" s="1"/>
  <c r="Y26" i="3"/>
  <c r="W25" i="5" s="1"/>
  <c r="U26" i="3"/>
  <c r="S25" i="5" s="1"/>
  <c r="L26" i="3"/>
  <c r="J25" i="5" s="1"/>
  <c r="H26" i="3"/>
  <c r="F25" i="5" s="1"/>
  <c r="AA26" i="3"/>
  <c r="Y25" i="5" s="1"/>
  <c r="V26" i="3"/>
  <c r="T25" i="5" s="1"/>
  <c r="R26" i="3"/>
  <c r="P25" i="5" s="1"/>
  <c r="N26" i="3"/>
  <c r="L25" i="5" s="1"/>
  <c r="I26" i="3"/>
  <c r="G25" i="5" s="1"/>
  <c r="E26" i="3"/>
  <c r="C25" i="5" s="1"/>
  <c r="W26" i="3"/>
  <c r="U25" i="5" s="1"/>
  <c r="S26" i="3"/>
  <c r="Q25" i="5" s="1"/>
  <c r="O26" i="3"/>
  <c r="F26"/>
  <c r="D25" i="5" s="1"/>
  <c r="AZ20" i="3"/>
  <c r="AZ21" s="1"/>
  <c r="AC28"/>
  <c r="AC27"/>
  <c r="D8"/>
  <c r="B7" i="5" s="1"/>
  <c r="BN13" i="3"/>
  <c r="BO13" s="1"/>
  <c r="A28"/>
  <c r="C28"/>
  <c r="C27"/>
  <c r="A27"/>
  <c r="BX12"/>
  <c r="BD12"/>
  <c r="B26"/>
  <c r="BJ15"/>
  <c r="BB15"/>
  <c r="BE15" s="1"/>
  <c r="BX13"/>
  <c r="BD13"/>
  <c r="BJ14"/>
  <c r="BB14"/>
  <c r="BE14" s="1"/>
  <c r="AA25" i="5" l="1"/>
  <c r="O33" i="6"/>
  <c r="G111" i="11" s="1"/>
  <c r="I111" s="1"/>
  <c r="K111" s="1"/>
  <c r="Q26" i="3"/>
  <c r="O25" i="5" s="1"/>
  <c r="BO24" i="3"/>
  <c r="D20" s="1"/>
  <c r="G20" s="1"/>
  <c r="E19" i="5" s="1"/>
  <c r="BU17" i="3"/>
  <c r="BA16"/>
  <c r="BC16" s="1"/>
  <c r="P20"/>
  <c r="N19" i="5" s="1"/>
  <c r="M20" i="3"/>
  <c r="K19" i="5" s="1"/>
  <c r="M8" i="3"/>
  <c r="K7" i="5" s="1"/>
  <c r="F8" i="3"/>
  <c r="D7" i="5" s="1"/>
  <c r="G8" i="3"/>
  <c r="E7" i="5" s="1"/>
  <c r="D9" i="3"/>
  <c r="B8" i="5" s="1"/>
  <c r="C26" i="3"/>
  <c r="A26"/>
  <c r="BQ24"/>
  <c r="E20" s="1"/>
  <c r="C19" i="5" s="1"/>
  <c r="BN14" i="3"/>
  <c r="BO14" s="1"/>
  <c r="BO25"/>
  <c r="D21" s="1"/>
  <c r="B20" i="5" s="1"/>
  <c r="BD15" i="3"/>
  <c r="BX15"/>
  <c r="BD14"/>
  <c r="BX14"/>
  <c r="BS10"/>
  <c r="B8"/>
  <c r="A8" s="1"/>
  <c r="BQ12"/>
  <c r="E8" s="1"/>
  <c r="C7" i="5" s="1"/>
  <c r="AC26" i="3"/>
  <c r="G15" i="11" l="1"/>
  <c r="T20" i="3"/>
  <c r="R19" i="5" s="1"/>
  <c r="B19"/>
  <c r="R20" i="3"/>
  <c r="P19" i="5" s="1"/>
  <c r="W20" i="3"/>
  <c r="U19" i="5" s="1"/>
  <c r="U20" i="3"/>
  <c r="S19" i="5" s="1"/>
  <c r="S8" i="3"/>
  <c r="Q7" i="5" s="1"/>
  <c r="BI12" i="3"/>
  <c r="X8"/>
  <c r="V7" i="5" s="1"/>
  <c r="N8" i="3"/>
  <c r="L7" i="5" s="1"/>
  <c r="BA17" i="3"/>
  <c r="BC17" s="1"/>
  <c r="BU18"/>
  <c r="F20"/>
  <c r="D19" i="5" s="1"/>
  <c r="Q8" i="3"/>
  <c r="O7" i="5" s="1"/>
  <c r="K8" i="3"/>
  <c r="I7" i="5" s="1"/>
  <c r="P8" i="3"/>
  <c r="N7" i="5" s="1"/>
  <c r="Z8" i="3"/>
  <c r="X7" i="5" s="1"/>
  <c r="T8" i="3"/>
  <c r="R7" i="5" s="1"/>
  <c r="Y8" i="3"/>
  <c r="W7" i="5" s="1"/>
  <c r="L8" i="3"/>
  <c r="J7" i="5" s="1"/>
  <c r="AA8" i="3"/>
  <c r="Y7" i="5" s="1"/>
  <c r="U8" i="3"/>
  <c r="S7" i="5" s="1"/>
  <c r="H8" i="3"/>
  <c r="F7" i="5" s="1"/>
  <c r="I8" i="3"/>
  <c r="G7" i="5" s="1"/>
  <c r="R8" i="3"/>
  <c r="P7" i="5" s="1"/>
  <c r="W8" i="3"/>
  <c r="U7" i="5" s="1"/>
  <c r="V8" i="3"/>
  <c r="T7" i="5" s="1"/>
  <c r="Q20" i="3"/>
  <c r="O19" i="5" s="1"/>
  <c r="L20" i="3"/>
  <c r="J19" i="5" s="1"/>
  <c r="AA20" i="3"/>
  <c r="Y19" i="5" s="1"/>
  <c r="Y20" i="3"/>
  <c r="W19" i="5" s="1"/>
  <c r="S20" i="3"/>
  <c r="Q19" i="5" s="1"/>
  <c r="K20" i="3"/>
  <c r="I19" i="5" s="1"/>
  <c r="X20" i="3"/>
  <c r="V19" i="5" s="1"/>
  <c r="H20" i="3"/>
  <c r="F19" i="5" s="1"/>
  <c r="I20" i="3"/>
  <c r="G19" i="5" s="1"/>
  <c r="V20" i="3"/>
  <c r="T19" i="5" s="1"/>
  <c r="T21" i="3"/>
  <c r="R20" i="5" s="1"/>
  <c r="P21" i="3"/>
  <c r="N20" i="5" s="1"/>
  <c r="G21" i="3"/>
  <c r="E20" i="5" s="1"/>
  <c r="U21" i="3"/>
  <c r="S20" i="5" s="1"/>
  <c r="V21" i="3"/>
  <c r="T20" i="5" s="1"/>
  <c r="R21" i="3"/>
  <c r="P20" i="5" s="1"/>
  <c r="W21" i="3"/>
  <c r="U20" i="5" s="1"/>
  <c r="F21" i="3"/>
  <c r="D20" i="5" s="1"/>
  <c r="M9" i="3"/>
  <c r="K8" i="5" s="1"/>
  <c r="F9" i="3"/>
  <c r="D8" i="5" s="1"/>
  <c r="G9" i="3"/>
  <c r="E8" i="5" s="1"/>
  <c r="BS12" i="3"/>
  <c r="BQ25"/>
  <c r="E21" s="1"/>
  <c r="C20" i="5" s="1"/>
  <c r="B9" i="3"/>
  <c r="A9" s="1"/>
  <c r="BQ13"/>
  <c r="E9" s="1"/>
  <c r="C8" i="5" s="1"/>
  <c r="BC26" i="3"/>
  <c r="BD26" s="1"/>
  <c r="BI26" s="1"/>
  <c r="BJ16"/>
  <c r="BJ17" s="1"/>
  <c r="BJ18" s="1"/>
  <c r="BJ19" s="1"/>
  <c r="BJ20" s="1"/>
  <c r="BJ21" s="1"/>
  <c r="BJ22" s="1"/>
  <c r="BJ23" s="1"/>
  <c r="BB16"/>
  <c r="BE16" s="1"/>
  <c r="BO26"/>
  <c r="D22" s="1"/>
  <c r="B21" i="5" s="1"/>
  <c r="BN15" i="3"/>
  <c r="BO15" s="1"/>
  <c r="D10"/>
  <c r="B9" i="5" s="1"/>
  <c r="J15" i="11" l="1"/>
  <c r="M7" i="5"/>
  <c r="Z7"/>
  <c r="M19"/>
  <c r="Z19"/>
  <c r="N21" i="3"/>
  <c r="L20" i="5" s="1"/>
  <c r="N9" i="3"/>
  <c r="L8" i="5" s="1"/>
  <c r="C24" i="11"/>
  <c r="N20" i="3"/>
  <c r="L19" i="5" s="1"/>
  <c r="BI11" i="3"/>
  <c r="BI10"/>
  <c r="BI13"/>
  <c r="Q21"/>
  <c r="O20" i="5" s="1"/>
  <c r="BU19" i="3"/>
  <c r="BA18"/>
  <c r="BC18" s="1"/>
  <c r="O8"/>
  <c r="AB8" s="1"/>
  <c r="Q9"/>
  <c r="O8" i="5" s="1"/>
  <c r="W9" i="3"/>
  <c r="U8" i="5" s="1"/>
  <c r="K9" i="3"/>
  <c r="I8" i="5" s="1"/>
  <c r="P9" i="3"/>
  <c r="N8" i="5" s="1"/>
  <c r="U9" i="3"/>
  <c r="S8" i="5" s="1"/>
  <c r="Z9" i="3"/>
  <c r="X8" i="5" s="1"/>
  <c r="X9" i="3"/>
  <c r="V8" i="5" s="1"/>
  <c r="H9" i="3"/>
  <c r="F8" i="5" s="1"/>
  <c r="I9" i="3"/>
  <c r="G8" i="5" s="1"/>
  <c r="R9" i="3"/>
  <c r="P8" i="5" s="1"/>
  <c r="L9" i="3"/>
  <c r="J8" i="5" s="1"/>
  <c r="AA9" i="3"/>
  <c r="Y8" i="5" s="1"/>
  <c r="T9" i="3"/>
  <c r="R8" i="5" s="1"/>
  <c r="Y9" i="3"/>
  <c r="W8" i="5" s="1"/>
  <c r="S9" i="3"/>
  <c r="Q8" i="5" s="1"/>
  <c r="V9" i="3"/>
  <c r="T8" i="5" s="1"/>
  <c r="H21" i="3"/>
  <c r="F20" i="5" s="1"/>
  <c r="M20" s="1"/>
  <c r="X21" i="3"/>
  <c r="V20" i="5" s="1"/>
  <c r="L21" i="3"/>
  <c r="J20" i="5" s="1"/>
  <c r="K21" i="3"/>
  <c r="I20" i="5" s="1"/>
  <c r="S21" i="3"/>
  <c r="Q20" i="5" s="1"/>
  <c r="I21" i="3"/>
  <c r="G20" i="5" s="1"/>
  <c r="AA21" i="3"/>
  <c r="Y20" i="5" s="1"/>
  <c r="Y21" i="3"/>
  <c r="W20" i="5" s="1"/>
  <c r="T22" i="3"/>
  <c r="R21" i="5" s="1"/>
  <c r="P22" i="3"/>
  <c r="N21" i="5" s="1"/>
  <c r="G22" i="3"/>
  <c r="E21" i="5" s="1"/>
  <c r="U22" i="3"/>
  <c r="S21" i="5" s="1"/>
  <c r="R22" i="3"/>
  <c r="P21" i="5" s="1"/>
  <c r="W22" i="3"/>
  <c r="U21" i="5" s="1"/>
  <c r="F22" i="3"/>
  <c r="D21" i="5" s="1"/>
  <c r="G10" i="3"/>
  <c r="E9" i="5" s="1"/>
  <c r="M10" i="3"/>
  <c r="K9" i="5" s="1"/>
  <c r="F10" i="3"/>
  <c r="D9" i="5" s="1"/>
  <c r="D11" i="3"/>
  <c r="B10" i="5" s="1"/>
  <c r="BN16" i="3"/>
  <c r="BO16" s="1"/>
  <c r="BQ26"/>
  <c r="E22" s="1"/>
  <c r="C21" i="5" s="1"/>
  <c r="B10" i="3"/>
  <c r="BQ14"/>
  <c r="E10" s="1"/>
  <c r="C9" i="5" s="1"/>
  <c r="BO27" i="3"/>
  <c r="D23" s="1"/>
  <c r="B22" i="5" s="1"/>
  <c r="BB17" i="3"/>
  <c r="BE17" s="1"/>
  <c r="BD16"/>
  <c r="BX16"/>
  <c r="Z8" i="5" l="1"/>
  <c r="Z20"/>
  <c r="AA20" s="1"/>
  <c r="AA19"/>
  <c r="AA7"/>
  <c r="M8"/>
  <c r="AA8" s="1"/>
  <c r="N10" i="3"/>
  <c r="L9" i="5" s="1"/>
  <c r="C25" i="11"/>
  <c r="N22" i="3"/>
  <c r="L21" i="5" s="1"/>
  <c r="O20" i="3"/>
  <c r="AB20" s="1"/>
  <c r="BI14"/>
  <c r="AC8"/>
  <c r="BA19"/>
  <c r="BC19" s="1"/>
  <c r="BU20"/>
  <c r="O9"/>
  <c r="AB9" s="1"/>
  <c r="O21"/>
  <c r="AB21" s="1"/>
  <c r="Q22"/>
  <c r="O21" i="5" s="1"/>
  <c r="Y22" i="3"/>
  <c r="W21" i="5" s="1"/>
  <c r="AA22" i="3"/>
  <c r="Y21" i="5" s="1"/>
  <c r="I22" i="3"/>
  <c r="G21" i="5" s="1"/>
  <c r="S22" i="3"/>
  <c r="Q21" i="5" s="1"/>
  <c r="X22" i="3"/>
  <c r="V21" i="5" s="1"/>
  <c r="H22" i="3"/>
  <c r="F21" i="5" s="1"/>
  <c r="M21" s="1"/>
  <c r="K22" i="3"/>
  <c r="I21" i="5" s="1"/>
  <c r="L22" i="3"/>
  <c r="J21" i="5" s="1"/>
  <c r="V22" i="3"/>
  <c r="T21" i="5" s="1"/>
  <c r="Q10" i="3"/>
  <c r="O9" i="5" s="1"/>
  <c r="X10" i="3"/>
  <c r="V9" i="5" s="1"/>
  <c r="H10" i="3"/>
  <c r="F9" i="5" s="1"/>
  <c r="M9" s="1"/>
  <c r="I10" i="3"/>
  <c r="G9" i="5" s="1"/>
  <c r="R10" i="3"/>
  <c r="P9" i="5" s="1"/>
  <c r="Z10" i="3"/>
  <c r="X9" i="5" s="1"/>
  <c r="S10" i="3"/>
  <c r="Q9" i="5" s="1"/>
  <c r="L10" i="3"/>
  <c r="J9" i="5" s="1"/>
  <c r="V10" i="3"/>
  <c r="T9" i="5" s="1"/>
  <c r="W10" i="3"/>
  <c r="U9" i="5" s="1"/>
  <c r="P10" i="3"/>
  <c r="N9" i="5" s="1"/>
  <c r="U10" i="3"/>
  <c r="S9" i="5" s="1"/>
  <c r="AA10" i="3"/>
  <c r="Y9" i="5" s="1"/>
  <c r="K10" i="3"/>
  <c r="I9" i="5" s="1"/>
  <c r="T10" i="3"/>
  <c r="R9" i="5" s="1"/>
  <c r="Y10" i="3"/>
  <c r="W9" i="5" s="1"/>
  <c r="T23" i="3"/>
  <c r="R22" i="5" s="1"/>
  <c r="P23" i="3"/>
  <c r="N22" i="5" s="1"/>
  <c r="G23" i="3"/>
  <c r="E22" i="5" s="1"/>
  <c r="U23" i="3"/>
  <c r="S22" i="5" s="1"/>
  <c r="V23" i="3"/>
  <c r="T22" i="5" s="1"/>
  <c r="R23" i="3"/>
  <c r="P22" i="5" s="1"/>
  <c r="AX41" i="3"/>
  <c r="W23"/>
  <c r="U22" i="5" s="1"/>
  <c r="F23" i="3"/>
  <c r="D22" i="5" s="1"/>
  <c r="M11" i="3"/>
  <c r="K10" i="5" s="1"/>
  <c r="F11" i="3"/>
  <c r="D10" i="5" s="1"/>
  <c r="G11" i="3"/>
  <c r="E10" i="5" s="1"/>
  <c r="D12" i="3"/>
  <c r="B11" i="5" s="1"/>
  <c r="BQ27" i="3"/>
  <c r="E23" s="1"/>
  <c r="C22" i="5" s="1"/>
  <c r="BO28" i="3"/>
  <c r="D24" s="1"/>
  <c r="B23" i="5" s="1"/>
  <c r="BB18" i="3"/>
  <c r="BE18" s="1"/>
  <c r="B11"/>
  <c r="BQ15"/>
  <c r="E11" s="1"/>
  <c r="C10" i="5" s="1"/>
  <c r="BS13" i="3"/>
  <c r="BD17"/>
  <c r="BX17"/>
  <c r="G16" i="11" s="1"/>
  <c r="C10" i="3"/>
  <c r="A10"/>
  <c r="BN17"/>
  <c r="BO17" s="1"/>
  <c r="J16" i="11" l="1"/>
  <c r="Z9" i="5"/>
  <c r="Z21"/>
  <c r="AA21" s="1"/>
  <c r="C26" i="11"/>
  <c r="AC20" i="3"/>
  <c r="N23"/>
  <c r="L22" i="5" s="1"/>
  <c r="Z22" s="1"/>
  <c r="BI15" i="3"/>
  <c r="N11"/>
  <c r="L10" i="5" s="1"/>
  <c r="AC9" i="3"/>
  <c r="BU21"/>
  <c r="BA20"/>
  <c r="BC20" s="1"/>
  <c r="O22"/>
  <c r="AB22" s="1"/>
  <c r="O10"/>
  <c r="AB10" s="1"/>
  <c r="Q11"/>
  <c r="O10" i="5" s="1"/>
  <c r="V11" i="3"/>
  <c r="T10" i="5" s="1"/>
  <c r="P11" i="3"/>
  <c r="N10" i="5" s="1"/>
  <c r="U11" i="3"/>
  <c r="S10" i="5" s="1"/>
  <c r="Z11" i="3"/>
  <c r="X10" i="5" s="1"/>
  <c r="Y11" i="3"/>
  <c r="W10" i="5" s="1"/>
  <c r="T11" i="3"/>
  <c r="R10" i="5" s="1"/>
  <c r="S11" i="3"/>
  <c r="Q10" i="5" s="1"/>
  <c r="X11" i="3"/>
  <c r="V10" i="5" s="1"/>
  <c r="H11" i="3"/>
  <c r="F10" i="5" s="1"/>
  <c r="M10" s="1"/>
  <c r="I11" i="3"/>
  <c r="G10" i="5" s="1"/>
  <c r="R11" i="3"/>
  <c r="P10" i="5" s="1"/>
  <c r="W11" i="3"/>
  <c r="U10" i="5" s="1"/>
  <c r="L11" i="3"/>
  <c r="J10" i="5" s="1"/>
  <c r="AA11" i="3"/>
  <c r="Y10" i="5" s="1"/>
  <c r="K11" i="3"/>
  <c r="I10" i="5" s="1"/>
  <c r="Q23" i="3"/>
  <c r="O22" i="5" s="1"/>
  <c r="K23" i="3"/>
  <c r="I22" i="5" s="1"/>
  <c r="L23" i="3"/>
  <c r="J22" i="5" s="1"/>
  <c r="S23" i="3"/>
  <c r="Q22" i="5" s="1"/>
  <c r="Y23" i="3"/>
  <c r="W22" i="5" s="1"/>
  <c r="AA23" i="3"/>
  <c r="Y22" i="5" s="1"/>
  <c r="I23" i="3"/>
  <c r="G22" i="5" s="1"/>
  <c r="X23" i="3"/>
  <c r="V22" i="5" s="1"/>
  <c r="H23" i="3"/>
  <c r="F22" i="5" s="1"/>
  <c r="M22" s="1"/>
  <c r="AA22" s="1"/>
  <c r="M12" i="3"/>
  <c r="K11" i="5" s="1"/>
  <c r="F12" i="3"/>
  <c r="D11" i="5" s="1"/>
  <c r="G12" i="3"/>
  <c r="E11" i="5" s="1"/>
  <c r="W24" i="3"/>
  <c r="U23" i="5" s="1"/>
  <c r="F24" i="3"/>
  <c r="D23" i="5" s="1"/>
  <c r="T24" i="3"/>
  <c r="R23" i="5" s="1"/>
  <c r="P24" i="3"/>
  <c r="N23" i="5" s="1"/>
  <c r="G24" i="3"/>
  <c r="E23" i="5" s="1"/>
  <c r="U24" i="3"/>
  <c r="S23" i="5" s="1"/>
  <c r="V24" i="3"/>
  <c r="T23" i="5" s="1"/>
  <c r="R24" i="3"/>
  <c r="P23" i="5" s="1"/>
  <c r="D13" i="3"/>
  <c r="B12" i="5" s="1"/>
  <c r="BN18" i="3"/>
  <c r="BO18" s="1"/>
  <c r="BO29"/>
  <c r="D25" s="1"/>
  <c r="B24" i="5" s="1"/>
  <c r="B12" i="3"/>
  <c r="BQ16"/>
  <c r="E12" s="1"/>
  <c r="C11" i="5" s="1"/>
  <c r="BB19" i="3"/>
  <c r="BE19" s="1"/>
  <c r="C11"/>
  <c r="A11"/>
  <c r="AC21"/>
  <c r="BD18"/>
  <c r="BX18"/>
  <c r="E66" i="6" s="1"/>
  <c r="BQ28" i="3"/>
  <c r="E24" s="1"/>
  <c r="C23" i="5" s="1"/>
  <c r="AA9" l="1"/>
  <c r="Z10"/>
  <c r="AA10" s="1"/>
  <c r="C27" i="11"/>
  <c r="AC10" i="3"/>
  <c r="BI16"/>
  <c r="O23"/>
  <c r="N12"/>
  <c r="L11" i="5" s="1"/>
  <c r="N24" i="3"/>
  <c r="L23" i="5" s="1"/>
  <c r="BU22" i="3"/>
  <c r="BA21"/>
  <c r="BC21" s="1"/>
  <c r="O11"/>
  <c r="AB11" s="1"/>
  <c r="Q24"/>
  <c r="O23" i="5" s="1"/>
  <c r="S24" i="3"/>
  <c r="Q23" i="5" s="1"/>
  <c r="Y24" i="3"/>
  <c r="W23" i="5" s="1"/>
  <c r="AA24" i="3"/>
  <c r="Y23" i="5" s="1"/>
  <c r="I24" i="3"/>
  <c r="G23" i="5" s="1"/>
  <c r="X24" i="3"/>
  <c r="V23" i="5" s="1"/>
  <c r="H24" i="3"/>
  <c r="F23" i="5" s="1"/>
  <c r="M23" s="1"/>
  <c r="K24" i="3"/>
  <c r="I23" i="5" s="1"/>
  <c r="L24" i="3"/>
  <c r="J23" i="5" s="1"/>
  <c r="Q12" i="3"/>
  <c r="O11" i="5" s="1"/>
  <c r="Y12" i="3"/>
  <c r="W11" i="5" s="1"/>
  <c r="S12" i="3"/>
  <c r="Q11" i="5" s="1"/>
  <c r="L12" i="3"/>
  <c r="J11" i="5" s="1"/>
  <c r="I12" i="3"/>
  <c r="G11" i="5" s="1"/>
  <c r="R12" i="3"/>
  <c r="P11" i="5" s="1"/>
  <c r="W12" i="3"/>
  <c r="U11" i="5" s="1"/>
  <c r="P12" i="3"/>
  <c r="N11" i="5" s="1"/>
  <c r="V12" i="3"/>
  <c r="T11" i="5" s="1"/>
  <c r="AA12" i="3"/>
  <c r="Y11" i="5" s="1"/>
  <c r="K12" i="3"/>
  <c r="I11" i="5" s="1"/>
  <c r="T12" i="3"/>
  <c r="R11" i="5" s="1"/>
  <c r="U12" i="3"/>
  <c r="S11" i="5" s="1"/>
  <c r="Z12" i="3"/>
  <c r="X11" i="5" s="1"/>
  <c r="X12" i="3"/>
  <c r="V11" i="5" s="1"/>
  <c r="H12" i="3"/>
  <c r="F11" i="5" s="1"/>
  <c r="M11" s="1"/>
  <c r="M13" i="3"/>
  <c r="K12" i="5" s="1"/>
  <c r="F13" i="3"/>
  <c r="D12" i="5" s="1"/>
  <c r="G13" i="3"/>
  <c r="E12" i="5" s="1"/>
  <c r="T25" i="3"/>
  <c r="R24" i="5" s="1"/>
  <c r="P25" i="3"/>
  <c r="N24" i="5" s="1"/>
  <c r="G25" i="3"/>
  <c r="E24" i="5" s="1"/>
  <c r="U25" i="3"/>
  <c r="S24" i="5" s="1"/>
  <c r="R25" i="3"/>
  <c r="P24" i="5" s="1"/>
  <c r="W25" i="3"/>
  <c r="U24" i="5" s="1"/>
  <c r="F25" i="3"/>
  <c r="D24" i="5" s="1"/>
  <c r="AC22" i="3"/>
  <c r="BN19"/>
  <c r="BO19" s="1"/>
  <c r="B13"/>
  <c r="BQ17"/>
  <c r="E13" s="1"/>
  <c r="C12" i="5" s="1"/>
  <c r="BS14" i="3"/>
  <c r="BD19"/>
  <c r="BX19"/>
  <c r="BB20"/>
  <c r="BE20" s="1"/>
  <c r="C12"/>
  <c r="A12"/>
  <c r="BQ29"/>
  <c r="E25" s="1"/>
  <c r="C24" i="5" s="1"/>
  <c r="D14" i="3"/>
  <c r="B13" i="5" s="1"/>
  <c r="Z23" l="1"/>
  <c r="AA23" s="1"/>
  <c r="Z11"/>
  <c r="AA11" s="1"/>
  <c r="AB23" i="3"/>
  <c r="AC23" s="1"/>
  <c r="O12"/>
  <c r="AB12" s="1"/>
  <c r="BI17"/>
  <c r="N25"/>
  <c r="L24" i="5" s="1"/>
  <c r="N13" i="3"/>
  <c r="L12" i="5" s="1"/>
  <c r="BU23" i="3"/>
  <c r="BA23" s="1"/>
  <c r="BC23" s="1"/>
  <c r="BA22"/>
  <c r="BC22" s="1"/>
  <c r="O24"/>
  <c r="AB24" s="1"/>
  <c r="Q25"/>
  <c r="O24" i="5" s="1"/>
  <c r="V25" i="3"/>
  <c r="T24" i="5" s="1"/>
  <c r="Y25" i="3"/>
  <c r="W24" i="5" s="1"/>
  <c r="AA25" i="3"/>
  <c r="Y24" i="5" s="1"/>
  <c r="I25" i="3"/>
  <c r="G24" i="5" s="1"/>
  <c r="S25" i="3"/>
  <c r="Q24" i="5" s="1"/>
  <c r="X25" i="3"/>
  <c r="V24" i="5" s="1"/>
  <c r="H25" i="3"/>
  <c r="F24" i="5" s="1"/>
  <c r="M24" s="1"/>
  <c r="K25" i="3"/>
  <c r="I24" i="5" s="1"/>
  <c r="L25" i="3"/>
  <c r="J24" i="5" s="1"/>
  <c r="Q13" i="3"/>
  <c r="O12" i="5" s="1"/>
  <c r="L13" i="3"/>
  <c r="J12" i="5" s="1"/>
  <c r="V13" i="3"/>
  <c r="T12" i="5" s="1"/>
  <c r="AA13" i="3"/>
  <c r="Y12" i="5" s="1"/>
  <c r="K13" i="3"/>
  <c r="I12" i="5" s="1"/>
  <c r="P13" i="3"/>
  <c r="N12" i="5" s="1"/>
  <c r="U13" i="3"/>
  <c r="S12" i="5" s="1"/>
  <c r="Z13" i="3"/>
  <c r="X12" i="5" s="1"/>
  <c r="T13" i="3"/>
  <c r="R12" i="5" s="1"/>
  <c r="Y13" i="3"/>
  <c r="W12" i="5" s="1"/>
  <c r="S13" i="3"/>
  <c r="Q12" i="5" s="1"/>
  <c r="X13" i="3"/>
  <c r="V12" i="5" s="1"/>
  <c r="H13" i="3"/>
  <c r="F12" i="5" s="1"/>
  <c r="M12" s="1"/>
  <c r="I13" i="3"/>
  <c r="G12" i="5" s="1"/>
  <c r="R13" i="3"/>
  <c r="P12" i="5" s="1"/>
  <c r="W13" i="3"/>
  <c r="U12" i="5" s="1"/>
  <c r="G14" i="3"/>
  <c r="E13" i="5" s="1"/>
  <c r="M14" i="3"/>
  <c r="K13" i="5" s="1"/>
  <c r="N14" i="3"/>
  <c r="L13" i="5" s="1"/>
  <c r="F14" i="3"/>
  <c r="D13" i="5" s="1"/>
  <c r="BS18" i="3"/>
  <c r="AC11"/>
  <c r="D15"/>
  <c r="B14" i="5" s="1"/>
  <c r="C13" i="3"/>
  <c r="A13"/>
  <c r="BX20"/>
  <c r="G17" i="11" s="1"/>
  <c r="BD20" i="3"/>
  <c r="B14"/>
  <c r="BQ18"/>
  <c r="E14" s="1"/>
  <c r="C13" i="5" s="1"/>
  <c r="BN20" i="3"/>
  <c r="BO20" s="1"/>
  <c r="BB21"/>
  <c r="BE21" s="1"/>
  <c r="J17" i="11" l="1"/>
  <c r="Z12" i="5"/>
  <c r="AA12" s="1"/>
  <c r="Z24"/>
  <c r="AA24" s="1"/>
  <c r="C28" i="11"/>
  <c r="C29"/>
  <c r="BI18" i="3"/>
  <c r="AC24"/>
  <c r="O25"/>
  <c r="AB25" s="1"/>
  <c r="O13"/>
  <c r="AB13" s="1"/>
  <c r="Q14"/>
  <c r="O13" i="5" s="1"/>
  <c r="X14" i="3"/>
  <c r="V13" i="5" s="1"/>
  <c r="H14" i="3"/>
  <c r="F13" i="5" s="1"/>
  <c r="I14" i="3"/>
  <c r="G13" i="5" s="1"/>
  <c r="R14" i="3"/>
  <c r="P13" i="5" s="1"/>
  <c r="S14" i="3"/>
  <c r="Q13" i="5" s="1"/>
  <c r="L14" i="3"/>
  <c r="J13" i="5" s="1"/>
  <c r="V14" i="3"/>
  <c r="T13" i="5" s="1"/>
  <c r="Z14" i="3"/>
  <c r="X13" i="5" s="1"/>
  <c r="W14" i="3"/>
  <c r="U13" i="5" s="1"/>
  <c r="P14" i="3"/>
  <c r="N13" i="5" s="1"/>
  <c r="U14" i="3"/>
  <c r="S13" i="5" s="1"/>
  <c r="AA14" i="3"/>
  <c r="Y13" i="5" s="1"/>
  <c r="K14" i="3"/>
  <c r="I13" i="5" s="1"/>
  <c r="T14" i="3"/>
  <c r="R13" i="5" s="1"/>
  <c r="Y14" i="3"/>
  <c r="W13" i="5" s="1"/>
  <c r="F15" i="3"/>
  <c r="D14" i="5" s="1"/>
  <c r="G15" i="3"/>
  <c r="E14" i="5" s="1"/>
  <c r="M15" i="3"/>
  <c r="K14" i="5" s="1"/>
  <c r="AC12" i="3"/>
  <c r="D16"/>
  <c r="B15" i="5" s="1"/>
  <c r="A14" i="3"/>
  <c r="C14"/>
  <c r="BD21"/>
  <c r="BX21"/>
  <c r="BB23"/>
  <c r="BE23" s="1"/>
  <c r="BS15"/>
  <c r="B15"/>
  <c r="BQ19"/>
  <c r="E15" s="1"/>
  <c r="C14" i="5" s="1"/>
  <c r="BB22" i="3"/>
  <c r="BE22" s="1"/>
  <c r="BN21"/>
  <c r="BO21" s="1"/>
  <c r="D17" s="1"/>
  <c r="B16" i="5" s="1"/>
  <c r="N15" i="3" l="1"/>
  <c r="L14" i="5" s="1"/>
  <c r="Z13"/>
  <c r="M13"/>
  <c r="AA13" s="1"/>
  <c r="H66" i="6"/>
  <c r="BD7" i="3"/>
  <c r="BI19"/>
  <c r="AC25"/>
  <c r="O14"/>
  <c r="AB14" s="1"/>
  <c r="R15"/>
  <c r="P14" i="5" s="1"/>
  <c r="V15" i="3"/>
  <c r="T14" i="5" s="1"/>
  <c r="AA15" i="3"/>
  <c r="Y14" i="5" s="1"/>
  <c r="K15" i="3"/>
  <c r="I14" i="5" s="1"/>
  <c r="T15" i="3"/>
  <c r="R14" i="5" s="1"/>
  <c r="Y15" i="3"/>
  <c r="W14" i="5" s="1"/>
  <c r="I15" i="3"/>
  <c r="G14" i="5" s="1"/>
  <c r="Z15" i="3"/>
  <c r="X14" i="5" s="1"/>
  <c r="X15" i="3"/>
  <c r="V14" i="5" s="1"/>
  <c r="H15" i="3"/>
  <c r="F14" i="5" s="1"/>
  <c r="U15" i="3"/>
  <c r="S14" i="5" s="1"/>
  <c r="S15" i="3"/>
  <c r="Q14" i="5" s="1"/>
  <c r="L15" i="3"/>
  <c r="J14" i="5" s="1"/>
  <c r="Q15" i="3"/>
  <c r="O14" i="5" s="1"/>
  <c r="W15" i="3"/>
  <c r="U14" i="5" s="1"/>
  <c r="P15" i="3"/>
  <c r="N14" i="5" s="1"/>
  <c r="G17" i="3"/>
  <c r="E16" i="5" s="1"/>
  <c r="M17" i="3"/>
  <c r="K16" i="5" s="1"/>
  <c r="F17" i="3"/>
  <c r="D16" i="5" s="1"/>
  <c r="M16" i="3"/>
  <c r="K15" i="5" s="1"/>
  <c r="F16" i="3"/>
  <c r="D15" i="5" s="1"/>
  <c r="G16" i="3"/>
  <c r="E15" i="5" s="1"/>
  <c r="BS19" i="3"/>
  <c r="BQ21"/>
  <c r="E17" s="1"/>
  <c r="C16" i="5" s="1"/>
  <c r="AC13" i="3"/>
  <c r="BD23"/>
  <c r="BX23"/>
  <c r="K66" i="6" s="1"/>
  <c r="B16" i="3"/>
  <c r="B17" s="1"/>
  <c r="BQ20"/>
  <c r="E16" s="1"/>
  <c r="C15" i="5" s="1"/>
  <c r="BN22" i="3"/>
  <c r="BO22" s="1"/>
  <c r="D18" s="1"/>
  <c r="B17" i="5" s="1"/>
  <c r="BD22" i="3"/>
  <c r="BX22"/>
  <c r="J66" i="6" s="1"/>
  <c r="A15" i="3"/>
  <c r="C15"/>
  <c r="M14" i="5" l="1"/>
  <c r="G18" i="11"/>
  <c r="Z14" i="5"/>
  <c r="N17" i="3"/>
  <c r="L16" i="5" s="1"/>
  <c r="C30" i="11"/>
  <c r="BI20" i="3"/>
  <c r="BI21"/>
  <c r="X17"/>
  <c r="V16" i="5" s="1"/>
  <c r="N16" i="3"/>
  <c r="L15" i="5" s="1"/>
  <c r="AC14" i="3"/>
  <c r="O15"/>
  <c r="AB15" s="1"/>
  <c r="Q16"/>
  <c r="O15" i="5" s="1"/>
  <c r="Y16" i="3"/>
  <c r="W15" i="5" s="1"/>
  <c r="S16" i="3"/>
  <c r="Q15" i="5" s="1"/>
  <c r="L16" i="3"/>
  <c r="J15" i="5" s="1"/>
  <c r="I16" i="3"/>
  <c r="G15" i="5" s="1"/>
  <c r="R16" i="3"/>
  <c r="P15" i="5" s="1"/>
  <c r="W16" i="3"/>
  <c r="U15" i="5" s="1"/>
  <c r="V16" i="3"/>
  <c r="T15" i="5" s="1"/>
  <c r="AA16" i="3"/>
  <c r="Y15" i="5" s="1"/>
  <c r="K16" i="3"/>
  <c r="I15" i="5" s="1"/>
  <c r="T16" i="3"/>
  <c r="R15" i="5" s="1"/>
  <c r="U16" i="3"/>
  <c r="S15" i="5" s="1"/>
  <c r="Z16" i="3"/>
  <c r="X15" i="5" s="1"/>
  <c r="X16" i="3"/>
  <c r="V15" i="5" s="1"/>
  <c r="H16" i="3"/>
  <c r="F15" i="5" s="1"/>
  <c r="M15" s="1"/>
  <c r="P16" i="3"/>
  <c r="N15" i="5" s="1"/>
  <c r="Q17" i="3"/>
  <c r="O16" i="5" s="1"/>
  <c r="S17" i="3"/>
  <c r="Q16" i="5" s="1"/>
  <c r="L17" i="3"/>
  <c r="J16" i="5" s="1"/>
  <c r="V17" i="3"/>
  <c r="T16" i="5" s="1"/>
  <c r="W17" i="3"/>
  <c r="U16" i="5" s="1"/>
  <c r="P17" i="3"/>
  <c r="N16" i="5" s="1"/>
  <c r="U17" i="3"/>
  <c r="S16" i="5" s="1"/>
  <c r="Z17" i="3"/>
  <c r="X16" i="5" s="1"/>
  <c r="AA17" i="3"/>
  <c r="Y16" i="5" s="1"/>
  <c r="K17" i="3"/>
  <c r="I16" i="5" s="1"/>
  <c r="T17" i="3"/>
  <c r="R16" i="5" s="1"/>
  <c r="Y17" i="3"/>
  <c r="W16" i="5" s="1"/>
  <c r="H17" i="3"/>
  <c r="F16" i="5" s="1"/>
  <c r="M16" s="1"/>
  <c r="I17" i="3"/>
  <c r="G16" i="5" s="1"/>
  <c r="R17" i="3"/>
  <c r="P16" i="5" s="1"/>
  <c r="M18" i="3"/>
  <c r="K17" i="5" s="1"/>
  <c r="F18" i="3"/>
  <c r="D17" i="5" s="1"/>
  <c r="G18" i="3"/>
  <c r="E17" i="5" s="1"/>
  <c r="BS20" i="3"/>
  <c r="B18"/>
  <c r="BQ22"/>
  <c r="E18" s="1"/>
  <c r="C17" i="5" s="1"/>
  <c r="BS16" i="3"/>
  <c r="A16"/>
  <c r="C16"/>
  <c r="BN23"/>
  <c r="BO23" s="1"/>
  <c r="D19" s="1"/>
  <c r="B18" i="5" s="1"/>
  <c r="A17" i="3"/>
  <c r="C17"/>
  <c r="J18" i="11" l="1"/>
  <c r="J19" s="1"/>
  <c r="C62" s="1"/>
  <c r="G19"/>
  <c r="Z15" i="5"/>
  <c r="AA15" s="1"/>
  <c r="Z16"/>
  <c r="AA16" s="1"/>
  <c r="AA14"/>
  <c r="C33" i="11"/>
  <c r="N18" i="3"/>
  <c r="L17" i="5" s="1"/>
  <c r="C31" i="11"/>
  <c r="X18" i="3"/>
  <c r="V17" i="5" s="1"/>
  <c r="BI22" i="3"/>
  <c r="O16"/>
  <c r="AB16" s="1"/>
  <c r="AC15"/>
  <c r="O17"/>
  <c r="AB17" s="1"/>
  <c r="Q18"/>
  <c r="O17" i="5" s="1"/>
  <c r="Z18" i="3"/>
  <c r="X17" i="5" s="1"/>
  <c r="Y18" i="3"/>
  <c r="W17" i="5" s="1"/>
  <c r="S18" i="3"/>
  <c r="Q17" i="5" s="1"/>
  <c r="L18" i="3"/>
  <c r="J17" i="5" s="1"/>
  <c r="I18" i="3"/>
  <c r="G17" i="5" s="1"/>
  <c r="R18" i="3"/>
  <c r="P17" i="5" s="1"/>
  <c r="W18" i="3"/>
  <c r="U17" i="5" s="1"/>
  <c r="P18" i="3"/>
  <c r="N17" i="5" s="1"/>
  <c r="V18" i="3"/>
  <c r="T17" i="5" s="1"/>
  <c r="AA18" i="3"/>
  <c r="Y17" i="5" s="1"/>
  <c r="K18" i="3"/>
  <c r="I17" i="5" s="1"/>
  <c r="T18" i="3"/>
  <c r="R17" i="5" s="1"/>
  <c r="U18" i="3"/>
  <c r="S17" i="5" s="1"/>
  <c r="H18" i="3"/>
  <c r="F17" i="5" s="1"/>
  <c r="M17" s="1"/>
  <c r="F19" i="3"/>
  <c r="D18" i="5" s="1"/>
  <c r="G19" i="3"/>
  <c r="E18" i="5" s="1"/>
  <c r="E28" s="1"/>
  <c r="M19" i="3"/>
  <c r="K18" i="5" s="1"/>
  <c r="K28" s="1"/>
  <c r="BQ23" i="3"/>
  <c r="E19" s="1"/>
  <c r="C18" i="5" s="1"/>
  <c r="B19" i="3"/>
  <c r="BS17"/>
  <c r="A18"/>
  <c r="C18"/>
  <c r="C28" i="5" l="1"/>
  <c r="D28"/>
  <c r="D62" i="11"/>
  <c r="D139"/>
  <c r="Z17" i="5"/>
  <c r="AA17" s="1"/>
  <c r="C32" i="11"/>
  <c r="O18" i="3"/>
  <c r="AB18" s="1"/>
  <c r="BI32"/>
  <c r="BI23"/>
  <c r="N19"/>
  <c r="L18" i="5" s="1"/>
  <c r="L28" s="1"/>
  <c r="AC17" i="3"/>
  <c r="AC16"/>
  <c r="R19"/>
  <c r="P18" i="5" s="1"/>
  <c r="P28" s="1"/>
  <c r="U19" i="3"/>
  <c r="S18" i="5" s="1"/>
  <c r="S28" s="1"/>
  <c r="P19" i="3"/>
  <c r="N18" i="5" s="1"/>
  <c r="N28" s="1"/>
  <c r="Q19" i="3"/>
  <c r="O18" i="5" s="1"/>
  <c r="O28" s="1"/>
  <c r="O5" i="6" s="1"/>
  <c r="L19" i="3"/>
  <c r="J18" i="5" s="1"/>
  <c r="J28" s="1"/>
  <c r="S19" i="3"/>
  <c r="Q18" i="5" s="1"/>
  <c r="Q28" s="1"/>
  <c r="Z19" i="3"/>
  <c r="X18" i="5" s="1"/>
  <c r="H19" i="3"/>
  <c r="F18" i="5" s="1"/>
  <c r="F28" s="1"/>
  <c r="X19" i="3"/>
  <c r="V18" i="5" s="1"/>
  <c r="V28" s="1"/>
  <c r="I19" i="3"/>
  <c r="G18" i="5" s="1"/>
  <c r="G28" s="1"/>
  <c r="O6" i="6" s="1"/>
  <c r="Y19" i="3"/>
  <c r="W18" i="5" s="1"/>
  <c r="W28" s="1"/>
  <c r="T19" i="3"/>
  <c r="R18" i="5" s="1"/>
  <c r="R28" s="1"/>
  <c r="K19" i="3"/>
  <c r="I18" i="5" s="1"/>
  <c r="I28" s="1"/>
  <c r="AA19" i="3"/>
  <c r="Y18" i="5" s="1"/>
  <c r="Y28" s="1"/>
  <c r="V19" i="3"/>
  <c r="T18" i="5" s="1"/>
  <c r="T28" s="1"/>
  <c r="W19" i="3"/>
  <c r="U18" i="5" s="1"/>
  <c r="U28" s="1"/>
  <c r="A19" i="3"/>
  <c r="C19"/>
  <c r="B20"/>
  <c r="Z18" i="5" l="1"/>
  <c r="Z28" s="1"/>
  <c r="X28"/>
  <c r="M18"/>
  <c r="G21" i="6"/>
  <c r="G99" i="11" s="1"/>
  <c r="G22" i="6"/>
  <c r="G101" i="11" s="1"/>
  <c r="E77"/>
  <c r="F77" s="1"/>
  <c r="G78" s="1"/>
  <c r="C34"/>
  <c r="G27" i="6"/>
  <c r="C35" i="11"/>
  <c r="AC18" i="3"/>
  <c r="O19"/>
  <c r="AB19" s="1"/>
  <c r="C20"/>
  <c r="A20"/>
  <c r="B21"/>
  <c r="M28" i="5" l="1"/>
  <c r="AA18"/>
  <c r="AA28" s="1"/>
  <c r="G100" i="11"/>
  <c r="C36"/>
  <c r="C38" s="1"/>
  <c r="M66" i="6"/>
  <c r="O66" s="1"/>
  <c r="K134" i="11" s="1"/>
  <c r="C139" s="1"/>
  <c r="AC19" i="3"/>
  <c r="C21"/>
  <c r="A21"/>
  <c r="B22"/>
  <c r="O4" i="6" l="1"/>
  <c r="C22" i="3"/>
  <c r="A22"/>
  <c r="B23"/>
  <c r="G71" i="11" l="1"/>
  <c r="I74" s="1"/>
  <c r="I79" s="1"/>
  <c r="K85" s="1"/>
  <c r="K89" s="1"/>
  <c r="K94" s="1"/>
  <c r="O7" i="6"/>
  <c r="O11" s="1"/>
  <c r="O16" s="1"/>
  <c r="O18" s="1"/>
  <c r="C23" i="3"/>
  <c r="A23"/>
  <c r="B24"/>
  <c r="A24" l="1"/>
  <c r="C24"/>
  <c r="B25"/>
  <c r="A25" l="1"/>
  <c r="C25"/>
  <c r="I19" i="4" l="1"/>
  <c r="O41" i="6" s="1"/>
  <c r="G120" i="11" l="1"/>
  <c r="I120" s="1"/>
  <c r="AH16" i="6"/>
  <c r="AA24" l="1"/>
  <c r="Z6" i="5" l="1"/>
  <c r="AC5"/>
  <c r="AB5"/>
  <c r="AA5"/>
  <c r="AA54" i="6" l="1"/>
  <c r="AA55"/>
  <c r="AA56"/>
  <c r="Y60"/>
  <c r="AA31"/>
  <c r="AA32" l="1"/>
  <c r="AA33" s="1"/>
  <c r="O43" s="1"/>
  <c r="AB32"/>
  <c r="G124" i="11" l="1"/>
  <c r="I124" s="1"/>
  <c r="K124" s="1"/>
  <c r="O45" i="6"/>
  <c r="O6" i="5"/>
  <c r="W6"/>
  <c r="X6"/>
  <c r="Y6"/>
  <c r="U6"/>
  <c r="V6"/>
  <c r="B6"/>
  <c r="C6"/>
  <c r="D6"/>
  <c r="E6"/>
  <c r="K6"/>
  <c r="L6"/>
  <c r="M6"/>
  <c r="A6"/>
  <c r="T6" l="1"/>
  <c r="P6"/>
  <c r="Q6"/>
  <c r="R6"/>
  <c r="S6"/>
  <c r="N6"/>
  <c r="J6"/>
  <c r="G6"/>
  <c r="H6"/>
  <c r="I6"/>
  <c r="F6"/>
  <c r="AB23" i="6" l="1"/>
  <c r="M21" s="1"/>
  <c r="AB38"/>
  <c r="AB40"/>
  <c r="G105" i="11" l="1"/>
  <c r="I110" s="1"/>
  <c r="K110" s="1"/>
  <c r="I112" s="1"/>
  <c r="K112" s="1"/>
  <c r="K125" s="1"/>
  <c r="K126" s="1"/>
  <c r="K127" s="1"/>
  <c r="M31" i="6"/>
  <c r="O32" s="1"/>
  <c r="O35" s="1"/>
  <c r="O46" s="1"/>
  <c r="O47" s="1"/>
  <c r="O48" s="1"/>
  <c r="Z24"/>
  <c r="AB24" s="1"/>
  <c r="AC27" s="1"/>
  <c r="AA29" s="1"/>
  <c r="AB35" s="1"/>
  <c r="AA23" l="1"/>
  <c r="Z23" s="1"/>
  <c r="AA27" s="1"/>
  <c r="X59" l="1"/>
  <c r="AB55"/>
  <c r="AC53"/>
  <c r="Z52"/>
  <c r="X52"/>
  <c r="AB54"/>
  <c r="Z59"/>
  <c r="AB53"/>
  <c r="AE53" s="1"/>
  <c r="X53"/>
  <c r="AA53" s="1"/>
  <c r="AD55"/>
  <c r="Y53"/>
  <c r="AD54"/>
  <c r="AC54"/>
  <c r="AC55"/>
  <c r="AB51"/>
  <c r="AD56"/>
  <c r="Y59"/>
  <c r="AB52"/>
  <c r="AE52" s="1"/>
  <c r="AB56"/>
  <c r="AD52"/>
  <c r="AD51"/>
  <c r="AD53"/>
  <c r="Y52"/>
  <c r="Z53"/>
  <c r="AC56"/>
  <c r="AC51"/>
  <c r="X51"/>
  <c r="AC52"/>
  <c r="Y51"/>
  <c r="O54" l="1"/>
  <c r="AE54"/>
  <c r="O55" s="1"/>
  <c r="AA51"/>
  <c r="AE56"/>
  <c r="O57" s="1"/>
  <c r="AA52"/>
  <c r="O53" s="1"/>
  <c r="AE55"/>
  <c r="O56" s="1"/>
  <c r="Z57"/>
  <c r="AD57"/>
  <c r="AB57"/>
  <c r="AE51"/>
  <c r="Y57"/>
  <c r="X57"/>
  <c r="AC57"/>
  <c r="O52" l="1"/>
  <c r="O58" s="1"/>
  <c r="AA57"/>
  <c r="AE57"/>
  <c r="O59" l="1"/>
  <c r="I128" i="11" s="1"/>
  <c r="K129" s="1"/>
  <c r="K130" s="1"/>
  <c r="K131" s="1"/>
  <c r="K133" s="1"/>
  <c r="O60" i="6" l="1"/>
  <c r="O61" s="1"/>
  <c r="O62" s="1"/>
  <c r="O64" s="1"/>
  <c r="K135" i="11"/>
  <c r="B135"/>
  <c r="A67" i="6" l="1"/>
  <c r="O67"/>
</calcChain>
</file>

<file path=xl/comments1.xml><?xml version="1.0" encoding="utf-8"?>
<comments xmlns="http://schemas.openxmlformats.org/spreadsheetml/2006/main">
  <authors>
    <author>Windows User</author>
  </authors>
  <commentList>
    <comment ref="B15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I2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R1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S32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R4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Q5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<sst xmlns="http://schemas.openxmlformats.org/spreadsheetml/2006/main" count="642" uniqueCount="506">
  <si>
    <t>EMPLOYEE  PERSONAL  DETAIL</t>
  </si>
  <si>
    <t xml:space="preserve">              D;k vkius lefiZr osru fy;k gS \</t>
  </si>
  <si>
    <t>YES</t>
  </si>
  <si>
    <t>;fn gk¡ rks ekg dks lysDV djsaA</t>
  </si>
  <si>
    <t>OCT</t>
  </si>
  <si>
    <t>JAN</t>
  </si>
  <si>
    <t>GPF</t>
  </si>
  <si>
    <t>Jaipur (U.A.)</t>
  </si>
  <si>
    <t>Regular Pay</t>
  </si>
  <si>
    <t xml:space="preserve">         vki fdl vk;q oxZ dh Js.kh esa vkrs gS \</t>
  </si>
  <si>
    <t>Under 60</t>
  </si>
  <si>
    <t xml:space="preserve">           D;k vkidks cksul feyk gS \  %&amp;</t>
  </si>
  <si>
    <t>NO</t>
  </si>
  <si>
    <t>NPS</t>
  </si>
  <si>
    <t>Ajmer</t>
  </si>
  <si>
    <t>Fix Pay</t>
  </si>
  <si>
    <t>foadykax HkÙkk %&amp;</t>
  </si>
  <si>
    <t xml:space="preserve">  vkidks osru fey jgk gS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</si>
  <si>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</si>
  <si>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</si>
  <si>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</si>
  <si>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</si>
  <si>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</si>
  <si>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</si>
  <si>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</si>
  <si>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</si>
  <si>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</si>
  <si>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Heeralal jat</t>
  </si>
  <si>
    <t>Designation :-</t>
  </si>
  <si>
    <t>Sr Teacher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</si>
  <si>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</si>
  <si>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</si>
  <si>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</si>
  <si>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</si>
  <si>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</si>
  <si>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</si>
  <si>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</si>
  <si>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</si>
  <si>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</si>
  <si>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</si>
  <si>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</si>
  <si>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</si>
  <si>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 xml:space="preserve">Tax Calculate From Month  :-
</t>
  </si>
  <si>
    <t xml:space="preserve">To Month  :-
</t>
  </si>
  <si>
    <t>Wash All.</t>
  </si>
  <si>
    <t>Handi. All.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</si>
  <si>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</si>
  <si>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</si>
  <si>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</si>
  <si>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</si>
  <si>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</si>
  <si>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</si>
  <si>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</si>
  <si>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</si>
  <si>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</si>
  <si>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</si>
  <si>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</si>
  <si>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</si>
  <si>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</si>
  <si>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</si>
  <si>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</si>
  <si>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</si>
  <si>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other-1</t>
  </si>
  <si>
    <t>other-2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</si>
  <si>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</si>
  <si>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</si>
  <si>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</si>
  <si>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</si>
  <si>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</si>
  <si>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r>
      <rPr>
        <b/>
        <sz val="16"/>
        <rFont val="Calibri"/>
        <family val="2"/>
        <scheme val="minor"/>
      </rPr>
      <t xml:space="preserve">    7th PAY  HRA </t>
    </r>
    <r>
      <rPr>
        <b/>
        <sz val="16"/>
        <rFont val="Kruti Dev 010"/>
      </rPr>
      <t>izfr'kr esa %&amp;</t>
    </r>
  </si>
  <si>
    <r>
      <t xml:space="preserve"> </t>
    </r>
    <r>
      <rPr>
        <b/>
        <sz val="16"/>
        <rFont val="Calibri"/>
        <family val="2"/>
        <scheme val="minor"/>
      </rPr>
      <t xml:space="preserve">CCA </t>
    </r>
    <r>
      <rPr>
        <b/>
        <sz val="16"/>
        <rFont val="Kruti Dev 010"/>
      </rPr>
      <t xml:space="preserve">ykxw gks rks </t>
    </r>
    <r>
      <rPr>
        <b/>
        <sz val="16"/>
        <rFont val="Calibri"/>
        <family val="2"/>
        <scheme val="minor"/>
      </rPr>
      <t>CITY</t>
    </r>
    <r>
      <rPr>
        <b/>
        <sz val="16"/>
        <rFont val="Kruti Dev 010"/>
      </rPr>
      <t xml:space="preserve"> lysDV djsa %&amp;</t>
    </r>
  </si>
  <si>
    <r>
      <rPr>
        <b/>
        <sz val="16"/>
        <rFont val="Calibri"/>
        <family val="2"/>
        <scheme val="minor"/>
      </rPr>
      <t>%</t>
    </r>
    <r>
      <rPr>
        <b/>
        <sz val="16"/>
        <rFont val="Kruti Dev 010"/>
      </rPr>
      <t xml:space="preserve">                            </t>
    </r>
    <r>
      <rPr>
        <b/>
        <sz val="16"/>
        <rFont val="Calibri"/>
        <family val="2"/>
        <scheme val="minor"/>
      </rPr>
      <t>GPF / NPS :-</t>
    </r>
    <r>
      <rPr>
        <b/>
        <sz val="16"/>
        <rFont val="Kruti Dev 010"/>
      </rPr>
      <t xml:space="preserve"> </t>
    </r>
  </si>
  <si>
    <r>
      <t xml:space="preserve">BASIC On 01 March 2020   </t>
    </r>
    <r>
      <rPr>
        <b/>
        <sz val="12"/>
        <color rgb="FFFF0000"/>
        <rFont val="Wingdings"/>
        <charset val="2"/>
      </rPr>
      <t>F</t>
    </r>
  </si>
  <si>
    <t>First Unlock Cell Entry Fill Up Then Click On Go to Next Sheet Button</t>
  </si>
  <si>
    <t>is esfVªDl ds vuqlkj is ysoy lysDV djsa  %&amp;</t>
  </si>
  <si>
    <t>S.N.</t>
  </si>
  <si>
    <t>Month</t>
  </si>
  <si>
    <t>Basic with Grade Pay</t>
  </si>
  <si>
    <t>DA</t>
  </si>
  <si>
    <t>HRA</t>
  </si>
  <si>
    <t>Bonus</t>
  </si>
  <si>
    <t>N.P.S. By Govt.</t>
  </si>
  <si>
    <t>TOTAL</t>
  </si>
  <si>
    <t>Income Tax</t>
  </si>
  <si>
    <t>G.I. + S. Tax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</si>
  <si>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</si>
  <si>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</si>
  <si>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</si>
  <si>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</si>
  <si>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</si>
  <si>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</si>
  <si>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</si>
  <si>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</si>
  <si>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</si>
  <si>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</si>
  <si>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</si>
  <si>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</si>
  <si>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</si>
  <si>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</si>
  <si>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</si>
  <si>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</si>
  <si>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</si>
  <si>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</si>
  <si>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</si>
  <si>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</si>
  <si>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</si>
  <si>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</si>
  <si>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</si>
  <si>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</si>
  <si>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</si>
  <si>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</si>
  <si>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</si>
  <si>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</si>
  <si>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</si>
  <si>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</si>
  <si>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</si>
  <si>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 xml:space="preserve">Other </t>
  </si>
  <si>
    <t>GPF Loan</t>
  </si>
  <si>
    <t>SI Loan</t>
  </si>
  <si>
    <t>PD Head Select Yes/No :-</t>
  </si>
  <si>
    <r>
      <rPr>
        <b/>
        <sz val="16"/>
        <rFont val="Calibri"/>
        <family val="2"/>
        <scheme val="minor"/>
      </rPr>
      <t>CCA</t>
    </r>
    <r>
      <rPr>
        <sz val="12"/>
        <rFont val="Calibri"/>
        <family val="2"/>
      </rPr>
      <t xml:space="preserve"> </t>
    </r>
    <r>
      <rPr>
        <b/>
        <sz val="16"/>
        <rFont val="Kruti Dev 010"/>
      </rPr>
      <t xml:space="preserve">yxrk gSa rks </t>
    </r>
    <r>
      <rPr>
        <b/>
        <sz val="16"/>
        <rFont val="Calibri"/>
        <family val="2"/>
        <scheme val="minor"/>
      </rPr>
      <t xml:space="preserve">select Yes / No   </t>
    </r>
    <r>
      <rPr>
        <b/>
        <sz val="16"/>
        <rFont val="Kruti Dev 010"/>
      </rPr>
      <t>%&amp;</t>
    </r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</si>
  <si>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</si>
  <si>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osru dVkSrh ds vfrfjDr dVkSfr;k ftlds rgr vki vk;dj esa NwV pkgrs gSa] rFkk vfrfjDr ¼vU;½ vk; dks ;gkW ij bUnzkt djsA</t>
  </si>
  <si>
    <t>osru Mªk ekufp=</t>
  </si>
  <si>
    <t>PAN No. :-</t>
  </si>
  <si>
    <t>SI No.</t>
  </si>
  <si>
    <t>osru tks fn;k x;k</t>
  </si>
  <si>
    <t>dVkSfr;kWa tks dh xbZ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</si>
  <si>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</si>
  <si>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</si>
  <si>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</si>
  <si>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GPF / NPS</t>
  </si>
  <si>
    <t>Usha Paliya</t>
  </si>
  <si>
    <t>Mahatma Gandhi Govt. School (English Medium) Bar, PALI</t>
  </si>
  <si>
    <t>M.G.G.S. Bar</t>
  </si>
  <si>
    <t>uke deZpkjh %</t>
  </si>
  <si>
    <t xml:space="preserve"> in %</t>
  </si>
  <si>
    <t>PAN :</t>
  </si>
  <si>
    <t>#-</t>
  </si>
  <si>
    <t>E</t>
  </si>
  <si>
    <r>
      <t>x`g fdjk;k] /kkjk 10¼</t>
    </r>
    <r>
      <rPr>
        <sz val="12"/>
        <rFont val="Calibri"/>
        <family val="2"/>
        <scheme val="minor"/>
      </rPr>
      <t>13-</t>
    </r>
    <r>
      <rPr>
        <sz val="9"/>
        <rFont val="Calibri"/>
        <family val="2"/>
        <scheme val="minor"/>
      </rPr>
      <t>A</t>
    </r>
    <r>
      <rPr>
        <sz val="12"/>
        <rFont val="Kruti Dev 010"/>
      </rPr>
      <t xml:space="preserve">½ ds vUrxrZ ,oa /kkjk 10¼14½ds vUrxrZ vU; Hkrs tks dj eqDÙk gSA </t>
    </r>
  </si>
  <si>
    <t xml:space="preserve">                                                              'ks"k ¼2&amp;3½</t>
  </si>
  <si>
    <r>
      <t xml:space="preserve"> 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>½euksjatu Hkrk /kkjk 16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</si>
  <si>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O;o;k; dj /kkjk 16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</si>
  <si>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>½ LVs.MMZ fMMsD'ku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(Standard Deduction)</t>
    </r>
    <r>
      <rPr>
        <sz val="10"/>
        <rFont val="Kruti Dev 010"/>
      </rPr>
      <t xml:space="preserve">  </t>
    </r>
    <r>
      <rPr>
        <sz val="12"/>
        <rFont val="Kruti Dev 010"/>
      </rPr>
      <t>50]000 ¼vf/kdre½</t>
    </r>
  </si>
  <si>
    <t xml:space="preserve">                                                           'ks"k ¼4&amp;5½</t>
  </si>
  <si>
    <t>¼v½x`g lEifr ls vk;%¼1½ Loa; ds mi;ksx esa &amp;'kwU;</t>
  </si>
  <si>
    <t>¼2½ izkIr fdjk;k #-</t>
  </si>
  <si>
    <t xml:space="preserve">¼c½ ?kVk;sa </t>
  </si>
  <si>
    <r>
      <t xml:space="preserve"> fdjk;s dk </t>
    </r>
    <r>
      <rPr>
        <sz val="10"/>
        <rFont val="Calibri"/>
        <family val="2"/>
        <scheme val="minor"/>
      </rPr>
      <t>30%</t>
    </r>
  </si>
  <si>
    <t xml:space="preserve"> x`g _.k ij C;kt</t>
  </si>
  <si>
    <t xml:space="preserve"> x`gdj </t>
  </si>
  <si>
    <t xml:space="preserve">  ;ksx 7¼c½</t>
  </si>
  <si>
    <t xml:space="preserve"> 'ks"k &amp;@$¼7¼v½ ,oa ;ksx 7¼c½ dk½  </t>
  </si>
  <si>
    <t>cpr [kkrs ij C;kt %</t>
  </si>
  <si>
    <t>dqy 'ks"k &amp;@$¼6,oa 7½</t>
  </si>
  <si>
    <t>vU; vk;  %</t>
  </si>
  <si>
    <t xml:space="preserve"> ;ksx ¼8$9½</t>
  </si>
  <si>
    <t xml:space="preserve">ldy vk;                                                                                     </t>
  </si>
  <si>
    <r>
      <rPr>
        <b/>
        <sz val="12"/>
        <rFont val="Kruti Dev 010"/>
      </rPr>
      <t xml:space="preserve">?kVkb;s dVkSSfr;k¡ %&amp; /kkjk </t>
    </r>
    <r>
      <rPr>
        <b/>
        <sz val="12"/>
        <rFont val="Calibri"/>
        <family val="2"/>
        <scheme val="minor"/>
      </rPr>
      <t xml:space="preserve">US </t>
    </r>
    <r>
      <rPr>
        <b/>
        <sz val="10"/>
        <rFont val="Arial"/>
        <family val="2"/>
      </rPr>
      <t>80C, 80CCC,80CCD (1)</t>
    </r>
  </si>
  <si>
    <r>
      <t xml:space="preserve">(A) </t>
    </r>
    <r>
      <rPr>
        <sz val="10"/>
        <rFont val="Kruti Dev 010"/>
      </rPr>
      <t xml:space="preserve">vf/kdre lhek </t>
    </r>
    <r>
      <rPr>
        <sz val="10"/>
        <rFont val="DevLys 010"/>
      </rPr>
      <t xml:space="preserve">1]50]000@&amp; </t>
    </r>
    <r>
      <rPr>
        <sz val="10"/>
        <rFont val="Kruti Dev 010"/>
      </rPr>
      <t>¼/kkjk</t>
    </r>
    <r>
      <rPr>
        <sz val="10"/>
        <rFont val="DevLys 010"/>
      </rPr>
      <t xml:space="preserve"> </t>
    </r>
    <r>
      <rPr>
        <sz val="10"/>
        <rFont val="Arial"/>
        <family val="2"/>
      </rPr>
      <t>80CCE</t>
    </r>
    <r>
      <rPr>
        <sz val="10"/>
        <rFont val="DevLys 010"/>
      </rPr>
      <t xml:space="preserve"> </t>
    </r>
    <r>
      <rPr>
        <sz val="10"/>
        <rFont val="Kruti Dev 010"/>
      </rPr>
      <t xml:space="preserve">½ ] ¼/kkjk </t>
    </r>
    <r>
      <rPr>
        <sz val="10"/>
        <rFont val="Arial"/>
        <family val="2"/>
      </rPr>
      <t xml:space="preserve">80CCD (2), </t>
    </r>
    <r>
      <rPr>
        <sz val="10"/>
        <rFont val="Kruti Dev 010"/>
      </rPr>
      <t>ds vykok</t>
    </r>
  </si>
  <si>
    <t>(i)</t>
  </si>
  <si>
    <r>
      <t>jkT; chek</t>
    </r>
    <r>
      <rPr>
        <sz val="11"/>
        <rFont val="Calibri"/>
        <family val="2"/>
        <scheme val="minor"/>
      </rPr>
      <t xml:space="preserve"> </t>
    </r>
    <r>
      <rPr>
        <sz val="11"/>
        <rFont val="Kruti Dev 010"/>
      </rPr>
      <t>¼</t>
    </r>
    <r>
      <rPr>
        <sz val="11"/>
        <rFont val="Calibri"/>
        <family val="2"/>
        <scheme val="minor"/>
      </rPr>
      <t>SI)</t>
    </r>
  </si>
  <si>
    <t>(xi)</t>
  </si>
  <si>
    <r>
      <t xml:space="preserve">isa'ku ;kstuk esa va'knku </t>
    </r>
    <r>
      <rPr>
        <b/>
        <sz val="10"/>
        <rFont val="Calibri"/>
        <family val="2"/>
        <scheme val="minor"/>
      </rPr>
      <t xml:space="preserve">ECPF </t>
    </r>
    <r>
      <rPr>
        <b/>
        <sz val="10"/>
        <rFont val="Kruti Dev 010"/>
      </rPr>
      <t xml:space="preserve">/kkjk </t>
    </r>
    <r>
      <rPr>
        <b/>
        <sz val="10"/>
        <rFont val="Calibri"/>
        <family val="2"/>
        <scheme val="minor"/>
      </rPr>
      <t>80ccd(1</t>
    </r>
    <r>
      <rPr>
        <b/>
        <sz val="10"/>
        <rFont val="Kruti Dev 010"/>
      </rPr>
      <t>½</t>
    </r>
    <r>
      <rPr>
        <sz val="10"/>
        <rFont val="Kruti Dev 010"/>
      </rPr>
      <t xml:space="preserve">
</t>
    </r>
  </si>
  <si>
    <t>(ii)</t>
  </si>
  <si>
    <r>
      <t>thou chek izhfe;e ¼</t>
    </r>
    <r>
      <rPr>
        <sz val="11"/>
        <rFont val="Calibri"/>
        <family val="2"/>
        <scheme val="minor"/>
      </rPr>
      <t>LIC)</t>
    </r>
  </si>
  <si>
    <t>(xii)</t>
  </si>
  <si>
    <r>
      <t xml:space="preserve">isa'ku Iyku gsrq va'knku ¼/kkjk </t>
    </r>
    <r>
      <rPr>
        <sz val="11"/>
        <rFont val="Calibri"/>
        <family val="2"/>
        <scheme val="minor"/>
      </rPr>
      <t>80ccc</t>
    </r>
    <r>
      <rPr>
        <sz val="11"/>
        <rFont val="Kruti Dev 010"/>
      </rPr>
      <t>½</t>
    </r>
  </si>
  <si>
    <t>(iii)</t>
  </si>
  <si>
    <r>
      <t>jk"Vªh; cpr i= ¼</t>
    </r>
    <r>
      <rPr>
        <sz val="11"/>
        <rFont val="Calibri"/>
        <family val="2"/>
        <scheme val="minor"/>
      </rPr>
      <t>NSC)</t>
    </r>
  </si>
  <si>
    <t>(xiii)</t>
  </si>
  <si>
    <t>jk"Vªh; cpr i= ij vnr C;kt</t>
  </si>
  <si>
    <t>(iv)</t>
  </si>
  <si>
    <r>
      <t>yksd Hkfo"; fuf/k ¼</t>
    </r>
    <r>
      <rPr>
        <sz val="11"/>
        <rFont val="Calibri"/>
        <family val="2"/>
        <scheme val="minor"/>
      </rPr>
      <t>PPF)</t>
    </r>
  </si>
  <si>
    <t>(xiv)</t>
  </si>
  <si>
    <t xml:space="preserve">V;w'ku Qhl </t>
  </si>
  <si>
    <t>(v)</t>
  </si>
  <si>
    <r>
      <t>jk"Vªh; cpr Ldhe ¼</t>
    </r>
    <r>
      <rPr>
        <sz val="11"/>
        <rFont val="Calibri"/>
        <family val="2"/>
        <scheme val="minor"/>
      </rPr>
      <t>NSS)</t>
    </r>
  </si>
  <si>
    <t>(xv)</t>
  </si>
  <si>
    <t>bfDoVh fyad lsfoax Ldhe</t>
  </si>
  <si>
    <t>(vi)</t>
  </si>
  <si>
    <r>
      <t>lkekU; izko/kk;h fuf/k ¼</t>
    </r>
    <r>
      <rPr>
        <sz val="11"/>
        <rFont val="Calibri"/>
        <family val="2"/>
        <scheme val="minor"/>
      </rPr>
      <t>GPF)</t>
    </r>
  </si>
  <si>
    <t>(xvi)</t>
  </si>
  <si>
    <r>
      <t>LFkfxr okf"kZdh ¼</t>
    </r>
    <r>
      <rPr>
        <sz val="11"/>
        <rFont val="Calibri"/>
        <family val="2"/>
        <scheme val="minor"/>
      </rPr>
      <t>Defferred Annuty)</t>
    </r>
  </si>
  <si>
    <t>(vii)</t>
  </si>
  <si>
    <r>
      <t>lkewfgd chek izhfe;e ¼</t>
    </r>
    <r>
      <rPr>
        <sz val="11"/>
        <rFont val="Calibri"/>
        <family val="2"/>
        <scheme val="minor"/>
      </rPr>
      <t>G.Ins.)</t>
    </r>
  </si>
  <si>
    <t>(xvii)</t>
  </si>
  <si>
    <r>
      <t xml:space="preserve">ih-,y-vkbZ- </t>
    </r>
    <r>
      <rPr>
        <b/>
        <sz val="10"/>
        <rFont val="Kruti Dev 010"/>
      </rPr>
      <t>¼</t>
    </r>
    <r>
      <rPr>
        <b/>
        <sz val="10"/>
        <rFont val="Calibri"/>
        <family val="2"/>
        <scheme val="minor"/>
      </rPr>
      <t>PLI)</t>
    </r>
  </si>
  <si>
    <t>(viii)</t>
  </si>
  <si>
    <t>;w- ,y- vkbZ- ih-@okf"kZd Iyku</t>
  </si>
  <si>
    <t>(xviii)</t>
  </si>
  <si>
    <t>(ix)</t>
  </si>
  <si>
    <r>
      <t>x`g _.k fdLr ¼</t>
    </r>
    <r>
      <rPr>
        <sz val="11"/>
        <rFont val="Calibri"/>
        <family val="2"/>
        <scheme val="minor"/>
      </rPr>
      <t>HBA Premium)</t>
    </r>
  </si>
  <si>
    <t>(xix)</t>
  </si>
  <si>
    <t>lqdU;k le`f) ;kstuk esa tek jkf'k</t>
  </si>
  <si>
    <t>(x)</t>
  </si>
  <si>
    <r>
      <t xml:space="preserve">osru ls vfrfjDr thou chek </t>
    </r>
    <r>
      <rPr>
        <sz val="10"/>
        <rFont val="Calibri"/>
        <family val="2"/>
        <scheme val="minor"/>
      </rPr>
      <t>(Extra LIC)</t>
    </r>
  </si>
  <si>
    <t>(xx)</t>
  </si>
  <si>
    <r>
      <rPr>
        <b/>
        <sz val="12"/>
        <rFont val="Kruti Dev 010"/>
      </rPr>
      <t>;ksx</t>
    </r>
    <r>
      <rPr>
        <b/>
        <sz val="12"/>
        <rFont val="Times New Roman"/>
        <family val="1"/>
      </rPr>
      <t xml:space="preserve"> ( i </t>
    </r>
    <r>
      <rPr>
        <b/>
        <sz val="12"/>
        <rFont val="Kruti Dev 010"/>
      </rPr>
      <t>ls</t>
    </r>
    <r>
      <rPr>
        <b/>
        <sz val="12"/>
        <rFont val="Times New Roman"/>
        <family val="1"/>
      </rPr>
      <t xml:space="preserve"> xviii )</t>
    </r>
  </si>
  <si>
    <t xml:space="preserve">                        vf/kdre dVkSrh dh jkf'k 1-50 yk[k #i, rd</t>
  </si>
  <si>
    <r>
      <rPr>
        <sz val="10"/>
        <rFont val="Arial"/>
        <family val="2"/>
      </rPr>
      <t>(B)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?kVkb;s&amp; /kkjk</t>
    </r>
    <r>
      <rPr>
        <sz val="12"/>
        <rFont val="DevLys 010"/>
      </rPr>
      <t xml:space="preserve"> </t>
    </r>
    <r>
      <rPr>
        <sz val="10"/>
        <rFont val="Calibri"/>
        <family val="2"/>
        <scheme val="minor"/>
      </rPr>
      <t>80CCD(2)</t>
    </r>
    <r>
      <rPr>
        <sz val="12"/>
        <rFont val="DevLys 010"/>
      </rPr>
      <t xml:space="preserve"> </t>
    </r>
    <r>
      <rPr>
        <sz val="12"/>
        <rFont val="Kruti Dev 010"/>
      </rPr>
      <t xml:space="preserve">fu;ksDrk }kjk isa'ku va'knku dh jkf'k ¼vf/kdre osru dk </t>
    </r>
    <r>
      <rPr>
        <sz val="12"/>
        <rFont val="Calibri"/>
        <family val="2"/>
        <scheme val="minor"/>
      </rPr>
      <t>10</t>
    </r>
    <r>
      <rPr>
        <sz val="9"/>
        <rFont val="Calibri"/>
        <family val="2"/>
        <scheme val="minor"/>
      </rPr>
      <t>%</t>
    </r>
    <r>
      <rPr>
        <sz val="12"/>
        <rFont val="Calibri"/>
        <family val="2"/>
        <scheme val="minor"/>
      </rPr>
      <t>)</t>
    </r>
    <r>
      <rPr>
        <sz val="12"/>
        <rFont val="Kruti Dev 010"/>
      </rPr>
      <t xml:space="preserve"> i`Fkd ls NwV</t>
    </r>
  </si>
  <si>
    <r>
      <rPr>
        <sz val="10"/>
        <rFont val="Arial"/>
        <family val="2"/>
      </rPr>
      <t>(C)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 &amp; /kkjk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80CCD (1B)</t>
    </r>
    <r>
      <rPr>
        <sz val="12"/>
        <rFont val="Arial"/>
        <family val="2"/>
      </rPr>
      <t xml:space="preserve"> </t>
    </r>
    <r>
      <rPr>
        <sz val="12"/>
        <rFont val="Kruti Dev 010"/>
      </rPr>
      <t>uohu isa'ku ;kstuk esa vfrfjDr va'knku ¼vf/kdre :- 50]000</t>
    </r>
    <r>
      <rPr>
        <sz val="12"/>
        <rFont val="Arial"/>
        <family val="2"/>
      </rPr>
      <t>)</t>
    </r>
  </si>
  <si>
    <r>
      <t xml:space="preserve">;ksx </t>
    </r>
    <r>
      <rPr>
        <sz val="13"/>
        <rFont val="Calibri"/>
        <family val="2"/>
        <scheme val="minor"/>
      </rPr>
      <t xml:space="preserve">11(A+B+C)      </t>
    </r>
  </si>
  <si>
    <t xml:space="preserve"> vU; dVkSfr;k¡</t>
  </si>
  <si>
    <r>
      <t xml:space="preserve">4- /kkjk </t>
    </r>
    <r>
      <rPr>
        <sz val="10"/>
        <rFont val="Calibri"/>
        <family val="2"/>
        <scheme val="minor"/>
      </rPr>
      <t>80E</t>
    </r>
    <r>
      <rPr>
        <sz val="12"/>
        <rFont val="Kruti Dev 010"/>
      </rPr>
      <t xml:space="preserve"> mPp f'k{kk gsrq fy, _.k dk C;kt</t>
    </r>
  </si>
  <si>
    <t>dqy ;ksx 12 ¼ 1 ls 8 rd ½</t>
  </si>
  <si>
    <r>
      <t xml:space="preserve">dqy dVkSrh </t>
    </r>
    <r>
      <rPr>
        <b/>
        <sz val="10"/>
        <rFont val="Calibri"/>
        <family val="2"/>
        <scheme val="minor"/>
      </rPr>
      <t>( 11 + 12)</t>
    </r>
  </si>
  <si>
    <r>
      <t>dj ;ksX; vk;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( 10 - 13 )</t>
    </r>
  </si>
  <si>
    <r>
      <t xml:space="preserve">dqy vk; dh jkf'k dks lEiw.kZ djuk ¼ nl ds xq.kd esa ½ /kkjk </t>
    </r>
    <r>
      <rPr>
        <b/>
        <sz val="11"/>
        <rFont val="Calibri"/>
        <family val="2"/>
        <scheme val="minor"/>
      </rPr>
      <t>288A</t>
    </r>
  </si>
  <si>
    <t xml:space="preserve"> vk;dj dh x.kuk  mijksDr dkWye 15 ds vk/kkj ij</t>
  </si>
  <si>
    <t>,d O;fDr dj nkrk</t>
  </si>
  <si>
    <t>ofj"B ukxfjd ¼60 ls 80 o"kZ rd½</t>
  </si>
  <si>
    <t>80 o"kZ ;k vf/kd vk;q</t>
  </si>
  <si>
    <t>¼1½ ;ksx vk;dj</t>
  </si>
  <si>
    <t>¼3½ 'ks"k vk;dj ¼1&amp;2½</t>
  </si>
  <si>
    <r>
      <t xml:space="preserve">¼4½ </t>
    </r>
    <r>
      <rPr>
        <sz val="12"/>
        <rFont val="Kruti Dev 010"/>
      </rPr>
      <t/>
    </r>
  </si>
  <si>
    <r>
      <t xml:space="preserve">f'k{kk ,oa fpfdRlk midj </t>
    </r>
    <r>
      <rPr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4% </t>
    </r>
    <r>
      <rPr>
        <sz val="11"/>
        <rFont val="Kruti Dev 010"/>
      </rPr>
      <t xml:space="preserve"> ¼vk;dj ij ½</t>
    </r>
  </si>
  <si>
    <t xml:space="preserve">                                                             dqy vk;dj ¼3$4½</t>
  </si>
  <si>
    <t xml:space="preserve">?kVkb;s  %&amp; jkgr /kkjk 89 ds rgr </t>
  </si>
  <si>
    <t>dqy 'ks"k vk;dj</t>
  </si>
  <si>
    <t xml:space="preserve"> vk;dj dVkSrh
 dk fooj.k</t>
  </si>
  <si>
    <t xml:space="preserve">dqy;ksx dkWye 19 </t>
  </si>
  <si>
    <t>gLrk{kj dkfeZd</t>
  </si>
  <si>
    <r>
      <t xml:space="preserve">Bonds </t>
    </r>
    <r>
      <rPr>
        <sz val="12"/>
        <rFont val="Kruti Dev 010"/>
      </rPr>
      <t>ls C;kt</t>
    </r>
  </si>
  <si>
    <t>vk;dj x.kuk izi= o"kZ &amp;</t>
  </si>
  <si>
    <t>¼dj fu/kkZj.k o"kZ &amp;</t>
  </si>
  <si>
    <r>
      <t>2- LVs.MMZ fMMsD'ku</t>
    </r>
    <r>
      <rPr>
        <b/>
        <sz val="14"/>
        <color rgb="FFFFC000"/>
        <rFont val="Calibri"/>
        <family val="2"/>
        <scheme val="minor"/>
      </rPr>
      <t xml:space="preserve"> (Standard Deduction)</t>
    </r>
    <r>
      <rPr>
        <b/>
        <sz val="14"/>
        <color rgb="FFFFC000"/>
        <rFont val="Kruti Dev 010"/>
      </rPr>
      <t xml:space="preserve">  50]000 ¼vf/kdre½</t>
    </r>
  </si>
  <si>
    <r>
      <t xml:space="preserve">3- euksjatu Hkrk /kkjk </t>
    </r>
    <r>
      <rPr>
        <b/>
        <sz val="14"/>
        <color rgb="FFFFC000"/>
        <rFont val="Calibri"/>
        <family val="2"/>
        <scheme val="minor"/>
      </rPr>
      <t>16 (ii)</t>
    </r>
    <r>
      <rPr>
        <b/>
        <sz val="14"/>
        <color rgb="FFFFC000"/>
        <rFont val="Kruti Dev 010"/>
      </rPr>
      <t xml:space="preserve"> ds vUrxZr </t>
    </r>
  </si>
  <si>
    <r>
      <t>4- O;o;k; dj /kkjk 16 ¼</t>
    </r>
    <r>
      <rPr>
        <b/>
        <sz val="14"/>
        <color rgb="FFFFC000"/>
        <rFont val="Calibri"/>
        <family val="2"/>
        <scheme val="minor"/>
      </rPr>
      <t>iii</t>
    </r>
    <r>
      <rPr>
        <b/>
        <sz val="14"/>
        <color rgb="FFFFC000"/>
        <rFont val="Kruti Dev 010"/>
      </rPr>
      <t xml:space="preserve">½ ds vUrxrZ </t>
    </r>
  </si>
  <si>
    <t>5- x`g lEifr ls izkIr fdjk;k &amp; vk;</t>
  </si>
  <si>
    <t xml:space="preserve">6- x`gdj </t>
  </si>
  <si>
    <t>7- x`g _.k dh ewy fdLr ;gkW fy[kuh gSaA tks NwV ysuh gSaA</t>
  </si>
  <si>
    <t>8- x`g _.k fdLr ij C;kt tks NwV ysuk gS] ;gkW fy[ksA</t>
  </si>
  <si>
    <t>12- ;w- ,y- vkbZ- ih-@okf"kZd Iyku</t>
  </si>
  <si>
    <t>14- jk"Vªh; cpr i= ij vnr C;kt</t>
  </si>
  <si>
    <t>19- vU; vk;  %</t>
  </si>
  <si>
    <t>20- bfDoVh fyad lsfoax Ldhe</t>
  </si>
  <si>
    <t xml:space="preserve">21- x`g fdjk;k] /kkjk 10¼13-A½ ds vUrxrZ ,oa /kkjk 10¼14½ds vUrxrZ vU; Hkrs tks dj eqDÙk gSA </t>
  </si>
  <si>
    <r>
      <t>23- osru ds vykok tek djk;k x;k aavk;dj</t>
    </r>
    <r>
      <rPr>
        <b/>
        <sz val="14"/>
        <rFont val="Calibri"/>
        <family val="2"/>
        <scheme val="minor"/>
      </rPr>
      <t xml:space="preserve"> (TDS)</t>
    </r>
  </si>
  <si>
    <t>25- vU; dksbZ Hkh izdkj NqV feyrh gSa tks /kkjk 10¼13&amp;,½ o 10¼13½ds vUrxZr vkrh gks rks ;gk fy[ks ,oa vU; dj eqDr HkRrk ;gkW fy[ksaA</t>
  </si>
  <si>
    <r>
      <t xml:space="preserve">26- /kkjk </t>
    </r>
    <r>
      <rPr>
        <b/>
        <sz val="14"/>
        <rFont val="Calibri"/>
        <family val="2"/>
        <scheme val="minor"/>
      </rPr>
      <t xml:space="preserve">80CCC </t>
    </r>
    <r>
      <rPr>
        <b/>
        <sz val="14"/>
        <rFont val="Kruti Dev 010"/>
      </rPr>
      <t>- isa'ku Iyku gsrq va'knku</t>
    </r>
  </si>
  <si>
    <r>
      <t xml:space="preserve">28- /kkjk </t>
    </r>
    <r>
      <rPr>
        <b/>
        <sz val="14"/>
        <rFont val="Calibri"/>
        <family val="2"/>
        <scheme val="minor"/>
      </rPr>
      <t>80CCD(1B) -</t>
    </r>
    <r>
      <rPr>
        <b/>
        <sz val="14"/>
        <rFont val="Kruti Dev 010"/>
      </rPr>
      <t>uohu isa'ku ;kstuk esa vfrfjDr va'knku ¼vf/kdre :- 50]000½</t>
    </r>
  </si>
  <si>
    <r>
      <t xml:space="preserve">29- /kkjk </t>
    </r>
    <r>
      <rPr>
        <b/>
        <sz val="14"/>
        <rFont val="Calibri"/>
        <family val="2"/>
        <scheme val="minor"/>
      </rPr>
      <t xml:space="preserve">80D </t>
    </r>
    <r>
      <rPr>
        <b/>
        <sz val="14"/>
        <rFont val="Kruti Dev 010"/>
      </rPr>
      <t xml:space="preserve">- fpfdRlk chek izhfe;e </t>
    </r>
  </si>
  <si>
    <r>
      <t xml:space="preserve">30- /kkjk </t>
    </r>
    <r>
      <rPr>
        <b/>
        <sz val="14"/>
        <rFont val="Calibri"/>
        <family val="2"/>
        <scheme val="minor"/>
      </rPr>
      <t>80DD -</t>
    </r>
    <r>
      <rPr>
        <b/>
        <sz val="14"/>
        <rFont val="Kruti Dev 010"/>
      </rPr>
      <t xml:space="preserve"> fodykax vkfJrksa ds fpfdRlk mipkj </t>
    </r>
  </si>
  <si>
    <r>
      <t xml:space="preserve">31- /kkjk </t>
    </r>
    <r>
      <rPr>
        <b/>
        <sz val="14"/>
        <rFont val="Calibri"/>
        <family val="2"/>
        <scheme val="minor"/>
      </rPr>
      <t xml:space="preserve">80DDB </t>
    </r>
    <r>
      <rPr>
        <b/>
        <sz val="14"/>
        <rFont val="Kruti Dev 010"/>
      </rPr>
      <t>- fof'k"V jksxksa ds mipkj gsrq dVkSrh ¼vf/kdre 40000 :½</t>
    </r>
  </si>
  <si>
    <r>
      <t xml:space="preserve">32- /kkjk </t>
    </r>
    <r>
      <rPr>
        <b/>
        <sz val="14"/>
        <rFont val="Calibri"/>
        <family val="2"/>
        <scheme val="minor"/>
      </rPr>
      <t xml:space="preserve">80E </t>
    </r>
    <r>
      <rPr>
        <b/>
        <sz val="14"/>
        <rFont val="Kruti Dev 010"/>
      </rPr>
      <t xml:space="preserve">- mPp f'k{kk gsrq fy, _.k dk C;kt ¼/kkjk </t>
    </r>
    <r>
      <rPr>
        <b/>
        <sz val="14"/>
        <rFont val="Calibri"/>
        <family val="2"/>
        <scheme val="minor"/>
      </rPr>
      <t>80E</t>
    </r>
    <r>
      <rPr>
        <b/>
        <sz val="14"/>
        <rFont val="Kruti Dev 010"/>
      </rPr>
      <t>½</t>
    </r>
  </si>
  <si>
    <r>
      <t xml:space="preserve">33- /kkjk </t>
    </r>
    <r>
      <rPr>
        <b/>
        <sz val="14"/>
        <rFont val="Calibri"/>
        <family val="2"/>
        <scheme val="minor"/>
      </rPr>
      <t xml:space="preserve">80G </t>
    </r>
    <r>
      <rPr>
        <b/>
        <sz val="14"/>
        <rFont val="Kruti Dev 010"/>
      </rPr>
      <t xml:space="preserve">- /kekZFkZ laLFkkvksa vkfn dks fn;s nku ¼d Js.kh </t>
    </r>
    <r>
      <rPr>
        <b/>
        <sz val="14"/>
        <rFont val="Calibri"/>
        <family val="2"/>
        <scheme val="minor"/>
      </rPr>
      <t xml:space="preserve">100% </t>
    </r>
    <r>
      <rPr>
        <b/>
        <sz val="14"/>
        <rFont val="Kruti Dev 010"/>
      </rPr>
      <t xml:space="preserve">,oa [k Js.kh </t>
    </r>
    <r>
      <rPr>
        <b/>
        <sz val="14"/>
        <rFont val="Calibri"/>
        <family val="2"/>
        <scheme val="minor"/>
      </rPr>
      <t>50%</t>
    </r>
    <r>
      <rPr>
        <b/>
        <sz val="14"/>
        <rFont val="Kruti Dev 010"/>
      </rPr>
      <t>½</t>
    </r>
  </si>
  <si>
    <r>
      <t xml:space="preserve">34- /kkjk </t>
    </r>
    <r>
      <rPr>
        <b/>
        <sz val="14"/>
        <rFont val="Calibri"/>
        <family val="2"/>
        <scheme val="minor"/>
      </rPr>
      <t xml:space="preserve">80U </t>
    </r>
    <r>
      <rPr>
        <b/>
        <sz val="14"/>
        <rFont val="Kruti Dev 010"/>
      </rPr>
      <t xml:space="preserve">- LFkkbZ :i ls 'kkjhfjd vleFkZrrk </t>
    </r>
  </si>
  <si>
    <r>
      <t xml:space="preserve">36- /kkjk </t>
    </r>
    <r>
      <rPr>
        <b/>
        <sz val="14"/>
        <rFont val="Calibri"/>
        <family val="2"/>
        <scheme val="minor"/>
      </rPr>
      <t xml:space="preserve">80 GGA - </t>
    </r>
    <r>
      <rPr>
        <b/>
        <sz val="14"/>
        <rFont val="Kruti Dev 010"/>
      </rPr>
      <t>vuqeksfnr oSKkfud]lkekftd]xzkeh.k fodkl vkfn gsrq fn;k x;k nku</t>
    </r>
  </si>
  <si>
    <t>Up to Rs. 2,50,000</t>
  </si>
  <si>
    <t xml:space="preserve">आप विद्यमान आयकर दर या नवीन आयकर दर दोनों में से किसी एक विकल्प को चुनकर आयकर गणना प्रपत्र तैयार कर सकते है।  </t>
  </si>
  <si>
    <r>
      <t xml:space="preserve">9- thou chek izhfe;e ¼tks osru ls ugh dkVk x;k½ </t>
    </r>
    <r>
      <rPr>
        <b/>
        <sz val="14"/>
        <color rgb="FF33CC33"/>
        <rFont val="Calibri"/>
        <family val="2"/>
        <scheme val="minor"/>
      </rPr>
      <t>LIC</t>
    </r>
  </si>
  <si>
    <r>
      <t xml:space="preserve">10- ih-,y-vkbZ- </t>
    </r>
    <r>
      <rPr>
        <b/>
        <sz val="14"/>
        <color theme="8" tint="0.79998168889431442"/>
        <rFont val="Calibri"/>
        <family val="2"/>
        <scheme val="minor"/>
      </rPr>
      <t>(PLI)</t>
    </r>
  </si>
  <si>
    <r>
      <t xml:space="preserve">11- V;w'ku Qhl </t>
    </r>
    <r>
      <rPr>
        <b/>
        <sz val="14"/>
        <color theme="8" tint="0.79998168889431442"/>
        <rFont val="Calibri"/>
        <family val="2"/>
        <scheme val="minor"/>
      </rPr>
      <t>(Tution Fees)</t>
    </r>
  </si>
  <si>
    <r>
      <t>13- jk"Vªh; cpr i=</t>
    </r>
    <r>
      <rPr>
        <b/>
        <sz val="14"/>
        <color theme="8" tint="0.79998168889431442"/>
        <rFont val="Calibri"/>
        <family val="2"/>
        <scheme val="minor"/>
      </rPr>
      <t xml:space="preserve"> (NSC)</t>
    </r>
  </si>
  <si>
    <r>
      <t xml:space="preserve">15- yksd Hkfo"; fuf/k </t>
    </r>
    <r>
      <rPr>
        <b/>
        <sz val="14"/>
        <color theme="8" tint="0.79998168889431442"/>
        <rFont val="Calibri"/>
        <family val="2"/>
        <scheme val="minor"/>
      </rPr>
      <t>(PPF)</t>
    </r>
  </si>
  <si>
    <r>
      <t xml:space="preserve">16- jk"Vªh; cpr Ldhe </t>
    </r>
    <r>
      <rPr>
        <b/>
        <sz val="14"/>
        <color theme="8" tint="0.79998168889431442"/>
        <rFont val="Calibri"/>
        <family val="2"/>
        <scheme val="minor"/>
      </rPr>
      <t>(NSS)</t>
    </r>
  </si>
  <si>
    <r>
      <t>17- lqdU;k le`f) ;kstuk</t>
    </r>
    <r>
      <rPr>
        <b/>
        <sz val="14"/>
        <color theme="8" tint="0.79998168889431442"/>
        <rFont val="Calibri"/>
        <family val="2"/>
        <scheme val="minor"/>
      </rPr>
      <t xml:space="preserve"> (SSY)</t>
    </r>
  </si>
  <si>
    <r>
      <t xml:space="preserve">18-  </t>
    </r>
    <r>
      <rPr>
        <b/>
        <sz val="14"/>
        <color theme="8" tint="0.79998168889431442"/>
        <rFont val="Calibri"/>
        <family val="2"/>
        <scheme val="minor"/>
      </rPr>
      <t>Bonds</t>
    </r>
    <r>
      <rPr>
        <b/>
        <sz val="14"/>
        <color theme="8" tint="0.79998168889431442"/>
        <rFont val="Kruti Dev 010"/>
      </rPr>
      <t xml:space="preserve"> ls C;kt</t>
    </r>
  </si>
  <si>
    <r>
      <t>22- LFkfxr okf"kZdh ¼</t>
    </r>
    <r>
      <rPr>
        <b/>
        <sz val="14"/>
        <rFont val="Calibri"/>
        <family val="2"/>
        <scheme val="minor"/>
      </rPr>
      <t>Defferred Annuty)</t>
    </r>
  </si>
  <si>
    <t xml:space="preserve">24- vU; vk; ¼/kkjk 80 lh ds vUrxZr½ </t>
  </si>
  <si>
    <r>
      <t xml:space="preserve">35- /kkjk </t>
    </r>
    <r>
      <rPr>
        <b/>
        <sz val="14"/>
        <color rgb="FF400E3C"/>
        <rFont val="Calibri"/>
        <family val="2"/>
        <scheme val="minor"/>
      </rPr>
      <t>80TTA -</t>
    </r>
    <r>
      <rPr>
        <b/>
        <sz val="14"/>
        <color rgb="FF400E3C"/>
        <rFont val="Kruti Dev 010"/>
      </rPr>
      <t xml:space="preserve"> cpr [kkrs ij vf/kdre C;kt :- 10]000 </t>
    </r>
    <r>
      <rPr>
        <b/>
        <sz val="14"/>
        <color rgb="FF400E3C"/>
        <rFont val="Calibri"/>
        <family val="2"/>
        <scheme val="minor"/>
      </rPr>
      <t>194(IA)</t>
    </r>
  </si>
  <si>
    <r>
      <t xml:space="preserve">5- /kkjk </t>
    </r>
    <r>
      <rPr>
        <sz val="10"/>
        <rFont val="Calibri"/>
        <family val="2"/>
        <scheme val="minor"/>
      </rPr>
      <t>80G</t>
    </r>
    <r>
      <rPr>
        <sz val="12"/>
        <rFont val="Kruti Dev 010"/>
      </rPr>
      <t xml:space="preserve"> /kekZFkZ laLFkkvksa vkfn dks fn;s nku </t>
    </r>
    <r>
      <rPr>
        <sz val="11"/>
        <rFont val="Kruti Dev 010"/>
      </rPr>
      <t>¼ d Js.kh esa 100 izfr'kr ,oa [k Js.kh esa 50 izfr'kr½ ¼dsUnz o jkT; ljdkj ds QaM esa ½</t>
    </r>
  </si>
  <si>
    <t>37-   ,QMh vkfn vU; tek jkf'k ij izkIr dqy C;kt ¼ihih,Q dks NksM+dj½</t>
  </si>
  <si>
    <t>,QMh vkfn vU; tek jkf'k ij izkIr dqy C;kt</t>
  </si>
  <si>
    <t>2,50,001  to  5,00,000</t>
  </si>
  <si>
    <t>old</t>
  </si>
  <si>
    <t>New</t>
  </si>
  <si>
    <t>H</t>
  </si>
  <si>
    <t xml:space="preserve">यदि आप NPS कार्मिक है और Section US 80CCD (1B) के अंतर्गत अधिकतम 50,000 की छूट लेना चाहते है तो यहाँ नीचे बॉक्स में क्लिक करे। </t>
  </si>
  <si>
    <t>abcde1234h</t>
  </si>
  <si>
    <t>RJPAxxxxxxxx4272</t>
  </si>
  <si>
    <t>EMPLOYEE  PAY  DETAIL</t>
  </si>
  <si>
    <t xml:space="preserve">t; xq:nso </t>
  </si>
  <si>
    <t>How to use this Programme</t>
  </si>
  <si>
    <r>
      <t xml:space="preserve">If you have Hindi font problem, then first you should install </t>
    </r>
    <r>
      <rPr>
        <b/>
        <i/>
        <sz val="14"/>
        <color rgb="FFFF0000"/>
        <rFont val="Calibri"/>
        <family val="2"/>
        <scheme val="minor"/>
      </rPr>
      <t>Hindi font KRUTI DEV 010</t>
    </r>
    <r>
      <rPr>
        <b/>
        <i/>
        <sz val="14"/>
        <color theme="1"/>
        <rFont val="Calibri"/>
        <family val="2"/>
        <scheme val="minor"/>
      </rPr>
      <t xml:space="preserve">  in your computer.</t>
    </r>
  </si>
  <si>
    <r>
      <t xml:space="preserve">vki bl ,Dly izksxzke ij dk;Z djus ls igys bUde VSDl foHkkx ds u;s :Yl o fu;e bUde VSDl foHkkx dh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2020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</si>
  <si>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t>;g ,Dly izksxzke esjs ije~ iwT; xq:nso Jh Jh 1008 oklqnso th egkjkt o esjs bZ"V izHkq t;  ctjaxcyh o ikcwth egkjkt dks lefiZr gSaA esjs ekrk &amp; firk o xq:tuksa ds vk'khokZn ls ;g izksxzke f'k{kd cU/kqvksa ds lkFk lHkh foHkkx ds dkfeZdksa dh lsok esa lknj izLrqr gSaA</t>
  </si>
  <si>
    <t>Most Doable Work</t>
  </si>
  <si>
    <r>
      <t xml:space="preserve">vki bl ,Dly izksxzke esa nksa 'khVksa ekLVj MkVk 'khV o ,DLV~zk fMMsD'ku 'khV dks lko/kkuhiwoZd vuykWd lsy tks lQsn dyj esa gSa] dks Hkjuk ¼MkVk fQfyax½ gSaA vkxs dh 'khVs vkWVksa tujsV gSaA os lHkh ykWd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</si>
  <si>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Above 80</t>
  </si>
  <si>
    <t>;g ,Dly izksaxzke lHkh dkfeZdksa ds fy, leku :i ls rS;kj fd;k x;k gSA ladyu ,oa x.kuk esa iw.kZ lko/kkuh j[kh xbZ gSA fQj Hkh =qfV ;k fdlh Hkh izdkj dh fofHkUurk dh fLFkfr esa vk;dj foHkkx ds fu;e gh ekU; gSA rS;kjdrkZ dk dksbZ mÙkjnkf;Ro ugha gksxkA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</si>
  <si>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</si>
  <si>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</si>
  <si>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</si>
  <si>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</si>
  <si>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Mahatma Gandhi Government School (English Medium) BAR , PALI</t>
  </si>
  <si>
    <t>Instructions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</si>
  <si>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</si>
  <si>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</si>
  <si>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</si>
  <si>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</si>
  <si>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</si>
  <si>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</si>
  <si>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</si>
  <si>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</si>
  <si>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</si>
  <si>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</si>
  <si>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</si>
  <si>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</si>
  <si>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</si>
  <si>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</si>
  <si>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</si>
  <si>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</si>
  <si>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</si>
  <si>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</si>
  <si>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</si>
  <si>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</si>
  <si>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</si>
  <si>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</si>
  <si>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</si>
  <si>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</si>
  <si>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</si>
  <si>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</si>
  <si>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</si>
  <si>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</si>
  <si>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</si>
  <si>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</si>
  <si>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</si>
  <si>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</si>
  <si>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</si>
  <si>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</si>
  <si>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</si>
  <si>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</si>
  <si>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</si>
  <si>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</si>
  <si>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</si>
  <si>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</si>
  <si>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</si>
  <si>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</si>
  <si>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</si>
  <si>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</si>
  <si>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</si>
  <si>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</si>
  <si>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</si>
  <si>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</si>
  <si>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</si>
  <si>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</si>
  <si>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</si>
  <si>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</si>
  <si>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</si>
  <si>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</si>
  <si>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</si>
  <si>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</si>
  <si>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</si>
  <si>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</si>
  <si>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</si>
  <si>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</si>
  <si>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</si>
  <si>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</si>
  <si>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</si>
  <si>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</si>
  <si>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</si>
  <si>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</si>
  <si>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</si>
  <si>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</si>
  <si>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</si>
  <si>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</si>
  <si>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</si>
  <si>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</si>
  <si>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</si>
  <si>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</si>
  <si>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</si>
  <si>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</si>
  <si>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</si>
  <si>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</si>
  <si>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</si>
  <si>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</si>
  <si>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</si>
  <si>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</si>
  <si>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</si>
  <si>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</si>
  <si>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</si>
  <si>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</si>
  <si>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</si>
  <si>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</si>
  <si>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</si>
  <si>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</si>
  <si>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</si>
  <si>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</si>
  <si>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</si>
  <si>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</si>
  <si>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</si>
  <si>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(B) Section 80CCD(2)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</si>
  <si>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</si>
  <si>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</si>
  <si>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</si>
  <si>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</si>
  <si>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</si>
  <si>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</si>
  <si>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</si>
  <si>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</si>
  <si>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</si>
  <si>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</si>
  <si>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</si>
  <si>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</si>
  <si>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</si>
  <si>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</si>
  <si>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</si>
  <si>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</si>
  <si>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</si>
  <si>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</si>
  <si>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</si>
  <si>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</si>
  <si>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</si>
  <si>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</si>
  <si>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</si>
  <si>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</si>
  <si>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</si>
  <si>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</si>
  <si>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</si>
  <si>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</si>
  <si>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</si>
  <si>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</si>
  <si>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</si>
  <si>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</si>
  <si>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</si>
  <si>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>(B) Other Sections (e.g. 80E, 80G etc.) under Chapter VIA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</si>
  <si>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</si>
  <si>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</si>
  <si>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vU; tekjkf'k ¼/kkjk 80 lh ds vUrxZr½ E;qpy QaM</t>
  </si>
  <si>
    <t>27- vU; tek jkf'k ¼/kkjk 80 lh ds vUrxZr½ o E;qpvy QaM</t>
  </si>
  <si>
    <t>vU; o fQDl fMiksftV ¼5 o"kZ gsrq½</t>
  </si>
  <si>
    <t>US 80TTA [Exempt Saving Bank Int. Max. RS. 10,000/-]</t>
  </si>
  <si>
    <r>
      <rPr>
        <b/>
        <sz val="12"/>
        <rFont val="Kruti Dev 010"/>
      </rPr>
      <t>¼2½</t>
    </r>
    <r>
      <rPr>
        <sz val="12"/>
        <rFont val="Kruti Dev 010"/>
      </rPr>
      <t xml:space="preserve"> NwV ?kkjk 87¼</t>
    </r>
    <r>
      <rPr>
        <sz val="10"/>
        <rFont val="Calibri"/>
        <family val="2"/>
        <scheme val="minor"/>
      </rPr>
      <t>A</t>
    </r>
    <r>
      <rPr>
        <sz val="12"/>
        <rFont val="Kruti Dev 010"/>
      </rPr>
      <t xml:space="preserve">½ ¼ 5yk[k rd dh dj ;ksX; vk; ij vk;dj dh NwV vf/kdre :- </t>
    </r>
    <r>
      <rPr>
        <b/>
        <sz val="12"/>
        <rFont val="Kruti Dev 010"/>
      </rPr>
      <t>12500</t>
    </r>
    <r>
      <rPr>
        <sz val="12"/>
        <rFont val="Kruti Dev 010"/>
      </rPr>
      <t>@&amp; rd½</t>
    </r>
  </si>
  <si>
    <t>ije~ iwT; xq:nso</t>
  </si>
  <si>
    <t>Watch the You Tube Video For More Information.</t>
  </si>
  <si>
    <t>You Tube Channel</t>
  </si>
  <si>
    <t>https://www.youtube.com/c/Heeralaljat/</t>
  </si>
  <si>
    <t>Move Curser Here</t>
  </si>
  <si>
    <t xml:space="preserve">यदि आपको धारा 87A  के बारे में जानकारी चाहिए तो नीचे सेल पर माउस को ले जाइये। </t>
  </si>
  <si>
    <t>Move curser</t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</si>
  <si>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</si>
  <si>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</si>
  <si>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</si>
  <si>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 xml:space="preserve">अधिक जानकारी के लिए ऊपर Youtube video का लिंक दिया गया है। </t>
  </si>
  <si>
    <t xml:space="preserve">यदि आपको धारा 80 TTA  के बारे में डिटेल से जानकारी चाहिए तो नीचे सेल पर माउस को ले जाइये। </t>
  </si>
  <si>
    <t>https://www.youtube.com/watch?v=TJ5dWmZplAk</t>
  </si>
  <si>
    <r>
      <rPr>
        <b/>
        <sz val="20"/>
        <color rgb="FFFF0000"/>
        <rFont val="Wingdings"/>
        <charset val="2"/>
      </rPr>
      <t>E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</si>
  <si>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GPF 2004 (NPS)</t>
  </si>
  <si>
    <t>(xxi)</t>
  </si>
  <si>
    <r>
      <t xml:space="preserve">vkidksa ftrusa ekg dk cksul feyk gSa ] mu ekg dh la[;kW dksa lysDV djsa    </t>
    </r>
    <r>
      <rPr>
        <b/>
        <sz val="20"/>
        <color rgb="FF400E3C"/>
        <rFont val="Wingdings"/>
        <charset val="2"/>
      </rPr>
      <t>F</t>
    </r>
  </si>
  <si>
    <t xml:space="preserve">;fn fofr; o"kZ 2020&amp;21 esa ewy osru ifjofrZr gqvk gSa rksa fy[ksa </t>
  </si>
  <si>
    <r>
      <t xml:space="preserve">;fn ewy osru esa dksbZ ifjorZu gqvk gSa tSlsa%&amp; ,lhih@fQVesaUV ;k vU; dkj.k ls </t>
    </r>
    <r>
      <rPr>
        <b/>
        <sz val="14"/>
        <color rgb="FF0000FF"/>
        <rFont val="Kruti Dev 010"/>
      </rPr>
      <t>¼badzhes.V ds vykok½</t>
    </r>
    <r>
      <rPr>
        <b/>
        <sz val="14"/>
        <color rgb="FFFF0000"/>
        <rFont val="Kruti Dev 010"/>
      </rPr>
      <t xml:space="preserve"> ¼ekg lysDV djsa½</t>
    </r>
  </si>
  <si>
    <t>PLEASE ENABLE MACROS FIRST</t>
  </si>
  <si>
    <t>Bank A/C.</t>
  </si>
  <si>
    <t>UPDATE ON</t>
  </si>
  <si>
    <t>https://youtu.be/JIltzwkB8Ko</t>
  </si>
  <si>
    <t>You tube video Link for Macro Excel Software</t>
  </si>
  <si>
    <t>https://www.youtube.com/watch?v=FwBqjLiBd28</t>
  </si>
  <si>
    <t>https://www.youtube.com/watch?v=JIltzwkB8Ko</t>
  </si>
  <si>
    <t>1- edku fdjk;k HkRrk ¼;fn jlhn ds ek/;e ls NwV ysuh gS rks jkf'k fy[ksas½</t>
  </si>
  <si>
    <t>38- jkgr /kkjk 89 ds rgr ¼ vxj NwV ysuh gS rks jkf'k fy[ksaA½</t>
  </si>
  <si>
    <r>
      <t xml:space="preserve">/kkjk </t>
    </r>
    <r>
      <rPr>
        <b/>
        <sz val="14"/>
        <color theme="8" tint="0.79998168889431442"/>
        <rFont val="Calibri"/>
        <family val="2"/>
        <scheme val="minor"/>
      </rPr>
      <t xml:space="preserve">80G - </t>
    </r>
    <r>
      <rPr>
        <b/>
        <sz val="14"/>
        <color theme="8" tint="0.79998168889431442"/>
        <rFont val="Kruti Dev 010"/>
      </rPr>
      <t xml:space="preserve">/kekZFkZ laLFkkvksa vkfn dks fn;s nku ¼d Js.kh </t>
    </r>
    <r>
      <rPr>
        <b/>
        <sz val="14"/>
        <color theme="8" tint="0.79998168889431442"/>
        <rFont val="Calibri"/>
        <family val="2"/>
        <scheme val="minor"/>
      </rPr>
      <t>100 %</t>
    </r>
    <r>
      <rPr>
        <b/>
        <sz val="14"/>
        <color theme="8" tint="0.79998168889431442"/>
        <rFont val="Kruti Dev 010"/>
      </rPr>
      <t>½</t>
    </r>
  </si>
  <si>
    <r>
      <t xml:space="preserve">/kkjk </t>
    </r>
    <r>
      <rPr>
        <b/>
        <sz val="14"/>
        <color rgb="FF0000FF"/>
        <rFont val="Calibri"/>
        <family val="2"/>
        <scheme val="minor"/>
      </rPr>
      <t>80G -</t>
    </r>
    <r>
      <rPr>
        <b/>
        <sz val="14"/>
        <color rgb="FF0000FF"/>
        <rFont val="Kruti Dev 010"/>
      </rPr>
      <t xml:space="preserve"> /kekZFkZ laLFkkvksa vkfn dks fn;s nku ¼[k Js.kh </t>
    </r>
    <r>
      <rPr>
        <b/>
        <sz val="14"/>
        <color rgb="FF0000FF"/>
        <rFont val="Calibri"/>
        <family val="2"/>
        <scheme val="minor"/>
      </rPr>
      <t>50 %</t>
    </r>
    <r>
      <rPr>
        <b/>
        <sz val="14"/>
        <color rgb="FF0000FF"/>
        <rFont val="Kruti Dev 010"/>
      </rPr>
      <t>½</t>
    </r>
  </si>
  <si>
    <t>Gazetted / Non-Gazetted</t>
  </si>
  <si>
    <r>
      <rPr>
        <b/>
        <sz val="13.5"/>
        <rFont val="Calibri"/>
        <family val="2"/>
        <scheme val="minor"/>
      </rPr>
      <t xml:space="preserve">    7th PAY New HRA @ </t>
    </r>
    <r>
      <rPr>
        <b/>
        <sz val="13.5"/>
        <rFont val="Kruti Dev 010"/>
      </rPr>
      <t>izfr- ekg ¼1 tqykbZ 21 ls½ %&amp;</t>
    </r>
  </si>
  <si>
    <t xml:space="preserve">यदि कार्मिक के डीए 28 % हो गया हो तो नीचे ऑप्शन में यह सेलेक्ट करें   </t>
  </si>
  <si>
    <t xml:space="preserve">Increase DA from July 2021  </t>
  </si>
  <si>
    <t>पिछले सेशन 2020-21 में यदि जनवरी 2021 या फरवरी 2021 का वेतन उस वित्तिय वर्ष नहीं मिलकर यदि वर्तमान वित्तीय वर्ष में मिला हो तो माह सलेक्ट करें।</t>
  </si>
  <si>
    <t>NPS कार्मिक ने यदि RGHS का ऑप्शन दिया हो तो Yes सेलेक्ट करें :-</t>
  </si>
  <si>
    <t>Group Insurance Rate @ :-</t>
  </si>
  <si>
    <r>
      <t xml:space="preserve">किसी कारणवश  </t>
    </r>
    <r>
      <rPr>
        <b/>
        <sz val="14"/>
        <color rgb="FFFF0000"/>
        <rFont val="Cambria"/>
        <family val="1"/>
        <scheme val="major"/>
      </rPr>
      <t>March-20</t>
    </r>
    <r>
      <rPr>
        <b/>
        <sz val="12"/>
        <color rgb="FFFF0000"/>
        <rFont val="Cambria"/>
        <family val="1"/>
        <scheme val="major"/>
      </rPr>
      <t xml:space="preserve"> का </t>
    </r>
    <r>
      <rPr>
        <b/>
        <sz val="14"/>
        <color rgb="FFFF0000"/>
        <rFont val="Cambria"/>
        <family val="1"/>
        <scheme val="major"/>
      </rPr>
      <t>Freeze</t>
    </r>
    <r>
      <rPr>
        <b/>
        <sz val="12"/>
        <color rgb="FFFF0000"/>
        <rFont val="Cambria"/>
        <family val="1"/>
        <scheme val="major"/>
      </rPr>
      <t xml:space="preserve"> वेतन इस वितीय वर्ष में मिला है   </t>
    </r>
  </si>
  <si>
    <t>RPMF / RGHS</t>
  </si>
  <si>
    <t>GPF-2004 Dedc. Show in US 80c</t>
  </si>
  <si>
    <t>SI Int.</t>
  </si>
  <si>
    <t>Gazetted</t>
  </si>
  <si>
    <t>HITKARI NIDHI</t>
  </si>
  <si>
    <t xml:space="preserve">DA Arrear </t>
  </si>
  <si>
    <t>Fixation arear</t>
  </si>
  <si>
    <t>HRA Arrear</t>
  </si>
  <si>
    <t>PL Surrender Arrear</t>
  </si>
  <si>
    <t>Non-Gazetted</t>
  </si>
  <si>
    <t>2021-2022</t>
  </si>
  <si>
    <t>2022-2023)</t>
  </si>
  <si>
    <r>
      <t xml:space="preserve">vk; % </t>
    </r>
    <r>
      <rPr>
        <sz val="11.5"/>
        <rFont val="Kruti Dev 010"/>
      </rPr>
      <t>o"kZ&amp;2021&amp;22 esa izkIr dqy osru ¼ dj ;ksX; lqfo/kkvksa ds eqY; lfgr ½</t>
    </r>
  </si>
  <si>
    <r>
      <t xml:space="preserve">1-/kkjk </t>
    </r>
    <r>
      <rPr>
        <sz val="12"/>
        <rFont val="Calibri"/>
        <family val="2"/>
        <scheme val="minor"/>
      </rPr>
      <t>80 D</t>
    </r>
    <r>
      <rPr>
        <sz val="12"/>
        <rFont val="Kruti Dev 010"/>
      </rPr>
      <t xml:space="preserve"> fpfdRlk chek izhfe;e ¼Lo;a]ifr@iRuh o cPpksa ds fy, : 25000] ekrk&amp;firk ds fy, : 25000]lhfu;j flVhtu : 50000½</t>
    </r>
  </si>
  <si>
    <r>
      <t xml:space="preserve">2- /kkjk </t>
    </r>
    <r>
      <rPr>
        <sz val="12"/>
        <rFont val="Calibri"/>
        <family val="2"/>
        <scheme val="minor"/>
      </rPr>
      <t>80DD</t>
    </r>
    <r>
      <rPr>
        <sz val="12"/>
        <rFont val="Kruti Dev 010"/>
      </rPr>
      <t xml:space="preserve"> fodykax vkfJrksa ds fpfdRlk mipkj ¼vf/kdre 75]000 rFkk </t>
    </r>
    <r>
      <rPr>
        <sz val="12"/>
        <rFont val="Calibri"/>
        <family val="2"/>
        <scheme val="minor"/>
      </rPr>
      <t>80%</t>
    </r>
    <r>
      <rPr>
        <sz val="12"/>
        <rFont val="Kruti Dev 010"/>
      </rPr>
      <t xml:space="preserve"> ;k vf/kd fodykaxrk 125]000½</t>
    </r>
  </si>
  <si>
    <r>
      <t xml:space="preserve">3- /kkjk </t>
    </r>
    <r>
      <rPr>
        <sz val="12"/>
        <rFont val="Calibri"/>
        <family val="2"/>
        <scheme val="minor"/>
      </rPr>
      <t xml:space="preserve">80DDB </t>
    </r>
    <r>
      <rPr>
        <sz val="12"/>
        <rFont val="Kruti Dev 010"/>
      </rPr>
      <t>fof'k"V jksaxksa ds mipkj gsrq dVkSrh ¼vf/kdre : 40]000] lhfu;j flVhtu gsrq : 100]000½</t>
    </r>
  </si>
  <si>
    <r>
      <t xml:space="preserve">6- /kkjk </t>
    </r>
    <r>
      <rPr>
        <sz val="12"/>
        <rFont val="Calibri"/>
        <family val="2"/>
        <scheme val="minor"/>
      </rPr>
      <t xml:space="preserve">80U </t>
    </r>
    <r>
      <rPr>
        <sz val="12"/>
        <rFont val="Kruti Dev 010"/>
      </rPr>
      <t>LFkkbZ :i ls 'kkjhfjd vleFkZrrk dh n'kk esa ¼vf/kdre 75]000 rFkk  vf/kfu;e 1995ds vuqlkj 125]000½</t>
    </r>
  </si>
  <si>
    <r>
      <t xml:space="preserve">7- /kkjk </t>
    </r>
    <r>
      <rPr>
        <sz val="12"/>
        <rFont val="Calibri"/>
        <family val="2"/>
        <scheme val="minor"/>
      </rPr>
      <t>80 TTA</t>
    </r>
    <r>
      <rPr>
        <sz val="12"/>
        <rFont val="Kruti Dev 010"/>
      </rPr>
      <t xml:space="preserve"> cpr [kkrs ij vf/kdre C;kt :- 10]000 </t>
    </r>
    <r>
      <rPr>
        <sz val="12"/>
        <rFont val="Calibri"/>
        <family val="2"/>
        <scheme val="minor"/>
      </rPr>
      <t xml:space="preserve">194(IA)  , ( </t>
    </r>
    <r>
      <rPr>
        <sz val="12"/>
        <rFont val="Kruti Dev 010"/>
      </rPr>
      <t>ofj"B ukxfjdks C;kt ij NwV 50000rd ½</t>
    </r>
  </si>
  <si>
    <r>
      <t xml:space="preserve">8- /kkjk </t>
    </r>
    <r>
      <rPr>
        <sz val="12"/>
        <rFont val="Calibri"/>
        <family val="2"/>
        <scheme val="minor"/>
      </rPr>
      <t>80 GGA</t>
    </r>
    <r>
      <rPr>
        <sz val="12"/>
        <rFont val="Kruti Dev 010"/>
      </rPr>
      <t xml:space="preserve"> vuqeksfnr oSKkfud] lkekftd] xzkeh.k fodkl vkfn gsrq fn;k x;k nku</t>
    </r>
  </si>
  <si>
    <t>flrEcj 2021
rd dqy dVkSrh</t>
  </si>
  <si>
    <t>vDVwcj ls fnlEcj
2021 rd dVkSrh</t>
  </si>
  <si>
    <t>tuojh 2022
ekg esa dVkSrh</t>
  </si>
  <si>
    <t>Qjojh 2022
ekg esa dVkSrh</t>
  </si>
  <si>
    <t>Vh-Mh-,l- ls dVkSrh
o vU;</t>
  </si>
  <si>
    <t>2022-23</t>
  </si>
  <si>
    <t>01-4-2021</t>
  </si>
  <si>
    <t>31-03-2022</t>
  </si>
  <si>
    <t xml:space="preserve"> Income chargeable under the head "salaries" (3-5)</t>
  </si>
  <si>
    <t>6. Income From House Property (a + b)</t>
  </si>
  <si>
    <t>30% of Rent</t>
  </si>
  <si>
    <t>Interest on Home Loan</t>
  </si>
  <si>
    <t>house Tax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</si>
  <si>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</si>
  <si>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</si>
  <si>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</si>
  <si>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t xml:space="preserve">अन्य आय </t>
  </si>
  <si>
    <t>Pension Plan (US80ccc+US 80CCD)(1)</t>
  </si>
  <si>
    <t>GPF-2004</t>
  </si>
  <si>
    <r>
      <t xml:space="preserve">lcls igys vki jktLFkku lHkh 'kSf{kd osclkbZV ij ,Dly xq: ghjkyky tkV }kjk fufeZr vk;dj x.kuk ,Dly ,Iyhds'ku 2021&amp;22 ds viMsV otZu+ dks MkmuyksM djsasaA blds vykok vki </t>
    </r>
    <r>
      <rPr>
        <sz val="14"/>
        <rFont val="Calibri"/>
        <family val="2"/>
        <scheme val="minor"/>
      </rPr>
      <t>Google</t>
    </r>
    <r>
      <rPr>
        <sz val="14"/>
        <rFont val="Kruti Dev 010"/>
      </rPr>
      <t xml:space="preserve"> ij </t>
    </r>
    <r>
      <rPr>
        <sz val="14"/>
        <rFont val="Calibri"/>
        <family val="2"/>
        <scheme val="minor"/>
      </rPr>
      <t>Heeralal Jat</t>
    </r>
    <r>
      <rPr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Save  </t>
    </r>
    <r>
      <rPr>
        <sz val="14"/>
        <rFont val="Kruti Dev 010"/>
      </rPr>
      <t xml:space="preserve">dj ysosaA izR;sad dkfeZd ds fy, ds fy, ,d QkbZy dks mi;ksx esa ysosaA </t>
    </r>
  </si>
  <si>
    <t>Incometax2021</t>
  </si>
  <si>
    <t>Unlock only This Sheet , Password is</t>
  </si>
  <si>
    <t>https://youtu.be/MGhyFQKgC3Q</t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</si>
</sst>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2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Wingdings"/>
      <charset val="2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sz val="12"/>
      <name val="Calibri"/>
      <family val="2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u/>
      <sz val="16"/>
      <color rgb="FF002060"/>
      <name val="Calibri"/>
      <family val="2"/>
      <scheme val="minor"/>
    </font>
    <font>
      <b/>
      <i/>
      <u/>
      <sz val="15"/>
      <color rgb="FF002060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FFC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Kruti Dev 010"/>
    </font>
    <font>
      <b/>
      <sz val="14"/>
      <color rgb="FF002060"/>
      <name val="Kruti Dev 010"/>
    </font>
    <font>
      <b/>
      <sz val="13"/>
      <name val="Kruti Dev 010"/>
    </font>
    <font>
      <sz val="11"/>
      <color theme="1"/>
      <name val="Kruti Dev 010"/>
    </font>
    <font>
      <sz val="14"/>
      <color theme="1"/>
      <name val="Kruti Dev 010"/>
    </font>
    <font>
      <b/>
      <sz val="16"/>
      <color rgb="FF0000FF"/>
      <name val="Kruti Dev 010"/>
    </font>
    <font>
      <b/>
      <i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2"/>
      <color rgb="FF002060"/>
      <name val="Kruti Dev 010"/>
    </font>
    <font>
      <sz val="12"/>
      <name val="Kruti Dev 010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.5"/>
      <name val="Kruti Dev 010"/>
    </font>
    <font>
      <b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DevLys 010"/>
    </font>
    <font>
      <sz val="10"/>
      <name val="Kruti Dev 010"/>
    </font>
    <font>
      <sz val="14"/>
      <name val="Kruti Dev 010"/>
    </font>
    <font>
      <sz val="10"/>
      <name val="DevLys 010"/>
    </font>
    <font>
      <b/>
      <sz val="12"/>
      <name val="Kruti Dev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1"/>
      <name val="Kruti Dev 010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10"/>
      <name val="Kruti Dev 010"/>
    </font>
    <font>
      <b/>
      <sz val="12"/>
      <name val="Times New Roman"/>
      <family val="1"/>
    </font>
    <font>
      <b/>
      <i/>
      <sz val="11"/>
      <name val="Calibri"/>
      <family val="2"/>
      <scheme val="minor"/>
    </font>
    <font>
      <sz val="13"/>
      <name val="Kruti Dev 010"/>
    </font>
    <font>
      <sz val="13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b/>
      <sz val="12"/>
      <color rgb="FFCC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4"/>
      <color rgb="FF400E3C"/>
      <name val="Calibri"/>
      <family val="2"/>
      <scheme val="minor"/>
    </font>
    <font>
      <b/>
      <sz val="20"/>
      <color rgb="FF400E3C"/>
      <name val="Wingdings"/>
      <charset val="2"/>
    </font>
    <font>
      <b/>
      <sz val="12"/>
      <color indexed="8"/>
      <name val="Times New Roman"/>
      <family val="1"/>
    </font>
    <font>
      <b/>
      <sz val="13"/>
      <color rgb="FF002060"/>
      <name val="Cambria"/>
      <family val="1"/>
      <scheme val="major"/>
    </font>
    <font>
      <b/>
      <sz val="11"/>
      <name val="Kruti Dev 010"/>
    </font>
    <font>
      <b/>
      <sz val="13"/>
      <color rgb="FFFFC000"/>
      <name val="Kruti Dev 010"/>
    </font>
    <font>
      <sz val="8"/>
      <name val="Tahoma"/>
      <family val="2"/>
    </font>
    <font>
      <b/>
      <sz val="14"/>
      <color rgb="FF33CC33"/>
      <name val="Calibri"/>
      <family val="2"/>
      <scheme val="minor"/>
    </font>
    <font>
      <b/>
      <sz val="14"/>
      <color theme="8" tint="0.79998168889431442"/>
      <name val="Kruti Dev 010"/>
    </font>
    <font>
      <b/>
      <sz val="14"/>
      <color theme="8" tint="0.79998168889431442"/>
      <name val="Calibri"/>
      <family val="2"/>
      <scheme val="minor"/>
    </font>
    <font>
      <b/>
      <sz val="14"/>
      <color rgb="FF00B0F0"/>
      <name val="Kruti Dev 010"/>
    </font>
    <font>
      <b/>
      <sz val="14"/>
      <color theme="3" tint="0.39997558519241921"/>
      <name val="Kruti Dev 010"/>
    </font>
    <font>
      <b/>
      <sz val="14"/>
      <color rgb="FF400E3C"/>
      <name val="Kruti Dev 010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 tint="-0.34998626667073579"/>
      <name val="Kruti Dev 010"/>
    </font>
    <font>
      <sz val="11"/>
      <color theme="0" tint="-0.34998626667073579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sz val="12"/>
      <color indexed="8"/>
      <name val="Times New Roman"/>
      <family val="1"/>
    </font>
    <font>
      <sz val="18"/>
      <color theme="1"/>
      <name val="Times New Roman"/>
      <family val="1"/>
    </font>
    <font>
      <b/>
      <i/>
      <u/>
      <sz val="14"/>
      <name val="Times New Roman"/>
      <family val="1"/>
    </font>
    <font>
      <b/>
      <i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Kruti Dev 010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b/>
      <u/>
      <sz val="18"/>
      <color theme="10"/>
      <name val="Calibri"/>
      <family val="2"/>
    </font>
    <font>
      <b/>
      <sz val="18"/>
      <color indexed="17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sz val="18"/>
      <color indexed="36"/>
      <name val="Calibri"/>
      <family val="2"/>
    </font>
    <font>
      <b/>
      <sz val="18"/>
      <color indexed="10"/>
      <name val="Cambria"/>
      <family val="1"/>
      <scheme val="major"/>
    </font>
    <font>
      <b/>
      <i/>
      <u/>
      <sz val="18"/>
      <color rgb="FFCC00FF"/>
      <name val="Cambria"/>
      <family val="1"/>
      <scheme val="maj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4"/>
      <color indexed="8"/>
      <name val="Times New Roman"/>
      <family val="1"/>
    </font>
    <font>
      <b/>
      <sz val="10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rgb="FF990033"/>
      <name val="Kruti Dev 010"/>
    </font>
    <font>
      <b/>
      <sz val="12"/>
      <color rgb="FF7030A0"/>
      <name val="Calibri"/>
      <family val="2"/>
      <scheme val="minor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i/>
      <u/>
      <sz val="16"/>
      <color rgb="FF0000FF"/>
      <name val="Calibri"/>
      <family val="2"/>
    </font>
    <font>
      <b/>
      <sz val="16"/>
      <color rgb="FF166D07"/>
      <name val="Calibri"/>
      <family val="2"/>
      <scheme val="minor"/>
    </font>
    <font>
      <b/>
      <sz val="12"/>
      <color rgb="FF400E3C"/>
      <name val="Calibri"/>
      <family val="2"/>
      <scheme val="minor"/>
    </font>
    <font>
      <b/>
      <i/>
      <u/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i/>
      <sz val="7.5"/>
      <name val="Times New Roman"/>
      <family val="1"/>
    </font>
    <font>
      <b/>
      <sz val="12"/>
      <color rgb="FF0000FF"/>
      <name val="Kruti Dev 010"/>
    </font>
    <font>
      <b/>
      <u/>
      <sz val="14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14"/>
      <color indexed="39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14"/>
      <color indexed="39"/>
      <name val="Calibri"/>
      <family val="2"/>
      <scheme val="minor"/>
    </font>
    <font>
      <b/>
      <u/>
      <sz val="13"/>
      <color indexed="14"/>
      <name val="Calibri"/>
      <family val="2"/>
      <scheme val="minor"/>
    </font>
    <font>
      <b/>
      <u/>
      <sz val="13"/>
      <color indexed="20"/>
      <name val="Calibri"/>
      <family val="2"/>
      <scheme val="minor"/>
    </font>
    <font>
      <b/>
      <u/>
      <sz val="14"/>
      <color indexed="14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4"/>
      <color rgb="FF0000FF"/>
      <name val="Calibri"/>
      <family val="2"/>
    </font>
    <font>
      <b/>
      <u/>
      <sz val="11"/>
      <color rgb="FF0000FF"/>
      <name val="Calibri"/>
      <family val="2"/>
    </font>
    <font>
      <b/>
      <sz val="14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.5"/>
      <name val="Kruti Dev 010"/>
    </font>
    <font>
      <b/>
      <sz val="13.5"/>
      <name val="Calibri"/>
      <family val="2"/>
      <scheme val="minor"/>
    </font>
    <font>
      <b/>
      <sz val="13.5"/>
      <color theme="1"/>
      <name val="Kruti Dev 010"/>
    </font>
    <font>
      <b/>
      <sz val="16"/>
      <color rgb="FFFF0000"/>
      <name val="Cambria"/>
      <family val="1"/>
      <scheme val="major"/>
    </font>
    <font>
      <b/>
      <sz val="13"/>
      <color rgb="FFFFFF00"/>
      <name val="Calibri"/>
      <family val="2"/>
      <scheme val="minor"/>
    </font>
    <font>
      <b/>
      <sz val="14"/>
      <color rgb="FFFFFF00"/>
      <name val="Cambria"/>
      <family val="1"/>
      <scheme val="major"/>
    </font>
    <font>
      <b/>
      <sz val="12"/>
      <color rgb="FFCC0099"/>
      <name val="Calibri"/>
      <family val="2"/>
      <scheme val="minor"/>
    </font>
    <font>
      <b/>
      <sz val="14"/>
      <color rgb="FF33CC33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2" tint="-9.9978637043366805E-2"/>
      <name val="DevLys 010"/>
    </font>
    <font>
      <sz val="14"/>
      <color theme="2" tint="-9.9978637043366805E-2"/>
      <name val="Calibri"/>
      <family val="2"/>
      <scheme val="minor"/>
    </font>
    <font>
      <sz val="14"/>
      <color theme="2" tint="-9.9978637043366805E-2"/>
      <name val="DevLys 010"/>
    </font>
    <font>
      <b/>
      <sz val="11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sz val="16"/>
      <color theme="2" tint="-9.9978637043366805E-2"/>
      <name val="Kruti Dev 010"/>
    </font>
    <font>
      <sz val="11"/>
      <color theme="2" tint="-9.9978637043366805E-2"/>
      <name val="Kruti Dev 010"/>
    </font>
    <font>
      <sz val="12"/>
      <color theme="2" tint="-9.9978637043366805E-2"/>
      <name val="Calibri"/>
      <family val="2"/>
      <scheme val="minor"/>
    </font>
    <font>
      <b/>
      <sz val="13.5"/>
      <color rgb="FFFF0000"/>
      <name val="Kruti Dev 010"/>
    </font>
    <font>
      <sz val="10.5"/>
      <name val="Kruti Dev 010"/>
    </font>
    <font>
      <i/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b/>
      <sz val="8.5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6"/>
      <color rgb="FFCC0099"/>
      <name val="Calibri"/>
      <family val="2"/>
    </font>
    <font>
      <b/>
      <u/>
      <sz val="14"/>
      <color rgb="FF002060"/>
      <name val="Calibri"/>
      <family val="2"/>
    </font>
  </fonts>
  <fills count="81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5" tint="0.40000610370189521"/>
        </stop>
        <stop position="1">
          <color theme="7" tint="-0.25098422193060094"/>
        </stop>
      </gradientFill>
    </fill>
    <fill>
      <gradientFill degree="90">
        <stop position="0">
          <color theme="7" tint="0.40000610370189521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9" tint="-0.25098422193060094"/>
        </stop>
        <stop position="1">
          <color theme="4"/>
        </stop>
      </gradientFill>
    </fill>
    <fill>
      <gradientFill degree="90">
        <stop position="0">
          <color theme="7" tint="0.40000610370189521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5" tint="0.40000610370189521"/>
        </stop>
        <stop position="1">
          <color theme="8" tint="-0.25098422193060094"/>
        </stop>
      </gradientFill>
    </fill>
    <fill>
      <gradientFill degree="90">
        <stop position="0">
          <color theme="9" tint="0.40000610370189521"/>
        </stop>
        <stop position="1">
          <color rgb="FF7030A0"/>
        </stop>
      </gradientFill>
    </fill>
    <fill>
      <gradientFill degree="90">
        <stop position="0">
          <color theme="8" tint="0.40000610370189521"/>
        </stop>
        <stop position="1">
          <color theme="6" tint="-0.25098422193060094"/>
        </stop>
      </gradientFill>
    </fill>
    <fill>
      <gradientFill degree="90">
        <stop position="0">
          <color rgb="FFFFC000"/>
        </stop>
        <stop position="1">
          <color theme="4"/>
        </stop>
      </gradient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2" tint="-0.49803155613879818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6" tint="-0.25098422193060094"/>
        </stop>
        <stop position="1">
          <color theme="7" tint="-0.25098422193060094"/>
        </stop>
      </gradientFill>
    </fill>
    <fill>
      <gradientFill degree="13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7" tint="-0.25098422193060094"/>
        </stop>
        <stop position="1">
          <color theme="8" tint="-0.25098422193060094"/>
        </stop>
      </gradientFill>
    </fill>
    <fill>
      <gradientFill type="path" left="0.5" right="0.5" top="0.5" bottom="0.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1">
          <color theme="3" tint="-0.25098422193060094"/>
        </stop>
      </gradientFill>
    </fill>
    <fill>
      <gradientFill degree="90">
        <stop position="0">
          <color rgb="FF002060"/>
        </stop>
        <stop position="1">
          <color theme="2"/>
        </stop>
      </gradient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rgb="FF400E3C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/>
        </stop>
        <stop position="1">
          <color rgb="FF400E3C"/>
        </stop>
      </gradientFill>
    </fill>
    <fill>
      <gradientFill degree="90">
        <stop position="0">
          <color theme="4" tint="-0.25098422193060094"/>
        </stop>
        <stop position="1">
          <color theme="6" tint="-0.25098422193060094"/>
        </stop>
      </gradient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gradientFill degree="90">
        <stop position="0">
          <color theme="9" tint="0.40000610370189521"/>
        </stop>
        <stop position="1">
          <color rgb="FF400E3C"/>
        </stop>
      </gradientFill>
    </fill>
    <fill>
      <gradientFill degree="45">
        <stop position="0">
          <color theme="5" tint="0.59999389629810485"/>
        </stop>
        <stop position="1">
          <color theme="8" tint="0.59999389629810485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5" tint="0.40000610370189521"/>
        </stop>
        <stop position="1">
          <color theme="6" tint="-0.25098422193060094"/>
        </stop>
      </gradientFill>
    </fill>
    <fill>
      <gradientFill degree="90">
        <stop position="0">
          <color theme="4" tint="0.59999389629810485"/>
        </stop>
        <stop position="1">
          <color rgb="FF400E3C"/>
        </stop>
      </gradientFill>
    </fill>
    <fill>
      <gradientFill degree="90">
        <stop position="0">
          <color theme="8" tint="-0.25098422193060094"/>
        </stop>
        <stop position="1">
          <color theme="3" tint="-0.25098422193060094"/>
        </stop>
      </gradientFill>
    </fill>
    <fill>
      <gradientFill degree="90">
        <stop position="0">
          <color theme="6"/>
        </stop>
        <stop position="1">
          <color theme="7" tint="-0.25098422193060094"/>
        </stop>
      </gradientFill>
    </fill>
    <fill>
      <gradientFill degree="90">
        <stop position="0">
          <color theme="4" tint="0.40000610370189521"/>
        </stop>
        <stop position="1">
          <color theme="6" tint="-0.25098422193060094"/>
        </stop>
      </gradientFill>
    </fill>
    <fill>
      <gradientFill degree="90">
        <stop position="0">
          <color theme="9" tint="-0.49803155613879818"/>
        </stop>
        <stop position="1">
          <color theme="7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A45C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5" tint="-0.249977111117893"/>
        <bgColor indexed="64"/>
      </patternFill>
    </fill>
    <fill>
      <gradientFill degree="90">
        <stop position="0">
          <color theme="7" tint="-0.25098422193060094"/>
        </stop>
        <stop position="1">
          <color rgb="FF33CC33"/>
        </stop>
      </gradientFill>
    </fill>
    <fill>
      <gradientFill degree="90">
        <stop position="0">
          <color rgb="FFFFFF00"/>
        </stop>
        <stop position="1">
          <color theme="9" tint="-0.25098422193060094"/>
        </stop>
      </gradientFill>
    </fill>
    <fill>
      <gradientFill degree="90">
        <stop position="0">
          <color rgb="FF400E3C"/>
        </stop>
        <stop position="1">
          <color rgb="FF33CC33"/>
        </stop>
      </gradientFill>
    </fill>
    <fill>
      <patternFill patternType="solid">
        <fgColor theme="7" tint="0.59999389629810485"/>
        <bgColor auto="1"/>
      </patternFill>
    </fill>
    <fill>
      <patternFill patternType="solid">
        <fgColor rgb="FFA5A5A5"/>
      </pattern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gradientFill type="path" left="0.5" right="0.5" top="0.5" bottom="0.5">
        <stop position="0">
          <color theme="5" tint="0.40000610370189521"/>
        </stop>
        <stop position="1">
          <color theme="6" tint="-0.49803155613879818"/>
        </stop>
      </gradientFill>
    </fill>
    <fill>
      <patternFill patternType="solid">
        <fgColor theme="9" tint="0.59999389629810485"/>
        <bgColor indexed="64"/>
      </patternFill>
    </fill>
  </fills>
  <borders count="100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thin">
        <color indexed="64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00FF"/>
      </top>
      <bottom/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double">
        <color rgb="FF00B050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3CC33"/>
      </top>
      <bottom/>
      <diagonal/>
    </border>
  </borders>
  <cellStyleXfs count="9"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146" fillId="0" borderId="0" applyNumberFormat="0" applyFill="0" applyBorder="0" applyAlignment="0" applyProtection="0">
      <alignment vertical="top"/>
      <protection locked="0"/>
    </xf>
    <xf numFmtId="0" fontId="211" fillId="77" borderId="98" applyNumberFormat="0" applyAlignment="0" applyProtection="0"/>
  </cellStyleXfs>
  <cellXfs count="838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right" vertical="center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wrapText="1"/>
      <protection hidden="1"/>
    </xf>
    <xf numFmtId="0" fontId="38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41" fillId="15" borderId="10" xfId="0" applyNumberFormat="1" applyFont="1" applyFill="1" applyBorder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wrapText="1"/>
      <protection hidden="1"/>
    </xf>
    <xf numFmtId="0" fontId="43" fillId="0" borderId="0" xfId="0" applyFont="1" applyAlignment="1" applyProtection="1">
      <alignment wrapText="1"/>
      <protection hidden="1"/>
    </xf>
    <xf numFmtId="0" fontId="37" fillId="16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" fontId="46" fillId="15" borderId="10" xfId="0" applyNumberFormat="1" applyFont="1" applyFill="1" applyBorder="1" applyAlignment="1" applyProtection="1">
      <alignment horizontal="center" vertical="center"/>
      <protection hidden="1"/>
    </xf>
    <xf numFmtId="16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0" fontId="8" fillId="9" borderId="1" xfId="0" applyFont="1" applyFill="1" applyBorder="1" applyAlignment="1" applyProtection="1">
      <alignment vertical="center"/>
      <protection locked="0"/>
    </xf>
    <xf numFmtId="0" fontId="50" fillId="20" borderId="1" xfId="0" applyFont="1" applyFill="1" applyBorder="1" applyAlignment="1" applyProtection="1">
      <alignment horizontal="center" vertical="center" wrapText="1"/>
      <protection hidden="1"/>
    </xf>
    <xf numFmtId="0" fontId="19" fillId="36" borderId="0" xfId="0" applyFont="1" applyFill="1" applyAlignment="1" applyProtection="1">
      <alignment horizontal="center" vertical="center"/>
      <protection hidden="1"/>
    </xf>
    <xf numFmtId="0" fontId="39" fillId="13" borderId="22" xfId="0" applyFont="1" applyFill="1" applyBorder="1" applyAlignment="1" applyProtection="1">
      <alignment horizontal="center" vertical="center"/>
      <protection hidden="1"/>
    </xf>
    <xf numFmtId="0" fontId="12" fillId="13" borderId="27" xfId="0" applyFont="1" applyFill="1" applyBorder="1" applyAlignment="1" applyProtection="1">
      <alignment horizontal="center" vertical="center"/>
      <protection hidden="1"/>
    </xf>
    <xf numFmtId="0" fontId="12" fillId="13" borderId="29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8" fillId="0" borderId="0" xfId="0" applyFont="1" applyProtection="1">
      <protection hidden="1"/>
    </xf>
    <xf numFmtId="0" fontId="73" fillId="0" borderId="0" xfId="0" applyFont="1" applyAlignment="1" applyProtection="1">
      <alignment wrapText="1"/>
      <protection hidden="1"/>
    </xf>
    <xf numFmtId="0" fontId="73" fillId="0" borderId="0" xfId="0" applyFont="1" applyAlignment="1" applyProtection="1">
      <alignment horizontal="center" vertical="center" wrapText="1"/>
      <protection hidden="1"/>
    </xf>
    <xf numFmtId="0" fontId="74" fillId="0" borderId="40" xfId="0" applyFont="1" applyBorder="1" applyAlignment="1" applyProtection="1">
      <alignment horizontal="center" vertical="center"/>
      <protection hidden="1"/>
    </xf>
    <xf numFmtId="0" fontId="58" fillId="0" borderId="0" xfId="0" applyFont="1" applyProtection="1">
      <protection hidden="1"/>
    </xf>
    <xf numFmtId="0" fontId="71" fillId="0" borderId="40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77" fillId="0" borderId="0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vertical="center"/>
      <protection hidden="1"/>
    </xf>
    <xf numFmtId="0" fontId="37" fillId="0" borderId="12" xfId="0" applyFont="1" applyBorder="1" applyAlignment="1" applyProtection="1">
      <alignment vertical="center" wrapText="1"/>
      <protection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78" fillId="0" borderId="0" xfId="0" applyFont="1" applyAlignment="1" applyProtection="1">
      <alignment horizontal="center" vertical="center"/>
      <protection hidden="1"/>
    </xf>
    <xf numFmtId="0" fontId="64" fillId="0" borderId="0" xfId="3" applyFont="1" applyBorder="1" applyAlignment="1" applyProtection="1">
      <alignment vertical="center"/>
      <protection hidden="1"/>
    </xf>
    <xf numFmtId="0" fontId="87" fillId="0" borderId="0" xfId="0" applyFont="1" applyAlignment="1" applyProtection="1">
      <alignment horizontal="right" vertical="center"/>
      <protection hidden="1"/>
    </xf>
    <xf numFmtId="0" fontId="60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109" fillId="0" borderId="0" xfId="3" applyFont="1" applyBorder="1" applyAlignment="1" applyProtection="1">
      <protection hidden="1"/>
    </xf>
    <xf numFmtId="0" fontId="110" fillId="0" borderId="0" xfId="3" applyFont="1" applyBorder="1" applyAlignment="1" applyProtection="1">
      <protection hidden="1"/>
    </xf>
    <xf numFmtId="0" fontId="111" fillId="0" borderId="0" xfId="3" applyFont="1" applyBorder="1" applyAlignment="1" applyProtection="1">
      <alignment horizontal="center" vertical="center"/>
      <protection hidden="1"/>
    </xf>
    <xf numFmtId="0" fontId="110" fillId="0" borderId="0" xfId="6" applyFont="1" applyAlignment="1" applyProtection="1">
      <protection hidden="1"/>
    </xf>
    <xf numFmtId="0" fontId="91" fillId="0" borderId="0" xfId="6" applyFont="1" applyProtection="1">
      <alignment vertical="center"/>
      <protection hidden="1"/>
    </xf>
    <xf numFmtId="0" fontId="113" fillId="0" borderId="0" xfId="3" applyFont="1" applyBorder="1" applyAlignment="1" applyProtection="1">
      <alignment horizontal="right"/>
      <protection hidden="1"/>
    </xf>
    <xf numFmtId="0" fontId="110" fillId="0" borderId="0" xfId="3" applyFont="1" applyBorder="1" applyAlignment="1" applyProtection="1">
      <alignment horizontal="right"/>
      <protection hidden="1"/>
    </xf>
    <xf numFmtId="0" fontId="109" fillId="0" borderId="0" xfId="3" applyFont="1" applyFill="1" applyBorder="1" applyAlignment="1" applyProtection="1">
      <protection hidden="1"/>
    </xf>
    <xf numFmtId="0" fontId="112" fillId="0" borderId="0" xfId="3" applyFont="1" applyFill="1" applyAlignment="1" applyProtection="1">
      <alignment vertical="top"/>
      <protection hidden="1"/>
    </xf>
    <xf numFmtId="0" fontId="110" fillId="0" borderId="0" xfId="6" applyFont="1" applyFill="1" applyAlignment="1" applyProtection="1">
      <protection hidden="1"/>
    </xf>
    <xf numFmtId="0" fontId="109" fillId="0" borderId="0" xfId="3" applyFont="1" applyFill="1" applyAlignment="1" applyProtection="1">
      <protection hidden="1"/>
    </xf>
    <xf numFmtId="0" fontId="110" fillId="0" borderId="0" xfId="3" applyFont="1" applyFill="1" applyBorder="1" applyAlignment="1" applyProtection="1">
      <protection hidden="1"/>
    </xf>
    <xf numFmtId="0" fontId="114" fillId="0" borderId="0" xfId="3" applyFont="1" applyFill="1" applyBorder="1" applyAlignment="1" applyProtection="1">
      <alignment vertical="center"/>
      <protection hidden="1"/>
    </xf>
    <xf numFmtId="0" fontId="110" fillId="0" borderId="0" xfId="3" applyFont="1" applyFill="1" applyAlignment="1" applyProtection="1">
      <protection hidden="1"/>
    </xf>
    <xf numFmtId="0" fontId="113" fillId="0" borderId="0" xfId="3" applyFont="1" applyFill="1" applyAlignment="1" applyProtection="1">
      <protection hidden="1"/>
    </xf>
    <xf numFmtId="0" fontId="109" fillId="38" borderId="0" xfId="3" applyFont="1" applyFill="1" applyAlignment="1" applyProtection="1">
      <protection hidden="1"/>
    </xf>
    <xf numFmtId="0" fontId="110" fillId="38" borderId="0" xfId="3" applyFont="1" applyFill="1" applyAlignment="1" applyProtection="1">
      <protection hidden="1"/>
    </xf>
    <xf numFmtId="0" fontId="110" fillId="38" borderId="0" xfId="6" applyFont="1" applyFill="1" applyAlignment="1" applyProtection="1">
      <protection hidden="1"/>
    </xf>
    <xf numFmtId="0" fontId="0" fillId="38" borderId="0" xfId="0" applyFill="1" applyAlignment="1" applyProtection="1">
      <protection hidden="1"/>
    </xf>
    <xf numFmtId="0" fontId="0" fillId="38" borderId="0" xfId="0" applyFill="1" applyProtection="1">
      <protection hidden="1"/>
    </xf>
    <xf numFmtId="0" fontId="113" fillId="38" borderId="0" xfId="3" applyFont="1" applyFill="1" applyAlignment="1" applyProtection="1">
      <alignment horizontal="right"/>
      <protection hidden="1"/>
    </xf>
    <xf numFmtId="0" fontId="110" fillId="38" borderId="0" xfId="3" applyFont="1" applyFill="1" applyAlignment="1" applyProtection="1">
      <alignment horizontal="right"/>
      <protection hidden="1"/>
    </xf>
    <xf numFmtId="0" fontId="113" fillId="38" borderId="0" xfId="3" applyFont="1" applyFill="1" applyAlignment="1" applyProtection="1">
      <protection hidden="1"/>
    </xf>
    <xf numFmtId="2" fontId="110" fillId="38" borderId="0" xfId="3" applyNumberFormat="1" applyFont="1" applyFill="1" applyAlignment="1" applyProtection="1">
      <alignment horizontal="right"/>
      <protection hidden="1"/>
    </xf>
    <xf numFmtId="0" fontId="109" fillId="0" borderId="0" xfId="3" applyFont="1" applyAlignment="1" applyProtection="1">
      <protection hidden="1"/>
    </xf>
    <xf numFmtId="0" fontId="110" fillId="0" borderId="0" xfId="3" applyFont="1" applyAlignment="1" applyProtection="1">
      <protection hidden="1"/>
    </xf>
    <xf numFmtId="0" fontId="113" fillId="0" borderId="0" xfId="3" applyFont="1" applyAlignment="1" applyProtection="1">
      <alignment horizontal="right"/>
      <protection hidden="1"/>
    </xf>
    <xf numFmtId="0" fontId="110" fillId="0" borderId="0" xfId="3" applyFont="1" applyAlignment="1" applyProtection="1">
      <alignment horizontal="right"/>
      <protection hidden="1"/>
    </xf>
    <xf numFmtId="0" fontId="66" fillId="0" borderId="0" xfId="0" applyFont="1" applyProtection="1">
      <protection hidden="1"/>
    </xf>
    <xf numFmtId="0" fontId="66" fillId="0" borderId="0" xfId="0" applyFont="1" applyAlignment="1" applyProtection="1">
      <protection hidden="1"/>
    </xf>
    <xf numFmtId="2" fontId="94" fillId="0" borderId="43" xfId="6" applyNumberFormat="1" applyFont="1" applyBorder="1" applyAlignment="1" applyProtection="1">
      <protection hidden="1"/>
    </xf>
    <xf numFmtId="0" fontId="15" fillId="0" borderId="0" xfId="0" applyFont="1" applyBorder="1" applyAlignment="1" applyProtection="1">
      <alignment vertical="top" wrapText="1"/>
      <protection hidden="1"/>
    </xf>
    <xf numFmtId="0" fontId="43" fillId="0" borderId="0" xfId="0" applyFont="1" applyProtection="1">
      <protection hidden="1"/>
    </xf>
    <xf numFmtId="0" fontId="132" fillId="0" borderId="0" xfId="0" applyFont="1" applyAlignment="1" applyProtection="1">
      <protection hidden="1"/>
    </xf>
    <xf numFmtId="0" fontId="133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60" fillId="0" borderId="0" xfId="0" applyFont="1" applyBorder="1" applyAlignment="1" applyProtection="1">
      <alignment vertical="center" wrapText="1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3" fillId="9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0" fontId="6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6" fillId="0" borderId="0" xfId="0" applyFont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7" fillId="4" borderId="0" xfId="0" applyFont="1" applyFill="1" applyBorder="1" applyAlignment="1" applyProtection="1">
      <alignment horizontal="right" vertical="center"/>
      <protection hidden="1"/>
    </xf>
    <xf numFmtId="49" fontId="7" fillId="4" borderId="0" xfId="0" applyNumberFormat="1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167" fontId="7" fillId="4" borderId="0" xfId="0" applyNumberFormat="1" applyFont="1" applyFill="1" applyBorder="1" applyAlignment="1" applyProtection="1">
      <alignment horizontal="left" vertical="center"/>
      <protection hidden="1"/>
    </xf>
    <xf numFmtId="3" fontId="7" fillId="4" borderId="0" xfId="0" applyNumberFormat="1" applyFont="1" applyFill="1" applyBorder="1" applyAlignment="1" applyProtection="1">
      <alignment horizontal="left" vertical="center"/>
      <protection hidden="1"/>
    </xf>
    <xf numFmtId="0" fontId="29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7" fillId="4" borderId="0" xfId="0" applyFont="1" applyFill="1" applyAlignment="1" applyProtection="1">
      <alignment horizontal="center" vertical="center" wrapText="1"/>
      <protection hidden="1"/>
    </xf>
    <xf numFmtId="0" fontId="28" fillId="2" borderId="0" xfId="0" applyFont="1" applyFill="1" applyProtection="1"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3" fillId="4" borderId="0" xfId="0" applyFont="1" applyFill="1" applyBorder="1" applyAlignment="1" applyProtection="1">
      <alignment horizontal="right" vertical="center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1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hidden="1"/>
    </xf>
    <xf numFmtId="0" fontId="5" fillId="21" borderId="1" xfId="0" applyFont="1" applyFill="1" applyBorder="1" applyAlignment="1" applyProtection="1">
      <alignment horizontal="center" vertical="center" wrapText="1"/>
      <protection hidden="1"/>
    </xf>
    <xf numFmtId="0" fontId="22" fillId="21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1" fontId="12" fillId="25" borderId="1" xfId="0" applyNumberFormat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2" fontId="24" fillId="0" borderId="0" xfId="0" applyNumberFormat="1" applyFont="1" applyFill="1" applyBorder="1" applyAlignment="1" applyProtection="1">
      <alignment vertical="center" wrapText="1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0" fillId="37" borderId="0" xfId="0" applyFill="1" applyProtection="1">
      <protection hidden="1"/>
    </xf>
    <xf numFmtId="0" fontId="0" fillId="48" borderId="0" xfId="0" applyFill="1" applyProtection="1">
      <protection hidden="1"/>
    </xf>
    <xf numFmtId="0" fontId="0" fillId="44" borderId="0" xfId="0" applyFill="1" applyProtection="1">
      <protection hidden="1"/>
    </xf>
    <xf numFmtId="0" fontId="0" fillId="45" borderId="0" xfId="0" applyFill="1" applyAlignment="1" applyProtection="1">
      <protection hidden="1"/>
    </xf>
    <xf numFmtId="0" fontId="7" fillId="38" borderId="10" xfId="0" applyFont="1" applyFill="1" applyBorder="1" applyAlignment="1" applyProtection="1">
      <alignment horizontal="center" vertical="center"/>
      <protection locked="0"/>
    </xf>
    <xf numFmtId="0" fontId="81" fillId="0" borderId="47" xfId="4" applyFont="1" applyBorder="1" applyAlignment="1" applyProtection="1">
      <alignment horizontal="center" vertical="center"/>
      <protection hidden="1"/>
    </xf>
    <xf numFmtId="0" fontId="81" fillId="0" borderId="48" xfId="4" applyFont="1" applyBorder="1" applyAlignment="1" applyProtection="1">
      <alignment horizontal="center" vertical="center"/>
      <protection hidden="1"/>
    </xf>
    <xf numFmtId="0" fontId="83" fillId="0" borderId="48" xfId="4" applyFont="1" applyBorder="1" applyAlignment="1" applyProtection="1">
      <alignment horizontal="right" vertical="center"/>
      <protection hidden="1"/>
    </xf>
    <xf numFmtId="0" fontId="84" fillId="0" borderId="0" xfId="4" applyFont="1" applyFill="1" applyBorder="1" applyAlignment="1" applyProtection="1">
      <alignment horizontal="center" vertical="center"/>
      <protection hidden="1"/>
    </xf>
    <xf numFmtId="1" fontId="81" fillId="0" borderId="43" xfId="4" applyNumberFormat="1" applyFont="1" applyBorder="1" applyAlignment="1" applyProtection="1">
      <alignment horizontal="right" vertical="center"/>
      <protection hidden="1"/>
    </xf>
    <xf numFmtId="1" fontId="5" fillId="0" borderId="51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0" fontId="81" fillId="0" borderId="53" xfId="4" applyFont="1" applyBorder="1" applyAlignment="1" applyProtection="1">
      <alignment horizontal="center" vertical="center"/>
      <protection hidden="1"/>
    </xf>
    <xf numFmtId="2" fontId="88" fillId="0" borderId="0" xfId="4" applyNumberFormat="1" applyFont="1" applyBorder="1" applyAlignment="1" applyProtection="1">
      <alignment horizontal="right" vertical="center"/>
      <protection hidden="1"/>
    </xf>
    <xf numFmtId="0" fontId="90" fillId="0" borderId="0" xfId="4" applyFont="1" applyBorder="1" applyAlignment="1" applyProtection="1">
      <alignment horizontal="center" vertical="center"/>
      <protection hidden="1"/>
    </xf>
    <xf numFmtId="0" fontId="93" fillId="0" borderId="0" xfId="4" applyFont="1" applyBorder="1" applyAlignment="1" applyProtection="1">
      <alignment horizontal="center" vertical="center"/>
      <protection hidden="1"/>
    </xf>
    <xf numFmtId="0" fontId="95" fillId="0" borderId="0" xfId="4" applyFont="1" applyBorder="1" applyAlignment="1" applyProtection="1">
      <alignment horizontal="left" vertical="center"/>
      <protection hidden="1"/>
    </xf>
    <xf numFmtId="0" fontId="97" fillId="0" borderId="0" xfId="4" applyFont="1" applyBorder="1" applyAlignment="1" applyProtection="1">
      <alignment horizontal="left" vertical="center"/>
      <protection hidden="1"/>
    </xf>
    <xf numFmtId="0" fontId="98" fillId="0" borderId="43" xfId="4" applyFont="1" applyBorder="1" applyAlignment="1" applyProtection="1">
      <alignment horizontal="center"/>
      <protection hidden="1"/>
    </xf>
    <xf numFmtId="0" fontId="81" fillId="0" borderId="43" xfId="4" applyFont="1" applyBorder="1" applyAlignment="1" applyProtection="1">
      <alignment horizontal="right"/>
      <protection hidden="1"/>
    </xf>
    <xf numFmtId="1" fontId="100" fillId="0" borderId="43" xfId="4" applyNumberFormat="1" applyFont="1" applyBorder="1" applyAlignment="1" applyProtection="1">
      <alignment horizontal="right"/>
      <protection hidden="1"/>
    </xf>
    <xf numFmtId="0" fontId="101" fillId="0" borderId="43" xfId="4" applyFont="1" applyBorder="1" applyAlignment="1" applyProtection="1">
      <alignment horizontal="center"/>
      <protection hidden="1"/>
    </xf>
    <xf numFmtId="0" fontId="88" fillId="0" borderId="0" xfId="4" applyFont="1" applyBorder="1" applyAlignment="1" applyProtection="1">
      <alignment horizontal="center" vertical="center"/>
      <protection hidden="1"/>
    </xf>
    <xf numFmtId="1" fontId="100" fillId="46" borderId="43" xfId="4" applyNumberFormat="1" applyFont="1" applyFill="1" applyBorder="1" applyAlignment="1" applyProtection="1">
      <alignment horizontal="right"/>
      <protection hidden="1"/>
    </xf>
    <xf numFmtId="1" fontId="104" fillId="0" borderId="43" xfId="4" applyNumberFormat="1" applyFont="1" applyBorder="1" applyAlignment="1" applyProtection="1">
      <alignment horizontal="right"/>
      <protection hidden="1"/>
    </xf>
    <xf numFmtId="1" fontId="88" fillId="0" borderId="51" xfId="4" applyNumberFormat="1" applyFont="1" applyBorder="1" applyAlignment="1" applyProtection="1">
      <alignment horizontal="right" vertical="center"/>
      <protection hidden="1"/>
    </xf>
    <xf numFmtId="1" fontId="82" fillId="0" borderId="51" xfId="4" applyNumberFormat="1" applyFont="1" applyBorder="1" applyAlignment="1" applyProtection="1">
      <alignment horizontal="right" vertical="center"/>
      <protection hidden="1"/>
    </xf>
    <xf numFmtId="2" fontId="107" fillId="0" borderId="0" xfId="4" applyNumberFormat="1" applyFont="1" applyBorder="1" applyAlignment="1" applyProtection="1">
      <alignment horizontal="right" vertical="center"/>
      <protection hidden="1"/>
    </xf>
    <xf numFmtId="0" fontId="90" fillId="0" borderId="0" xfId="4" applyFont="1" applyBorder="1" applyAlignment="1" applyProtection="1">
      <alignment horizontal="left" vertical="center"/>
      <protection hidden="1"/>
    </xf>
    <xf numFmtId="0" fontId="102" fillId="0" borderId="43" xfId="4" applyFont="1" applyBorder="1" applyAlignment="1" applyProtection="1">
      <alignment horizontal="right" vertical="center"/>
      <protection hidden="1"/>
    </xf>
    <xf numFmtId="0" fontId="95" fillId="0" borderId="51" xfId="4" applyFont="1" applyBorder="1" applyAlignment="1" applyProtection="1">
      <alignment vertical="center"/>
      <protection hidden="1"/>
    </xf>
    <xf numFmtId="0" fontId="95" fillId="0" borderId="0" xfId="4" applyFont="1" applyBorder="1" applyAlignment="1" applyProtection="1">
      <alignment vertical="center"/>
      <protection hidden="1"/>
    </xf>
    <xf numFmtId="9" fontId="83" fillId="0" borderId="43" xfId="4" applyNumberFormat="1" applyFont="1" applyBorder="1" applyAlignment="1" applyProtection="1">
      <alignment horizontal="center" vertical="center"/>
      <protection hidden="1"/>
    </xf>
    <xf numFmtId="1" fontId="107" fillId="0" borderId="51" xfId="4" applyNumberFormat="1" applyFont="1" applyBorder="1" applyAlignment="1" applyProtection="1">
      <alignment vertical="center"/>
      <protection hidden="1"/>
    </xf>
    <xf numFmtId="2" fontId="88" fillId="0" borderId="0" xfId="4" applyNumberFormat="1" applyFont="1" applyBorder="1" applyAlignment="1" applyProtection="1">
      <alignment vertical="center"/>
      <protection hidden="1"/>
    </xf>
    <xf numFmtId="0" fontId="83" fillId="0" borderId="43" xfId="4" applyFont="1" applyBorder="1" applyAlignment="1" applyProtection="1">
      <alignment horizontal="center" vertical="center"/>
      <protection hidden="1"/>
    </xf>
    <xf numFmtId="0" fontId="122" fillId="0" borderId="51" xfId="4" applyFont="1" applyBorder="1" applyAlignment="1" applyProtection="1">
      <alignment horizontal="center" vertical="center" wrapText="1"/>
      <protection hidden="1"/>
    </xf>
    <xf numFmtId="0" fontId="95" fillId="0" borderId="0" xfId="4" applyFont="1" applyBorder="1" applyAlignment="1" applyProtection="1">
      <alignment horizontal="center" vertical="center" wrapText="1"/>
      <protection hidden="1"/>
    </xf>
    <xf numFmtId="1" fontId="82" fillId="0" borderId="51" xfId="4" applyNumberFormat="1" applyFont="1" applyBorder="1" applyAlignment="1" applyProtection="1">
      <alignment vertical="center" wrapText="1"/>
      <protection hidden="1"/>
    </xf>
    <xf numFmtId="2" fontId="88" fillId="0" borderId="0" xfId="4" applyNumberFormat="1" applyFont="1" applyBorder="1" applyAlignment="1" applyProtection="1">
      <alignment horizontal="right" vertical="center" wrapText="1"/>
      <protection hidden="1"/>
    </xf>
    <xf numFmtId="0" fontId="81" fillId="0" borderId="55" xfId="4" applyFont="1" applyBorder="1" applyAlignment="1" applyProtection="1">
      <alignment horizontal="right" vertical="center"/>
      <protection hidden="1"/>
    </xf>
    <xf numFmtId="0" fontId="108" fillId="0" borderId="0" xfId="4" applyFont="1" applyBorder="1" applyAlignment="1" applyProtection="1">
      <alignment horizontal="right" vertical="center"/>
      <protection hidden="1"/>
    </xf>
    <xf numFmtId="0" fontId="81" fillId="0" borderId="0" xfId="4" applyFont="1" applyBorder="1" applyAlignment="1" applyProtection="1">
      <alignment horizontal="right" vertical="center"/>
      <protection hidden="1"/>
    </xf>
    <xf numFmtId="0" fontId="135" fillId="0" borderId="0" xfId="0" applyFont="1" applyProtection="1">
      <protection locked="0"/>
    </xf>
    <xf numFmtId="0" fontId="0" fillId="0" borderId="0" xfId="0" applyProtection="1">
      <protection locked="0"/>
    </xf>
    <xf numFmtId="0" fontId="43" fillId="0" borderId="0" xfId="0" applyFont="1" applyProtection="1">
      <protection locked="0"/>
    </xf>
    <xf numFmtId="0" fontId="60" fillId="0" borderId="0" xfId="0" applyFont="1" applyBorder="1" applyAlignment="1" applyProtection="1">
      <alignment vertical="center" wrapText="1"/>
      <protection locked="0"/>
    </xf>
    <xf numFmtId="0" fontId="134" fillId="0" borderId="0" xfId="0" applyFont="1" applyBorder="1" applyAlignment="1" applyProtection="1">
      <alignment vertical="center" wrapText="1"/>
      <protection locked="0"/>
    </xf>
    <xf numFmtId="1" fontId="40" fillId="23" borderId="10" xfId="0" applyNumberFormat="1" applyFont="1" applyFill="1" applyBorder="1" applyAlignment="1" applyProtection="1">
      <alignment horizontal="center" vertical="center"/>
      <protection locked="0"/>
    </xf>
    <xf numFmtId="1" fontId="40" fillId="13" borderId="10" xfId="0" applyNumberFormat="1" applyFont="1" applyFill="1" applyBorder="1" applyAlignment="1" applyProtection="1">
      <alignment horizontal="center" vertical="center"/>
      <protection locked="0"/>
    </xf>
    <xf numFmtId="1" fontId="12" fillId="13" borderId="10" xfId="0" applyNumberFormat="1" applyFont="1" applyFill="1" applyBorder="1" applyAlignment="1" applyProtection="1">
      <alignment horizontal="center" vertical="center"/>
      <protection locked="0"/>
    </xf>
    <xf numFmtId="1" fontId="12" fillId="13" borderId="30" xfId="0" applyNumberFormat="1" applyFont="1" applyFill="1" applyBorder="1" applyAlignment="1" applyProtection="1">
      <alignment horizontal="center" vertical="center"/>
      <protection locked="0"/>
    </xf>
    <xf numFmtId="0" fontId="40" fillId="34" borderId="24" xfId="0" applyFont="1" applyFill="1" applyBorder="1" applyAlignment="1" applyProtection="1">
      <alignment horizontal="center" vertical="center" wrapText="1"/>
      <protection locked="0"/>
    </xf>
    <xf numFmtId="0" fontId="39" fillId="35" borderId="14" xfId="0" applyFont="1" applyFill="1" applyBorder="1" applyAlignment="1" applyProtection="1">
      <alignment vertical="center" wrapText="1"/>
      <protection locked="0"/>
    </xf>
    <xf numFmtId="0" fontId="37" fillId="16" borderId="0" xfId="0" applyFont="1" applyFill="1" applyAlignment="1" applyProtection="1">
      <alignment wrapText="1"/>
      <protection hidden="1"/>
    </xf>
    <xf numFmtId="0" fontId="37" fillId="0" borderId="0" xfId="0" applyFont="1" applyAlignment="1" applyProtection="1">
      <alignment wrapText="1"/>
      <protection hidden="1"/>
    </xf>
    <xf numFmtId="0" fontId="153" fillId="0" borderId="0" xfId="0" applyFont="1" applyAlignment="1" applyProtection="1">
      <alignment horizontal="center" vertical="center"/>
      <protection hidden="1"/>
    </xf>
    <xf numFmtId="0" fontId="141" fillId="60" borderId="63" xfId="0" applyFont="1" applyFill="1" applyBorder="1" applyAlignment="1" applyProtection="1">
      <alignment horizontal="center" vertical="center"/>
      <protection hidden="1"/>
    </xf>
    <xf numFmtId="0" fontId="4" fillId="61" borderId="63" xfId="0" applyFont="1" applyFill="1" applyBorder="1" applyAlignment="1" applyProtection="1">
      <alignment horizontal="center" vertical="center"/>
      <protection hidden="1"/>
    </xf>
    <xf numFmtId="0" fontId="92" fillId="61" borderId="63" xfId="0" applyFont="1" applyFill="1" applyBorder="1" applyAlignment="1" applyProtection="1">
      <alignment horizontal="justify" vertical="justify" wrapText="1"/>
      <protection hidden="1"/>
    </xf>
    <xf numFmtId="0" fontId="29" fillId="64" borderId="65" xfId="0" applyFont="1" applyFill="1" applyBorder="1" applyAlignment="1" applyProtection="1">
      <alignment horizontal="center" vertical="top"/>
      <protection hidden="1"/>
    </xf>
    <xf numFmtId="0" fontId="92" fillId="62" borderId="63" xfId="0" applyFont="1" applyFill="1" applyBorder="1" applyAlignment="1" applyProtection="1">
      <alignment horizontal="justify" vertical="justify" wrapText="1"/>
      <protection hidden="1"/>
    </xf>
    <xf numFmtId="168" fontId="155" fillId="70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horizontal="center" vertical="center"/>
      <protection hidden="1"/>
    </xf>
    <xf numFmtId="0" fontId="78" fillId="0" borderId="71" xfId="0" applyFont="1" applyBorder="1" applyAlignment="1" applyProtection="1">
      <alignment horizontal="center" vertical="center"/>
      <protection hidden="1"/>
    </xf>
    <xf numFmtId="0" fontId="158" fillId="0" borderId="58" xfId="0" applyFont="1" applyBorder="1" applyAlignment="1" applyProtection="1">
      <alignment horizontal="center" vertical="center" wrapText="1"/>
      <protection hidden="1"/>
    </xf>
    <xf numFmtId="0" fontId="156" fillId="0" borderId="58" xfId="0" applyFont="1" applyBorder="1" applyAlignment="1" applyProtection="1">
      <alignment vertical="center" wrapText="1"/>
      <protection hidden="1"/>
    </xf>
    <xf numFmtId="0" fontId="164" fillId="0" borderId="0" xfId="0" applyFont="1" applyBorder="1" applyAlignment="1" applyProtection="1">
      <alignment horizontal="right" vertical="center" wrapText="1"/>
      <protection hidden="1"/>
    </xf>
    <xf numFmtId="2" fontId="159" fillId="0" borderId="0" xfId="0" applyNumberFormat="1" applyFont="1" applyBorder="1" applyAlignment="1" applyProtection="1">
      <alignment horizontal="center" vertical="center" wrapText="1"/>
      <protection hidden="1"/>
    </xf>
    <xf numFmtId="0" fontId="154" fillId="0" borderId="0" xfId="0" applyFont="1" applyBorder="1" applyAlignment="1" applyProtection="1">
      <alignment horizontal="right" vertical="center" wrapText="1"/>
      <protection hidden="1"/>
    </xf>
    <xf numFmtId="169" fontId="158" fillId="0" borderId="62" xfId="0" applyNumberFormat="1" applyFont="1" applyBorder="1" applyAlignment="1" applyProtection="1">
      <alignment horizontal="right" vertical="center" wrapText="1"/>
      <protection hidden="1"/>
    </xf>
    <xf numFmtId="0" fontId="158" fillId="0" borderId="62" xfId="0" applyFont="1" applyBorder="1" applyAlignment="1" applyProtection="1">
      <alignment horizontal="right" vertical="center" wrapText="1"/>
      <protection hidden="1"/>
    </xf>
    <xf numFmtId="0" fontId="158" fillId="0" borderId="62" xfId="0" applyFont="1" applyBorder="1" applyAlignment="1" applyProtection="1">
      <alignment horizontal="center" vertical="center" wrapText="1"/>
      <protection hidden="1"/>
    </xf>
    <xf numFmtId="2" fontId="158" fillId="0" borderId="6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71" xfId="0" applyBorder="1" applyAlignment="1" applyProtection="1">
      <alignment horizontal="center"/>
      <protection hidden="1"/>
    </xf>
    <xf numFmtId="169" fontId="160" fillId="14" borderId="89" xfId="0" applyNumberFormat="1" applyFont="1" applyFill="1" applyBorder="1" applyAlignment="1" applyProtection="1">
      <alignment vertical="center" wrapText="1"/>
      <protection hidden="1"/>
    </xf>
    <xf numFmtId="169" fontId="160" fillId="14" borderId="90" xfId="0" applyNumberFormat="1" applyFont="1" applyFill="1" applyBorder="1" applyAlignment="1" applyProtection="1">
      <alignment vertical="center" wrapText="1"/>
      <protection hidden="1"/>
    </xf>
    <xf numFmtId="1" fontId="160" fillId="0" borderId="0" xfId="0" applyNumberFormat="1" applyFont="1" applyBorder="1" applyAlignment="1" applyProtection="1">
      <alignment horizontal="center" vertical="center" wrapText="1"/>
      <protection hidden="1"/>
    </xf>
    <xf numFmtId="169" fontId="158" fillId="0" borderId="62" xfId="0" applyNumberFormat="1" applyFont="1" applyBorder="1" applyAlignment="1" applyProtection="1">
      <alignment horizontal="right" vertical="center" wrapText="1"/>
      <protection locked="0"/>
    </xf>
    <xf numFmtId="165" fontId="179" fillId="13" borderId="28" xfId="0" applyNumberFormat="1" applyFont="1" applyFill="1" applyBorder="1" applyAlignment="1" applyProtection="1">
      <alignment horizontal="center" vertical="center"/>
      <protection locked="0"/>
    </xf>
    <xf numFmtId="1" fontId="179" fillId="13" borderId="28" xfId="0" applyNumberFormat="1" applyFont="1" applyFill="1" applyBorder="1" applyAlignment="1" applyProtection="1">
      <alignment horizontal="center" vertical="center"/>
      <protection locked="0"/>
    </xf>
    <xf numFmtId="1" fontId="179" fillId="13" borderId="31" xfId="0" applyNumberFormat="1" applyFont="1" applyFill="1" applyBorder="1" applyAlignment="1" applyProtection="1">
      <alignment horizontal="center" vertical="center"/>
      <protection locked="0"/>
    </xf>
    <xf numFmtId="0" fontId="146" fillId="0" borderId="0" xfId="7" applyAlignment="1" applyProtection="1">
      <protection hidden="1"/>
    </xf>
    <xf numFmtId="0" fontId="181" fillId="0" borderId="84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2" fontId="88" fillId="71" borderId="74" xfId="4" applyNumberFormat="1" applyFont="1" applyFill="1" applyBorder="1" applyAlignment="1" applyProtection="1">
      <alignment vertical="center"/>
      <protection hidden="1"/>
    </xf>
    <xf numFmtId="2" fontId="88" fillId="71" borderId="77" xfId="4" applyNumberFormat="1" applyFont="1" applyFill="1" applyBorder="1" applyAlignment="1" applyProtection="1">
      <alignment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locked="0"/>
    </xf>
    <xf numFmtId="0" fontId="22" fillId="21" borderId="1" xfId="0" applyFont="1" applyFill="1" applyBorder="1" applyAlignment="1" applyProtection="1">
      <alignment horizontal="center" vertical="center" wrapText="1"/>
      <protection locked="0"/>
    </xf>
    <xf numFmtId="0" fontId="184" fillId="16" borderId="0" xfId="0" applyFont="1" applyFill="1" applyAlignment="1" applyProtection="1">
      <alignment horizontal="center" vertical="center"/>
      <protection hidden="1"/>
    </xf>
    <xf numFmtId="0" fontId="185" fillId="5" borderId="0" xfId="7" applyFont="1" applyFill="1" applyAlignment="1" applyProtection="1">
      <alignment horizontal="center" vertical="center" wrapText="1"/>
      <protection hidden="1"/>
    </xf>
    <xf numFmtId="164" fontId="186" fillId="12" borderId="3" xfId="0" applyNumberFormat="1" applyFont="1" applyFill="1" applyBorder="1" applyAlignment="1" applyProtection="1">
      <alignment horizontal="center" vertical="center"/>
      <protection locked="0"/>
    </xf>
    <xf numFmtId="164" fontId="186" fillId="12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hidden="1"/>
    </xf>
    <xf numFmtId="0" fontId="43" fillId="16" borderId="0" xfId="0" applyFont="1" applyFill="1" applyAlignment="1" applyProtection="1">
      <alignment wrapText="1"/>
      <protection hidden="1"/>
    </xf>
    <xf numFmtId="0" fontId="131" fillId="0" borderId="0" xfId="0" applyFont="1" applyProtection="1">
      <protection hidden="1"/>
    </xf>
    <xf numFmtId="0" fontId="131" fillId="0" borderId="0" xfId="0" applyFont="1" applyProtection="1">
      <protection locked="0"/>
    </xf>
    <xf numFmtId="1" fontId="131" fillId="0" borderId="0" xfId="0" applyNumberFormat="1" applyFont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1" fillId="4" borderId="0" xfId="0" applyFont="1" applyFill="1" applyBorder="1" applyAlignment="1" applyProtection="1">
      <alignment horizontal="center" vertical="center" wrapText="1"/>
      <protection hidden="1"/>
    </xf>
    <xf numFmtId="1" fontId="8" fillId="12" borderId="3" xfId="0" applyNumberFormat="1" applyFont="1" applyFill="1" applyBorder="1" applyAlignment="1" applyProtection="1">
      <alignment horizontal="center" vertical="center"/>
      <protection locked="0"/>
    </xf>
    <xf numFmtId="0" fontId="199" fillId="0" borderId="0" xfId="7" applyFont="1" applyAlignment="1" applyProtection="1">
      <alignment vertical="center"/>
      <protection hidden="1"/>
    </xf>
    <xf numFmtId="0" fontId="200" fillId="66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wrapText="1"/>
      <protection hidden="1"/>
    </xf>
    <xf numFmtId="0" fontId="72" fillId="0" borderId="10" xfId="0" applyFont="1" applyBorder="1" applyAlignment="1" applyProtection="1">
      <alignment horizontal="center" vertical="center" wrapText="1"/>
      <protection locked="0"/>
    </xf>
    <xf numFmtId="164" fontId="72" fillId="0" borderId="10" xfId="0" applyNumberFormat="1" applyFont="1" applyBorder="1" applyAlignment="1" applyProtection="1">
      <alignment horizontal="center" vertical="center" wrapText="1"/>
      <protection locked="0"/>
    </xf>
    <xf numFmtId="1" fontId="73" fillId="0" borderId="10" xfId="0" applyNumberFormat="1" applyFont="1" applyBorder="1" applyAlignment="1" applyProtection="1">
      <alignment horizontal="center" vertical="center" wrapText="1"/>
      <protection locked="0"/>
    </xf>
    <xf numFmtId="0" fontId="74" fillId="0" borderId="22" xfId="0" applyFont="1" applyBorder="1" applyAlignment="1" applyProtection="1">
      <alignment horizontal="right" vertical="center"/>
      <protection locked="0"/>
    </xf>
    <xf numFmtId="1" fontId="72" fillId="0" borderId="10" xfId="0" applyNumberFormat="1" applyFont="1" applyBorder="1" applyAlignment="1" applyProtection="1">
      <alignment horizontal="center" vertical="center"/>
      <protection locked="0"/>
    </xf>
    <xf numFmtId="165" fontId="163" fillId="0" borderId="39" xfId="0" applyNumberFormat="1" applyFont="1" applyBorder="1" applyAlignment="1" applyProtection="1">
      <alignment horizontal="center" vertical="center" wrapText="1"/>
      <protection locked="0"/>
    </xf>
    <xf numFmtId="1" fontId="74" fillId="0" borderId="22" xfId="0" applyNumberFormat="1" applyFont="1" applyBorder="1" applyAlignment="1" applyProtection="1">
      <alignment horizontal="center" vertical="center"/>
      <protection locked="0"/>
    </xf>
    <xf numFmtId="165" fontId="163" fillId="0" borderId="39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8" fillId="0" borderId="0" xfId="0" applyFont="1" applyBorder="1" applyAlignment="1" applyProtection="1">
      <alignment horizontal="center" vertical="center" wrapText="1"/>
      <protection locked="0"/>
    </xf>
    <xf numFmtId="0" fontId="38" fillId="0" borderId="0" xfId="0" applyNumberFormat="1" applyFont="1" applyBorder="1" applyAlignment="1" applyProtection="1">
      <alignment horizontal="center" vertical="center" wrapText="1"/>
      <protection locked="0"/>
    </xf>
    <xf numFmtId="0" fontId="72" fillId="0" borderId="4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199" fillId="0" borderId="0" xfId="7" applyFont="1" applyAlignment="1" applyProtection="1">
      <alignment horizontal="center" vertical="center" wrapText="1"/>
      <protection hidden="1"/>
    </xf>
    <xf numFmtId="0" fontId="208" fillId="0" borderId="0" xfId="7" applyFont="1" applyAlignment="1" applyProtection="1">
      <alignment horizontal="center" vertical="center"/>
      <protection hidden="1"/>
    </xf>
    <xf numFmtId="0" fontId="209" fillId="0" borderId="0" xfId="7" applyFont="1" applyAlignment="1" applyProtection="1">
      <alignment horizontal="center" vertical="center" wrapText="1"/>
      <protection hidden="1"/>
    </xf>
    <xf numFmtId="1" fontId="100" fillId="0" borderId="43" xfId="4" applyNumberFormat="1" applyFont="1" applyBorder="1" applyAlignment="1" applyProtection="1">
      <alignment horizontal="right"/>
      <protection locked="0"/>
    </xf>
    <xf numFmtId="0" fontId="7" fillId="76" borderId="10" xfId="0" applyFont="1" applyFill="1" applyBorder="1" applyAlignment="1" applyProtection="1">
      <alignment horizontal="center" vertical="center"/>
      <protection locked="0"/>
    </xf>
    <xf numFmtId="2" fontId="63" fillId="41" borderId="0" xfId="2" applyNumberFormat="1" applyFont="1" applyFill="1" applyBorder="1" applyAlignment="1" applyProtection="1">
      <alignment horizontal="left" vertical="center"/>
      <protection hidden="1"/>
    </xf>
    <xf numFmtId="2" fontId="126" fillId="39" borderId="0" xfId="1" applyNumberFormat="1" applyFont="1" applyFill="1" applyBorder="1" applyAlignment="1" applyProtection="1">
      <alignment horizontal="left" vertical="center" wrapText="1"/>
      <protection hidden="1"/>
    </xf>
    <xf numFmtId="0" fontId="0" fillId="43" borderId="0" xfId="0" applyFill="1" applyBorder="1" applyAlignment="1" applyProtection="1">
      <alignment horizontal="center"/>
      <protection hidden="1"/>
    </xf>
    <xf numFmtId="0" fontId="0" fillId="45" borderId="0" xfId="0" applyFill="1" applyBorder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16" borderId="10" xfId="0" applyFont="1" applyFill="1" applyBorder="1" applyAlignment="1" applyProtection="1">
      <alignment horizontal="center" vertical="center"/>
      <protection hidden="1"/>
    </xf>
    <xf numFmtId="0" fontId="3" fillId="9" borderId="58" xfId="0" applyFont="1" applyFill="1" applyBorder="1" applyAlignment="1" applyProtection="1">
      <alignment horizontal="center" vertical="center"/>
      <protection locked="0"/>
    </xf>
    <xf numFmtId="0" fontId="81" fillId="0" borderId="43" xfId="4" applyFont="1" applyBorder="1" applyAlignment="1" applyProtection="1">
      <alignment horizontal="right" vertical="center"/>
      <protection hidden="1"/>
    </xf>
    <xf numFmtId="0" fontId="82" fillId="0" borderId="43" xfId="4" applyFont="1" applyBorder="1" applyAlignment="1" applyProtection="1">
      <alignment horizontal="center" vertical="center"/>
      <protection hidden="1"/>
    </xf>
    <xf numFmtId="0" fontId="94" fillId="0" borderId="43" xfId="4" applyFont="1" applyBorder="1" applyAlignment="1" applyProtection="1">
      <alignment horizontal="center" vertical="center" wrapText="1"/>
      <protection hidden="1"/>
    </xf>
    <xf numFmtId="1" fontId="82" fillId="0" borderId="43" xfId="4" applyNumberFormat="1" applyFont="1" applyBorder="1" applyAlignment="1" applyProtection="1">
      <alignment horizontal="center"/>
      <protection hidden="1"/>
    </xf>
    <xf numFmtId="0" fontId="82" fillId="0" borderId="44" xfId="4" applyFont="1" applyBorder="1" applyAlignment="1" applyProtection="1">
      <alignment horizontal="center" vertical="center"/>
      <protection hidden="1"/>
    </xf>
    <xf numFmtId="0" fontId="117" fillId="0" borderId="0" xfId="0" applyFont="1" applyBorder="1" applyAlignment="1" applyProtection="1">
      <alignment horizontal="center" vertical="center" wrapText="1"/>
      <protection hidden="1"/>
    </xf>
    <xf numFmtId="0" fontId="171" fillId="0" borderId="0" xfId="0" applyFont="1" applyBorder="1" applyAlignment="1" applyProtection="1">
      <alignment horizontal="center" wrapText="1"/>
      <protection hidden="1"/>
    </xf>
    <xf numFmtId="0" fontId="159" fillId="0" borderId="0" xfId="0" applyFont="1" applyBorder="1" applyAlignment="1" applyProtection="1">
      <alignment horizontal="center" vertical="center" wrapText="1"/>
      <protection hidden="1"/>
    </xf>
    <xf numFmtId="0" fontId="159" fillId="0" borderId="62" xfId="0" applyFont="1" applyBorder="1" applyAlignment="1" applyProtection="1">
      <alignment horizontal="center" vertical="center" wrapText="1"/>
      <protection hidden="1"/>
    </xf>
    <xf numFmtId="0" fontId="171" fillId="0" borderId="0" xfId="0" applyFont="1" applyBorder="1" applyAlignment="1" applyProtection="1">
      <alignment horizontal="center" vertical="center" wrapText="1"/>
      <protection hidden="1"/>
    </xf>
    <xf numFmtId="0" fontId="158" fillId="0" borderId="80" xfId="0" applyFont="1" applyBorder="1" applyAlignment="1" applyProtection="1">
      <alignment horizontal="center" vertical="center" wrapText="1"/>
      <protection hidden="1"/>
    </xf>
    <xf numFmtId="0" fontId="156" fillId="0" borderId="80" xfId="0" applyFont="1" applyBorder="1" applyAlignment="1" applyProtection="1">
      <alignment horizontal="center" vertical="center" wrapText="1"/>
      <protection hidden="1"/>
    </xf>
    <xf numFmtId="49" fontId="158" fillId="0" borderId="58" xfId="0" applyNumberFormat="1" applyFont="1" applyBorder="1" applyAlignment="1" applyProtection="1">
      <alignment horizontal="center" vertical="center" wrapText="1"/>
      <protection locked="0"/>
    </xf>
    <xf numFmtId="49" fontId="158" fillId="0" borderId="58" xfId="0" applyNumberFormat="1" applyFont="1" applyBorder="1" applyAlignment="1" applyProtection="1">
      <alignment horizontal="center" vertical="center" wrapText="1"/>
      <protection hidden="1"/>
    </xf>
    <xf numFmtId="0" fontId="154" fillId="69" borderId="58" xfId="0" applyFont="1" applyFill="1" applyBorder="1" applyAlignment="1" applyProtection="1">
      <alignment horizontal="center" vertical="center" wrapText="1"/>
      <protection hidden="1"/>
    </xf>
    <xf numFmtId="168" fontId="154" fillId="0" borderId="71" xfId="0" applyNumberFormat="1" applyFont="1" applyBorder="1" applyAlignment="1" applyProtection="1">
      <alignment horizontal="center" vertical="center" wrapText="1"/>
      <protection hidden="1"/>
    </xf>
    <xf numFmtId="0" fontId="155" fillId="0" borderId="71" xfId="0" applyFont="1" applyFill="1" applyBorder="1" applyAlignment="1" applyProtection="1">
      <alignment horizontal="center" vertical="center" wrapText="1"/>
      <protection hidden="1"/>
    </xf>
    <xf numFmtId="0" fontId="154" fillId="67" borderId="71" xfId="0" applyFont="1" applyFill="1" applyBorder="1" applyAlignment="1" applyProtection="1">
      <alignment horizontal="center" vertical="center" wrapText="1"/>
      <protection locked="0"/>
    </xf>
    <xf numFmtId="0" fontId="154" fillId="0" borderId="71" xfId="0" applyFont="1" applyFill="1" applyBorder="1" applyAlignment="1" applyProtection="1">
      <alignment horizontal="center" vertical="center" wrapText="1"/>
      <protection hidden="1"/>
    </xf>
    <xf numFmtId="0" fontId="218" fillId="77" borderId="98" xfId="8" applyFont="1" applyAlignment="1" applyProtection="1">
      <alignment horizontal="center" vertical="center" wrapText="1"/>
      <protection locked="0"/>
    </xf>
    <xf numFmtId="0" fontId="219" fillId="4" borderId="0" xfId="0" applyFont="1" applyFill="1" applyBorder="1" applyAlignment="1" applyProtection="1">
      <alignment vertical="center" wrapText="1"/>
      <protection hidden="1"/>
    </xf>
    <xf numFmtId="0" fontId="222" fillId="0" borderId="0" xfId="0" applyFont="1" applyAlignment="1" applyProtection="1">
      <alignment wrapText="1"/>
      <protection hidden="1"/>
    </xf>
    <xf numFmtId="0" fontId="223" fillId="0" borderId="0" xfId="0" applyFont="1" applyFill="1" applyProtection="1">
      <protection hidden="1"/>
    </xf>
    <xf numFmtId="0" fontId="224" fillId="0" borderId="0" xfId="0" applyFont="1" applyAlignment="1" applyProtection="1">
      <alignment wrapText="1"/>
      <protection hidden="1"/>
    </xf>
    <xf numFmtId="0" fontId="225" fillId="0" borderId="0" xfId="0" applyFont="1" applyAlignment="1" applyProtection="1">
      <alignment wrapText="1"/>
      <protection hidden="1"/>
    </xf>
    <xf numFmtId="0" fontId="226" fillId="0" borderId="0" xfId="0" applyFont="1" applyAlignment="1" applyProtection="1">
      <alignment wrapText="1"/>
      <protection hidden="1"/>
    </xf>
    <xf numFmtId="0" fontId="225" fillId="0" borderId="0" xfId="0" applyFont="1" applyAlignment="1" applyProtection="1">
      <alignment horizontal="center" vertical="center" wrapText="1"/>
      <protection hidden="1"/>
    </xf>
    <xf numFmtId="0" fontId="225" fillId="0" borderId="0" xfId="0" applyFont="1" applyAlignment="1" applyProtection="1">
      <alignment horizontal="center" vertical="center"/>
      <protection hidden="1"/>
    </xf>
    <xf numFmtId="0" fontId="227" fillId="0" borderId="0" xfId="0" applyFont="1" applyFill="1" applyAlignment="1" applyProtection="1">
      <alignment wrapText="1"/>
      <protection hidden="1"/>
    </xf>
    <xf numFmtId="17" fontId="223" fillId="0" borderId="0" xfId="0" applyNumberFormat="1" applyFont="1" applyProtection="1">
      <protection hidden="1"/>
    </xf>
    <xf numFmtId="0" fontId="226" fillId="0" borderId="0" xfId="0" applyFont="1" applyAlignment="1" applyProtection="1">
      <alignment horizontal="center" vertical="center" wrapText="1"/>
      <protection hidden="1"/>
    </xf>
    <xf numFmtId="164" fontId="115" fillId="13" borderId="10" xfId="0" applyNumberFormat="1" applyFont="1" applyFill="1" applyBorder="1" applyAlignment="1" applyProtection="1">
      <alignment horizontal="center" vertical="center" wrapText="1"/>
      <protection locked="0"/>
    </xf>
    <xf numFmtId="1" fontId="137" fillId="14" borderId="10" xfId="0" applyNumberFormat="1" applyFont="1" applyFill="1" applyBorder="1" applyAlignment="1" applyProtection="1">
      <alignment horizontal="center" vertical="center"/>
      <protection locked="0"/>
    </xf>
    <xf numFmtId="1" fontId="187" fillId="15" borderId="10" xfId="0" applyNumberFormat="1" applyFont="1" applyFill="1" applyBorder="1" applyAlignment="1" applyProtection="1">
      <alignment horizontal="center" vertical="center"/>
      <protection hidden="1"/>
    </xf>
    <xf numFmtId="0" fontId="223" fillId="0" borderId="0" xfId="0" applyFont="1" applyProtection="1">
      <protection hidden="1"/>
    </xf>
    <xf numFmtId="17" fontId="223" fillId="0" borderId="0" xfId="0" applyNumberFormat="1" applyFont="1" applyFill="1" applyBorder="1" applyProtection="1">
      <protection hidden="1"/>
    </xf>
    <xf numFmtId="0" fontId="223" fillId="0" borderId="5" xfId="0" applyFont="1" applyFill="1" applyBorder="1" applyProtection="1">
      <protection hidden="1"/>
    </xf>
    <xf numFmtId="0" fontId="223" fillId="0" borderId="6" xfId="0" applyFont="1" applyFill="1" applyBorder="1" applyProtection="1">
      <protection hidden="1"/>
    </xf>
    <xf numFmtId="14" fontId="223" fillId="0" borderId="6" xfId="0" applyNumberFormat="1" applyFont="1" applyFill="1" applyBorder="1" applyProtection="1">
      <protection hidden="1"/>
    </xf>
    <xf numFmtId="0" fontId="223" fillId="0" borderId="7" xfId="0" applyFont="1" applyFill="1" applyBorder="1" applyProtection="1">
      <protection hidden="1"/>
    </xf>
    <xf numFmtId="0" fontId="223" fillId="0" borderId="0" xfId="0" applyFont="1" applyFill="1" applyBorder="1" applyProtection="1">
      <protection hidden="1"/>
    </xf>
    <xf numFmtId="0" fontId="223" fillId="0" borderId="8" xfId="0" applyFont="1" applyFill="1" applyBorder="1" applyProtection="1">
      <protection hidden="1"/>
    </xf>
    <xf numFmtId="1" fontId="223" fillId="0" borderId="0" xfId="0" applyNumberFormat="1" applyFont="1" applyFill="1" applyBorder="1" applyProtection="1">
      <protection hidden="1"/>
    </xf>
    <xf numFmtId="0" fontId="223" fillId="0" borderId="9" xfId="0" applyFont="1" applyFill="1" applyBorder="1" applyProtection="1">
      <protection hidden="1"/>
    </xf>
    <xf numFmtId="164" fontId="223" fillId="0" borderId="0" xfId="0" applyNumberFormat="1" applyFont="1" applyProtection="1">
      <protection hidden="1"/>
    </xf>
    <xf numFmtId="0" fontId="228" fillId="0" borderId="0" xfId="0" applyFont="1" applyFill="1" applyBorder="1" applyProtection="1">
      <protection hidden="1"/>
    </xf>
    <xf numFmtId="0" fontId="223" fillId="5" borderId="0" xfId="0" applyFont="1" applyFill="1" applyProtection="1">
      <protection hidden="1"/>
    </xf>
    <xf numFmtId="0" fontId="223" fillId="0" borderId="0" xfId="0" applyFont="1" applyFill="1" applyBorder="1" applyAlignment="1" applyProtection="1">
      <alignment horizontal="center" vertical="center"/>
      <protection hidden="1"/>
    </xf>
    <xf numFmtId="1" fontId="223" fillId="0" borderId="9" xfId="0" applyNumberFormat="1" applyFont="1" applyFill="1" applyBorder="1" applyProtection="1">
      <protection hidden="1"/>
    </xf>
    <xf numFmtId="14" fontId="223" fillId="0" borderId="0" xfId="0" applyNumberFormat="1" applyFont="1" applyFill="1" applyBorder="1" applyProtection="1">
      <protection hidden="1"/>
    </xf>
    <xf numFmtId="14" fontId="223" fillId="0" borderId="0" xfId="0" applyNumberFormat="1" applyFont="1" applyProtection="1">
      <protection hidden="1"/>
    </xf>
    <xf numFmtId="1" fontId="223" fillId="0" borderId="0" xfId="0" applyNumberFormat="1" applyFont="1" applyProtection="1">
      <protection hidden="1"/>
    </xf>
    <xf numFmtId="164" fontId="223" fillId="0" borderId="0" xfId="0" applyNumberFormat="1" applyFont="1" applyFill="1" applyBorder="1" applyProtection="1">
      <protection hidden="1"/>
    </xf>
    <xf numFmtId="1" fontId="227" fillId="0" borderId="0" xfId="0" applyNumberFormat="1" applyFont="1" applyFill="1" applyBorder="1" applyProtection="1">
      <protection hidden="1"/>
    </xf>
    <xf numFmtId="0" fontId="223" fillId="0" borderId="0" xfId="0" applyFont="1" applyBorder="1" applyProtection="1">
      <protection hidden="1"/>
    </xf>
    <xf numFmtId="0" fontId="229" fillId="0" borderId="0" xfId="0" applyFont="1" applyAlignment="1" applyProtection="1">
      <alignment wrapText="1"/>
      <protection hidden="1"/>
    </xf>
    <xf numFmtId="0" fontId="230" fillId="0" borderId="8" xfId="0" applyFont="1" applyFill="1" applyBorder="1" applyProtection="1">
      <protection hidden="1"/>
    </xf>
    <xf numFmtId="0" fontId="230" fillId="0" borderId="0" xfId="0" applyFont="1" applyBorder="1" applyProtection="1">
      <protection hidden="1"/>
    </xf>
    <xf numFmtId="0" fontId="230" fillId="0" borderId="0" xfId="0" applyFont="1" applyFill="1" applyBorder="1" applyProtection="1">
      <protection hidden="1"/>
    </xf>
    <xf numFmtId="0" fontId="230" fillId="0" borderId="9" xfId="0" applyFont="1" applyFill="1" applyBorder="1" applyProtection="1">
      <protection hidden="1"/>
    </xf>
    <xf numFmtId="0" fontId="230" fillId="0" borderId="0" xfId="0" applyFont="1" applyFill="1" applyProtection="1">
      <protection hidden="1"/>
    </xf>
    <xf numFmtId="14" fontId="230" fillId="0" borderId="0" xfId="0" applyNumberFormat="1" applyFont="1" applyFill="1" applyBorder="1" applyProtection="1">
      <protection hidden="1"/>
    </xf>
    <xf numFmtId="1" fontId="230" fillId="0" borderId="0" xfId="0" applyNumberFormat="1" applyFont="1" applyProtection="1">
      <protection hidden="1"/>
    </xf>
    <xf numFmtId="14" fontId="230" fillId="0" borderId="0" xfId="0" applyNumberFormat="1" applyFont="1" applyProtection="1">
      <protection hidden="1"/>
    </xf>
    <xf numFmtId="0" fontId="231" fillId="0" borderId="0" xfId="0" applyFont="1" applyAlignment="1" applyProtection="1">
      <protection hidden="1"/>
    </xf>
    <xf numFmtId="1" fontId="138" fillId="0" borderId="51" xfId="4" applyNumberFormat="1" applyFont="1" applyBorder="1" applyAlignment="1" applyProtection="1">
      <alignment horizontal="right" vertical="center"/>
      <protection hidden="1"/>
    </xf>
    <xf numFmtId="1" fontId="25" fillId="0" borderId="56" xfId="4" applyNumberFormat="1" applyFont="1" applyBorder="1" applyAlignment="1" applyProtection="1">
      <alignment horizontal="right" vertical="center"/>
      <protection hidden="1"/>
    </xf>
    <xf numFmtId="169" fontId="159" fillId="14" borderId="82" xfId="0" applyNumberFormat="1" applyFont="1" applyFill="1" applyBorder="1" applyAlignment="1" applyProtection="1">
      <alignment vertical="center" wrapText="1"/>
      <protection hidden="1"/>
    </xf>
    <xf numFmtId="169" fontId="159" fillId="14" borderId="83" xfId="0" applyNumberFormat="1" applyFont="1" applyFill="1" applyBorder="1" applyAlignment="1" applyProtection="1">
      <alignment vertical="center" wrapText="1"/>
      <protection hidden="1"/>
    </xf>
    <xf numFmtId="169" fontId="159" fillId="14" borderId="84" xfId="0" applyNumberFormat="1" applyFont="1" applyFill="1" applyBorder="1" applyAlignment="1" applyProtection="1">
      <alignment vertical="center" wrapText="1"/>
      <protection hidden="1"/>
    </xf>
    <xf numFmtId="169" fontId="159" fillId="14" borderId="85" xfId="0" applyNumberFormat="1" applyFont="1" applyFill="1" applyBorder="1" applyAlignment="1" applyProtection="1">
      <alignment vertical="center" wrapText="1"/>
      <protection hidden="1"/>
    </xf>
    <xf numFmtId="0" fontId="235" fillId="0" borderId="62" xfId="0" applyFont="1" applyBorder="1" applyAlignment="1" applyProtection="1">
      <alignment horizontal="center" vertical="center" wrapText="1"/>
      <protection hidden="1"/>
    </xf>
    <xf numFmtId="0" fontId="175" fillId="0" borderId="66" xfId="0" applyFont="1" applyBorder="1" applyAlignment="1" applyProtection="1">
      <alignment horizontal="right" vertical="center" wrapText="1"/>
      <protection hidden="1"/>
    </xf>
    <xf numFmtId="169" fontId="154" fillId="0" borderId="84" xfId="0" applyNumberFormat="1" applyFont="1" applyFill="1" applyBorder="1" applyAlignment="1" applyProtection="1">
      <alignment vertical="center" wrapText="1"/>
      <protection hidden="1"/>
    </xf>
    <xf numFmtId="169" fontId="154" fillId="0" borderId="85" xfId="0" applyNumberFormat="1" applyFont="1" applyFill="1" applyBorder="1" applyAlignment="1" applyProtection="1">
      <alignment vertical="center" wrapText="1"/>
      <protection hidden="1"/>
    </xf>
    <xf numFmtId="169" fontId="154" fillId="0" borderId="86" xfId="0" applyNumberFormat="1" applyFont="1" applyFill="1" applyBorder="1" applyAlignment="1" applyProtection="1">
      <alignment vertical="center" wrapText="1"/>
      <protection hidden="1"/>
    </xf>
    <xf numFmtId="169" fontId="154" fillId="0" borderId="87" xfId="0" applyNumberFormat="1" applyFont="1" applyFill="1" applyBorder="1" applyAlignment="1" applyProtection="1">
      <alignment vertical="center" wrapText="1"/>
      <protection hidden="1"/>
    </xf>
    <xf numFmtId="169" fontId="159" fillId="14" borderId="86" xfId="0" applyNumberFormat="1" applyFont="1" applyFill="1" applyBorder="1" applyAlignment="1" applyProtection="1">
      <alignment vertical="center" wrapText="1"/>
      <protection hidden="1"/>
    </xf>
    <xf numFmtId="169" fontId="159" fillId="14" borderId="87" xfId="0" applyNumberFormat="1" applyFont="1" applyFill="1" applyBorder="1" applyAlignment="1" applyProtection="1">
      <alignment vertical="center" wrapText="1"/>
      <protection hidden="1"/>
    </xf>
    <xf numFmtId="0" fontId="236" fillId="0" borderId="10" xfId="0" applyFont="1" applyBorder="1" applyAlignment="1" applyProtection="1">
      <alignment horizontal="center" vertical="center" wrapText="1"/>
      <protection locked="0"/>
    </xf>
    <xf numFmtId="0" fontId="147" fillId="51" borderId="0" xfId="7" applyFont="1" applyFill="1" applyAlignment="1" applyProtection="1">
      <alignment horizontal="center" vertical="center"/>
      <protection hidden="1"/>
    </xf>
    <xf numFmtId="0" fontId="183" fillId="16" borderId="0" xfId="0" applyFont="1" applyFill="1" applyAlignment="1" applyProtection="1">
      <alignment horizontal="center" vertical="center" wrapText="1"/>
      <protection hidden="1"/>
    </xf>
    <xf numFmtId="0" fontId="147" fillId="67" borderId="8" xfId="7" applyFont="1" applyFill="1" applyBorder="1" applyAlignment="1" applyProtection="1">
      <alignment horizontal="center"/>
      <protection hidden="1"/>
    </xf>
    <xf numFmtId="0" fontId="148" fillId="67" borderId="9" xfId="0" applyFont="1" applyFill="1" applyBorder="1" applyAlignment="1" applyProtection="1">
      <alignment horizontal="center"/>
      <protection hidden="1"/>
    </xf>
    <xf numFmtId="0" fontId="149" fillId="67" borderId="11" xfId="0" applyFont="1" applyFill="1" applyBorder="1" applyAlignment="1" applyProtection="1">
      <alignment horizontal="center"/>
      <protection hidden="1"/>
    </xf>
    <xf numFmtId="0" fontId="149" fillId="67" borderId="13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3" fillId="5" borderId="1" xfId="0" applyFont="1" applyFill="1" applyBorder="1" applyAlignment="1" applyProtection="1">
      <alignment horizontal="left" vertical="top" wrapText="1"/>
      <protection hidden="1"/>
    </xf>
    <xf numFmtId="0" fontId="152" fillId="67" borderId="5" xfId="0" applyFont="1" applyFill="1" applyBorder="1" applyAlignment="1" applyProtection="1">
      <alignment horizontal="center"/>
      <protection hidden="1"/>
    </xf>
    <xf numFmtId="0" fontId="152" fillId="67" borderId="7" xfId="0" applyFont="1" applyFill="1" applyBorder="1" applyAlignment="1" applyProtection="1">
      <alignment horizontal="center"/>
      <protection hidden="1"/>
    </xf>
    <xf numFmtId="0" fontId="151" fillId="67" borderId="8" xfId="0" applyFont="1" applyFill="1" applyBorder="1" applyAlignment="1" applyProtection="1">
      <alignment horizontal="center"/>
      <protection hidden="1"/>
    </xf>
    <xf numFmtId="0" fontId="151" fillId="67" borderId="9" xfId="0" applyFont="1" applyFill="1" applyBorder="1" applyAlignment="1" applyProtection="1">
      <alignment horizontal="center"/>
      <protection hidden="1"/>
    </xf>
    <xf numFmtId="0" fontId="150" fillId="67" borderId="8" xfId="0" applyFont="1" applyFill="1" applyBorder="1" applyAlignment="1" applyProtection="1">
      <alignment horizontal="center"/>
      <protection hidden="1"/>
    </xf>
    <xf numFmtId="0" fontId="150" fillId="67" borderId="9" xfId="0" applyFont="1" applyFill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199" fillId="0" borderId="0" xfId="7" applyFont="1" applyAlignment="1" applyProtection="1">
      <alignment horizontal="right" vertical="center"/>
      <protection hidden="1"/>
    </xf>
    <xf numFmtId="0" fontId="144" fillId="59" borderId="62" xfId="0" applyFont="1" applyFill="1" applyBorder="1" applyAlignment="1" applyProtection="1">
      <alignment horizontal="center" vertical="top" wrapText="1"/>
      <protection hidden="1"/>
    </xf>
    <xf numFmtId="0" fontId="0" fillId="63" borderId="62" xfId="0" applyFill="1" applyBorder="1" applyAlignment="1" applyProtection="1">
      <alignment horizontal="center"/>
      <protection hidden="1"/>
    </xf>
    <xf numFmtId="0" fontId="0" fillId="63" borderId="64" xfId="0" applyFill="1" applyBorder="1" applyAlignment="1" applyProtection="1">
      <alignment horizontal="center"/>
      <protection hidden="1"/>
    </xf>
    <xf numFmtId="0" fontId="92" fillId="61" borderId="66" xfId="0" applyFont="1" applyFill="1" applyBorder="1" applyAlignment="1" applyProtection="1">
      <alignment horizontal="justify" vertical="center" wrapText="1"/>
      <protection hidden="1"/>
    </xf>
    <xf numFmtId="0" fontId="92" fillId="61" borderId="63" xfId="0" applyFont="1" applyFill="1" applyBorder="1" applyAlignment="1" applyProtection="1">
      <alignment horizontal="justify" vertical="center" wrapText="1"/>
      <protection hidden="1"/>
    </xf>
    <xf numFmtId="0" fontId="51" fillId="65" borderId="66" xfId="0" applyFont="1" applyFill="1" applyBorder="1" applyAlignment="1" applyProtection="1">
      <alignment horizontal="center" vertical="center"/>
      <protection hidden="1"/>
    </xf>
    <xf numFmtId="0" fontId="51" fillId="65" borderId="63" xfId="0" applyFont="1" applyFill="1" applyBorder="1" applyAlignment="1" applyProtection="1">
      <alignment horizontal="center" vertical="center"/>
      <protection hidden="1"/>
    </xf>
    <xf numFmtId="0" fontId="0" fillId="0" borderId="70" xfId="0" applyBorder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7" fillId="8" borderId="19" xfId="0" applyFont="1" applyFill="1" applyBorder="1" applyAlignment="1" applyProtection="1">
      <alignment horizontal="right" vertical="center"/>
      <protection hidden="1"/>
    </xf>
    <xf numFmtId="0" fontId="7" fillId="31" borderId="19" xfId="0" applyFont="1" applyFill="1" applyBorder="1" applyAlignment="1" applyProtection="1">
      <alignment horizontal="left" vertical="center"/>
      <protection locked="0"/>
    </xf>
    <xf numFmtId="0" fontId="7" fillId="7" borderId="19" xfId="0" applyFont="1" applyFill="1" applyBorder="1" applyAlignment="1" applyProtection="1">
      <alignment horizontal="right" vertical="center"/>
      <protection hidden="1"/>
    </xf>
    <xf numFmtId="0" fontId="7" fillId="6" borderId="19" xfId="0" applyFont="1" applyFill="1" applyBorder="1" applyAlignment="1" applyProtection="1">
      <alignment horizontal="left" vertical="center"/>
      <protection locked="0"/>
    </xf>
    <xf numFmtId="49" fontId="7" fillId="6" borderId="19" xfId="0" applyNumberFormat="1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1" fontId="7" fillId="6" borderId="19" xfId="0" applyNumberFormat="1" applyFont="1" applyFill="1" applyBorder="1" applyAlignment="1" applyProtection="1">
      <alignment horizontal="left" vertical="center"/>
      <protection locked="0"/>
    </xf>
    <xf numFmtId="17" fontId="54" fillId="49" borderId="58" xfId="0" applyNumberFormat="1" applyFont="1" applyFill="1" applyBorder="1" applyAlignment="1" applyProtection="1">
      <alignment horizontal="center" vertical="center"/>
      <protection hidden="1"/>
    </xf>
    <xf numFmtId="0" fontId="30" fillId="30" borderId="1" xfId="0" applyFont="1" applyFill="1" applyBorder="1" applyAlignment="1" applyProtection="1">
      <alignment horizontal="right" vertical="center"/>
      <protection hidden="1"/>
    </xf>
    <xf numFmtId="0" fontId="29" fillId="27" borderId="1" xfId="0" applyFont="1" applyFill="1" applyBorder="1" applyAlignment="1" applyProtection="1">
      <alignment horizontal="right" vertical="center"/>
      <protection hidden="1"/>
    </xf>
    <xf numFmtId="0" fontId="30" fillId="28" borderId="1" xfId="0" applyFont="1" applyFill="1" applyBorder="1" applyAlignment="1" applyProtection="1">
      <alignment horizontal="right" vertical="center"/>
      <protection hidden="1"/>
    </xf>
    <xf numFmtId="0" fontId="49" fillId="19" borderId="3" xfId="0" applyFont="1" applyFill="1" applyBorder="1" applyAlignment="1" applyProtection="1">
      <alignment horizontal="right" vertical="center" wrapText="1"/>
      <protection hidden="1"/>
    </xf>
    <xf numFmtId="0" fontId="49" fillId="19" borderId="69" xfId="0" applyFont="1" applyFill="1" applyBorder="1" applyAlignment="1" applyProtection="1">
      <alignment horizontal="right" vertical="center" wrapText="1"/>
      <protection hidden="1"/>
    </xf>
    <xf numFmtId="0" fontId="49" fillId="19" borderId="4" xfId="0" applyFont="1" applyFill="1" applyBorder="1" applyAlignment="1" applyProtection="1">
      <alignment horizontal="right" vertical="center" wrapText="1"/>
      <protection hidden="1"/>
    </xf>
    <xf numFmtId="0" fontId="60" fillId="74" borderId="0" xfId="0" applyFont="1" applyFill="1" applyBorder="1" applyAlignment="1" applyProtection="1">
      <alignment horizontal="center" vertical="center" wrapText="1"/>
      <protection hidden="1"/>
    </xf>
    <xf numFmtId="0" fontId="198" fillId="75" borderId="67" xfId="0" applyFont="1" applyFill="1" applyBorder="1" applyAlignment="1" applyProtection="1">
      <alignment horizontal="center" vertical="center"/>
      <protection hidden="1"/>
    </xf>
    <xf numFmtId="0" fontId="198" fillId="75" borderId="0" xfId="0" applyFont="1" applyFill="1" applyAlignment="1" applyProtection="1">
      <alignment horizontal="center" vertical="center"/>
      <protection hidden="1"/>
    </xf>
    <xf numFmtId="0" fontId="7" fillId="11" borderId="1" xfId="0" applyFont="1" applyFill="1" applyBorder="1" applyAlignment="1" applyProtection="1">
      <alignment horizontal="right" vertical="center"/>
      <protection hidden="1"/>
    </xf>
    <xf numFmtId="0" fontId="30" fillId="29" borderId="1" xfId="0" applyFont="1" applyFill="1" applyBorder="1" applyAlignment="1" applyProtection="1">
      <alignment horizontal="right" vertical="center"/>
      <protection hidden="1"/>
    </xf>
    <xf numFmtId="0" fontId="34" fillId="57" borderId="59" xfId="0" applyFont="1" applyFill="1" applyBorder="1" applyAlignment="1" applyProtection="1">
      <alignment horizontal="center" vertical="center"/>
      <protection hidden="1"/>
    </xf>
    <xf numFmtId="0" fontId="34" fillId="57" borderId="60" xfId="0" applyFont="1" applyFill="1" applyBorder="1" applyAlignment="1" applyProtection="1">
      <alignment horizontal="center" vertical="center"/>
      <protection hidden="1"/>
    </xf>
    <xf numFmtId="0" fontId="34" fillId="57" borderId="61" xfId="0" applyFont="1" applyFill="1" applyBorder="1" applyAlignment="1" applyProtection="1">
      <alignment horizontal="center" vertical="center"/>
      <protection hidden="1"/>
    </xf>
    <xf numFmtId="0" fontId="7" fillId="6" borderId="19" xfId="0" applyNumberFormat="1" applyFont="1" applyFill="1" applyBorder="1" applyAlignment="1" applyProtection="1">
      <alignment horizontal="left" vertical="center"/>
      <protection locked="0"/>
    </xf>
    <xf numFmtId="167" fontId="7" fillId="6" borderId="19" xfId="0" applyNumberFormat="1" applyFont="1" applyFill="1" applyBorder="1" applyAlignment="1" applyProtection="1">
      <alignment horizontal="left" vertical="center"/>
      <protection locked="0"/>
    </xf>
    <xf numFmtId="0" fontId="215" fillId="78" borderId="58" xfId="0" applyFont="1" applyFill="1" applyBorder="1" applyAlignment="1" applyProtection="1">
      <alignment horizontal="center" vertical="center" wrapText="1"/>
      <protection hidden="1"/>
    </xf>
    <xf numFmtId="0" fontId="29" fillId="73" borderId="0" xfId="0" applyFont="1" applyFill="1" applyBorder="1" applyAlignment="1" applyProtection="1">
      <alignment horizontal="center"/>
      <protection hidden="1"/>
    </xf>
    <xf numFmtId="0" fontId="34" fillId="10" borderId="92" xfId="0" applyFont="1" applyFill="1" applyBorder="1" applyAlignment="1" applyProtection="1">
      <alignment horizontal="center" vertical="center"/>
      <protection hidden="1"/>
    </xf>
    <xf numFmtId="0" fontId="34" fillId="10" borderId="20" xfId="0" applyFont="1" applyFill="1" applyBorder="1" applyAlignment="1" applyProtection="1">
      <alignment horizontal="center" vertical="center"/>
      <protection hidden="1"/>
    </xf>
    <xf numFmtId="0" fontId="239" fillId="72" borderId="93" xfId="7" applyFont="1" applyFill="1" applyBorder="1" applyAlignment="1" applyProtection="1">
      <alignment horizontal="center" vertical="center"/>
      <protection hidden="1"/>
    </xf>
    <xf numFmtId="0" fontId="64" fillId="72" borderId="94" xfId="0" applyFont="1" applyFill="1" applyBorder="1" applyAlignment="1" applyProtection="1">
      <alignment horizontal="center" vertical="center"/>
      <protection hidden="1"/>
    </xf>
    <xf numFmtId="0" fontId="64" fillId="72" borderId="95" xfId="0" applyFont="1" applyFill="1" applyBorder="1" applyAlignment="1" applyProtection="1">
      <alignment horizontal="center" vertical="center"/>
      <protection hidden="1"/>
    </xf>
    <xf numFmtId="0" fontId="53" fillId="26" borderId="0" xfId="0" applyFont="1" applyFill="1" applyAlignment="1" applyProtection="1">
      <alignment horizontal="center" vertical="center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52" fillId="3" borderId="21" xfId="0" applyFont="1" applyFill="1" applyBorder="1" applyAlignment="1" applyProtection="1">
      <alignment horizontal="center" vertical="center"/>
      <protection hidden="1"/>
    </xf>
    <xf numFmtId="0" fontId="51" fillId="17" borderId="21" xfId="0" applyFont="1" applyFill="1" applyBorder="1" applyAlignment="1" applyProtection="1">
      <alignment horizontal="center" vertical="center" wrapText="1"/>
      <protection hidden="1"/>
    </xf>
    <xf numFmtId="0" fontId="48" fillId="18" borderId="58" xfId="0" applyFont="1" applyFill="1" applyBorder="1" applyAlignment="1" applyProtection="1">
      <alignment horizontal="center" vertical="center" wrapText="1"/>
      <protection hidden="1"/>
    </xf>
    <xf numFmtId="3" fontId="7" fillId="6" borderId="19" xfId="0" applyNumberFormat="1" applyFont="1" applyFill="1" applyBorder="1" applyAlignment="1" applyProtection="1">
      <alignment horizontal="left" vertical="center"/>
      <protection locked="0"/>
    </xf>
    <xf numFmtId="0" fontId="238" fillId="2" borderId="0" xfId="7" applyFont="1" applyFill="1" applyAlignment="1" applyProtection="1">
      <alignment horizontal="center" vertical="top"/>
      <protection hidden="1"/>
    </xf>
    <xf numFmtId="0" fontId="216" fillId="2" borderId="0" xfId="0" applyFont="1" applyFill="1" applyAlignment="1" applyProtection="1">
      <alignment horizontal="center" vertical="center" wrapText="1"/>
      <protection hidden="1"/>
    </xf>
    <xf numFmtId="0" fontId="217" fillId="4" borderId="99" xfId="0" applyFont="1" applyFill="1" applyBorder="1" applyAlignment="1" applyProtection="1">
      <alignment horizontal="right" vertical="center" wrapText="1"/>
      <protection hidden="1"/>
    </xf>
    <xf numFmtId="0" fontId="220" fillId="78" borderId="0" xfId="0" applyFont="1" applyFill="1" applyAlignment="1" applyProtection="1">
      <alignment horizontal="center" vertical="center" wrapText="1"/>
      <protection hidden="1"/>
    </xf>
    <xf numFmtId="0" fontId="3" fillId="9" borderId="58" xfId="0" applyFont="1" applyFill="1" applyBorder="1" applyAlignment="1" applyProtection="1">
      <alignment horizontal="center" vertical="center"/>
      <protection locked="0"/>
    </xf>
    <xf numFmtId="0" fontId="56" fillId="2" borderId="0" xfId="0" applyFont="1" applyFill="1" applyAlignment="1" applyProtection="1">
      <alignment horizontal="center" vertical="center"/>
      <protection hidden="1"/>
    </xf>
    <xf numFmtId="0" fontId="30" fillId="29" borderId="15" xfId="0" applyFont="1" applyFill="1" applyBorder="1" applyAlignment="1" applyProtection="1">
      <alignment horizontal="right" vertical="center"/>
      <protection hidden="1"/>
    </xf>
    <xf numFmtId="0" fontId="30" fillId="29" borderId="16" xfId="0" applyFont="1" applyFill="1" applyBorder="1" applyAlignment="1" applyProtection="1">
      <alignment horizontal="right" vertical="center"/>
      <protection hidden="1"/>
    </xf>
    <xf numFmtId="0" fontId="30" fillId="29" borderId="17" xfId="0" applyFont="1" applyFill="1" applyBorder="1" applyAlignment="1" applyProtection="1">
      <alignment horizontal="right" vertical="center"/>
      <protection hidden="1"/>
    </xf>
    <xf numFmtId="0" fontId="212" fillId="27" borderId="1" xfId="0" applyFont="1" applyFill="1" applyBorder="1" applyAlignment="1" applyProtection="1">
      <alignment horizontal="right" vertical="center"/>
      <protection hidden="1"/>
    </xf>
    <xf numFmtId="0" fontId="214" fillId="27" borderId="1" xfId="0" applyFont="1" applyFill="1" applyBorder="1" applyAlignment="1" applyProtection="1">
      <alignment horizontal="right" vertical="center"/>
      <protection hidden="1"/>
    </xf>
    <xf numFmtId="0" fontId="4" fillId="22" borderId="2" xfId="0" applyFont="1" applyFill="1" applyBorder="1" applyAlignment="1" applyProtection="1">
      <alignment horizontal="center" vertical="center"/>
      <protection hidden="1"/>
    </xf>
    <xf numFmtId="0" fontId="189" fillId="16" borderId="0" xfId="0" applyFont="1" applyFill="1" applyAlignment="1" applyProtection="1">
      <alignment horizontal="center" vertical="center" wrapText="1"/>
      <protection hidden="1"/>
    </xf>
    <xf numFmtId="0" fontId="23" fillId="33" borderId="23" xfId="0" applyFont="1" applyFill="1" applyBorder="1" applyAlignment="1" applyProtection="1">
      <alignment horizontal="center" vertical="center" wrapText="1"/>
      <protection hidden="1"/>
    </xf>
    <xf numFmtId="0" fontId="23" fillId="33" borderId="27" xfId="0" applyFont="1" applyFill="1" applyBorder="1" applyAlignment="1" applyProtection="1">
      <alignment horizontal="center" vertical="center" wrapText="1"/>
      <protection hidden="1"/>
    </xf>
    <xf numFmtId="0" fontId="21" fillId="33" borderId="24" xfId="0" applyFont="1" applyFill="1" applyBorder="1" applyAlignment="1" applyProtection="1">
      <alignment horizontal="center" vertical="center" wrapText="1"/>
      <protection hidden="1"/>
    </xf>
    <xf numFmtId="0" fontId="21" fillId="33" borderId="10" xfId="0" applyFont="1" applyFill="1" applyBorder="1" applyAlignment="1" applyProtection="1">
      <alignment horizontal="center" vertical="center" wrapText="1"/>
      <protection hidden="1"/>
    </xf>
    <xf numFmtId="0" fontId="23" fillId="33" borderId="24" xfId="0" applyFont="1" applyFill="1" applyBorder="1" applyAlignment="1" applyProtection="1">
      <alignment horizontal="center" vertical="center" wrapText="1"/>
      <protection hidden="1"/>
    </xf>
    <xf numFmtId="0" fontId="23" fillId="33" borderId="10" xfId="0" applyFont="1" applyFill="1" applyBorder="1" applyAlignment="1" applyProtection="1">
      <alignment horizontal="center" vertical="center" wrapText="1"/>
      <protection hidden="1"/>
    </xf>
    <xf numFmtId="0" fontId="23" fillId="33" borderId="25" xfId="0" applyFont="1" applyFill="1" applyBorder="1" applyAlignment="1" applyProtection="1">
      <alignment horizontal="center" vertical="center" wrapText="1"/>
      <protection hidden="1"/>
    </xf>
    <xf numFmtId="0" fontId="23" fillId="33" borderId="14" xfId="0" applyFont="1" applyFill="1" applyBorder="1" applyAlignment="1" applyProtection="1">
      <alignment horizontal="center" vertical="center" wrapText="1"/>
      <protection hidden="1"/>
    </xf>
    <xf numFmtId="0" fontId="140" fillId="32" borderId="0" xfId="0" applyFont="1" applyFill="1" applyAlignment="1" applyProtection="1">
      <alignment horizontal="right" vertical="center"/>
      <protection hidden="1"/>
    </xf>
    <xf numFmtId="0" fontId="55" fillId="79" borderId="0" xfId="0" applyFont="1" applyFill="1" applyAlignment="1" applyProtection="1">
      <alignment horizontal="left" vertical="center" wrapText="1"/>
      <protection hidden="1"/>
    </xf>
    <xf numFmtId="0" fontId="21" fillId="33" borderId="26" xfId="0" applyFont="1" applyFill="1" applyBorder="1" applyAlignment="1" applyProtection="1">
      <alignment horizontal="center" vertical="center" wrapText="1"/>
      <protection hidden="1"/>
    </xf>
    <xf numFmtId="0" fontId="21" fillId="33" borderId="28" xfId="0" applyFont="1" applyFill="1" applyBorder="1" applyAlignment="1" applyProtection="1">
      <alignment horizontal="center" vertical="center" wrapText="1"/>
      <protection hidden="1"/>
    </xf>
    <xf numFmtId="0" fontId="21" fillId="33" borderId="25" xfId="0" applyFont="1" applyFill="1" applyBorder="1" applyAlignment="1" applyProtection="1">
      <alignment horizontal="center" vertical="center" wrapText="1"/>
      <protection hidden="1"/>
    </xf>
    <xf numFmtId="0" fontId="21" fillId="33" borderId="14" xfId="0" applyFont="1" applyFill="1" applyBorder="1" applyAlignment="1" applyProtection="1">
      <alignment horizontal="center" vertical="center" wrapText="1"/>
      <protection hidden="1"/>
    </xf>
    <xf numFmtId="0" fontId="191" fillId="16" borderId="0" xfId="7" applyFont="1" applyFill="1" applyAlignment="1" applyProtection="1">
      <alignment horizontal="center" wrapText="1"/>
      <protection hidden="1"/>
    </xf>
    <xf numFmtId="0" fontId="144" fillId="16" borderId="0" xfId="0" applyFont="1" applyFill="1" applyAlignment="1" applyProtection="1">
      <alignment horizontal="center" wrapText="1"/>
      <protection hidden="1"/>
    </xf>
    <xf numFmtId="2" fontId="123" fillId="39" borderId="96" xfId="1" applyNumberFormat="1" applyFont="1" applyFill="1" applyBorder="1" applyAlignment="1" applyProtection="1">
      <alignment horizontal="left" vertical="center" wrapText="1"/>
      <protection hidden="1"/>
    </xf>
    <xf numFmtId="2" fontId="123" fillId="39" borderId="97" xfId="1" applyNumberFormat="1" applyFont="1" applyFill="1" applyBorder="1" applyAlignment="1" applyProtection="1">
      <alignment horizontal="left" vertical="center" wrapText="1"/>
      <protection hidden="1"/>
    </xf>
    <xf numFmtId="2" fontId="63" fillId="41" borderId="0" xfId="2" applyNumberFormat="1" applyFont="1" applyFill="1" applyBorder="1" applyAlignment="1" applyProtection="1">
      <alignment horizontal="left" vertical="center"/>
      <protection hidden="1"/>
    </xf>
    <xf numFmtId="2" fontId="63" fillId="41" borderId="68" xfId="2" applyNumberFormat="1" applyFont="1" applyFill="1" applyBorder="1" applyAlignment="1" applyProtection="1">
      <alignment horizontal="left" vertical="center"/>
      <protection hidden="1"/>
    </xf>
    <xf numFmtId="0" fontId="192" fillId="37" borderId="0" xfId="7" applyFont="1" applyFill="1" applyAlignment="1" applyProtection="1">
      <alignment horizontal="center" vertical="center"/>
      <protection hidden="1"/>
    </xf>
    <xf numFmtId="0" fontId="62" fillId="37" borderId="0" xfId="0" applyFont="1" applyFill="1" applyAlignment="1" applyProtection="1">
      <alignment horizontal="center" vertical="center"/>
      <protection hidden="1"/>
    </xf>
    <xf numFmtId="0" fontId="193" fillId="37" borderId="0" xfId="0" applyFont="1" applyFill="1" applyAlignment="1" applyProtection="1">
      <alignment horizontal="center" vertical="top"/>
      <protection hidden="1"/>
    </xf>
    <xf numFmtId="0" fontId="68" fillId="42" borderId="0" xfId="0" applyFont="1" applyFill="1" applyAlignment="1" applyProtection="1">
      <alignment horizontal="center" vertical="center"/>
      <protection hidden="1"/>
    </xf>
    <xf numFmtId="0" fontId="0" fillId="43" borderId="32" xfId="0" applyFill="1" applyBorder="1" applyAlignment="1" applyProtection="1">
      <alignment horizontal="center"/>
      <protection hidden="1"/>
    </xf>
    <xf numFmtId="2" fontId="30" fillId="40" borderId="10" xfId="2" applyNumberFormat="1" applyFont="1" applyFill="1" applyBorder="1" applyAlignment="1" applyProtection="1">
      <alignment horizontal="left" vertical="center"/>
      <protection hidden="1"/>
    </xf>
    <xf numFmtId="2" fontId="65" fillId="40" borderId="10" xfId="2" applyNumberFormat="1" applyFont="1" applyFill="1" applyBorder="1" applyAlignment="1" applyProtection="1">
      <alignment horizontal="left" vertical="center" wrapText="1"/>
      <protection hidden="1"/>
    </xf>
    <xf numFmtId="2" fontId="30" fillId="52" borderId="10" xfId="2" applyNumberFormat="1" applyFont="1" applyFill="1" applyBorder="1" applyAlignment="1" applyProtection="1">
      <alignment horizontal="left" vertical="center" wrapText="1"/>
      <protection hidden="1"/>
    </xf>
    <xf numFmtId="2" fontId="65" fillId="40" borderId="22" xfId="2" applyNumberFormat="1" applyFont="1" applyFill="1" applyBorder="1" applyAlignment="1" applyProtection="1">
      <alignment horizontal="left" vertical="center"/>
      <protection hidden="1"/>
    </xf>
    <xf numFmtId="2" fontId="65" fillId="40" borderId="38" xfId="2" applyNumberFormat="1" applyFont="1" applyFill="1" applyBorder="1" applyAlignment="1" applyProtection="1">
      <alignment horizontal="left" vertical="center"/>
      <protection hidden="1"/>
    </xf>
    <xf numFmtId="0" fontId="0" fillId="44" borderId="0" xfId="0" applyFill="1" applyAlignment="1" applyProtection="1">
      <alignment horizontal="center"/>
      <protection hidden="1"/>
    </xf>
    <xf numFmtId="0" fontId="0" fillId="45" borderId="32" xfId="0" applyFill="1" applyBorder="1" applyAlignment="1" applyProtection="1">
      <alignment horizontal="center" vertical="center"/>
      <protection hidden="1"/>
    </xf>
    <xf numFmtId="2" fontId="130" fillId="54" borderId="10" xfId="2" applyNumberFormat="1" applyFont="1" applyFill="1" applyBorder="1" applyAlignment="1" applyProtection="1">
      <alignment horizontal="left" vertical="center"/>
      <protection hidden="1"/>
    </xf>
    <xf numFmtId="2" fontId="61" fillId="53" borderId="22" xfId="1" applyNumberFormat="1" applyFont="1" applyFill="1" applyBorder="1" applyAlignment="1" applyProtection="1">
      <alignment horizontal="left" vertical="center" wrapText="1"/>
      <protection hidden="1"/>
    </xf>
    <xf numFmtId="2" fontId="61" fillId="53" borderId="38" xfId="1" applyNumberFormat="1" applyFont="1" applyFill="1" applyBorder="1" applyAlignment="1" applyProtection="1">
      <alignment horizontal="left" vertical="center" wrapText="1"/>
      <protection hidden="1"/>
    </xf>
    <xf numFmtId="2" fontId="61" fillId="39" borderId="22" xfId="1" applyNumberFormat="1" applyFont="1" applyFill="1" applyBorder="1" applyAlignment="1" applyProtection="1">
      <alignment horizontal="left" vertical="center" wrapText="1"/>
      <protection hidden="1"/>
    </xf>
    <xf numFmtId="2" fontId="61" fillId="39" borderId="38" xfId="1" applyNumberFormat="1" applyFont="1" applyFill="1" applyBorder="1" applyAlignment="1" applyProtection="1">
      <alignment horizontal="left" vertical="center" wrapText="1"/>
      <protection hidden="1"/>
    </xf>
    <xf numFmtId="2" fontId="128" fillId="39" borderId="22" xfId="1" applyNumberFormat="1" applyFont="1" applyFill="1" applyBorder="1" applyAlignment="1" applyProtection="1">
      <alignment horizontal="left" vertical="center" wrapText="1"/>
      <protection hidden="1"/>
    </xf>
    <xf numFmtId="2" fontId="128" fillId="39" borderId="38" xfId="1" applyNumberFormat="1" applyFont="1" applyFill="1" applyBorder="1" applyAlignment="1" applyProtection="1">
      <alignment horizontal="left" vertical="center" wrapText="1"/>
      <protection hidden="1"/>
    </xf>
    <xf numFmtId="2" fontId="129" fillId="39" borderId="22" xfId="1" applyNumberFormat="1" applyFont="1" applyFill="1" applyBorder="1" applyAlignment="1" applyProtection="1">
      <alignment horizontal="left" vertical="center" wrapText="1"/>
      <protection hidden="1"/>
    </xf>
    <xf numFmtId="2" fontId="129" fillId="39" borderId="38" xfId="1" applyNumberFormat="1" applyFont="1" applyFill="1" applyBorder="1" applyAlignment="1" applyProtection="1">
      <alignment horizontal="left" vertical="center" wrapText="1"/>
      <protection hidden="1"/>
    </xf>
    <xf numFmtId="2" fontId="126" fillId="39" borderId="22" xfId="1" applyNumberFormat="1" applyFont="1" applyFill="1" applyBorder="1" applyAlignment="1" applyProtection="1">
      <alignment horizontal="left" vertical="center" wrapText="1"/>
      <protection hidden="1"/>
    </xf>
    <xf numFmtId="2" fontId="126" fillId="39" borderId="38" xfId="1" applyNumberFormat="1" applyFont="1" applyFill="1" applyBorder="1" applyAlignment="1" applyProtection="1">
      <alignment horizontal="left" vertical="center" wrapText="1"/>
      <protection hidden="1"/>
    </xf>
    <xf numFmtId="2" fontId="126" fillId="55" borderId="22" xfId="1" applyNumberFormat="1" applyFont="1" applyFill="1" applyBorder="1" applyAlignment="1" applyProtection="1">
      <alignment horizontal="left" vertical="center" wrapText="1"/>
      <protection hidden="1"/>
    </xf>
    <xf numFmtId="2" fontId="126" fillId="55" borderId="38" xfId="1" applyNumberFormat="1" applyFont="1" applyFill="1" applyBorder="1" applyAlignment="1" applyProtection="1">
      <alignment horizontal="left" vertical="center" wrapText="1"/>
      <protection hidden="1"/>
    </xf>
    <xf numFmtId="2" fontId="30" fillId="56" borderId="41" xfId="2" applyNumberFormat="1" applyFont="1" applyFill="1" applyBorder="1" applyAlignment="1" applyProtection="1">
      <alignment horizontal="left" vertical="center"/>
      <protection hidden="1"/>
    </xf>
    <xf numFmtId="2" fontId="30" fillId="56" borderId="42" xfId="2" applyNumberFormat="1" applyFont="1" applyFill="1" applyBorder="1" applyAlignment="1" applyProtection="1">
      <alignment horizontal="left" vertical="center"/>
      <protection hidden="1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right" vertical="center" wrapText="1"/>
      <protection locked="0"/>
    </xf>
    <xf numFmtId="0" fontId="38" fillId="0" borderId="0" xfId="0" applyFont="1" applyBorder="1" applyAlignment="1" applyProtection="1">
      <alignment horizontal="right" vertical="center" wrapText="1"/>
      <protection locked="0"/>
    </xf>
    <xf numFmtId="0" fontId="70" fillId="0" borderId="0" xfId="0" applyFont="1" applyBorder="1" applyAlignment="1" applyProtection="1">
      <alignment horizontal="left" vertical="center" wrapText="1"/>
      <protection locked="0"/>
    </xf>
    <xf numFmtId="0" fontId="38" fillId="0" borderId="12" xfId="0" applyFont="1" applyBorder="1" applyAlignment="1" applyProtection="1">
      <alignment horizontal="center" vertical="center"/>
      <protection hidden="1"/>
    </xf>
    <xf numFmtId="0" fontId="38" fillId="0" borderId="12" xfId="0" applyFont="1" applyBorder="1" applyAlignment="1" applyProtection="1">
      <alignment horizontal="center" vertical="center" wrapText="1"/>
      <protection hidden="1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1" fontId="7" fillId="0" borderId="34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6" fillId="0" borderId="0" xfId="0" applyFont="1" applyBorder="1" applyAlignment="1" applyProtection="1">
      <alignment horizontal="center" vertical="center" wrapText="1"/>
      <protection locked="0"/>
    </xf>
    <xf numFmtId="0" fontId="69" fillId="0" borderId="6" xfId="0" applyNumberFormat="1" applyFont="1" applyBorder="1" applyAlignment="1" applyProtection="1">
      <alignment horizontal="left" vertical="center" wrapText="1"/>
      <protection locked="0"/>
    </xf>
    <xf numFmtId="1" fontId="39" fillId="0" borderId="34" xfId="0" applyNumberFormat="1" applyFont="1" applyBorder="1" applyAlignment="1" applyProtection="1">
      <alignment horizontal="left" vertical="center" wrapText="1"/>
      <protection locked="0"/>
    </xf>
    <xf numFmtId="1" fontId="39" fillId="0" borderId="35" xfId="0" applyNumberFormat="1" applyFont="1" applyBorder="1" applyAlignment="1" applyProtection="1">
      <alignment horizontal="left" vertical="center" wrapText="1"/>
      <protection locked="0"/>
    </xf>
    <xf numFmtId="0" fontId="67" fillId="0" borderId="36" xfId="0" applyFont="1" applyBorder="1" applyAlignment="1" applyProtection="1">
      <alignment horizontal="center" vertical="center"/>
      <protection locked="0"/>
    </xf>
    <xf numFmtId="0" fontId="67" fillId="0" borderId="37" xfId="0" applyFont="1" applyBorder="1" applyAlignment="1" applyProtection="1">
      <alignment horizontal="center" vertical="center"/>
      <protection locked="0"/>
    </xf>
    <xf numFmtId="0" fontId="67" fillId="0" borderId="38" xfId="0" applyFont="1" applyBorder="1" applyAlignment="1" applyProtection="1">
      <alignment horizontal="center" vertical="center"/>
      <protection locked="0"/>
    </xf>
    <xf numFmtId="0" fontId="67" fillId="0" borderId="2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textRotation="90"/>
      <protection locked="0"/>
    </xf>
    <xf numFmtId="0" fontId="1" fillId="0" borderId="39" xfId="0" applyFont="1" applyBorder="1" applyAlignment="1" applyProtection="1">
      <alignment horizontal="center" vertical="center" textRotation="90"/>
      <protection locked="0"/>
    </xf>
    <xf numFmtId="0" fontId="38" fillId="0" borderId="33" xfId="0" applyFont="1" applyBorder="1" applyAlignment="1" applyProtection="1">
      <alignment horizontal="right" vertical="center" wrapText="1"/>
      <protection locked="0"/>
    </xf>
    <xf numFmtId="0" fontId="38" fillId="0" borderId="34" xfId="0" applyFont="1" applyBorder="1" applyAlignment="1" applyProtection="1">
      <alignment horizontal="righ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39" fillId="0" borderId="0" xfId="0" applyFont="1" applyBorder="1" applyAlignment="1" applyProtection="1">
      <alignment horizontal="left" vertical="center" wrapText="1"/>
      <protection locked="0"/>
    </xf>
    <xf numFmtId="0" fontId="67" fillId="0" borderId="0" xfId="0" applyFont="1" applyBorder="1" applyAlignment="1" applyProtection="1">
      <alignment horizontal="center" vertical="center" wrapText="1"/>
      <protection locked="0"/>
    </xf>
    <xf numFmtId="0" fontId="67" fillId="0" borderId="9" xfId="0" applyFont="1" applyBorder="1" applyAlignment="1" applyProtection="1">
      <alignment horizontal="center" vertical="center" wrapText="1"/>
      <protection locked="0"/>
    </xf>
    <xf numFmtId="0" fontId="81" fillId="0" borderId="53" xfId="4" applyFont="1" applyBorder="1" applyAlignment="1" applyProtection="1">
      <alignment horizontal="center" vertical="top"/>
      <protection hidden="1"/>
    </xf>
    <xf numFmtId="0" fontId="83" fillId="0" borderId="43" xfId="4" applyFont="1" applyBorder="1" applyAlignment="1" applyProtection="1">
      <alignment horizontal="center"/>
      <protection hidden="1"/>
    </xf>
    <xf numFmtId="2" fontId="94" fillId="0" borderId="43" xfId="0" applyNumberFormat="1" applyFont="1" applyBorder="1" applyAlignment="1" applyProtection="1">
      <alignment horizontal="left"/>
      <protection hidden="1"/>
    </xf>
    <xf numFmtId="0" fontId="103" fillId="0" borderId="44" xfId="4" applyFont="1" applyBorder="1" applyAlignment="1" applyProtection="1">
      <alignment horizontal="right"/>
      <protection hidden="1"/>
    </xf>
    <xf numFmtId="0" fontId="103" fillId="0" borderId="45" xfId="4" applyFont="1" applyBorder="1" applyAlignment="1" applyProtection="1">
      <alignment horizontal="right"/>
      <protection hidden="1"/>
    </xf>
    <xf numFmtId="0" fontId="103" fillId="0" borderId="46" xfId="4" applyFont="1" applyBorder="1" applyAlignment="1" applyProtection="1">
      <alignment horizontal="right"/>
      <protection hidden="1"/>
    </xf>
    <xf numFmtId="0" fontId="81" fillId="0" borderId="43" xfId="4" applyFont="1" applyBorder="1" applyAlignment="1" applyProtection="1">
      <alignment horizontal="left"/>
      <protection hidden="1"/>
    </xf>
    <xf numFmtId="0" fontId="94" fillId="0" borderId="43" xfId="4" applyFont="1" applyBorder="1" applyAlignment="1" applyProtection="1">
      <alignment horizontal="left"/>
      <protection hidden="1"/>
    </xf>
    <xf numFmtId="0" fontId="94" fillId="0" borderId="43" xfId="4" applyFont="1" applyBorder="1" applyAlignment="1" applyProtection="1">
      <alignment horizontal="left" vertical="center"/>
      <protection hidden="1"/>
    </xf>
    <xf numFmtId="0" fontId="94" fillId="0" borderId="51" xfId="4" applyFont="1" applyBorder="1" applyAlignment="1" applyProtection="1">
      <alignment horizontal="left" vertical="center"/>
      <protection hidden="1"/>
    </xf>
    <xf numFmtId="0" fontId="97" fillId="0" borderId="43" xfId="4" applyFont="1" applyBorder="1" applyAlignment="1" applyProtection="1">
      <alignment horizontal="left" vertical="top" wrapText="1"/>
      <protection hidden="1"/>
    </xf>
    <xf numFmtId="0" fontId="95" fillId="0" borderId="43" xfId="4" applyFont="1" applyBorder="1" applyAlignment="1" applyProtection="1">
      <alignment horizontal="left" vertical="center"/>
      <protection hidden="1"/>
    </xf>
    <xf numFmtId="0" fontId="95" fillId="0" borderId="51" xfId="4" applyFont="1" applyBorder="1" applyAlignment="1" applyProtection="1">
      <alignment horizontal="left" vertical="center"/>
      <protection hidden="1"/>
    </xf>
    <xf numFmtId="0" fontId="59" fillId="0" borderId="43" xfId="4" applyFont="1" applyBorder="1" applyAlignment="1" applyProtection="1">
      <alignment horizontal="left"/>
      <protection hidden="1"/>
    </xf>
    <xf numFmtId="0" fontId="59" fillId="0" borderId="51" xfId="4" applyFont="1" applyBorder="1" applyAlignment="1" applyProtection="1">
      <alignment horizontal="left"/>
      <protection hidden="1"/>
    </xf>
    <xf numFmtId="0" fontId="99" fillId="0" borderId="43" xfId="4" applyFont="1" applyBorder="1" applyAlignment="1" applyProtection="1">
      <alignment horizontal="left"/>
      <protection hidden="1"/>
    </xf>
    <xf numFmtId="0" fontId="91" fillId="0" borderId="44" xfId="4" applyFont="1" applyFill="1" applyBorder="1" applyAlignment="1" applyProtection="1">
      <alignment horizontal="left" vertical="center" wrapText="1"/>
      <protection hidden="1"/>
    </xf>
    <xf numFmtId="0" fontId="91" fillId="0" borderId="45" xfId="4" applyFont="1" applyFill="1" applyBorder="1" applyAlignment="1" applyProtection="1">
      <alignment horizontal="left" vertical="center" wrapText="1"/>
      <protection hidden="1"/>
    </xf>
    <xf numFmtId="0" fontId="91" fillId="0" borderId="46" xfId="4" applyFont="1" applyFill="1" applyBorder="1" applyAlignment="1" applyProtection="1">
      <alignment horizontal="left" vertical="center" wrapText="1"/>
      <protection hidden="1"/>
    </xf>
    <xf numFmtId="0" fontId="81" fillId="0" borderId="43" xfId="4" applyFont="1" applyBorder="1" applyAlignment="1" applyProtection="1">
      <alignment horizontal="center"/>
      <protection hidden="1"/>
    </xf>
    <xf numFmtId="0" fontId="81" fillId="0" borderId="51" xfId="4" applyFont="1" applyBorder="1" applyAlignment="1" applyProtection="1">
      <alignment horizontal="center"/>
      <protection hidden="1"/>
    </xf>
    <xf numFmtId="0" fontId="99" fillId="0" borderId="43" xfId="4" applyFont="1" applyFill="1" applyBorder="1" applyAlignment="1" applyProtection="1">
      <protection hidden="1"/>
    </xf>
    <xf numFmtId="0" fontId="94" fillId="0" borderId="43" xfId="4" applyFont="1" applyBorder="1" applyAlignment="1" applyProtection="1">
      <alignment horizontal="center" vertical="center" wrapText="1"/>
      <protection hidden="1"/>
    </xf>
    <xf numFmtId="0" fontId="122" fillId="0" borderId="43" xfId="4" applyFont="1" applyBorder="1" applyAlignment="1" applyProtection="1">
      <alignment horizontal="center" vertical="center" wrapText="1"/>
      <protection hidden="1"/>
    </xf>
    <xf numFmtId="0" fontId="102" fillId="0" borderId="43" xfId="4" applyFont="1" applyBorder="1" applyAlignment="1" applyProtection="1">
      <alignment horizontal="center" vertical="center" wrapText="1"/>
      <protection hidden="1"/>
    </xf>
    <xf numFmtId="1" fontId="82" fillId="0" borderId="43" xfId="4" applyNumberFormat="1" applyFont="1" applyBorder="1" applyAlignment="1" applyProtection="1">
      <alignment horizontal="center"/>
      <protection hidden="1"/>
    </xf>
    <xf numFmtId="2" fontId="88" fillId="0" borderId="0" xfId="4" applyNumberFormat="1" applyFont="1" applyBorder="1" applyAlignment="1" applyProtection="1">
      <alignment horizontal="center" vertical="center"/>
      <protection hidden="1"/>
    </xf>
    <xf numFmtId="0" fontId="180" fillId="70" borderId="72" xfId="0" applyFont="1" applyFill="1" applyBorder="1" applyAlignment="1" applyProtection="1">
      <alignment horizontal="center" vertical="center" wrapText="1"/>
      <protection hidden="1"/>
    </xf>
    <xf numFmtId="0" fontId="180" fillId="70" borderId="73" xfId="0" applyFont="1" applyFill="1" applyBorder="1" applyAlignment="1" applyProtection="1">
      <alignment horizontal="center" vertical="center" wrapText="1"/>
      <protection hidden="1"/>
    </xf>
    <xf numFmtId="0" fontId="180" fillId="70" borderId="74" xfId="0" applyFont="1" applyFill="1" applyBorder="1" applyAlignment="1" applyProtection="1">
      <alignment horizontal="center" vertical="center" wrapText="1"/>
      <protection hidden="1"/>
    </xf>
    <xf numFmtId="0" fontId="180" fillId="70" borderId="78" xfId="0" applyFont="1" applyFill="1" applyBorder="1" applyAlignment="1" applyProtection="1">
      <alignment horizontal="center" vertical="center" wrapText="1"/>
      <protection hidden="1"/>
    </xf>
    <xf numFmtId="0" fontId="180" fillId="70" borderId="0" xfId="0" applyFont="1" applyFill="1" applyBorder="1" applyAlignment="1" applyProtection="1">
      <alignment horizontal="center" vertical="center" wrapText="1"/>
      <protection hidden="1"/>
    </xf>
    <xf numFmtId="0" fontId="180" fillId="70" borderId="79" xfId="0" applyFont="1" applyFill="1" applyBorder="1" applyAlignment="1" applyProtection="1">
      <alignment horizontal="center" vertical="center" wrapText="1"/>
      <protection hidden="1"/>
    </xf>
    <xf numFmtId="0" fontId="180" fillId="70" borderId="75" xfId="0" applyFont="1" applyFill="1" applyBorder="1" applyAlignment="1" applyProtection="1">
      <alignment horizontal="center" vertical="center" wrapText="1"/>
      <protection hidden="1"/>
    </xf>
    <xf numFmtId="0" fontId="180" fillId="70" borderId="76" xfId="0" applyFont="1" applyFill="1" applyBorder="1" applyAlignment="1" applyProtection="1">
      <alignment horizontal="center" vertical="center" wrapText="1"/>
      <protection hidden="1"/>
    </xf>
    <xf numFmtId="0" fontId="180" fillId="70" borderId="77" xfId="0" applyFont="1" applyFill="1" applyBorder="1" applyAlignment="1" applyProtection="1">
      <alignment horizontal="center" vertical="center" wrapText="1"/>
      <protection hidden="1"/>
    </xf>
    <xf numFmtId="2" fontId="81" fillId="0" borderId="43" xfId="0" applyNumberFormat="1" applyFont="1" applyBorder="1" applyAlignment="1" applyProtection="1">
      <alignment horizontal="left"/>
      <protection hidden="1"/>
    </xf>
    <xf numFmtId="0" fontId="131" fillId="0" borderId="43" xfId="4" applyFont="1" applyBorder="1" applyAlignment="1" applyProtection="1">
      <alignment horizontal="center"/>
      <protection hidden="1"/>
    </xf>
    <xf numFmtId="0" fontId="188" fillId="0" borderId="0" xfId="0" applyFont="1" applyAlignment="1" applyProtection="1">
      <alignment horizontal="center"/>
      <protection hidden="1"/>
    </xf>
    <xf numFmtId="0" fontId="24" fillId="0" borderId="6" xfId="0" applyFont="1" applyBorder="1" applyAlignment="1" applyProtection="1">
      <alignment horizontal="center" vertical="top" wrapText="1"/>
      <protection hidden="1"/>
    </xf>
    <xf numFmtId="0" fontId="24" fillId="0" borderId="0" xfId="0" applyFont="1" applyBorder="1" applyAlignment="1" applyProtection="1">
      <alignment horizontal="center" vertical="top" wrapText="1"/>
      <protection hidden="1"/>
    </xf>
    <xf numFmtId="0" fontId="180" fillId="70" borderId="72" xfId="0" applyFont="1" applyFill="1" applyBorder="1" applyAlignment="1" applyProtection="1">
      <alignment horizontal="center" wrapText="1"/>
      <protection hidden="1"/>
    </xf>
    <xf numFmtId="0" fontId="180" fillId="70" borderId="73" xfId="0" applyFont="1" applyFill="1" applyBorder="1" applyAlignment="1" applyProtection="1">
      <alignment horizontal="center" wrapText="1"/>
      <protection hidden="1"/>
    </xf>
    <xf numFmtId="0" fontId="180" fillId="70" borderId="74" xfId="0" applyFont="1" applyFill="1" applyBorder="1" applyAlignment="1" applyProtection="1">
      <alignment horizontal="center" wrapText="1"/>
      <protection hidden="1"/>
    </xf>
    <xf numFmtId="0" fontId="180" fillId="70" borderId="78" xfId="0" applyFont="1" applyFill="1" applyBorder="1" applyAlignment="1" applyProtection="1">
      <alignment horizontal="center" wrapText="1"/>
      <protection hidden="1"/>
    </xf>
    <xf numFmtId="0" fontId="180" fillId="70" borderId="0" xfId="0" applyFont="1" applyFill="1" applyBorder="1" applyAlignment="1" applyProtection="1">
      <alignment horizontal="center" wrapText="1"/>
      <protection hidden="1"/>
    </xf>
    <xf numFmtId="0" fontId="180" fillId="70" borderId="79" xfId="0" applyFont="1" applyFill="1" applyBorder="1" applyAlignment="1" applyProtection="1">
      <alignment horizontal="center" wrapText="1"/>
      <protection hidden="1"/>
    </xf>
    <xf numFmtId="0" fontId="180" fillId="70" borderId="76" xfId="0" applyFont="1" applyFill="1" applyBorder="1" applyAlignment="1" applyProtection="1">
      <alignment horizontal="center" wrapText="1"/>
      <protection hidden="1"/>
    </xf>
    <xf numFmtId="0" fontId="180" fillId="70" borderId="77" xfId="0" applyFont="1" applyFill="1" applyBorder="1" applyAlignment="1" applyProtection="1">
      <alignment horizontal="center" wrapText="1"/>
      <protection hidden="1"/>
    </xf>
    <xf numFmtId="2" fontId="182" fillId="71" borderId="72" xfId="4" applyNumberFormat="1" applyFont="1" applyFill="1" applyBorder="1" applyAlignment="1" applyProtection="1">
      <alignment horizontal="center" vertical="center"/>
      <protection hidden="1"/>
    </xf>
    <xf numFmtId="2" fontId="182" fillId="71" borderId="74" xfId="4" applyNumberFormat="1" applyFont="1" applyFill="1" applyBorder="1" applyAlignment="1" applyProtection="1">
      <alignment horizontal="center" vertical="center"/>
      <protection hidden="1"/>
    </xf>
    <xf numFmtId="2" fontId="182" fillId="71" borderId="75" xfId="4" applyNumberFormat="1" applyFont="1" applyFill="1" applyBorder="1" applyAlignment="1" applyProtection="1">
      <alignment horizontal="center" vertical="center"/>
      <protection hidden="1"/>
    </xf>
    <xf numFmtId="2" fontId="182" fillId="71" borderId="77" xfId="4" applyNumberFormat="1" applyFont="1" applyFill="1" applyBorder="1" applyAlignment="1" applyProtection="1">
      <alignment horizontal="center" vertical="center"/>
      <protection hidden="1"/>
    </xf>
    <xf numFmtId="0" fontId="81" fillId="0" borderId="43" xfId="4" applyFont="1" applyBorder="1" applyAlignment="1" applyProtection="1">
      <alignment horizontal="right" vertical="center"/>
      <protection hidden="1"/>
    </xf>
    <xf numFmtId="0" fontId="112" fillId="0" borderId="0" xfId="3" applyFont="1" applyBorder="1" applyAlignment="1" applyProtection="1">
      <alignment horizontal="center" vertical="center"/>
      <protection hidden="1"/>
    </xf>
    <xf numFmtId="2" fontId="94" fillId="0" borderId="43" xfId="0" applyNumberFormat="1" applyFont="1" applyBorder="1" applyAlignment="1" applyProtection="1">
      <alignment horizontal="center" vertical="center"/>
      <protection hidden="1"/>
    </xf>
    <xf numFmtId="0" fontId="105" fillId="0" borderId="43" xfId="4" applyFont="1" applyBorder="1" applyAlignment="1" applyProtection="1">
      <alignment horizontal="left" vertical="center"/>
      <protection hidden="1"/>
    </xf>
    <xf numFmtId="0" fontId="96" fillId="0" borderId="54" xfId="4" applyFont="1" applyBorder="1" applyAlignment="1" applyProtection="1">
      <alignment horizontal="right" vertical="center"/>
      <protection hidden="1"/>
    </xf>
    <xf numFmtId="0" fontId="96" fillId="0" borderId="55" xfId="4" applyFont="1" applyBorder="1" applyAlignment="1" applyProtection="1">
      <alignment horizontal="right" vertical="center"/>
      <protection hidden="1"/>
    </xf>
    <xf numFmtId="0" fontId="81" fillId="0" borderId="51" xfId="4" applyFont="1" applyBorder="1" applyAlignment="1" applyProtection="1">
      <alignment horizontal="left"/>
      <protection hidden="1"/>
    </xf>
    <xf numFmtId="0" fontId="122" fillId="0" borderId="43" xfId="4" applyFont="1" applyBorder="1" applyAlignment="1" applyProtection="1">
      <alignment horizontal="center" vertical="center"/>
      <protection hidden="1"/>
    </xf>
    <xf numFmtId="0" fontId="59" fillId="0" borderId="43" xfId="4" applyFont="1" applyBorder="1" applyAlignment="1" applyProtection="1">
      <alignment horizontal="center"/>
      <protection hidden="1"/>
    </xf>
    <xf numFmtId="0" fontId="0" fillId="0" borderId="43" xfId="4" applyFont="1" applyBorder="1" applyAlignment="1" applyProtection="1">
      <alignment horizontal="center"/>
      <protection hidden="1"/>
    </xf>
    <xf numFmtId="0" fontId="91" fillId="0" borderId="43" xfId="4" applyFont="1" applyBorder="1" applyAlignment="1" applyProtection="1">
      <alignment horizontal="left"/>
      <protection hidden="1"/>
    </xf>
    <xf numFmtId="0" fontId="81" fillId="0" borderId="43" xfId="4" applyFont="1" applyFill="1" applyBorder="1" applyAlignment="1" applyProtection="1">
      <alignment horizontal="left"/>
      <protection hidden="1"/>
    </xf>
    <xf numFmtId="0" fontId="99" fillId="0" borderId="44" xfId="4" applyFont="1" applyBorder="1" applyAlignment="1" applyProtection="1">
      <alignment horizontal="left"/>
      <protection locked="0"/>
    </xf>
    <xf numFmtId="0" fontId="99" fillId="0" borderId="45" xfId="4" applyFont="1" applyBorder="1" applyAlignment="1" applyProtection="1">
      <alignment horizontal="left"/>
      <protection locked="0"/>
    </xf>
    <xf numFmtId="0" fontId="99" fillId="0" borderId="46" xfId="4" applyFont="1" applyBorder="1" applyAlignment="1" applyProtection="1">
      <alignment horizontal="left"/>
      <protection locked="0"/>
    </xf>
    <xf numFmtId="0" fontId="233" fillId="0" borderId="43" xfId="4" applyFont="1" applyFill="1" applyBorder="1" applyAlignment="1" applyProtection="1">
      <alignment horizontal="left"/>
      <protection hidden="1"/>
    </xf>
    <xf numFmtId="0" fontId="97" fillId="0" borderId="43" xfId="4" applyFont="1" applyBorder="1" applyAlignment="1" applyProtection="1">
      <alignment horizontal="left" vertical="center" wrapText="1"/>
      <protection hidden="1"/>
    </xf>
    <xf numFmtId="0" fontId="105" fillId="0" borderId="43" xfId="4" applyFont="1" applyBorder="1" applyAlignment="1" applyProtection="1">
      <alignment horizontal="right" vertical="center"/>
      <protection hidden="1"/>
    </xf>
    <xf numFmtId="0" fontId="99" fillId="0" borderId="43" xfId="4" applyFont="1" applyFill="1" applyBorder="1" applyAlignment="1" applyProtection="1">
      <alignment horizontal="left"/>
      <protection hidden="1"/>
    </xf>
    <xf numFmtId="0" fontId="81" fillId="0" borderId="43" xfId="4" applyFont="1" applyBorder="1" applyAlignment="1" applyProtection="1">
      <alignment horizontal="left" vertical="center"/>
      <protection hidden="1"/>
    </xf>
    <xf numFmtId="0" fontId="99" fillId="0" borderId="44" xfId="4" applyFont="1" applyBorder="1" applyAlignment="1" applyProtection="1">
      <alignment horizontal="left" vertical="center"/>
      <protection hidden="1"/>
    </xf>
    <xf numFmtId="0" fontId="99" fillId="0" borderId="45" xfId="4" applyFont="1" applyBorder="1" applyAlignment="1" applyProtection="1">
      <alignment horizontal="left" vertical="center"/>
      <protection hidden="1"/>
    </xf>
    <xf numFmtId="0" fontId="99" fillId="0" borderId="46" xfId="4" applyFont="1" applyBorder="1" applyAlignment="1" applyProtection="1">
      <alignment horizontal="left" vertical="center"/>
      <protection hidden="1"/>
    </xf>
    <xf numFmtId="1" fontId="93" fillId="0" borderId="43" xfId="4" applyNumberFormat="1" applyFont="1" applyBorder="1" applyAlignment="1" applyProtection="1">
      <alignment horizontal="center" vertical="center"/>
      <protection hidden="1"/>
    </xf>
    <xf numFmtId="1" fontId="93" fillId="0" borderId="51" xfId="4" applyNumberFormat="1" applyFont="1" applyBorder="1" applyAlignment="1" applyProtection="1">
      <alignment horizontal="center" vertical="center"/>
      <protection hidden="1"/>
    </xf>
    <xf numFmtId="0" fontId="81" fillId="0" borderId="43" xfId="4" applyFont="1" applyBorder="1" applyAlignment="1" applyProtection="1">
      <alignment horizontal="left" vertical="center" wrapText="1"/>
      <protection hidden="1"/>
    </xf>
    <xf numFmtId="0" fontId="81" fillId="0" borderId="43" xfId="4" applyFont="1" applyBorder="1" applyAlignment="1" applyProtection="1">
      <alignment horizontal="center" vertical="center"/>
      <protection hidden="1"/>
    </xf>
    <xf numFmtId="2" fontId="88" fillId="0" borderId="43" xfId="4" applyNumberFormat="1" applyFont="1" applyBorder="1" applyAlignment="1" applyProtection="1">
      <alignment horizontal="center" vertical="center"/>
      <protection hidden="1"/>
    </xf>
    <xf numFmtId="0" fontId="82" fillId="0" borderId="43" xfId="4" applyFont="1" applyBorder="1" applyAlignment="1" applyProtection="1">
      <alignment horizontal="center" vertical="center"/>
      <protection hidden="1"/>
    </xf>
    <xf numFmtId="0" fontId="82" fillId="0" borderId="44" xfId="4" applyFont="1" applyBorder="1" applyAlignment="1" applyProtection="1">
      <alignment horizontal="center" vertical="center"/>
      <protection hidden="1"/>
    </xf>
    <xf numFmtId="0" fontId="82" fillId="0" borderId="46" xfId="4" applyFont="1" applyBorder="1" applyAlignment="1" applyProtection="1">
      <alignment horizontal="center" vertical="center"/>
      <protection hidden="1"/>
    </xf>
    <xf numFmtId="0" fontId="88" fillId="0" borderId="44" xfId="4" applyFont="1" applyBorder="1" applyAlignment="1" applyProtection="1">
      <alignment horizontal="center" vertical="center"/>
      <protection hidden="1"/>
    </xf>
    <xf numFmtId="0" fontId="88" fillId="0" borderId="46" xfId="4" applyFont="1" applyBorder="1" applyAlignment="1" applyProtection="1">
      <alignment horizontal="center" vertical="center"/>
      <protection hidden="1"/>
    </xf>
    <xf numFmtId="0" fontId="81" fillId="0" borderId="44" xfId="4" applyFont="1" applyBorder="1" applyAlignment="1" applyProtection="1">
      <alignment horizontal="right" vertical="center"/>
      <protection hidden="1"/>
    </xf>
    <xf numFmtId="0" fontId="81" fillId="0" borderId="45" xfId="4" applyFont="1" applyBorder="1" applyAlignment="1" applyProtection="1">
      <alignment horizontal="right" vertical="center"/>
      <protection hidden="1"/>
    </xf>
    <xf numFmtId="0" fontId="81" fillId="0" borderId="46" xfId="4" applyFont="1" applyBorder="1" applyAlignment="1" applyProtection="1">
      <alignment horizontal="right" vertical="center"/>
      <protection hidden="1"/>
    </xf>
    <xf numFmtId="0" fontId="94" fillId="0" borderId="44" xfId="4" applyFont="1" applyBorder="1" applyAlignment="1" applyProtection="1">
      <alignment horizontal="left" vertical="center"/>
      <protection hidden="1"/>
    </xf>
    <xf numFmtId="0" fontId="94" fillId="0" borderId="45" xfId="4" applyFont="1" applyBorder="1" applyAlignment="1" applyProtection="1">
      <alignment horizontal="left" vertical="center"/>
      <protection hidden="1"/>
    </xf>
    <xf numFmtId="0" fontId="94" fillId="0" borderId="46" xfId="4" applyFont="1" applyBorder="1" applyAlignment="1" applyProtection="1">
      <alignment horizontal="left" vertical="center"/>
      <protection hidden="1"/>
    </xf>
    <xf numFmtId="1" fontId="90" fillId="0" borderId="43" xfId="4" applyNumberFormat="1" applyFont="1" applyBorder="1" applyAlignment="1" applyProtection="1">
      <alignment horizontal="center" vertical="center"/>
      <protection hidden="1"/>
    </xf>
    <xf numFmtId="1" fontId="90" fillId="0" borderId="51" xfId="4" applyNumberFormat="1" applyFont="1" applyBorder="1" applyAlignment="1" applyProtection="1">
      <alignment horizontal="center" vertical="center"/>
      <protection hidden="1"/>
    </xf>
    <xf numFmtId="0" fontId="83" fillId="0" borderId="44" xfId="4" applyFont="1" applyBorder="1" applyAlignment="1" applyProtection="1">
      <alignment horizontal="right" vertical="center"/>
      <protection hidden="1"/>
    </xf>
    <xf numFmtId="0" fontId="83" fillId="0" borderId="45" xfId="4" applyFont="1" applyBorder="1" applyAlignment="1" applyProtection="1">
      <alignment horizontal="right" vertical="center"/>
      <protection hidden="1"/>
    </xf>
    <xf numFmtId="0" fontId="83" fillId="0" borderId="46" xfId="4" applyFont="1" applyBorder="1" applyAlignment="1" applyProtection="1">
      <alignment horizontal="right" vertical="center"/>
      <protection hidden="1"/>
    </xf>
    <xf numFmtId="0" fontId="81" fillId="0" borderId="50" xfId="4" applyFont="1" applyBorder="1" applyAlignment="1" applyProtection="1">
      <alignment horizontal="center" vertical="center"/>
      <protection hidden="1"/>
    </xf>
    <xf numFmtId="0" fontId="81" fillId="0" borderId="52" xfId="4" applyFont="1" applyBorder="1" applyAlignment="1" applyProtection="1">
      <alignment horizontal="center" vertical="center"/>
      <protection hidden="1"/>
    </xf>
    <xf numFmtId="0" fontId="81" fillId="0" borderId="44" xfId="4" applyFont="1" applyBorder="1" applyAlignment="1" applyProtection="1">
      <alignment horizontal="center" vertical="center"/>
      <protection hidden="1"/>
    </xf>
    <xf numFmtId="0" fontId="81" fillId="0" borderId="45" xfId="4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37" fillId="0" borderId="0" xfId="0" applyFont="1" applyAlignment="1" applyProtection="1">
      <alignment horizontal="center"/>
      <protection hidden="1"/>
    </xf>
    <xf numFmtId="0" fontId="196" fillId="0" borderId="0" xfId="7" applyFont="1" applyBorder="1" applyAlignment="1" applyProtection="1">
      <alignment horizontal="center" vertical="center" wrapText="1"/>
      <protection hidden="1"/>
    </xf>
    <xf numFmtId="0" fontId="115" fillId="0" borderId="0" xfId="0" applyFont="1" applyAlignment="1" applyProtection="1">
      <alignment horizontal="center" vertical="center" wrapText="1"/>
      <protection hidden="1"/>
    </xf>
    <xf numFmtId="0" fontId="137" fillId="0" borderId="5" xfId="4" applyFont="1" applyBorder="1" applyAlignment="1" applyProtection="1">
      <alignment horizontal="justify" vertical="center" wrapText="1"/>
      <protection hidden="1"/>
    </xf>
    <xf numFmtId="0" fontId="137" fillId="0" borderId="6" xfId="4" applyFont="1" applyBorder="1" applyAlignment="1" applyProtection="1">
      <alignment horizontal="justify" vertical="center" wrapText="1"/>
      <protection hidden="1"/>
    </xf>
    <xf numFmtId="0" fontId="137" fillId="0" borderId="7" xfId="4" applyFont="1" applyBorder="1" applyAlignment="1" applyProtection="1">
      <alignment horizontal="justify" vertical="center" wrapText="1"/>
      <protection hidden="1"/>
    </xf>
    <xf numFmtId="0" fontId="137" fillId="0" borderId="8" xfId="4" applyFont="1" applyBorder="1" applyAlignment="1" applyProtection="1">
      <alignment horizontal="justify" vertical="center" wrapText="1"/>
      <protection hidden="1"/>
    </xf>
    <xf numFmtId="0" fontId="137" fillId="0" borderId="0" xfId="4" applyFont="1" applyBorder="1" applyAlignment="1" applyProtection="1">
      <alignment horizontal="justify" vertical="center" wrapText="1"/>
      <protection hidden="1"/>
    </xf>
    <xf numFmtId="0" fontId="137" fillId="0" borderId="9" xfId="4" applyFont="1" applyBorder="1" applyAlignment="1" applyProtection="1">
      <alignment horizontal="justify" vertical="center" wrapText="1"/>
      <protection hidden="1"/>
    </xf>
    <xf numFmtId="0" fontId="137" fillId="0" borderId="11" xfId="4" applyFont="1" applyBorder="1" applyAlignment="1" applyProtection="1">
      <alignment horizontal="justify" vertical="center" wrapText="1"/>
      <protection hidden="1"/>
    </xf>
    <xf numFmtId="0" fontId="137" fillId="0" borderId="12" xfId="4" applyFont="1" applyBorder="1" applyAlignment="1" applyProtection="1">
      <alignment horizontal="justify" vertical="center" wrapText="1"/>
      <protection hidden="1"/>
    </xf>
    <xf numFmtId="0" fontId="137" fillId="0" borderId="13" xfId="4" applyFont="1" applyBorder="1" applyAlignment="1" applyProtection="1">
      <alignment horizontal="justify" vertical="center" wrapText="1"/>
      <protection hidden="1"/>
    </xf>
    <xf numFmtId="0" fontId="79" fillId="0" borderId="0" xfId="3" applyFont="1" applyAlignment="1" applyProtection="1">
      <alignment horizontal="center" vertical="center"/>
      <protection hidden="1"/>
    </xf>
    <xf numFmtId="0" fontId="81" fillId="0" borderId="48" xfId="4" applyFont="1" applyBorder="1" applyAlignment="1" applyProtection="1">
      <alignment horizontal="left" vertical="center"/>
      <protection hidden="1"/>
    </xf>
    <xf numFmtId="0" fontId="82" fillId="0" borderId="48" xfId="5" applyFont="1" applyFill="1" applyBorder="1" applyAlignment="1" applyProtection="1">
      <alignment horizontal="left" vertical="center"/>
      <protection hidden="1"/>
    </xf>
    <xf numFmtId="0" fontId="82" fillId="0" borderId="48" xfId="4" applyFont="1" applyFill="1" applyBorder="1" applyAlignment="1" applyProtection="1">
      <alignment horizontal="left" vertical="center"/>
      <protection hidden="1"/>
    </xf>
    <xf numFmtId="0" fontId="82" fillId="0" borderId="48" xfId="4" applyFont="1" applyFill="1" applyBorder="1" applyAlignment="1" applyProtection="1">
      <alignment horizontal="center" vertical="center"/>
      <protection hidden="1"/>
    </xf>
    <xf numFmtId="0" fontId="82" fillId="0" borderId="49" xfId="4" applyFont="1" applyFill="1" applyBorder="1" applyAlignment="1" applyProtection="1">
      <alignment horizontal="center" vertical="center"/>
      <protection hidden="1"/>
    </xf>
    <xf numFmtId="0" fontId="80" fillId="0" borderId="0" xfId="3" applyFont="1" applyBorder="1" applyAlignment="1" applyProtection="1">
      <alignment horizontal="right" vertical="center"/>
      <protection hidden="1"/>
    </xf>
    <xf numFmtId="0" fontId="45" fillId="0" borderId="0" xfId="3" applyFont="1" applyBorder="1" applyAlignment="1" applyProtection="1">
      <alignment horizontal="center" vertical="center"/>
      <protection hidden="1"/>
    </xf>
    <xf numFmtId="0" fontId="80" fillId="0" borderId="57" xfId="3" applyFont="1" applyBorder="1" applyAlignment="1" applyProtection="1">
      <alignment horizontal="right" vertical="center"/>
      <protection hidden="1"/>
    </xf>
    <xf numFmtId="0" fontId="121" fillId="50" borderId="0" xfId="3" applyFont="1" applyFill="1" applyBorder="1" applyAlignment="1" applyProtection="1">
      <alignment horizontal="center" vertical="center" wrapText="1"/>
      <protection hidden="1"/>
    </xf>
    <xf numFmtId="0" fontId="121" fillId="50" borderId="0" xfId="3" applyFont="1" applyFill="1" applyBorder="1" applyAlignment="1" applyProtection="1">
      <alignment horizontal="center" vertical="center"/>
      <protection hidden="1"/>
    </xf>
    <xf numFmtId="0" fontId="45" fillId="0" borderId="57" xfId="3" applyFont="1" applyBorder="1" applyAlignment="1" applyProtection="1">
      <alignment horizontal="left" vertical="center"/>
      <protection hidden="1"/>
    </xf>
    <xf numFmtId="1" fontId="88" fillId="0" borderId="43" xfId="4" applyNumberFormat="1" applyFont="1" applyFill="1" applyBorder="1" applyAlignment="1" applyProtection="1">
      <alignment horizontal="center" vertical="center"/>
      <protection hidden="1"/>
    </xf>
    <xf numFmtId="0" fontId="92" fillId="0" borderId="43" xfId="4" applyFont="1" applyBorder="1" applyAlignment="1" applyProtection="1">
      <alignment horizontal="right" vertical="center"/>
      <protection hidden="1"/>
    </xf>
    <xf numFmtId="0" fontId="232" fillId="0" borderId="5" xfId="0" applyFont="1" applyBorder="1" applyAlignment="1" applyProtection="1">
      <alignment horizontal="justify" vertical="center" wrapText="1"/>
      <protection hidden="1"/>
    </xf>
    <xf numFmtId="0" fontId="232" fillId="0" borderId="6" xfId="0" applyFont="1" applyBorder="1" applyAlignment="1" applyProtection="1">
      <alignment horizontal="justify" vertical="center" wrapText="1"/>
      <protection hidden="1"/>
    </xf>
    <xf numFmtId="0" fontId="232" fillId="0" borderId="7" xfId="0" applyFont="1" applyBorder="1" applyAlignment="1" applyProtection="1">
      <alignment horizontal="justify" vertical="center" wrapText="1"/>
      <protection hidden="1"/>
    </xf>
    <xf numFmtId="0" fontId="232" fillId="0" borderId="8" xfId="0" applyFont="1" applyBorder="1" applyAlignment="1" applyProtection="1">
      <alignment horizontal="justify" vertical="center" wrapText="1"/>
      <protection hidden="1"/>
    </xf>
    <xf numFmtId="0" fontId="232" fillId="0" borderId="0" xfId="0" applyFont="1" applyBorder="1" applyAlignment="1" applyProtection="1">
      <alignment horizontal="justify" vertical="center" wrapText="1"/>
      <protection hidden="1"/>
    </xf>
    <xf numFmtId="0" fontId="232" fillId="0" borderId="9" xfId="0" applyFont="1" applyBorder="1" applyAlignment="1" applyProtection="1">
      <alignment horizontal="justify" vertical="center" wrapText="1"/>
      <protection hidden="1"/>
    </xf>
    <xf numFmtId="0" fontId="232" fillId="0" borderId="11" xfId="0" applyFont="1" applyBorder="1" applyAlignment="1" applyProtection="1">
      <alignment horizontal="justify" vertical="center" wrapText="1"/>
      <protection hidden="1"/>
    </xf>
    <xf numFmtId="0" fontId="232" fillId="0" borderId="12" xfId="0" applyFont="1" applyBorder="1" applyAlignment="1" applyProtection="1">
      <alignment horizontal="justify" vertical="center" wrapText="1"/>
      <protection hidden="1"/>
    </xf>
    <xf numFmtId="0" fontId="232" fillId="0" borderId="13" xfId="0" applyFont="1" applyBorder="1" applyAlignment="1" applyProtection="1">
      <alignment horizontal="justify" vertical="center" wrapText="1"/>
      <protection hidden="1"/>
    </xf>
    <xf numFmtId="0" fontId="155" fillId="0" borderId="0" xfId="0" applyFont="1" applyBorder="1" applyAlignment="1" applyProtection="1">
      <alignment horizontal="center" vertical="center" wrapText="1"/>
      <protection hidden="1"/>
    </xf>
    <xf numFmtId="0" fontId="117" fillId="0" borderId="0" xfId="0" applyFont="1" applyBorder="1" applyAlignment="1" applyProtection="1">
      <alignment horizontal="center" vertical="center" wrapText="1"/>
      <protection hidden="1"/>
    </xf>
    <xf numFmtId="14" fontId="154" fillId="38" borderId="0" xfId="0" applyNumberFormat="1" applyFont="1" applyFill="1" applyBorder="1" applyAlignment="1" applyProtection="1">
      <alignment horizontal="center" vertical="center" wrapText="1"/>
      <protection locked="0"/>
    </xf>
    <xf numFmtId="0" fontId="172" fillId="0" borderId="0" xfId="0" applyFont="1" applyBorder="1" applyAlignment="1" applyProtection="1">
      <alignment horizontal="right" vertical="center" wrapText="1"/>
      <protection hidden="1"/>
    </xf>
    <xf numFmtId="0" fontId="156" fillId="0" borderId="0" xfId="0" applyFont="1" applyBorder="1" applyAlignment="1" applyProtection="1">
      <alignment horizontal="center" vertical="center" wrapText="1"/>
      <protection hidden="1"/>
    </xf>
    <xf numFmtId="0" fontId="117" fillId="0" borderId="0" xfId="0" applyFont="1" applyBorder="1" applyAlignment="1" applyProtection="1">
      <alignment horizontal="left" vertical="center" wrapText="1"/>
      <protection hidden="1"/>
    </xf>
    <xf numFmtId="0" fontId="159" fillId="0" borderId="0" xfId="0" applyFont="1" applyBorder="1" applyAlignment="1" applyProtection="1">
      <alignment horizontal="center" vertical="center" wrapText="1"/>
      <protection hidden="1"/>
    </xf>
    <xf numFmtId="0" fontId="159" fillId="0" borderId="0" xfId="0" applyFont="1" applyFill="1" applyBorder="1" applyAlignment="1" applyProtection="1">
      <alignment horizontal="left" vertical="center" wrapText="1"/>
      <protection hidden="1"/>
    </xf>
    <xf numFmtId="0" fontId="171" fillId="0" borderId="0" xfId="0" applyFont="1" applyFill="1" applyBorder="1" applyAlignment="1" applyProtection="1">
      <alignment horizontal="center" wrapText="1"/>
      <protection hidden="1"/>
    </xf>
    <xf numFmtId="0" fontId="171" fillId="0" borderId="0" xfId="0" applyFont="1" applyBorder="1" applyAlignment="1" applyProtection="1">
      <alignment horizontal="center" wrapText="1"/>
      <protection hidden="1"/>
    </xf>
    <xf numFmtId="0" fontId="171" fillId="0" borderId="0" xfId="0" applyFont="1" applyFill="1" applyBorder="1" applyAlignment="1" applyProtection="1">
      <alignment horizontal="center" vertical="center" wrapText="1"/>
      <protection hidden="1"/>
    </xf>
    <xf numFmtId="0" fontId="171" fillId="0" borderId="0" xfId="0" applyFont="1" applyBorder="1" applyAlignment="1" applyProtection="1">
      <alignment horizontal="justify" vertical="center" wrapText="1"/>
      <protection hidden="1"/>
    </xf>
    <xf numFmtId="0" fontId="154" fillId="38" borderId="0" xfId="0" applyFont="1" applyFill="1" applyBorder="1" applyAlignment="1" applyProtection="1">
      <alignment horizontal="center" vertical="center" wrapText="1"/>
      <protection locked="0"/>
    </xf>
    <xf numFmtId="0" fontId="155" fillId="0" borderId="71" xfId="0" applyFont="1" applyBorder="1" applyAlignment="1" applyProtection="1">
      <alignment horizontal="center" vertical="center" wrapText="1"/>
      <protection hidden="1"/>
    </xf>
    <xf numFmtId="169" fontId="159" fillId="0" borderId="71" xfId="0" applyNumberFormat="1" applyFont="1" applyFill="1" applyBorder="1" applyAlignment="1" applyProtection="1">
      <alignment horizontal="center" vertical="center" wrapText="1"/>
      <protection hidden="1"/>
    </xf>
    <xf numFmtId="169" fontId="160" fillId="0" borderId="71" xfId="0" applyNumberFormat="1" applyFont="1" applyFill="1" applyBorder="1" applyAlignment="1" applyProtection="1">
      <alignment horizontal="center" vertical="center" wrapText="1"/>
      <protection hidden="1"/>
    </xf>
    <xf numFmtId="169" fontId="154" fillId="0" borderId="71" xfId="0" applyNumberFormat="1" applyFont="1" applyFill="1" applyBorder="1" applyAlignment="1" applyProtection="1">
      <alignment horizontal="right" vertical="center" wrapText="1"/>
      <protection hidden="1"/>
    </xf>
    <xf numFmtId="0" fontId="157" fillId="0" borderId="71" xfId="0" applyFont="1" applyBorder="1" applyAlignment="1" applyProtection="1">
      <alignment horizontal="center" vertical="center" wrapText="1"/>
      <protection hidden="1"/>
    </xf>
    <xf numFmtId="169" fontId="159" fillId="47" borderId="71" xfId="0" applyNumberFormat="1" applyFont="1" applyFill="1" applyBorder="1" applyAlignment="1" applyProtection="1">
      <alignment horizontal="center" vertical="center" wrapText="1"/>
      <protection hidden="1"/>
    </xf>
    <xf numFmtId="169" fontId="159" fillId="47" borderId="71" xfId="0" applyNumberFormat="1" applyFont="1" applyFill="1" applyBorder="1" applyAlignment="1" applyProtection="1">
      <alignment horizontal="center" vertical="center" wrapText="1"/>
      <protection locked="0"/>
    </xf>
    <xf numFmtId="169" fontId="154" fillId="0" borderId="62" xfId="0" applyNumberFormat="1" applyFont="1" applyFill="1" applyBorder="1" applyAlignment="1" applyProtection="1">
      <alignment horizontal="right" vertical="center" wrapText="1"/>
      <protection hidden="1"/>
    </xf>
    <xf numFmtId="169" fontId="139" fillId="14" borderId="62" xfId="0" applyNumberFormat="1" applyFont="1" applyFill="1" applyBorder="1" applyAlignment="1" applyProtection="1">
      <alignment horizontal="right" vertical="center" wrapText="1"/>
      <protection hidden="1"/>
    </xf>
    <xf numFmtId="0" fontId="173" fillId="0" borderId="62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77" fillId="69" borderId="71" xfId="0" applyFont="1" applyFill="1" applyBorder="1" applyAlignment="1" applyProtection="1">
      <alignment horizontal="left" vertical="center" wrapText="1"/>
      <protection hidden="1"/>
    </xf>
    <xf numFmtId="0" fontId="160" fillId="69" borderId="71" xfId="0" applyFont="1" applyFill="1" applyBorder="1" applyAlignment="1" applyProtection="1">
      <alignment horizontal="center" vertical="center" wrapText="1"/>
      <protection hidden="1"/>
    </xf>
    <xf numFmtId="169" fontId="139" fillId="14" borderId="71" xfId="0" applyNumberFormat="1" applyFont="1" applyFill="1" applyBorder="1" applyAlignment="1" applyProtection="1">
      <alignment horizontal="center" vertical="center" wrapText="1"/>
      <protection hidden="1"/>
    </xf>
    <xf numFmtId="169" fontId="159" fillId="0" borderId="88" xfId="0" applyNumberFormat="1" applyFont="1" applyFill="1" applyBorder="1" applyAlignment="1" applyProtection="1">
      <alignment horizontal="center" vertical="center" wrapText="1"/>
      <protection hidden="1"/>
    </xf>
    <xf numFmtId="169" fontId="159" fillId="0" borderId="90" xfId="0" applyNumberFormat="1" applyFont="1" applyFill="1" applyBorder="1" applyAlignment="1" applyProtection="1">
      <alignment horizontal="center" vertical="center" wrapText="1"/>
      <protection hidden="1"/>
    </xf>
    <xf numFmtId="0" fontId="154" fillId="69" borderId="62" xfId="0" applyFont="1" applyFill="1" applyBorder="1" applyAlignment="1" applyProtection="1">
      <alignment horizontal="center" vertical="center" wrapText="1"/>
      <protection hidden="1"/>
    </xf>
    <xf numFmtId="0" fontId="0" fillId="0" borderId="62" xfId="0" applyBorder="1" applyAlignment="1" applyProtection="1">
      <alignment horizontal="center" vertical="center"/>
      <protection hidden="1"/>
    </xf>
    <xf numFmtId="0" fontId="159" fillId="0" borderId="62" xfId="0" applyFont="1" applyBorder="1" applyAlignment="1" applyProtection="1">
      <alignment horizontal="center" vertical="center" wrapText="1"/>
      <protection hidden="1"/>
    </xf>
    <xf numFmtId="169" fontId="101" fillId="38" borderId="82" xfId="0" applyNumberFormat="1" applyFont="1" applyFill="1" applyBorder="1" applyAlignment="1" applyProtection="1">
      <alignment horizontal="center" vertical="center" wrapText="1"/>
      <protection hidden="1"/>
    </xf>
    <xf numFmtId="169" fontId="101" fillId="38" borderId="83" xfId="0" applyNumberFormat="1" applyFont="1" applyFill="1" applyBorder="1" applyAlignment="1" applyProtection="1">
      <alignment horizontal="center" vertical="center" wrapText="1"/>
      <protection hidden="1"/>
    </xf>
    <xf numFmtId="169" fontId="101" fillId="38" borderId="84" xfId="0" applyNumberFormat="1" applyFont="1" applyFill="1" applyBorder="1" applyAlignment="1" applyProtection="1">
      <alignment horizontal="center" vertical="center" wrapText="1"/>
      <protection hidden="1"/>
    </xf>
    <xf numFmtId="169" fontId="101" fillId="38" borderId="85" xfId="0" applyNumberFormat="1" applyFont="1" applyFill="1" applyBorder="1" applyAlignment="1" applyProtection="1">
      <alignment horizontal="center" vertical="center" wrapText="1"/>
      <protection hidden="1"/>
    </xf>
    <xf numFmtId="169" fontId="101" fillId="38" borderId="86" xfId="0" applyNumberFormat="1" applyFont="1" applyFill="1" applyBorder="1" applyAlignment="1" applyProtection="1">
      <alignment horizontal="center" vertical="center" wrapText="1"/>
      <protection hidden="1"/>
    </xf>
    <xf numFmtId="169" fontId="101" fillId="38" borderId="87" xfId="0" applyNumberFormat="1" applyFont="1" applyFill="1" applyBorder="1" applyAlignment="1" applyProtection="1">
      <alignment horizontal="center" vertical="center" wrapText="1"/>
      <protection hidden="1"/>
    </xf>
    <xf numFmtId="169" fontId="158" fillId="38" borderId="82" xfId="0" applyNumberFormat="1" applyFont="1" applyFill="1" applyBorder="1" applyAlignment="1" applyProtection="1">
      <alignment horizontal="center" vertical="center" wrapText="1"/>
      <protection hidden="1"/>
    </xf>
    <xf numFmtId="169" fontId="158" fillId="38" borderId="83" xfId="0" applyNumberFormat="1" applyFont="1" applyFill="1" applyBorder="1" applyAlignment="1" applyProtection="1">
      <alignment horizontal="center" vertical="center" wrapText="1"/>
      <protection hidden="1"/>
    </xf>
    <xf numFmtId="169" fontId="158" fillId="38" borderId="84" xfId="0" applyNumberFormat="1" applyFont="1" applyFill="1" applyBorder="1" applyAlignment="1" applyProtection="1">
      <alignment horizontal="center" vertical="center" wrapText="1"/>
      <protection hidden="1"/>
    </xf>
    <xf numFmtId="169" fontId="158" fillId="38" borderId="85" xfId="0" applyNumberFormat="1" applyFont="1" applyFill="1" applyBorder="1" applyAlignment="1" applyProtection="1">
      <alignment horizontal="center" vertical="center" wrapText="1"/>
      <protection hidden="1"/>
    </xf>
    <xf numFmtId="169" fontId="158" fillId="38" borderId="86" xfId="0" applyNumberFormat="1" applyFont="1" applyFill="1" applyBorder="1" applyAlignment="1" applyProtection="1">
      <alignment horizontal="center" vertical="center" wrapText="1"/>
      <protection hidden="1"/>
    </xf>
    <xf numFmtId="169" fontId="158" fillId="38" borderId="87" xfId="0" applyNumberFormat="1" applyFont="1" applyFill="1" applyBorder="1" applyAlignment="1" applyProtection="1">
      <alignment horizontal="center" vertical="center" wrapText="1"/>
      <protection hidden="1"/>
    </xf>
    <xf numFmtId="0" fontId="176" fillId="0" borderId="62" xfId="0" applyFont="1" applyBorder="1" applyAlignment="1" applyProtection="1">
      <alignment horizontal="left" vertical="center"/>
      <protection hidden="1"/>
    </xf>
    <xf numFmtId="0" fontId="173" fillId="0" borderId="62" xfId="0" applyFont="1" applyBorder="1" applyAlignment="1" applyProtection="1">
      <alignment horizontal="left" vertical="center" wrapText="1"/>
      <protection hidden="1"/>
    </xf>
    <xf numFmtId="0" fontId="108" fillId="0" borderId="88" xfId="4" applyFont="1" applyBorder="1" applyAlignment="1" applyProtection="1">
      <alignment horizontal="center" vertical="center"/>
      <protection hidden="1"/>
    </xf>
    <xf numFmtId="0" fontId="108" fillId="0" borderId="89" xfId="4" applyFont="1" applyBorder="1" applyAlignment="1" applyProtection="1">
      <alignment horizontal="center" vertical="center"/>
      <protection hidden="1"/>
    </xf>
    <xf numFmtId="0" fontId="108" fillId="0" borderId="90" xfId="4" applyFont="1" applyBorder="1" applyAlignment="1" applyProtection="1">
      <alignment horizontal="center" vertical="center"/>
      <protection hidden="1"/>
    </xf>
    <xf numFmtId="0" fontId="175" fillId="0" borderId="62" xfId="0" applyFont="1" applyBorder="1" applyAlignment="1" applyProtection="1">
      <alignment horizontal="left" vertical="center" wrapText="1"/>
      <protection hidden="1"/>
    </xf>
    <xf numFmtId="0" fontId="175" fillId="0" borderId="66" xfId="0" applyFont="1" applyBorder="1" applyAlignment="1" applyProtection="1">
      <alignment horizontal="right" vertical="center" wrapText="1"/>
      <protection hidden="1"/>
    </xf>
    <xf numFmtId="0" fontId="175" fillId="0" borderId="91" xfId="0" applyFont="1" applyBorder="1" applyAlignment="1" applyProtection="1">
      <alignment horizontal="right" vertical="center" wrapText="1"/>
      <protection hidden="1"/>
    </xf>
    <xf numFmtId="0" fontId="175" fillId="0" borderId="63" xfId="0" applyFont="1" applyBorder="1" applyAlignment="1" applyProtection="1">
      <alignment horizontal="right" vertical="center" wrapText="1"/>
      <protection hidden="1"/>
    </xf>
    <xf numFmtId="169" fontId="160" fillId="14" borderId="62" xfId="0" applyNumberFormat="1" applyFont="1" applyFill="1" applyBorder="1" applyAlignment="1" applyProtection="1">
      <alignment horizontal="right" vertical="center" wrapText="1"/>
      <protection hidden="1"/>
    </xf>
    <xf numFmtId="169" fontId="154" fillId="0" borderId="82" xfId="0" applyNumberFormat="1" applyFont="1" applyFill="1" applyBorder="1" applyAlignment="1" applyProtection="1">
      <alignment horizontal="center" vertical="center" wrapText="1"/>
      <protection hidden="1"/>
    </xf>
    <xf numFmtId="169" fontId="154" fillId="0" borderId="83" xfId="0" applyNumberFormat="1" applyFont="1" applyFill="1" applyBorder="1" applyAlignment="1" applyProtection="1">
      <alignment horizontal="center" vertical="center" wrapText="1"/>
      <protection hidden="1"/>
    </xf>
    <xf numFmtId="169" fontId="154" fillId="0" borderId="84" xfId="0" applyNumberFormat="1" applyFont="1" applyFill="1" applyBorder="1" applyAlignment="1" applyProtection="1">
      <alignment horizontal="center" vertical="center" wrapText="1"/>
      <protection hidden="1"/>
    </xf>
    <xf numFmtId="169" fontId="154" fillId="0" borderId="85" xfId="0" applyNumberFormat="1" applyFont="1" applyFill="1" applyBorder="1" applyAlignment="1" applyProtection="1">
      <alignment horizontal="center" vertical="center" wrapText="1"/>
      <protection hidden="1"/>
    </xf>
    <xf numFmtId="169" fontId="154" fillId="0" borderId="86" xfId="0" applyNumberFormat="1" applyFont="1" applyFill="1" applyBorder="1" applyAlignment="1" applyProtection="1">
      <alignment horizontal="center" vertical="center" wrapText="1"/>
      <protection hidden="1"/>
    </xf>
    <xf numFmtId="169" fontId="154" fillId="0" borderId="87" xfId="0" applyNumberFormat="1" applyFont="1" applyFill="1" applyBorder="1" applyAlignment="1" applyProtection="1">
      <alignment horizontal="center" vertical="center" wrapText="1"/>
      <protection hidden="1"/>
    </xf>
    <xf numFmtId="0" fontId="235" fillId="0" borderId="66" xfId="0" applyFont="1" applyBorder="1" applyAlignment="1" applyProtection="1">
      <alignment horizontal="center" vertical="center" wrapText="1"/>
      <protection hidden="1"/>
    </xf>
    <xf numFmtId="0" fontId="235" fillId="0" borderId="63" xfId="0" applyFont="1" applyBorder="1" applyAlignment="1" applyProtection="1">
      <alignment horizontal="center" vertical="center" wrapText="1"/>
      <protection hidden="1"/>
    </xf>
    <xf numFmtId="169" fontId="159" fillId="0" borderId="62" xfId="0" applyNumberFormat="1" applyFont="1" applyFill="1" applyBorder="1" applyAlignment="1" applyProtection="1">
      <alignment horizontal="right" vertical="center" wrapText="1"/>
      <protection hidden="1"/>
    </xf>
    <xf numFmtId="169" fontId="159" fillId="14" borderId="62" xfId="0" applyNumberFormat="1" applyFont="1" applyFill="1" applyBorder="1" applyAlignment="1" applyProtection="1">
      <alignment horizontal="center" vertical="center" wrapText="1"/>
      <protection hidden="1"/>
    </xf>
    <xf numFmtId="169" fontId="159" fillId="14" borderId="82" xfId="0" applyNumberFormat="1" applyFont="1" applyFill="1" applyBorder="1" applyAlignment="1" applyProtection="1">
      <alignment horizontal="center" vertical="center" wrapText="1"/>
      <protection hidden="1"/>
    </xf>
    <xf numFmtId="169" fontId="159" fillId="14" borderId="83" xfId="0" applyNumberFormat="1" applyFont="1" applyFill="1" applyBorder="1" applyAlignment="1" applyProtection="1">
      <alignment horizontal="center" vertical="center" wrapText="1"/>
      <protection hidden="1"/>
    </xf>
    <xf numFmtId="169" fontId="159" fillId="14" borderId="84" xfId="0" applyNumberFormat="1" applyFont="1" applyFill="1" applyBorder="1" applyAlignment="1" applyProtection="1">
      <alignment horizontal="center" vertical="center" wrapText="1"/>
      <protection hidden="1"/>
    </xf>
    <xf numFmtId="169" fontId="159" fillId="14" borderId="85" xfId="0" applyNumberFormat="1" applyFont="1" applyFill="1" applyBorder="1" applyAlignment="1" applyProtection="1">
      <alignment horizontal="center" vertical="center" wrapText="1"/>
      <protection hidden="1"/>
    </xf>
    <xf numFmtId="169" fontId="159" fillId="14" borderId="86" xfId="0" applyNumberFormat="1" applyFont="1" applyFill="1" applyBorder="1" applyAlignment="1" applyProtection="1">
      <alignment horizontal="center" vertical="center" wrapText="1"/>
      <protection hidden="1"/>
    </xf>
    <xf numFmtId="169" fontId="159" fillId="14" borderId="87" xfId="0" applyNumberFormat="1" applyFont="1" applyFill="1" applyBorder="1" applyAlignment="1" applyProtection="1">
      <alignment horizontal="center" vertical="center" wrapText="1"/>
      <protection hidden="1"/>
    </xf>
    <xf numFmtId="0" fontId="158" fillId="0" borderId="62" xfId="0" applyFont="1" applyBorder="1" applyAlignment="1" applyProtection="1">
      <alignment horizontal="center" vertical="center" wrapText="1"/>
      <protection hidden="1"/>
    </xf>
    <xf numFmtId="0" fontId="154" fillId="0" borderId="62" xfId="0" applyFont="1" applyBorder="1" applyAlignment="1" applyProtection="1">
      <alignment horizontal="left" vertical="center" wrapText="1"/>
      <protection hidden="1"/>
    </xf>
    <xf numFmtId="169" fontId="160" fillId="14" borderId="62" xfId="0" applyNumberFormat="1" applyFont="1" applyFill="1" applyBorder="1" applyAlignment="1" applyProtection="1">
      <alignment horizontal="center" vertical="center" wrapText="1"/>
      <protection hidden="1"/>
    </xf>
    <xf numFmtId="169" fontId="160" fillId="0" borderId="62" xfId="0" applyNumberFormat="1" applyFont="1" applyFill="1" applyBorder="1" applyAlignment="1" applyProtection="1">
      <alignment horizontal="right" vertical="center" wrapText="1"/>
      <protection hidden="1"/>
    </xf>
    <xf numFmtId="0" fontId="178" fillId="0" borderId="73" xfId="0" applyFont="1" applyBorder="1" applyAlignment="1" applyProtection="1">
      <alignment horizontal="center" vertical="center" wrapText="1"/>
      <protection hidden="1"/>
    </xf>
    <xf numFmtId="0" fontId="154" fillId="38" borderId="88" xfId="0" applyFont="1" applyFill="1" applyBorder="1" applyAlignment="1" applyProtection="1">
      <alignment horizontal="left" vertical="center" wrapText="1"/>
      <protection hidden="1"/>
    </xf>
    <xf numFmtId="0" fontId="154" fillId="38" borderId="89" xfId="0" applyFont="1" applyFill="1" applyBorder="1" applyAlignment="1" applyProtection="1">
      <alignment horizontal="left" vertical="center" wrapText="1"/>
      <protection hidden="1"/>
    </xf>
    <xf numFmtId="169" fontId="160" fillId="0" borderId="88" xfId="0" applyNumberFormat="1" applyFont="1" applyFill="1" applyBorder="1" applyAlignment="1" applyProtection="1">
      <alignment horizontal="left" vertical="center" wrapText="1"/>
      <protection hidden="1"/>
    </xf>
    <xf numFmtId="169" fontId="160" fillId="0" borderId="90" xfId="0" applyNumberFormat="1" applyFont="1" applyFill="1" applyBorder="1" applyAlignment="1" applyProtection="1">
      <alignment horizontal="left" vertical="center" wrapText="1"/>
      <protection hidden="1"/>
    </xf>
    <xf numFmtId="0" fontId="154" fillId="0" borderId="88" xfId="0" applyFont="1" applyBorder="1" applyAlignment="1" applyProtection="1">
      <alignment horizontal="left" vertical="center" wrapText="1"/>
      <protection hidden="1"/>
    </xf>
    <xf numFmtId="0" fontId="0" fillId="0" borderId="89" xfId="0" applyBorder="1"/>
    <xf numFmtId="0" fontId="154" fillId="0" borderId="78" xfId="0" applyFont="1" applyBorder="1" applyAlignment="1" applyProtection="1">
      <alignment horizontal="left" vertical="center" wrapText="1"/>
      <protection hidden="1"/>
    </xf>
    <xf numFmtId="0" fontId="154" fillId="0" borderId="0" xfId="0" applyFont="1" applyBorder="1" applyAlignment="1" applyProtection="1">
      <alignment horizontal="left" vertical="center" wrapText="1"/>
      <protection hidden="1"/>
    </xf>
    <xf numFmtId="0" fontId="154" fillId="0" borderId="73" xfId="0" applyFont="1" applyBorder="1" applyAlignment="1" applyProtection="1">
      <alignment horizontal="left" vertical="center" wrapText="1"/>
      <protection hidden="1"/>
    </xf>
    <xf numFmtId="0" fontId="154" fillId="0" borderId="89" xfId="0" applyFont="1" applyBorder="1" applyAlignment="1" applyProtection="1">
      <alignment horizontal="left" vertical="center" wrapText="1"/>
      <protection hidden="1"/>
    </xf>
    <xf numFmtId="0" fontId="154" fillId="0" borderId="90" xfId="0" applyFont="1" applyBorder="1" applyAlignment="1" applyProtection="1">
      <alignment horizontal="left" vertical="center" wrapText="1"/>
      <protection hidden="1"/>
    </xf>
    <xf numFmtId="0" fontId="160" fillId="0" borderId="88" xfId="0" applyFont="1" applyBorder="1" applyAlignment="1" applyProtection="1">
      <alignment horizontal="left" vertical="center" wrapText="1"/>
      <protection hidden="1"/>
    </xf>
    <xf numFmtId="0" fontId="160" fillId="0" borderId="89" xfId="0" applyFont="1" applyBorder="1" applyAlignment="1" applyProtection="1">
      <alignment horizontal="left" vertical="center" wrapText="1"/>
      <protection hidden="1"/>
    </xf>
    <xf numFmtId="0" fontId="160" fillId="0" borderId="90" xfId="0" applyFont="1" applyBorder="1" applyAlignment="1" applyProtection="1">
      <alignment horizontal="left" vertical="center" wrapText="1"/>
      <protection hidden="1"/>
    </xf>
    <xf numFmtId="0" fontId="155" fillId="0" borderId="89" xfId="0" applyFont="1" applyBorder="1" applyAlignment="1" applyProtection="1">
      <alignment horizontal="left" vertical="center" wrapText="1"/>
      <protection hidden="1"/>
    </xf>
    <xf numFmtId="0" fontId="155" fillId="0" borderId="90" xfId="0" applyFont="1" applyBorder="1" applyAlignment="1" applyProtection="1">
      <alignment horizontal="left" vertical="center" wrapText="1"/>
      <protection hidden="1"/>
    </xf>
    <xf numFmtId="0" fontId="154" fillId="0" borderId="71" xfId="0" applyFont="1" applyBorder="1" applyAlignment="1" applyProtection="1">
      <alignment horizontal="left" vertical="center" wrapText="1"/>
      <protection hidden="1"/>
    </xf>
    <xf numFmtId="0" fontId="160" fillId="0" borderId="71" xfId="0" applyFont="1" applyFill="1" applyBorder="1" applyAlignment="1" applyProtection="1">
      <alignment horizontal="center" vertical="center" wrapText="1"/>
      <protection hidden="1"/>
    </xf>
    <xf numFmtId="169" fontId="160" fillId="0" borderId="62" xfId="0" applyNumberFormat="1" applyFont="1" applyFill="1" applyBorder="1" applyAlignment="1" applyProtection="1">
      <alignment horizontal="center" vertical="center" wrapText="1"/>
      <protection hidden="1"/>
    </xf>
    <xf numFmtId="169" fontId="158" fillId="0" borderId="62" xfId="0" applyNumberFormat="1" applyFont="1" applyFill="1" applyBorder="1" applyAlignment="1" applyProtection="1">
      <alignment horizontal="center" vertical="center" wrapText="1"/>
      <protection hidden="1"/>
    </xf>
    <xf numFmtId="0" fontId="173" fillId="0" borderId="62" xfId="0" applyFont="1" applyBorder="1" applyAlignment="1" applyProtection="1">
      <alignment horizontal="center" vertical="center" wrapText="1"/>
      <protection hidden="1"/>
    </xf>
    <xf numFmtId="169" fontId="159" fillId="38" borderId="62" xfId="0" applyNumberFormat="1" applyFont="1" applyFill="1" applyBorder="1" applyAlignment="1" applyProtection="1">
      <alignment horizontal="center" vertical="center" wrapText="1"/>
      <protection hidden="1"/>
    </xf>
    <xf numFmtId="0" fontId="116" fillId="0" borderId="62" xfId="0" applyFont="1" applyBorder="1" applyAlignment="1" applyProtection="1">
      <alignment horizontal="center" vertical="center"/>
      <protection hidden="1"/>
    </xf>
    <xf numFmtId="169" fontId="156" fillId="0" borderId="62" xfId="0" applyNumberFormat="1" applyFont="1" applyFill="1" applyBorder="1" applyAlignment="1" applyProtection="1">
      <alignment horizontal="right" vertical="center" wrapText="1"/>
      <protection hidden="1"/>
    </xf>
    <xf numFmtId="0" fontId="120" fillId="69" borderId="62" xfId="0" applyFont="1" applyFill="1" applyBorder="1" applyAlignment="1" applyProtection="1">
      <alignment horizontal="center" vertical="center" wrapText="1"/>
      <protection hidden="1"/>
    </xf>
    <xf numFmtId="0" fontId="120" fillId="69" borderId="62" xfId="0" applyFont="1" applyFill="1" applyBorder="1" applyAlignment="1" applyProtection="1">
      <alignment horizontal="left" vertical="center" wrapText="1"/>
      <protection hidden="1"/>
    </xf>
    <xf numFmtId="0" fontId="197" fillId="0" borderId="62" xfId="0" applyFont="1" applyBorder="1" applyAlignment="1" applyProtection="1">
      <alignment horizontal="left" vertical="center"/>
      <protection hidden="1"/>
    </xf>
    <xf numFmtId="169" fontId="159" fillId="14" borderId="62" xfId="0" applyNumberFormat="1" applyFont="1" applyFill="1" applyBorder="1" applyAlignment="1" applyProtection="1">
      <alignment horizontal="right" vertical="center" wrapText="1"/>
      <protection hidden="1"/>
    </xf>
    <xf numFmtId="0" fontId="174" fillId="0" borderId="62" xfId="0" applyFont="1" applyBorder="1" applyAlignment="1" applyProtection="1">
      <alignment horizontal="center" vertical="center" wrapText="1"/>
      <protection hidden="1"/>
    </xf>
    <xf numFmtId="0" fontId="155" fillId="0" borderId="62" xfId="0" applyFont="1" applyBorder="1" applyAlignment="1" applyProtection="1">
      <alignment horizontal="right" vertical="center" wrapText="1"/>
      <protection hidden="1"/>
    </xf>
    <xf numFmtId="0" fontId="154" fillId="0" borderId="62" xfId="0" applyFont="1" applyFill="1" applyBorder="1" applyAlignment="1" applyProtection="1">
      <alignment horizontal="center" vertical="center" wrapText="1"/>
      <protection hidden="1"/>
    </xf>
    <xf numFmtId="169" fontId="159" fillId="68" borderId="62" xfId="0" applyNumberFormat="1" applyFont="1" applyFill="1" applyBorder="1" applyAlignment="1" applyProtection="1">
      <alignment horizontal="right" vertical="center" wrapText="1"/>
      <protection hidden="1"/>
    </xf>
    <xf numFmtId="0" fontId="168" fillId="0" borderId="0" xfId="0" applyFont="1" applyBorder="1" applyAlignment="1" applyProtection="1">
      <alignment horizontal="center" vertical="center" wrapText="1"/>
      <protection hidden="1"/>
    </xf>
    <xf numFmtId="0" fontId="160" fillId="0" borderId="62" xfId="0" applyFont="1" applyFill="1" applyBorder="1" applyAlignment="1" applyProtection="1">
      <alignment horizontal="center" vertical="center" wrapText="1"/>
      <protection hidden="1"/>
    </xf>
    <xf numFmtId="169" fontId="154" fillId="14" borderId="62" xfId="0" applyNumberFormat="1" applyFont="1" applyFill="1" applyBorder="1" applyAlignment="1" applyProtection="1">
      <alignment horizontal="center" vertical="center" wrapText="1"/>
      <protection hidden="1"/>
    </xf>
    <xf numFmtId="0" fontId="234" fillId="0" borderId="62" xfId="0" applyFont="1" applyBorder="1" applyAlignment="1" applyProtection="1">
      <alignment horizontal="left" vertical="center" wrapText="1"/>
      <protection hidden="1"/>
    </xf>
    <xf numFmtId="169" fontId="159" fillId="0" borderId="62" xfId="0" applyNumberFormat="1" applyFont="1" applyFill="1" applyBorder="1" applyAlignment="1" applyProtection="1">
      <alignment horizontal="right" vertical="center" wrapText="1"/>
      <protection locked="0"/>
    </xf>
    <xf numFmtId="169" fontId="159" fillId="68" borderId="62" xfId="0" applyNumberFormat="1" applyFont="1" applyFill="1" applyBorder="1" applyAlignment="1" applyProtection="1">
      <alignment horizontal="right" vertical="center" wrapText="1"/>
      <protection locked="0"/>
    </xf>
    <xf numFmtId="0" fontId="139" fillId="0" borderId="0" xfId="0" applyFont="1" applyBorder="1" applyAlignment="1" applyProtection="1">
      <alignment horizontal="center" vertical="center" wrapText="1"/>
      <protection hidden="1"/>
    </xf>
    <xf numFmtId="0" fontId="172" fillId="0" borderId="0" xfId="0" applyFont="1" applyBorder="1" applyAlignment="1" applyProtection="1">
      <alignment horizontal="center" vertical="center" wrapText="1"/>
      <protection hidden="1"/>
    </xf>
    <xf numFmtId="0" fontId="154" fillId="0" borderId="0" xfId="0" applyFont="1" applyBorder="1" applyAlignment="1" applyProtection="1">
      <alignment horizontal="center" vertical="center" wrapText="1"/>
      <protection hidden="1"/>
    </xf>
    <xf numFmtId="0" fontId="155" fillId="0" borderId="0" xfId="0" applyFont="1" applyBorder="1" applyAlignment="1" applyProtection="1">
      <alignment horizontal="left" vertical="center" wrapText="1"/>
      <protection hidden="1"/>
    </xf>
    <xf numFmtId="0" fontId="117" fillId="0" borderId="0" xfId="0" applyFont="1" applyFill="1" applyBorder="1" applyAlignment="1" applyProtection="1">
      <alignment horizontal="center" vertical="center" wrapText="1"/>
      <protection hidden="1"/>
    </xf>
    <xf numFmtId="0" fontId="171" fillId="0" borderId="0" xfId="0" applyFont="1" applyBorder="1" applyAlignment="1" applyProtection="1">
      <alignment horizontal="left" vertical="center" wrapText="1"/>
      <protection hidden="1"/>
    </xf>
    <xf numFmtId="0" fontId="154" fillId="0" borderId="0" xfId="0" applyFont="1" applyFill="1" applyBorder="1" applyAlignment="1" applyProtection="1">
      <alignment horizontal="center" vertical="center" wrapText="1"/>
      <protection locked="0"/>
    </xf>
    <xf numFmtId="0" fontId="120" fillId="0" borderId="0" xfId="0" applyFont="1" applyBorder="1" applyAlignment="1" applyProtection="1">
      <alignment horizontal="center" wrapText="1"/>
      <protection hidden="1"/>
    </xf>
    <xf numFmtId="0" fontId="155" fillId="67" borderId="0" xfId="0" applyFont="1" applyFill="1" applyBorder="1" applyAlignment="1" applyProtection="1">
      <alignment horizontal="center" vertical="center" wrapText="1"/>
      <protection locked="0"/>
    </xf>
    <xf numFmtId="0" fontId="171" fillId="0" borderId="0" xfId="0" applyFont="1" applyFill="1" applyBorder="1" applyAlignment="1" applyProtection="1">
      <alignment horizontal="left" vertical="center" wrapText="1"/>
      <protection hidden="1"/>
    </xf>
    <xf numFmtId="0" fontId="171" fillId="0" borderId="0" xfId="0" applyFont="1" applyBorder="1" applyAlignment="1" applyProtection="1">
      <alignment horizontal="center" vertical="center" wrapText="1"/>
      <protection hidden="1"/>
    </xf>
    <xf numFmtId="0" fontId="117" fillId="0" borderId="0" xfId="0" applyFont="1" applyFill="1" applyBorder="1" applyAlignment="1" applyProtection="1">
      <alignment horizontal="left" vertical="center" wrapText="1"/>
      <protection hidden="1"/>
    </xf>
    <xf numFmtId="0" fontId="158" fillId="0" borderId="80" xfId="0" applyFont="1" applyBorder="1" applyAlignment="1" applyProtection="1">
      <alignment horizontal="center" vertical="center" wrapText="1"/>
      <protection hidden="1"/>
    </xf>
    <xf numFmtId="49" fontId="158" fillId="0" borderId="80" xfId="0" applyNumberFormat="1" applyFont="1" applyBorder="1" applyAlignment="1" applyProtection="1">
      <alignment horizontal="center" vertical="center" wrapText="1"/>
      <protection hidden="1"/>
    </xf>
    <xf numFmtId="0" fontId="0" fillId="0" borderId="80" xfId="0" applyBorder="1" applyAlignment="1" applyProtection="1">
      <alignment horizontal="center"/>
      <protection hidden="1"/>
    </xf>
    <xf numFmtId="49" fontId="163" fillId="0" borderId="80" xfId="0" applyNumberFormat="1" applyFont="1" applyBorder="1" applyAlignment="1" applyProtection="1">
      <alignment horizontal="center"/>
      <protection hidden="1"/>
    </xf>
    <xf numFmtId="0" fontId="156" fillId="0" borderId="80" xfId="0" applyFont="1" applyBorder="1" applyAlignment="1" applyProtection="1">
      <alignment horizontal="center" vertical="center" wrapText="1"/>
      <protection hidden="1"/>
    </xf>
    <xf numFmtId="0" fontId="158" fillId="0" borderId="80" xfId="0" applyFont="1" applyBorder="1" applyAlignment="1" applyProtection="1">
      <alignment horizontal="center" vertical="center" wrapText="1"/>
      <protection locked="0"/>
    </xf>
    <xf numFmtId="49" fontId="158" fillId="0" borderId="80" xfId="0" applyNumberFormat="1" applyFont="1" applyBorder="1" applyAlignment="1" applyProtection="1">
      <alignment horizontal="center" vertical="center" wrapText="1"/>
      <protection locked="0"/>
    </xf>
    <xf numFmtId="0" fontId="0" fillId="0" borderId="80" xfId="0" applyBorder="1" applyAlignment="1" applyProtection="1">
      <alignment horizontal="center"/>
      <protection locked="0"/>
    </xf>
    <xf numFmtId="49" fontId="163" fillId="0" borderId="80" xfId="0" applyNumberFormat="1" applyFont="1" applyBorder="1" applyAlignment="1" applyProtection="1">
      <alignment horizontal="center"/>
      <protection locked="0"/>
    </xf>
    <xf numFmtId="0" fontId="160" fillId="69" borderId="80" xfId="0" applyFont="1" applyFill="1" applyBorder="1" applyAlignment="1" applyProtection="1">
      <alignment horizontal="center" vertical="center" wrapText="1"/>
      <protection hidden="1"/>
    </xf>
    <xf numFmtId="168" fontId="156" fillId="0" borderId="58" xfId="0" applyNumberFormat="1" applyFont="1" applyBorder="1" applyAlignment="1" applyProtection="1">
      <alignment horizontal="center" vertical="center" wrapText="1"/>
      <protection hidden="1"/>
    </xf>
    <xf numFmtId="0" fontId="156" fillId="0" borderId="58" xfId="0" applyFont="1" applyBorder="1" applyAlignment="1" applyProtection="1">
      <alignment horizontal="center" vertical="center" wrapText="1"/>
      <protection hidden="1"/>
    </xf>
    <xf numFmtId="0" fontId="154" fillId="0" borderId="58" xfId="0" applyFont="1" applyFill="1" applyBorder="1" applyAlignment="1" applyProtection="1">
      <alignment horizontal="center" vertical="center" wrapText="1"/>
      <protection hidden="1"/>
    </xf>
    <xf numFmtId="0" fontId="160" fillId="0" borderId="81" xfId="0" applyFont="1" applyFill="1" applyBorder="1" applyAlignment="1" applyProtection="1">
      <alignment horizontal="center" vertical="center" wrapText="1"/>
      <protection hidden="1"/>
    </xf>
    <xf numFmtId="0" fontId="156" fillId="69" borderId="80" xfId="0" applyFont="1" applyFill="1" applyBorder="1" applyAlignment="1" applyProtection="1">
      <alignment horizontal="center" vertical="center" wrapText="1"/>
      <protection hidden="1"/>
    </xf>
    <xf numFmtId="168" fontId="158" fillId="0" borderId="58" xfId="0" applyNumberFormat="1" applyFont="1" applyBorder="1" applyAlignment="1" applyProtection="1">
      <alignment horizontal="center" vertical="center" wrapText="1"/>
      <protection hidden="1"/>
    </xf>
    <xf numFmtId="49" fontId="158" fillId="0" borderId="58" xfId="0" applyNumberFormat="1" applyFont="1" applyBorder="1" applyAlignment="1" applyProtection="1">
      <alignment horizontal="center" vertical="center" wrapText="1"/>
      <protection locked="0"/>
    </xf>
    <xf numFmtId="0" fontId="158" fillId="0" borderId="58" xfId="0" applyNumberFormat="1" applyFont="1" applyBorder="1" applyAlignment="1" applyProtection="1">
      <alignment horizontal="center" vertical="center" wrapText="1"/>
      <protection hidden="1"/>
    </xf>
    <xf numFmtId="49" fontId="158" fillId="0" borderId="58" xfId="0" applyNumberFormat="1" applyFont="1" applyBorder="1" applyAlignment="1" applyProtection="1">
      <alignment horizontal="center" vertical="center" wrapText="1"/>
      <protection hidden="1"/>
    </xf>
    <xf numFmtId="0" fontId="157" fillId="0" borderId="72" xfId="0" applyFont="1" applyFill="1" applyBorder="1" applyAlignment="1" applyProtection="1">
      <alignment horizontal="center" vertical="center" wrapText="1"/>
      <protection hidden="1"/>
    </xf>
    <xf numFmtId="0" fontId="157" fillId="0" borderId="73" xfId="0" applyFont="1" applyFill="1" applyBorder="1" applyAlignment="1" applyProtection="1">
      <alignment horizontal="center" vertical="center" wrapText="1"/>
      <protection hidden="1"/>
    </xf>
    <xf numFmtId="0" fontId="157" fillId="0" borderId="74" xfId="0" applyFont="1" applyFill="1" applyBorder="1" applyAlignment="1" applyProtection="1">
      <alignment horizontal="center" vertical="center" wrapText="1"/>
      <protection hidden="1"/>
    </xf>
    <xf numFmtId="0" fontId="157" fillId="0" borderId="78" xfId="0" applyFont="1" applyFill="1" applyBorder="1" applyAlignment="1" applyProtection="1">
      <alignment horizontal="center" vertical="center" wrapText="1"/>
      <protection hidden="1"/>
    </xf>
    <xf numFmtId="0" fontId="157" fillId="0" borderId="0" xfId="0" applyFont="1" applyFill="1" applyBorder="1" applyAlignment="1" applyProtection="1">
      <alignment horizontal="center" vertical="center" wrapText="1"/>
      <protection hidden="1"/>
    </xf>
    <xf numFmtId="0" fontId="157" fillId="0" borderId="79" xfId="0" applyFont="1" applyFill="1" applyBorder="1" applyAlignment="1" applyProtection="1">
      <alignment horizontal="center" vertical="center" wrapText="1"/>
      <protection hidden="1"/>
    </xf>
    <xf numFmtId="0" fontId="156" fillId="69" borderId="58" xfId="0" applyFont="1" applyFill="1" applyBorder="1" applyAlignment="1" applyProtection="1">
      <alignment horizontal="center" vertical="center" wrapText="1"/>
      <protection hidden="1"/>
    </xf>
    <xf numFmtId="0" fontId="154" fillId="69" borderId="58" xfId="0" applyFont="1" applyFill="1" applyBorder="1" applyAlignment="1" applyProtection="1">
      <alignment horizontal="center" vertical="center" wrapText="1"/>
      <protection hidden="1"/>
    </xf>
    <xf numFmtId="49" fontId="158" fillId="0" borderId="71" xfId="0" applyNumberFormat="1" applyFont="1" applyFill="1" applyBorder="1" applyAlignment="1" applyProtection="1">
      <alignment horizontal="center" vertical="center" wrapText="1"/>
      <protection locked="0"/>
    </xf>
    <xf numFmtId="168" fontId="159" fillId="80" borderId="71" xfId="0" applyNumberFormat="1" applyFont="1" applyFill="1" applyBorder="1" applyAlignment="1" applyProtection="1">
      <alignment horizontal="center" vertical="center" wrapText="1"/>
      <protection locked="0"/>
    </xf>
    <xf numFmtId="168" fontId="155" fillId="0" borderId="71" xfId="0" applyNumberFormat="1" applyFont="1" applyBorder="1" applyAlignment="1" applyProtection="1">
      <alignment horizontal="center" vertical="center" wrapText="1"/>
      <protection hidden="1"/>
    </xf>
    <xf numFmtId="0" fontId="154" fillId="0" borderId="71" xfId="0" applyFont="1" applyBorder="1" applyAlignment="1" applyProtection="1">
      <alignment horizontal="center" vertical="center" wrapText="1"/>
      <protection hidden="1"/>
    </xf>
    <xf numFmtId="168" fontId="154" fillId="0" borderId="71" xfId="0" applyNumberFormat="1" applyFont="1" applyBorder="1" applyAlignment="1" applyProtection="1">
      <alignment horizontal="center" vertical="center" wrapText="1"/>
      <protection hidden="1"/>
    </xf>
    <xf numFmtId="0" fontId="159" fillId="0" borderId="71" xfId="0" applyFont="1" applyFill="1" applyBorder="1" applyAlignment="1" applyProtection="1">
      <alignment horizontal="center" vertical="center" wrapText="1"/>
      <protection hidden="1"/>
    </xf>
    <xf numFmtId="0" fontId="155" fillId="0" borderId="71" xfId="0" applyFont="1" applyFill="1" applyBorder="1" applyAlignment="1" applyProtection="1">
      <alignment horizontal="center" vertical="center" wrapText="1"/>
      <protection hidden="1"/>
    </xf>
    <xf numFmtId="0" fontId="154" fillId="67" borderId="71" xfId="0" applyFont="1" applyFill="1" applyBorder="1" applyAlignment="1" applyProtection="1">
      <alignment horizontal="center" vertical="center" wrapText="1"/>
      <protection locked="0"/>
    </xf>
    <xf numFmtId="49" fontId="157" fillId="0" borderId="71" xfId="0" applyNumberFormat="1" applyFont="1" applyBorder="1" applyAlignment="1" applyProtection="1">
      <alignment horizontal="center" vertical="center" wrapText="1"/>
      <protection locked="0"/>
    </xf>
    <xf numFmtId="49" fontId="154" fillId="0" borderId="71" xfId="0" applyNumberFormat="1" applyFont="1" applyBorder="1" applyAlignment="1" applyProtection="1">
      <alignment horizontal="center" vertical="center" wrapText="1"/>
      <protection locked="0"/>
    </xf>
    <xf numFmtId="0" fontId="165" fillId="0" borderId="0" xfId="0" applyFont="1" applyBorder="1" applyAlignment="1" applyProtection="1">
      <alignment horizontal="center" vertical="center" wrapText="1"/>
      <protection hidden="1"/>
    </xf>
    <xf numFmtId="0" fontId="167" fillId="0" borderId="0" xfId="0" applyFont="1" applyBorder="1" applyAlignment="1" applyProtection="1">
      <alignment horizontal="center" vertical="center" wrapText="1"/>
      <protection hidden="1"/>
    </xf>
    <xf numFmtId="0" fontId="166" fillId="0" borderId="0" xfId="0" applyFont="1" applyBorder="1" applyAlignment="1" applyProtection="1">
      <alignment horizontal="center" vertical="center" wrapText="1"/>
      <protection hidden="1"/>
    </xf>
    <xf numFmtId="0" fontId="157" fillId="69" borderId="71" xfId="0" applyFont="1" applyFill="1" applyBorder="1" applyAlignment="1" applyProtection="1">
      <alignment horizontal="center" vertical="center" wrapText="1"/>
      <protection hidden="1"/>
    </xf>
    <xf numFmtId="169" fontId="160" fillId="14" borderId="82" xfId="0" applyNumberFormat="1" applyFont="1" applyFill="1" applyBorder="1" applyAlignment="1" applyProtection="1">
      <alignment horizontal="center" vertical="center" wrapText="1"/>
      <protection hidden="1"/>
    </xf>
    <xf numFmtId="169" fontId="160" fillId="14" borderId="83" xfId="0" applyNumberFormat="1" applyFont="1" applyFill="1" applyBorder="1" applyAlignment="1" applyProtection="1">
      <alignment horizontal="center" vertical="center" wrapText="1"/>
      <protection hidden="1"/>
    </xf>
    <xf numFmtId="169" fontId="160" fillId="14" borderId="84" xfId="0" applyNumberFormat="1" applyFont="1" applyFill="1" applyBorder="1" applyAlignment="1" applyProtection="1">
      <alignment horizontal="center" vertical="center" wrapText="1"/>
      <protection hidden="1"/>
    </xf>
    <xf numFmtId="169" fontId="160" fillId="14" borderId="85" xfId="0" applyNumberFormat="1" applyFont="1" applyFill="1" applyBorder="1" applyAlignment="1" applyProtection="1">
      <alignment horizontal="center" vertical="center" wrapText="1"/>
      <protection hidden="1"/>
    </xf>
    <xf numFmtId="169" fontId="160" fillId="14" borderId="86" xfId="0" applyNumberFormat="1" applyFont="1" applyFill="1" applyBorder="1" applyAlignment="1" applyProtection="1">
      <alignment horizontal="center" vertical="center" wrapText="1"/>
      <protection hidden="1"/>
    </xf>
    <xf numFmtId="169" fontId="160" fillId="14" borderId="87" xfId="0" applyNumberFormat="1" applyFont="1" applyFill="1" applyBorder="1" applyAlignment="1" applyProtection="1">
      <alignment horizontal="center" vertical="center" wrapText="1"/>
      <protection hidden="1"/>
    </xf>
    <xf numFmtId="0" fontId="173" fillId="0" borderId="66" xfId="0" applyFont="1" applyBorder="1" applyAlignment="1" applyProtection="1">
      <alignment horizontal="left" vertical="center" wrapText="1"/>
      <protection hidden="1"/>
    </xf>
    <xf numFmtId="0" fontId="173" fillId="0" borderId="91" xfId="0" applyFont="1" applyBorder="1" applyAlignment="1" applyProtection="1">
      <alignment horizontal="left" vertical="center" wrapText="1"/>
      <protection hidden="1"/>
    </xf>
    <xf numFmtId="0" fontId="173" fillId="0" borderId="63" xfId="0" applyFont="1" applyBorder="1" applyAlignment="1" applyProtection="1">
      <alignment horizontal="left" vertical="center" wrapText="1"/>
      <protection hidden="1"/>
    </xf>
    <xf numFmtId="3" fontId="157" fillId="58" borderId="71" xfId="0" applyNumberFormat="1" applyFont="1" applyFill="1" applyBorder="1" applyAlignment="1" applyProtection="1">
      <alignment horizontal="center" vertical="center" wrapText="1"/>
      <protection locked="0"/>
    </xf>
    <xf numFmtId="0" fontId="157" fillId="58" borderId="71" xfId="0" applyFont="1" applyFill="1" applyBorder="1" applyAlignment="1" applyProtection="1">
      <alignment horizontal="center" vertical="center" wrapText="1"/>
      <protection locked="0"/>
    </xf>
    <xf numFmtId="0" fontId="154" fillId="0" borderId="71" xfId="0" applyFont="1" applyFill="1" applyBorder="1" applyAlignment="1" applyProtection="1">
      <alignment horizontal="center" vertical="center" wrapText="1"/>
      <protection hidden="1"/>
    </xf>
    <xf numFmtId="0" fontId="156" fillId="58" borderId="72" xfId="0" applyFont="1" applyFill="1" applyBorder="1" applyAlignment="1" applyProtection="1">
      <alignment horizontal="center" vertical="center" wrapText="1"/>
      <protection hidden="1"/>
    </xf>
    <xf numFmtId="0" fontId="156" fillId="58" borderId="73" xfId="0" applyFont="1" applyFill="1" applyBorder="1" applyAlignment="1" applyProtection="1">
      <alignment horizontal="center" vertical="center" wrapText="1"/>
      <protection hidden="1"/>
    </xf>
    <xf numFmtId="0" fontId="156" fillId="58" borderId="74" xfId="0" applyFont="1" applyFill="1" applyBorder="1" applyAlignment="1" applyProtection="1">
      <alignment horizontal="center" vertical="center" wrapText="1"/>
      <protection hidden="1"/>
    </xf>
    <xf numFmtId="0" fontId="166" fillId="0" borderId="71" xfId="0" applyFont="1" applyBorder="1" applyAlignment="1" applyProtection="1">
      <alignment horizontal="center" vertical="center" wrapText="1"/>
      <protection hidden="1"/>
    </xf>
    <xf numFmtId="0" fontId="156" fillId="58" borderId="75" xfId="0" applyFont="1" applyFill="1" applyBorder="1" applyAlignment="1" applyProtection="1">
      <alignment horizontal="center" vertical="center" wrapText="1"/>
      <protection locked="0"/>
    </xf>
    <xf numFmtId="0" fontId="156" fillId="58" borderId="76" xfId="0" applyFont="1" applyFill="1" applyBorder="1" applyAlignment="1" applyProtection="1">
      <alignment horizontal="center" vertical="center" wrapText="1"/>
      <protection locked="0"/>
    </xf>
    <xf numFmtId="0" fontId="156" fillId="58" borderId="77" xfId="0" applyFont="1" applyFill="1" applyBorder="1" applyAlignment="1" applyProtection="1">
      <alignment horizontal="center" vertical="center" wrapText="1"/>
      <protection locked="0"/>
    </xf>
    <xf numFmtId="0" fontId="120" fillId="0" borderId="71" xfId="0" applyFont="1" applyBorder="1" applyAlignment="1" applyProtection="1">
      <alignment horizontal="center" vertical="center" wrapText="1"/>
      <protection hidden="1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9">
    <dxf>
      <fill>
        <patternFill patternType="solid">
          <fgColor auto="1"/>
          <bgColor theme="9" tint="0.79998168889431442"/>
        </patternFill>
      </fill>
    </dxf>
    <dxf>
      <fill>
        <patternFill patternType="solid">
          <fgColor auto="1"/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4" tint="0.39994506668294322"/>
      </font>
      <fill>
        <gradientFill degree="90">
          <stop position="0">
            <color theme="4" tint="0.59999389629810485"/>
          </stop>
          <stop position="1">
            <color theme="4"/>
          </stop>
        </gradientFill>
      </fill>
    </dxf>
  </dxfs>
  <tableStyles count="0" defaultTableStyle="TableStyleMedium9" defaultPivotStyle="PivotStyleLight16"/>
  <colors>
    <mruColors>
      <color rgb="FFCC0099"/>
      <color rgb="FF00FFFF"/>
      <color rgb="FF0000FF"/>
      <color rgb="FF990033"/>
      <color rgb="FF400E3C"/>
      <color rgb="FF33CC33"/>
      <color rgb="FFCC00FF"/>
      <color rgb="FFFFFF99"/>
      <color rgb="FFE7E8B6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hyperlink" Target="#'Master Data'!A1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aster Data'!A1"/><Relationship Id="rId2" Type="http://schemas.openxmlformats.org/officeDocument/2006/relationships/hyperlink" Target="#'Extra Ded. '!A1"/><Relationship Id="rId1" Type="http://schemas.openxmlformats.org/officeDocument/2006/relationships/hyperlink" Target="#'Master Data'!A1"/><Relationship Id="rId4" Type="http://schemas.openxmlformats.org/officeDocument/2006/relationships/hyperlink" Target="#'Extra Ded. 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Master Data'!A1"/><Relationship Id="rId2" Type="http://schemas.openxmlformats.org/officeDocument/2006/relationships/hyperlink" Target="#'Master Data'!A1"/><Relationship Id="rId1" Type="http://schemas.openxmlformats.org/officeDocument/2006/relationships/hyperlink" Target="#'Master Data'!A1"/><Relationship Id="rId4" Type="http://schemas.openxmlformats.org/officeDocument/2006/relationships/hyperlink" Target="#'Master Data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104775</xdr:rowOff>
    </xdr:from>
    <xdr:to>
      <xdr:col>1</xdr:col>
      <xdr:colOff>1696706</xdr:colOff>
      <xdr:row>5</xdr:row>
      <xdr:rowOff>885825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314450"/>
          <a:ext cx="1601456" cy="140970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2</xdr:col>
      <xdr:colOff>9525</xdr:colOff>
      <xdr:row>10</xdr:row>
      <xdr:rowOff>800098</xdr:rowOff>
    </xdr:from>
    <xdr:to>
      <xdr:col>2</xdr:col>
      <xdr:colOff>552450</xdr:colOff>
      <xdr:row>10</xdr:row>
      <xdr:rowOff>1065655</xdr:rowOff>
    </xdr:to>
    <xdr:sp macro="" textlink="">
      <xdr:nvSpPr>
        <xdr:cNvPr id="4" name="Notched Right Arrow 3"/>
        <xdr:cNvSpPr/>
      </xdr:nvSpPr>
      <xdr:spPr>
        <a:xfrm>
          <a:off x="2609850" y="5295898"/>
          <a:ext cx="542925" cy="265557"/>
        </a:xfrm>
        <a:prstGeom prst="notchedRigh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209550</xdr:colOff>
      <xdr:row>13</xdr:row>
      <xdr:rowOff>85722</xdr:rowOff>
    </xdr:from>
    <xdr:to>
      <xdr:col>3</xdr:col>
      <xdr:colOff>1847850</xdr:colOff>
      <xdr:row>15</xdr:row>
      <xdr:rowOff>285750</xdr:rowOff>
    </xdr:to>
    <xdr:sp macro="" textlink="">
      <xdr:nvSpPr>
        <xdr:cNvPr id="5" name="Left Arrow 4"/>
        <xdr:cNvSpPr/>
      </xdr:nvSpPr>
      <xdr:spPr>
        <a:xfrm>
          <a:off x="10258425" y="5495922"/>
          <a:ext cx="1638300" cy="790578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 Curser Move on Name</a:t>
          </a:r>
        </a:p>
      </xdr:txBody>
    </xdr:sp>
    <xdr:clientData/>
  </xdr:twoCellAnchor>
  <xdr:twoCellAnchor editAs="oneCell">
    <xdr:from>
      <xdr:col>3</xdr:col>
      <xdr:colOff>333376</xdr:colOff>
      <xdr:row>2</xdr:row>
      <xdr:rowOff>533400</xdr:rowOff>
    </xdr:from>
    <xdr:to>
      <xdr:col>3</xdr:col>
      <xdr:colOff>2238375</xdr:colOff>
      <xdr:row>6</xdr:row>
      <xdr:rowOff>485775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1901" y="1019175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  <xdr:twoCellAnchor>
    <xdr:from>
      <xdr:col>2</xdr:col>
      <xdr:colOff>4914901</xdr:colOff>
      <xdr:row>10</xdr:row>
      <xdr:rowOff>133350</xdr:rowOff>
    </xdr:from>
    <xdr:to>
      <xdr:col>2</xdr:col>
      <xdr:colOff>5181601</xdr:colOff>
      <xdr:row>10</xdr:row>
      <xdr:rowOff>495300</xdr:rowOff>
    </xdr:to>
    <xdr:sp macro="" textlink="">
      <xdr:nvSpPr>
        <xdr:cNvPr id="7" name="Down Arrow 6"/>
        <xdr:cNvSpPr/>
      </xdr:nvSpPr>
      <xdr:spPr>
        <a:xfrm>
          <a:off x="7515226" y="4733925"/>
          <a:ext cx="266700" cy="36195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609599</xdr:colOff>
      <xdr:row>10</xdr:row>
      <xdr:rowOff>285750</xdr:rowOff>
    </xdr:from>
    <xdr:to>
      <xdr:col>2</xdr:col>
      <xdr:colOff>4622504</xdr:colOff>
      <xdr:row>11</xdr:row>
      <xdr:rowOff>133350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09924" y="4886325"/>
          <a:ext cx="4012905" cy="1657350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</xdr:pic>
    <xdr:clientData/>
  </xdr:twoCellAnchor>
  <xdr:twoCellAnchor editAs="oneCell">
    <xdr:from>
      <xdr:col>2</xdr:col>
      <xdr:colOff>5457825</xdr:colOff>
      <xdr:row>10</xdr:row>
      <xdr:rowOff>314325</xdr:rowOff>
    </xdr:from>
    <xdr:to>
      <xdr:col>3</xdr:col>
      <xdr:colOff>781050</xdr:colOff>
      <xdr:row>11</xdr:row>
      <xdr:rowOff>222592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58150" y="4914900"/>
          <a:ext cx="3781425" cy="17180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</xdr:pic>
    <xdr:clientData/>
  </xdr:twoCellAnchor>
  <xdr:twoCellAnchor>
    <xdr:from>
      <xdr:col>2</xdr:col>
      <xdr:colOff>257175</xdr:colOff>
      <xdr:row>9</xdr:row>
      <xdr:rowOff>76200</xdr:rowOff>
    </xdr:from>
    <xdr:to>
      <xdr:col>2</xdr:col>
      <xdr:colOff>4914900</xdr:colOff>
      <xdr:row>10</xdr:row>
      <xdr:rowOff>180975</xdr:rowOff>
    </xdr:to>
    <xdr:sp macro="" textlink="">
      <xdr:nvSpPr>
        <xdr:cNvPr id="10" name="TextBox 9"/>
        <xdr:cNvSpPr txBox="1"/>
      </xdr:nvSpPr>
      <xdr:spPr>
        <a:xfrm>
          <a:off x="2857500" y="4257675"/>
          <a:ext cx="4657725" cy="52387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="1">
              <a:solidFill>
                <a:srgbClr val="0000FF"/>
              </a:solidFill>
            </a:rPr>
            <a:t>Macro </a:t>
          </a:r>
          <a:r>
            <a:rPr lang="en-US" sz="1400" b="1">
              <a:solidFill>
                <a:srgbClr val="0000FF"/>
              </a:solidFill>
              <a:latin typeface="Kruti Dev 010" pitchFamily="2" charset="0"/>
            </a:rPr>
            <a:t>dks</a:t>
          </a:r>
          <a:r>
            <a:rPr lang="en-US" sz="1400" b="1">
              <a:solidFill>
                <a:srgbClr val="0000FF"/>
              </a:solidFill>
            </a:rPr>
            <a:t> </a:t>
          </a:r>
          <a:r>
            <a:rPr lang="hi-IN" sz="1400" b="1">
              <a:solidFill>
                <a:srgbClr val="0000FF"/>
              </a:solidFill>
            </a:rPr>
            <a:t> </a:t>
          </a:r>
          <a:r>
            <a:rPr lang="en-US" sz="1400" b="1">
              <a:solidFill>
                <a:srgbClr val="0000FF"/>
              </a:solidFill>
            </a:rPr>
            <a:t>Enable </a:t>
          </a:r>
          <a:r>
            <a:rPr lang="hi-IN" sz="1400" b="1">
              <a:solidFill>
                <a:srgbClr val="0000FF"/>
              </a:solidFill>
            </a:rPr>
            <a:t> </a:t>
          </a:r>
          <a:r>
            <a:rPr lang="en-US" sz="1400" b="1">
              <a:solidFill>
                <a:srgbClr val="0000FF"/>
              </a:solidFill>
              <a:latin typeface="Kruti Dev 010" pitchFamily="2" charset="0"/>
            </a:rPr>
            <a:t>djus ds fy, uhpsa fn,</a:t>
          </a:r>
          <a:r>
            <a:rPr lang="en-US" sz="1400" b="1" baseline="0">
              <a:solidFill>
                <a:srgbClr val="0000FF"/>
              </a:solidFill>
              <a:latin typeface="Kruti Dev 010" pitchFamily="2" charset="0"/>
            </a:rPr>
            <a:t> Ldzhu 'kkWV</a:t>
          </a:r>
          <a:r>
            <a:rPr lang="en-US" sz="1400" b="1">
              <a:solidFill>
                <a:srgbClr val="0000FF"/>
              </a:solidFill>
              <a:latin typeface="Kruti Dev 010" pitchFamily="2" charset="0"/>
            </a:rPr>
            <a:t> ds vuqlkj izksxzke dks </a:t>
          </a:r>
          <a:r>
            <a:rPr lang="en-US" sz="1400" b="1">
              <a:solidFill>
                <a:srgbClr val="0000FF"/>
              </a:solidFill>
            </a:rPr>
            <a:t>open </a:t>
          </a:r>
          <a:r>
            <a:rPr lang="hi-IN" sz="1400" b="1">
              <a:solidFill>
                <a:srgbClr val="0000FF"/>
              </a:solidFill>
            </a:rPr>
            <a:t> </a:t>
          </a:r>
          <a:r>
            <a:rPr lang="en-US" sz="1400" b="1">
              <a:solidFill>
                <a:srgbClr val="0000FF"/>
              </a:solidFill>
              <a:latin typeface="Kruti Dev 010" pitchFamily="2" charset="0"/>
            </a:rPr>
            <a:t>djsaxs rks vkidksa ,d </a:t>
          </a:r>
          <a:r>
            <a:rPr lang="en-US" sz="1400" b="1">
              <a:solidFill>
                <a:srgbClr val="0000FF"/>
              </a:solidFill>
            </a:rPr>
            <a:t>Security warning </a:t>
          </a:r>
          <a:r>
            <a:rPr lang="hi-IN" sz="1400" b="1">
              <a:solidFill>
                <a:srgbClr val="0000FF"/>
              </a:solidFill>
            </a:rPr>
            <a:t> </a:t>
          </a:r>
          <a:r>
            <a:rPr lang="en-US" sz="1400" b="1">
              <a:solidFill>
                <a:srgbClr val="0000FF"/>
              </a:solidFill>
              <a:latin typeface="Kruti Dev 010" pitchFamily="2" charset="0"/>
            </a:rPr>
            <a:t>fn[kkbZ nsxk</a:t>
          </a:r>
          <a:r>
            <a:rPr lang="en-US" sz="1400" b="1" baseline="0">
              <a:solidFill>
                <a:srgbClr val="0000FF"/>
              </a:solidFill>
              <a:latin typeface="Kruti Dev 010" pitchFamily="2" charset="0"/>
            </a:rPr>
            <a:t>A</a:t>
          </a:r>
          <a:endParaRPr lang="en-US" sz="1400" b="1">
            <a:solidFill>
              <a:srgbClr val="0000FF"/>
            </a:solidFill>
            <a:latin typeface="Kruti Dev 010" pitchFamily="2" charset="0"/>
          </a:endParaRPr>
        </a:p>
      </xdr:txBody>
    </xdr:sp>
    <xdr:clientData/>
  </xdr:twoCellAnchor>
  <xdr:twoCellAnchor>
    <xdr:from>
      <xdr:col>2</xdr:col>
      <xdr:colOff>5162550</xdr:colOff>
      <xdr:row>9</xdr:row>
      <xdr:rowOff>66675</xdr:rowOff>
    </xdr:from>
    <xdr:to>
      <xdr:col>3</xdr:col>
      <xdr:colOff>1000125</xdr:colOff>
      <xdr:row>10</xdr:row>
      <xdr:rowOff>171450</xdr:rowOff>
    </xdr:to>
    <xdr:sp macro="" textlink="">
      <xdr:nvSpPr>
        <xdr:cNvPr id="11" name="TextBox 10"/>
        <xdr:cNvSpPr txBox="1"/>
      </xdr:nvSpPr>
      <xdr:spPr>
        <a:xfrm>
          <a:off x="7762875" y="4248150"/>
          <a:ext cx="4295775" cy="523875"/>
        </a:xfrm>
        <a:prstGeom prst="rect">
          <a:avLst/>
        </a:prstGeom>
        <a:ln/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/>
          <a:r>
            <a:rPr lang="en-US" sz="1400" b="1">
              <a:solidFill>
                <a:srgbClr val="002060"/>
              </a:solidFill>
              <a:latin typeface="Kruti Dev 010" pitchFamily="2" charset="0"/>
            </a:rPr>
            <a:t>bl </a:t>
          </a:r>
          <a:r>
            <a:rPr lang="en-US" sz="1400" b="1">
              <a:solidFill>
                <a:srgbClr val="002060"/>
              </a:solidFill>
            </a:rPr>
            <a:t>Security warning </a:t>
          </a:r>
          <a:r>
            <a:rPr lang="en-US" sz="1400" b="1">
              <a:solidFill>
                <a:srgbClr val="002060"/>
              </a:solidFill>
              <a:latin typeface="Kruti Dev 010" pitchFamily="2" charset="0"/>
            </a:rPr>
            <a:t>dks </a:t>
          </a:r>
          <a:r>
            <a:rPr lang="en-US" sz="1400" b="1">
              <a:solidFill>
                <a:srgbClr val="002060"/>
              </a:solidFill>
            </a:rPr>
            <a:t>Options </a:t>
          </a:r>
          <a:r>
            <a:rPr lang="en-US" sz="1400" b="1">
              <a:solidFill>
                <a:srgbClr val="002060"/>
              </a:solidFill>
              <a:latin typeface="Kruti Dev 010" pitchFamily="2" charset="0"/>
            </a:rPr>
            <a:t>ij fDyd dj </a:t>
          </a:r>
          <a:r>
            <a:rPr lang="en-US" sz="1400" b="1">
              <a:solidFill>
                <a:srgbClr val="002060"/>
              </a:solidFill>
              <a:latin typeface="+mn-lt"/>
            </a:rPr>
            <a:t>open </a:t>
          </a:r>
          <a:r>
            <a:rPr lang="en-US" sz="1400" b="1">
              <a:solidFill>
                <a:srgbClr val="002060"/>
              </a:solidFill>
              <a:latin typeface="Kruti Dev 010" pitchFamily="2" charset="0"/>
            </a:rPr>
            <a:t>djsa ,oa </a:t>
          </a:r>
          <a:r>
            <a:rPr lang="en-US" sz="1400" b="1">
              <a:solidFill>
                <a:srgbClr val="FFFF00"/>
              </a:solidFill>
            </a:rPr>
            <a:t>Enable this content </a:t>
          </a:r>
          <a:r>
            <a:rPr lang="en-US" sz="1400" b="1">
              <a:solidFill>
                <a:srgbClr val="002060"/>
              </a:solidFill>
              <a:latin typeface="Kruti Dev 010" pitchFamily="2" charset="0"/>
            </a:rPr>
            <a:t>ij fDyd dj </a:t>
          </a:r>
          <a:r>
            <a:rPr lang="en-US" sz="1400" b="1">
              <a:solidFill>
                <a:srgbClr val="33CC33"/>
              </a:solidFill>
              <a:latin typeface="+mn-lt"/>
            </a:rPr>
            <a:t>OK</a:t>
          </a:r>
          <a:r>
            <a:rPr lang="en-US" sz="1400" b="1">
              <a:solidFill>
                <a:srgbClr val="002060"/>
              </a:solidFill>
              <a:latin typeface="+mn-lt"/>
            </a:rPr>
            <a:t> </a:t>
          </a:r>
          <a:r>
            <a:rPr lang="en-US" sz="1400" b="1">
              <a:solidFill>
                <a:srgbClr val="002060"/>
              </a:solidFill>
              <a:latin typeface="Kruti Dev 010" pitchFamily="2" charset="0"/>
            </a:rPr>
            <a:t>djsaA</a:t>
          </a:r>
        </a:p>
      </xdr:txBody>
    </xdr:sp>
    <xdr:clientData/>
  </xdr:twoCellAnchor>
  <xdr:twoCellAnchor>
    <xdr:from>
      <xdr:col>2</xdr:col>
      <xdr:colOff>628651</xdr:colOff>
      <xdr:row>10</xdr:row>
      <xdr:rowOff>1285875</xdr:rowOff>
    </xdr:from>
    <xdr:to>
      <xdr:col>2</xdr:col>
      <xdr:colOff>4619625</xdr:colOff>
      <xdr:row>10</xdr:row>
      <xdr:rowOff>1609725</xdr:rowOff>
    </xdr:to>
    <xdr:sp macro="" textlink="">
      <xdr:nvSpPr>
        <xdr:cNvPr id="12" name="TextBox 11"/>
        <xdr:cNvSpPr txBox="1"/>
      </xdr:nvSpPr>
      <xdr:spPr>
        <a:xfrm>
          <a:off x="3228976" y="5886450"/>
          <a:ext cx="399097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2295525</xdr:colOff>
      <xdr:row>10</xdr:row>
      <xdr:rowOff>981075</xdr:rowOff>
    </xdr:from>
    <xdr:to>
      <xdr:col>2</xdr:col>
      <xdr:colOff>3381375</xdr:colOff>
      <xdr:row>10</xdr:row>
      <xdr:rowOff>1752600</xdr:rowOff>
    </xdr:to>
    <xdr:cxnSp macro="">
      <xdr:nvCxnSpPr>
        <xdr:cNvPr id="14" name="Straight Arrow Connector 13"/>
        <xdr:cNvCxnSpPr/>
      </xdr:nvCxnSpPr>
      <xdr:spPr>
        <a:xfrm>
          <a:off x="4895850" y="5581650"/>
          <a:ext cx="1085850" cy="771525"/>
        </a:xfrm>
        <a:prstGeom prst="straightConnector1">
          <a:avLst/>
        </a:prstGeom>
        <a:ln>
          <a:headEnd type="arrow"/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1238250</xdr:colOff>
      <xdr:row>0</xdr:row>
      <xdr:rowOff>0</xdr:rowOff>
    </xdr:from>
    <xdr:to>
      <xdr:col>2</xdr:col>
      <xdr:colOff>409575</xdr:colOff>
      <xdr:row>1</xdr:row>
      <xdr:rowOff>171449</xdr:rowOff>
    </xdr:to>
    <xdr:sp macro="" textlink="">
      <xdr:nvSpPr>
        <xdr:cNvPr id="13" name="Right Arrow 12">
          <a:hlinkClick xmlns:r="http://schemas.openxmlformats.org/officeDocument/2006/relationships" r:id="rId5"/>
        </xdr:cNvPr>
        <xdr:cNvSpPr/>
      </xdr:nvSpPr>
      <xdr:spPr>
        <a:xfrm>
          <a:off x="2028825" y="0"/>
          <a:ext cx="981075" cy="561974"/>
        </a:xfrm>
        <a:prstGeom prst="righ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NEXT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742951</xdr:colOff>
      <xdr:row>20</xdr:row>
      <xdr:rowOff>304800</xdr:rowOff>
    </xdr:from>
    <xdr:to>
      <xdr:col>1</xdr:col>
      <xdr:colOff>1009651</xdr:colOff>
      <xdr:row>22</xdr:row>
      <xdr:rowOff>142875</xdr:rowOff>
    </xdr:to>
    <xdr:sp macro="" textlink="">
      <xdr:nvSpPr>
        <xdr:cNvPr id="15" name="Down Arrow 14"/>
        <xdr:cNvSpPr/>
      </xdr:nvSpPr>
      <xdr:spPr>
        <a:xfrm>
          <a:off x="1533526" y="10344150"/>
          <a:ext cx="266700" cy="3619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1066801</xdr:colOff>
      <xdr:row>18</xdr:row>
      <xdr:rowOff>228600</xdr:rowOff>
    </xdr:from>
    <xdr:to>
      <xdr:col>2</xdr:col>
      <xdr:colOff>1238250</xdr:colOff>
      <xdr:row>19</xdr:row>
      <xdr:rowOff>85725</xdr:rowOff>
    </xdr:to>
    <xdr:sp macro="" textlink="">
      <xdr:nvSpPr>
        <xdr:cNvPr id="16" name="Down Arrow 15"/>
        <xdr:cNvSpPr/>
      </xdr:nvSpPr>
      <xdr:spPr>
        <a:xfrm>
          <a:off x="12125326" y="9372600"/>
          <a:ext cx="171449" cy="238125"/>
        </a:xfrm>
        <a:prstGeom prst="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11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1074150</xdr:colOff>
      <xdr:row>0</xdr:row>
      <xdr:rowOff>28575</xdr:rowOff>
    </xdr:from>
    <xdr:to>
      <xdr:col>14</xdr:col>
      <xdr:colOff>19050</xdr:colOff>
      <xdr:row>18</xdr:row>
      <xdr:rowOff>95250</xdr:rowOff>
    </xdr:to>
    <xdr:grpSp>
      <xdr:nvGrpSpPr>
        <xdr:cNvPr id="17" name="Group 16"/>
        <xdr:cNvGrpSpPr/>
      </xdr:nvGrpSpPr>
      <xdr:grpSpPr>
        <a:xfrm>
          <a:off x="10665825" y="28575"/>
          <a:ext cx="4812300" cy="3648075"/>
          <a:chOff x="10665825" y="28575"/>
          <a:chExt cx="4812300" cy="3648075"/>
        </a:xfrm>
      </xdr:grpSpPr>
      <xdr:sp macro="" textlink="">
        <xdr:nvSpPr>
          <xdr:cNvPr id="9" name="Frame 8"/>
          <xdr:cNvSpPr/>
        </xdr:nvSpPr>
        <xdr:spPr>
          <a:xfrm>
            <a:off x="10665825" y="3209925"/>
            <a:ext cx="4812300" cy="46672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58508" y="28575"/>
            <a:ext cx="2452817" cy="2976777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glow rad="139700">
              <a:schemeClr val="accent3">
                <a:satMod val="175000"/>
                <a:alpha val="40000"/>
              </a:schemeClr>
            </a:glow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114299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1009650</xdr:colOff>
      <xdr:row>50</xdr:row>
      <xdr:rowOff>142876</xdr:rowOff>
    </xdr:from>
    <xdr:to>
      <xdr:col>10</xdr:col>
      <xdr:colOff>685800</xdr:colOff>
      <xdr:row>53</xdr:row>
      <xdr:rowOff>38100</xdr:rowOff>
    </xdr:to>
    <xdr:sp macro="[0]!Macro9" textlink="">
      <xdr:nvSpPr>
        <xdr:cNvPr id="11" name="Rounded Rectangle 10"/>
        <xdr:cNvSpPr/>
      </xdr:nvSpPr>
      <xdr:spPr>
        <a:xfrm>
          <a:off x="8201025" y="11753851"/>
          <a:ext cx="3171825" cy="466724"/>
        </a:xfrm>
        <a:prstGeom prst="roundRect">
          <a:avLst>
            <a:gd name="adj" fmla="val 0"/>
          </a:avLst>
        </a:prstGeom>
        <a:ln w="12700"/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Deducation 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371475</xdr:colOff>
      <xdr:row>50</xdr:row>
      <xdr:rowOff>104775</xdr:rowOff>
    </xdr:from>
    <xdr:to>
      <xdr:col>7</xdr:col>
      <xdr:colOff>571500</xdr:colOff>
      <xdr:row>53</xdr:row>
      <xdr:rowOff>47624</xdr:rowOff>
    </xdr:to>
    <xdr:sp macro="[0]!Macro8" textlink="">
      <xdr:nvSpPr>
        <xdr:cNvPr id="12" name="Rounded Rectangle 11"/>
        <xdr:cNvSpPr/>
      </xdr:nvSpPr>
      <xdr:spPr>
        <a:xfrm>
          <a:off x="5124450" y="11715750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13</xdr:col>
      <xdr:colOff>0</xdr:colOff>
      <xdr:row>30</xdr:row>
      <xdr:rowOff>0</xdr:rowOff>
    </xdr:to>
    <xdr:pic>
      <xdr:nvPicPr>
        <xdr:cNvPr id="3109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91775" y="4886325"/>
          <a:ext cx="3429000" cy="2857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800100</xdr:colOff>
      <xdr:row>49</xdr:row>
      <xdr:rowOff>295275</xdr:rowOff>
    </xdr:from>
    <xdr:to>
      <xdr:col>2</xdr:col>
      <xdr:colOff>708642</xdr:colOff>
      <xdr:row>53</xdr:row>
      <xdr:rowOff>133350</xdr:rowOff>
    </xdr:to>
    <xdr:sp macro="[0]!Macro12" textlink="">
      <xdr:nvSpPr>
        <xdr:cNvPr id="14" name="Left Arrow 13"/>
        <xdr:cNvSpPr/>
      </xdr:nvSpPr>
      <xdr:spPr>
        <a:xfrm>
          <a:off x="1114425" y="11582400"/>
          <a:ext cx="1203942" cy="733425"/>
        </a:xfrm>
        <a:prstGeom prst="lef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419100</xdr:colOff>
      <xdr:row>0</xdr:row>
      <xdr:rowOff>76200</xdr:rowOff>
    </xdr:from>
    <xdr:to>
      <xdr:col>10</xdr:col>
      <xdr:colOff>527667</xdr:colOff>
      <xdr:row>3</xdr:row>
      <xdr:rowOff>142875</xdr:rowOff>
    </xdr:to>
    <xdr:sp macro="[0]!Macro12" textlink="">
      <xdr:nvSpPr>
        <xdr:cNvPr id="16" name="Left Arrow 15"/>
        <xdr:cNvSpPr/>
      </xdr:nvSpPr>
      <xdr:spPr>
        <a:xfrm>
          <a:off x="10010775" y="76200"/>
          <a:ext cx="1203942" cy="733425"/>
        </a:xfrm>
        <a:prstGeom prst="lef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57150</xdr:colOff>
      <xdr:row>50</xdr:row>
      <xdr:rowOff>142875</xdr:rowOff>
    </xdr:from>
    <xdr:to>
      <xdr:col>12</xdr:col>
      <xdr:colOff>866775</xdr:colOff>
      <xdr:row>53</xdr:row>
      <xdr:rowOff>66675</xdr:rowOff>
    </xdr:to>
    <xdr:sp macro="[0]!Macro5" textlink="">
      <xdr:nvSpPr>
        <xdr:cNvPr id="19" name="Rounded Rectangle 18"/>
        <xdr:cNvSpPr/>
      </xdr:nvSpPr>
      <xdr:spPr>
        <a:xfrm>
          <a:off x="11944350" y="11753850"/>
          <a:ext cx="1962150" cy="495300"/>
        </a:xfrm>
        <a:prstGeom prst="roundRect">
          <a:avLst/>
        </a:prstGeom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bliqueBottomLef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Form</a:t>
          </a:r>
          <a:r>
            <a:rPr lang="en-US" sz="18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 No. - 16</a:t>
          </a:r>
          <a:endParaRPr lang="en-US" sz="1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twoCellAnchor>
  <xdr:twoCellAnchor>
    <xdr:from>
      <xdr:col>3</xdr:col>
      <xdr:colOff>142874</xdr:colOff>
      <xdr:row>50</xdr:row>
      <xdr:rowOff>66674</xdr:rowOff>
    </xdr:from>
    <xdr:to>
      <xdr:col>4</xdr:col>
      <xdr:colOff>790575</xdr:colOff>
      <xdr:row>53</xdr:row>
      <xdr:rowOff>95249</xdr:rowOff>
    </xdr:to>
    <xdr:sp macro="[0]!Macro10" textlink="">
      <xdr:nvSpPr>
        <xdr:cNvPr id="20" name="Rounded Rectangle 19"/>
        <xdr:cNvSpPr/>
      </xdr:nvSpPr>
      <xdr:spPr>
        <a:xfrm>
          <a:off x="2838449" y="11677649"/>
          <a:ext cx="1790701" cy="600075"/>
        </a:xfrm>
        <a:prstGeom prst="roundRect">
          <a:avLst/>
        </a:prstGeom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  <a:scene3d>
          <a:camera prst="obliqueBottomLeft"/>
          <a:lightRig rig="threePt" dir="t"/>
        </a:scene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400E3C"/>
              </a:solidFill>
              <a:effectLst>
                <a:reflection blurRad="12700" stA="28000" endPos="45000" dist="1000" dir="5400000" sy="-100000" algn="bl" rotWithShape="0"/>
              </a:effectLst>
            </a:rPr>
            <a:t>COMPUTATION SHEET</a:t>
          </a:r>
        </a:p>
      </xdr:txBody>
    </xdr:sp>
    <xdr:clientData/>
  </xdr:twoCellAnchor>
  <xdr:twoCellAnchor>
    <xdr:from>
      <xdr:col>13</xdr:col>
      <xdr:colOff>190500</xdr:colOff>
      <xdr:row>49</xdr:row>
      <xdr:rowOff>295275</xdr:rowOff>
    </xdr:from>
    <xdr:to>
      <xdr:col>14</xdr:col>
      <xdr:colOff>19050</xdr:colOff>
      <xdr:row>53</xdr:row>
      <xdr:rowOff>95250</xdr:rowOff>
    </xdr:to>
    <xdr:sp macro="[0]!pagecolse1" textlink="">
      <xdr:nvSpPr>
        <xdr:cNvPr id="15" name="Bevel 14"/>
        <xdr:cNvSpPr/>
      </xdr:nvSpPr>
      <xdr:spPr>
        <a:xfrm>
          <a:off x="14306550" y="11582400"/>
          <a:ext cx="1171575" cy="695325"/>
        </a:xfrm>
        <a:prstGeom prst="bevel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solidFill>
                <a:srgbClr val="C00000"/>
              </a:solidFill>
            </a:rPr>
            <a:t>Page  Close</a:t>
          </a:r>
        </a:p>
      </xdr:txBody>
    </xdr:sp>
    <xdr:clientData/>
  </xdr:twoCellAnchor>
  <xdr:twoCellAnchor>
    <xdr:from>
      <xdr:col>12</xdr:col>
      <xdr:colOff>1038225</xdr:colOff>
      <xdr:row>29</xdr:row>
      <xdr:rowOff>76200</xdr:rowOff>
    </xdr:from>
    <xdr:to>
      <xdr:col>13</xdr:col>
      <xdr:colOff>76200</xdr:colOff>
      <xdr:row>29</xdr:row>
      <xdr:rowOff>266700</xdr:rowOff>
    </xdr:to>
    <xdr:sp macro="" textlink="">
      <xdr:nvSpPr>
        <xdr:cNvPr id="18" name="Down Arrow 17"/>
        <xdr:cNvSpPr/>
      </xdr:nvSpPr>
      <xdr:spPr>
        <a:xfrm>
          <a:off x="14077950" y="5753100"/>
          <a:ext cx="114300" cy="1905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10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12</xdr:col>
      <xdr:colOff>809624</xdr:colOff>
      <xdr:row>0</xdr:row>
      <xdr:rowOff>76200</xdr:rowOff>
    </xdr:from>
    <xdr:to>
      <xdr:col>15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9686924" y="76200"/>
          <a:ext cx="2295525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5</xdr:col>
      <xdr:colOff>295275</xdr:colOff>
      <xdr:row>0</xdr:row>
      <xdr:rowOff>85725</xdr:rowOff>
    </xdr:from>
    <xdr:to>
      <xdr:col>10</xdr:col>
      <xdr:colOff>266700</xdr:colOff>
      <xdr:row>1</xdr:row>
      <xdr:rowOff>228600</xdr:rowOff>
    </xdr:to>
    <xdr:sp macro="" textlink="">
      <xdr:nvSpPr>
        <xdr:cNvPr id="6" name="Rounded Rectangle 5"/>
        <xdr:cNvSpPr/>
      </xdr:nvSpPr>
      <xdr:spPr>
        <a:xfrm>
          <a:off x="33813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12</xdr:col>
      <xdr:colOff>809624</xdr:colOff>
      <xdr:row>0</xdr:row>
      <xdr:rowOff>76200</xdr:rowOff>
    </xdr:from>
    <xdr:to>
      <xdr:col>15</xdr:col>
      <xdr:colOff>600074</xdr:colOff>
      <xdr:row>2</xdr:row>
      <xdr:rowOff>161925</xdr:rowOff>
    </xdr:to>
    <xdr:grpSp>
      <xdr:nvGrpSpPr>
        <xdr:cNvPr id="8" name="Group 7"/>
        <xdr:cNvGrpSpPr/>
      </xdr:nvGrpSpPr>
      <xdr:grpSpPr>
        <a:xfrm>
          <a:off x="9686924" y="76200"/>
          <a:ext cx="2295525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9" name="Left Arrow 8">
            <a:hlinkClick xmlns:r="http://schemas.openxmlformats.org/officeDocument/2006/relationships" r:id="rId3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0" name="Right Arrow 9">
            <a:hlinkClick xmlns:r="http://schemas.openxmlformats.org/officeDocument/2006/relationships" r:id="rId4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>
          <a:scene3d>
            <a:camera prst="obliqueBottomLef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>
            <a:defRPr sz="1000"/>
          </a:pPr>
          <a:r>
            <a:rPr lang="en-US" sz="1800" b="1" i="0" strike="noStrik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7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0887075" y="0"/>
          <a:ext cx="24860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[0]!Macro11" textlink="">
        <xdr:nvSpPr>
          <xdr:cNvPr id="4" name="Left Arrow 3"/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[0]!Macro8" textlink="">
        <xdr:nvSpPr>
          <xdr:cNvPr id="5" name="Right Arrow 4"/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57150</xdr:colOff>
      <xdr:row>0</xdr:row>
      <xdr:rowOff>47625</xdr:rowOff>
    </xdr:from>
    <xdr:to>
      <xdr:col>8</xdr:col>
      <xdr:colOff>1228725</xdr:colOff>
      <xdr:row>1</xdr:row>
      <xdr:rowOff>152400</xdr:rowOff>
    </xdr:to>
    <xdr:sp macro="[0]!pagecolse1" textlink="">
      <xdr:nvSpPr>
        <xdr:cNvPr id="6" name="Bevel 5"/>
        <xdr:cNvSpPr/>
      </xdr:nvSpPr>
      <xdr:spPr>
        <a:xfrm>
          <a:off x="13668375" y="47625"/>
          <a:ext cx="1171575" cy="581025"/>
        </a:xfrm>
        <a:prstGeom prst="bevel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solidFill>
                <a:srgbClr val="C00000"/>
              </a:solidFill>
            </a:rPr>
            <a:t>Page  Close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85725</xdr:rowOff>
    </xdr:from>
    <xdr:to>
      <xdr:col>29</xdr:col>
      <xdr:colOff>66675</xdr:colOff>
      <xdr:row>0</xdr:row>
      <xdr:rowOff>685800</xdr:rowOff>
    </xdr:to>
    <xdr:grpSp>
      <xdr:nvGrpSpPr>
        <xdr:cNvPr id="13" name="Group 12"/>
        <xdr:cNvGrpSpPr/>
      </xdr:nvGrpSpPr>
      <xdr:grpSpPr>
        <a:xfrm>
          <a:off x="116206" y="82677"/>
          <a:ext cx="12968076" cy="581787"/>
          <a:chOff x="123826" y="85725"/>
          <a:chExt cx="13792199" cy="600075"/>
        </a:xfrm>
      </xdr:grpSpPr>
      <xdr:grpSp>
        <xdr:nvGrpSpPr>
          <xdr:cNvPr id="2" name="Group 1"/>
          <xdr:cNvGrpSpPr/>
        </xdr:nvGrpSpPr>
        <xdr:grpSpPr>
          <a:xfrm>
            <a:off x="7353300" y="104776"/>
            <a:ext cx="2314575" cy="571500"/>
            <a:chOff x="9172575" y="85725"/>
            <a:chExt cx="2541646" cy="685799"/>
          </a:xfrm>
          <a:effectLst>
            <a:glow rad="101600">
              <a:schemeClr val="accent3">
                <a:satMod val="175000"/>
                <a:alpha val="40000"/>
              </a:schemeClr>
            </a:glow>
          </a:effectLst>
        </xdr:grpSpPr>
        <xdr:sp macro="" textlink="">
          <xdr:nvSpPr>
            <xdr:cNvPr id="3" name="Left Arrow 2">
              <a:hlinkClick xmlns:r="http://schemas.openxmlformats.org/officeDocument/2006/relationships" r:id="rId1"/>
            </xdr:cNvPr>
            <xdr:cNvSpPr/>
          </xdr:nvSpPr>
          <xdr:spPr>
            <a:xfrm>
              <a:off x="9172575" y="85725"/>
              <a:ext cx="1181100" cy="685799"/>
            </a:xfrm>
            <a:prstGeom prst="leftArrow">
              <a:avLst/>
            </a:prstGeom>
            <a:ln w="38100"/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tlCol="0" anchor="ctr"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1800" b="1" cap="none" spc="5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BACK</a:t>
              </a:r>
              <a:r>
                <a:rPr lang="en-US" sz="1800" b="1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 </a:t>
              </a:r>
              <a:endPara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endParaRPr>
            </a:p>
          </xdr:txBody>
        </xdr:sp>
        <xdr:sp macro="[0]!Button10_Click" textlink="">
          <xdr:nvSpPr>
            <xdr:cNvPr id="4" name="Right Arrow 3"/>
            <xdr:cNvSpPr/>
          </xdr:nvSpPr>
          <xdr:spPr>
            <a:xfrm>
              <a:off x="10563991" y="103539"/>
              <a:ext cx="1150230" cy="623454"/>
            </a:xfrm>
            <a:prstGeom prst="rightArrow">
              <a:avLst/>
            </a:prstGeom>
            <a:ln w="38100"/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tlCol="0" anchor="ctr">
              <a:scene3d>
                <a:camera prst="orthographicFront"/>
                <a:lightRig rig="flat" dir="tl">
                  <a:rot lat="0" lon="0" rev="6600000"/>
                </a:lightRig>
              </a:scene3d>
              <a:sp3d extrusionH="25400" contourW="8890">
                <a:bevelT w="38100" h="31750"/>
                <a:contourClr>
                  <a:schemeClr val="accent2">
                    <a:shade val="75000"/>
                  </a:schemeClr>
                </a:contourClr>
              </a:sp3d>
            </a:bodyPr>
            <a:lstStyle/>
            <a:p>
              <a:pPr algn="ctr"/>
              <a:r>
                <a:rPr lang="en-US" sz="1800" b="1" cap="none" spc="0">
                  <a:ln w="11430"/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NEXT</a:t>
              </a:r>
              <a:r>
                <a:rPr lang="en-US" sz="1800" b="1" cap="none" spc="0" baseline="0">
                  <a:ln w="11430"/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 </a:t>
              </a:r>
              <a:endPara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endParaRPr>
            </a:p>
          </xdr:txBody>
        </xdr:sp>
      </xdr:grpSp>
      <xdr:sp macro="[0]!generate" textlink="">
        <xdr:nvSpPr>
          <xdr:cNvPr id="5" name="Bevel 4"/>
          <xdr:cNvSpPr/>
        </xdr:nvSpPr>
        <xdr:spPr>
          <a:xfrm>
            <a:off x="123826" y="85725"/>
            <a:ext cx="2247899" cy="581025"/>
          </a:xfrm>
          <a:prstGeom prst="bevel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rtlCol="0" anchor="t"/>
          <a:lstStyle/>
          <a:p>
            <a:pPr algn="ctr"/>
            <a:r>
              <a:rPr lang="en-US" sz="1800" b="1" i="1" u="sng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GENERATE  GA55</a:t>
            </a:r>
          </a:p>
        </xdr:txBody>
      </xdr:sp>
      <xdr:sp macro="[2]!Macro4" textlink="">
        <xdr:nvSpPr>
          <xdr:cNvPr id="6" name="Bevel 5"/>
          <xdr:cNvSpPr/>
        </xdr:nvSpPr>
        <xdr:spPr>
          <a:xfrm>
            <a:off x="2686050" y="123825"/>
            <a:ext cx="2009775" cy="561975"/>
          </a:xfrm>
          <a:prstGeom prst="bevel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2000" b="1" i="1" u="sng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Data Clear</a:t>
            </a:r>
          </a:p>
        </xdr:txBody>
      </xdr:sp>
      <xdr:sp macro="[2]!Macro2" textlink="">
        <xdr:nvSpPr>
          <xdr:cNvPr id="7" name="Bevel 6">
            <a:hlinkClick xmlns:r="http://schemas.openxmlformats.org/officeDocument/2006/relationships" r:id="rId2"/>
          </xdr:cNvPr>
          <xdr:cNvSpPr/>
        </xdr:nvSpPr>
        <xdr:spPr>
          <a:xfrm>
            <a:off x="4972050" y="114300"/>
            <a:ext cx="2190750" cy="561975"/>
          </a:xfrm>
          <a:prstGeom prst="bevel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brightRoom" dir="t"/>
            </a:scene3d>
            <a:sp3d contourW="6350" prstMaterial="plastic">
              <a:bevelT w="20320" h="20320" prst="angle"/>
              <a:contourClr>
                <a:schemeClr val="accent1">
                  <a:tint val="100000"/>
                  <a:shade val="100000"/>
                  <a:hueMod val="100000"/>
                  <a:satMod val="100000"/>
                </a:schemeClr>
              </a:contourClr>
            </a:sp3d>
          </a:bodyPr>
          <a:lstStyle/>
          <a:p>
            <a:pPr algn="ctr"/>
            <a:r>
              <a:rPr lang="en-US" sz="1400" b="1" cap="all" spc="0">
                <a:ln/>
                <a:solidFill>
                  <a:schemeClr val="accent1"/>
                </a:solidFill>
                <a:effectLst>
                  <a:outerShdw blurRad="19685" dist="12700" dir="5400000" algn="tl" rotWithShape="0">
                    <a:schemeClr val="accent1">
                      <a:satMod val="130000"/>
                      <a:alpha val="60000"/>
                    </a:schemeClr>
                  </a:outerShdw>
                  <a:reflection blurRad="10000" stA="55000" endPos="48000" dist="500" dir="5400000" sy="-100000" algn="bl" rotWithShape="0"/>
                </a:effectLst>
              </a:rPr>
              <a:t>BACK  </a:t>
            </a:r>
            <a:r>
              <a:rPr lang="en-US" sz="1400" b="1" cap="all" spc="0" baseline="0">
                <a:ln/>
                <a:solidFill>
                  <a:schemeClr val="accent1"/>
                </a:solidFill>
                <a:effectLst>
                  <a:outerShdw blurRad="19685" dist="12700" dir="5400000" algn="tl" rotWithShape="0">
                    <a:schemeClr val="accent1">
                      <a:satMod val="130000"/>
                      <a:alpha val="60000"/>
                    </a:schemeClr>
                  </a:outerShdw>
                  <a:reflection blurRad="10000" stA="55000" endPos="48000" dist="500" dir="5400000" sy="-100000" algn="bl" rotWithShape="0"/>
                </a:effectLst>
              </a:rPr>
              <a:t> to  Master</a:t>
            </a:r>
            <a:endParaRPr lang="en-US" sz="1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endParaRPr>
          </a:p>
        </xdr:txBody>
      </xdr:sp>
      <xdr:sp macro="[0]!datasave" textlink="">
        <xdr:nvSpPr>
          <xdr:cNvPr id="9" name="Bevel 8"/>
          <xdr:cNvSpPr/>
        </xdr:nvSpPr>
        <xdr:spPr>
          <a:xfrm>
            <a:off x="9963150" y="152400"/>
            <a:ext cx="1171575" cy="504825"/>
          </a:xfrm>
          <a:prstGeom prst="bevel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brightRoom" dir="t"/>
            </a:scene3d>
            <a:sp3d contourW="6350" prstMaterial="plastic">
              <a:bevelT w="20320" h="20320" prst="angle"/>
              <a:contourClr>
                <a:schemeClr val="accent1">
                  <a:tint val="100000"/>
                  <a:shade val="100000"/>
                  <a:hueMod val="100000"/>
                  <a:satMod val="100000"/>
                </a:schemeClr>
              </a:contourClr>
            </a:sp3d>
          </a:bodyPr>
          <a:lstStyle/>
          <a:p>
            <a:pPr algn="ctr"/>
            <a:r>
              <a:rPr lang="en-US" sz="1400" b="1" i="1" u="sng" cap="all" spc="0">
                <a:ln/>
                <a:solidFill>
                  <a:srgbClr val="FF0000"/>
                </a:solidFill>
                <a:effectLst>
                  <a:outerShdw blurRad="19685" dist="12700" dir="5400000" algn="tl" rotWithShape="0">
                    <a:schemeClr val="accent1">
                      <a:satMod val="130000"/>
                      <a:alpha val="60000"/>
                    </a:schemeClr>
                  </a:outerShdw>
                  <a:reflection blurRad="10000" stA="55000" endPos="48000" dist="500" dir="5400000" sy="-100000" algn="bl" rotWithShape="0"/>
                </a:effectLst>
              </a:rPr>
              <a:t>SAVE</a:t>
            </a:r>
          </a:p>
        </xdr:txBody>
      </xdr:sp>
      <xdr:sp macro="[0]!printpre" textlink="">
        <xdr:nvSpPr>
          <xdr:cNvPr id="10" name="Bevel 9"/>
          <xdr:cNvSpPr/>
        </xdr:nvSpPr>
        <xdr:spPr>
          <a:xfrm>
            <a:off x="11382375" y="85726"/>
            <a:ext cx="1190625" cy="590550"/>
          </a:xfrm>
          <a:prstGeom prst="bevel">
            <a:avLst/>
          </a:prstGeom>
        </xdr:spPr>
        <xdr:style>
          <a:lnRef idx="1">
            <a:schemeClr val="accent1"/>
          </a:lnRef>
          <a:fillRef idx="1002">
            <a:schemeClr val="lt2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brightRoom" dir="t"/>
            </a:scene3d>
            <a:sp3d contourW="6350" prstMaterial="plastic">
              <a:bevelT w="20320" h="20320" prst="angle"/>
              <a:contourClr>
                <a:schemeClr val="accent1">
                  <a:tint val="100000"/>
                  <a:shade val="100000"/>
                  <a:hueMod val="100000"/>
                  <a:satMod val="100000"/>
                </a:schemeClr>
              </a:contourClr>
            </a:sp3d>
          </a:bodyPr>
          <a:lstStyle/>
          <a:p>
            <a:pPr algn="ctr"/>
            <a:r>
              <a:rPr lang="en-US" sz="1400" b="1" i="1" u="sng" cap="all" spc="0">
                <a:ln/>
                <a:solidFill>
                  <a:srgbClr val="400E3C"/>
                </a:solidFill>
                <a:effectLst>
                  <a:outerShdw blurRad="19685" dist="12700" dir="5400000" algn="tl" rotWithShape="0">
                    <a:schemeClr val="accent1">
                      <a:satMod val="130000"/>
                      <a:alpha val="60000"/>
                    </a:schemeClr>
                  </a:outerShdw>
                  <a:reflection blurRad="10000" stA="55000" endPos="48000" dist="500" dir="5400000" sy="-100000" algn="bl" rotWithShape="0"/>
                </a:effectLst>
              </a:rPr>
              <a:t>Page  setup  </a:t>
            </a:r>
          </a:p>
        </xdr:txBody>
      </xdr:sp>
      <xdr:sp macro="[0]!pagecolse1" textlink="">
        <xdr:nvSpPr>
          <xdr:cNvPr id="11" name="Bevel 10"/>
          <xdr:cNvSpPr/>
        </xdr:nvSpPr>
        <xdr:spPr>
          <a:xfrm>
            <a:off x="12744450" y="95250"/>
            <a:ext cx="1171575" cy="581025"/>
          </a:xfrm>
          <a:prstGeom prst="bevel">
            <a:avLst/>
          </a:prstGeom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600" b="1">
                <a:solidFill>
                  <a:srgbClr val="C00000"/>
                </a:solidFill>
              </a:rPr>
              <a:t>Page  Close</a:t>
            </a:r>
          </a:p>
        </xdr:txBody>
      </xdr:sp>
    </xdr:grpSp>
    <xdr:clientData/>
  </xdr:twoCellAnchor>
  <xdr:twoCellAnchor>
    <xdr:from>
      <xdr:col>0</xdr:col>
      <xdr:colOff>114301</xdr:colOff>
      <xdr:row>0</xdr:row>
      <xdr:rowOff>76200</xdr:rowOff>
    </xdr:from>
    <xdr:to>
      <xdr:col>29</xdr:col>
      <xdr:colOff>57150</xdr:colOff>
      <xdr:row>0</xdr:row>
      <xdr:rowOff>685800</xdr:rowOff>
    </xdr:to>
    <xdr:grpSp>
      <xdr:nvGrpSpPr>
        <xdr:cNvPr id="12" name="Group 11"/>
        <xdr:cNvGrpSpPr/>
      </xdr:nvGrpSpPr>
      <xdr:grpSpPr>
        <a:xfrm>
          <a:off x="108205" y="73152"/>
          <a:ext cx="12966552" cy="591312"/>
          <a:chOff x="123826" y="85725"/>
          <a:chExt cx="13792199" cy="609600"/>
        </a:xfrm>
      </xdr:grpSpPr>
      <xdr:grpSp>
        <xdr:nvGrpSpPr>
          <xdr:cNvPr id="14" name="Group 13"/>
          <xdr:cNvGrpSpPr/>
        </xdr:nvGrpSpPr>
        <xdr:grpSpPr>
          <a:xfrm>
            <a:off x="7353296" y="104776"/>
            <a:ext cx="2314574" cy="571500"/>
            <a:chOff x="9172575" y="85725"/>
            <a:chExt cx="2541646" cy="685799"/>
          </a:xfrm>
          <a:effectLst>
            <a:glow rad="101600">
              <a:schemeClr val="accent3">
                <a:satMod val="175000"/>
                <a:alpha val="40000"/>
              </a:schemeClr>
            </a:glow>
          </a:effectLst>
        </xdr:grpSpPr>
        <xdr:sp macro="" textlink="">
          <xdr:nvSpPr>
            <xdr:cNvPr id="21" name="Left Arrow 20">
              <a:hlinkClick xmlns:r="http://schemas.openxmlformats.org/officeDocument/2006/relationships" r:id="rId3"/>
            </xdr:cNvPr>
            <xdr:cNvSpPr/>
          </xdr:nvSpPr>
          <xdr:spPr>
            <a:xfrm>
              <a:off x="9172575" y="85725"/>
              <a:ext cx="1181100" cy="685799"/>
            </a:xfrm>
            <a:prstGeom prst="leftArrow">
              <a:avLst/>
            </a:prstGeom>
            <a:ln w="38100"/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tlCol="0" anchor="ctr"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1800" b="1" cap="none" spc="5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BACK</a:t>
              </a:r>
              <a:r>
                <a:rPr lang="en-US" sz="1800" b="1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 </a:t>
              </a:r>
              <a:endPara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endParaRPr>
            </a:p>
          </xdr:txBody>
        </xdr:sp>
        <xdr:sp macro="[0]!Button10_Click" textlink="">
          <xdr:nvSpPr>
            <xdr:cNvPr id="22" name="Right Arrow 21"/>
            <xdr:cNvSpPr/>
          </xdr:nvSpPr>
          <xdr:spPr>
            <a:xfrm>
              <a:off x="10563991" y="103539"/>
              <a:ext cx="1150230" cy="623454"/>
            </a:xfrm>
            <a:prstGeom prst="rightArrow">
              <a:avLst/>
            </a:prstGeom>
            <a:ln w="38100"/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tlCol="0" anchor="ctr">
              <a:scene3d>
                <a:camera prst="orthographicFront"/>
                <a:lightRig rig="flat" dir="tl">
                  <a:rot lat="0" lon="0" rev="6600000"/>
                </a:lightRig>
              </a:scene3d>
              <a:sp3d extrusionH="25400" contourW="8890">
                <a:bevelT w="38100" h="31750"/>
                <a:contourClr>
                  <a:schemeClr val="accent2">
                    <a:shade val="75000"/>
                  </a:schemeClr>
                </a:contourClr>
              </a:sp3d>
            </a:bodyPr>
            <a:lstStyle/>
            <a:p>
              <a:pPr algn="ctr"/>
              <a:r>
                <a:rPr lang="en-US" sz="1800" b="1" cap="none" spc="0">
                  <a:ln w="11430"/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NEXT</a:t>
              </a:r>
              <a:r>
                <a:rPr lang="en-US" sz="1800" b="1" cap="none" spc="0" baseline="0">
                  <a:ln w="11430"/>
                  <a:gradFill>
                    <a:gsLst>
                      <a:gs pos="0">
                        <a:schemeClr val="accent2">
                          <a:tint val="70000"/>
                          <a:satMod val="245000"/>
                        </a:schemeClr>
                      </a:gs>
                      <a:gs pos="75000">
                        <a:schemeClr val="accent2">
                          <a:tint val="90000"/>
                          <a:shade val="60000"/>
                          <a:satMod val="240000"/>
                        </a:schemeClr>
                      </a:gs>
                      <a:gs pos="100000">
                        <a:schemeClr val="accent2">
                          <a:tint val="100000"/>
                          <a:shade val="50000"/>
                          <a:satMod val="240000"/>
                        </a:schemeClr>
                      </a:gs>
                    </a:gsLst>
                    <a:lin ang="5400000"/>
                  </a:gradFill>
                  <a:effectLst>
                    <a:outerShdw blurRad="50800" dist="39000" dir="5460000" algn="tl">
                      <a:srgbClr val="000000">
                        <a:alpha val="38000"/>
                      </a:srgbClr>
                    </a:outerShdw>
                  </a:effectLst>
                </a:rPr>
                <a:t> </a:t>
              </a:r>
              <a:endPara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endParaRPr>
            </a:p>
          </xdr:txBody>
        </xdr:sp>
      </xdr:grpSp>
      <xdr:sp macro="[0]!DataReset" textlink="">
        <xdr:nvSpPr>
          <xdr:cNvPr id="15" name="Bevel 14"/>
          <xdr:cNvSpPr/>
        </xdr:nvSpPr>
        <xdr:spPr>
          <a:xfrm>
            <a:off x="123826" y="85725"/>
            <a:ext cx="2247899" cy="581025"/>
          </a:xfrm>
          <a:prstGeom prst="bevel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rtlCol="0" anchor="t"/>
          <a:lstStyle/>
          <a:p>
            <a:pPr algn="ctr"/>
            <a:r>
              <a:rPr lang="en-US" sz="1800" b="1" i="1" u="sng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GENERATE  GA55</a:t>
            </a:r>
          </a:p>
        </xdr:txBody>
      </xdr:sp>
      <xdr:sp macro="[0]!Macro1" textlink="">
        <xdr:nvSpPr>
          <xdr:cNvPr id="16" name="Bevel 15"/>
          <xdr:cNvSpPr/>
        </xdr:nvSpPr>
        <xdr:spPr>
          <a:xfrm>
            <a:off x="2686050" y="123825"/>
            <a:ext cx="2009775" cy="561975"/>
          </a:xfrm>
          <a:prstGeom prst="bevel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2000" b="1" i="1" u="sng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Data Clear</a:t>
            </a:r>
          </a:p>
        </xdr:txBody>
      </xdr:sp>
      <xdr:sp macro="[2]!Macro2" textlink="">
        <xdr:nvSpPr>
          <xdr:cNvPr id="17" name="Bevel 16">
            <a:hlinkClick xmlns:r="http://schemas.openxmlformats.org/officeDocument/2006/relationships" r:id="rId4"/>
          </xdr:cNvPr>
          <xdr:cNvSpPr/>
        </xdr:nvSpPr>
        <xdr:spPr>
          <a:xfrm>
            <a:off x="4972050" y="114300"/>
            <a:ext cx="2190750" cy="561975"/>
          </a:xfrm>
          <a:prstGeom prst="bevel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brightRoom" dir="t"/>
            </a:scene3d>
            <a:sp3d contourW="6350" prstMaterial="plastic">
              <a:bevelT w="20320" h="20320" prst="angle"/>
              <a:contourClr>
                <a:schemeClr val="accent1">
                  <a:tint val="100000"/>
                  <a:shade val="100000"/>
                  <a:hueMod val="100000"/>
                  <a:satMod val="100000"/>
                </a:schemeClr>
              </a:contourClr>
            </a:sp3d>
          </a:bodyPr>
          <a:lstStyle/>
          <a:p>
            <a:pPr algn="ctr"/>
            <a:r>
              <a:rPr lang="en-US" sz="1400" b="1" cap="all" spc="0">
                <a:ln/>
                <a:solidFill>
                  <a:schemeClr val="accent1"/>
                </a:solidFill>
                <a:effectLst>
                  <a:outerShdw blurRad="19685" dist="12700" dir="5400000" algn="tl" rotWithShape="0">
                    <a:schemeClr val="accent1">
                      <a:satMod val="130000"/>
                      <a:alpha val="60000"/>
                    </a:schemeClr>
                  </a:outerShdw>
                  <a:reflection blurRad="10000" stA="55000" endPos="48000" dist="500" dir="5400000" sy="-100000" algn="bl" rotWithShape="0"/>
                </a:effectLst>
              </a:rPr>
              <a:t>BACK  </a:t>
            </a:r>
            <a:r>
              <a:rPr lang="en-US" sz="1400" b="1" cap="all" spc="0" baseline="0">
                <a:ln/>
                <a:solidFill>
                  <a:schemeClr val="accent1"/>
                </a:solidFill>
                <a:effectLst>
                  <a:outerShdw blurRad="19685" dist="12700" dir="5400000" algn="tl" rotWithShape="0">
                    <a:schemeClr val="accent1">
                      <a:satMod val="130000"/>
                      <a:alpha val="60000"/>
                    </a:schemeClr>
                  </a:outerShdw>
                  <a:reflection blurRad="10000" stA="55000" endPos="48000" dist="500" dir="5400000" sy="-100000" algn="bl" rotWithShape="0"/>
                </a:effectLst>
              </a:rPr>
              <a:t> to  Master</a:t>
            </a:r>
            <a:endParaRPr lang="en-US" sz="1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endParaRPr>
          </a:p>
        </xdr:txBody>
      </xdr:sp>
      <xdr:sp macro="[0]!datasave" textlink="">
        <xdr:nvSpPr>
          <xdr:cNvPr id="18" name="Bevel 17"/>
          <xdr:cNvSpPr/>
        </xdr:nvSpPr>
        <xdr:spPr>
          <a:xfrm>
            <a:off x="9963150" y="152400"/>
            <a:ext cx="1171575" cy="504825"/>
          </a:xfrm>
          <a:prstGeom prst="bevel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brightRoom" dir="t"/>
            </a:scene3d>
            <a:sp3d contourW="6350" prstMaterial="plastic">
              <a:bevelT w="20320" h="20320" prst="angle"/>
              <a:contourClr>
                <a:schemeClr val="accent1">
                  <a:tint val="100000"/>
                  <a:shade val="100000"/>
                  <a:hueMod val="100000"/>
                  <a:satMod val="100000"/>
                </a:schemeClr>
              </a:contourClr>
            </a:sp3d>
          </a:bodyPr>
          <a:lstStyle/>
          <a:p>
            <a:pPr algn="ctr"/>
            <a:r>
              <a:rPr lang="en-US" sz="1400" b="1" i="1" u="sng" cap="all" spc="0">
                <a:ln/>
                <a:solidFill>
                  <a:srgbClr val="FF0000"/>
                </a:solidFill>
                <a:effectLst>
                  <a:outerShdw blurRad="19685" dist="12700" dir="5400000" algn="tl" rotWithShape="0">
                    <a:schemeClr val="accent1">
                      <a:satMod val="130000"/>
                      <a:alpha val="60000"/>
                    </a:schemeClr>
                  </a:outerShdw>
                  <a:reflection blurRad="10000" stA="55000" endPos="48000" dist="500" dir="5400000" sy="-100000" algn="bl" rotWithShape="0"/>
                </a:effectLst>
              </a:rPr>
              <a:t>SAVE</a:t>
            </a:r>
          </a:p>
        </xdr:txBody>
      </xdr:sp>
      <xdr:sp macro="[0]!printpre" textlink="">
        <xdr:nvSpPr>
          <xdr:cNvPr id="19" name="Bevel 18"/>
          <xdr:cNvSpPr/>
        </xdr:nvSpPr>
        <xdr:spPr>
          <a:xfrm>
            <a:off x="11382375" y="85726"/>
            <a:ext cx="1190625" cy="590550"/>
          </a:xfrm>
          <a:prstGeom prst="bevel">
            <a:avLst/>
          </a:prstGeom>
        </xdr:spPr>
        <xdr:style>
          <a:lnRef idx="1">
            <a:schemeClr val="accent1"/>
          </a:lnRef>
          <a:fillRef idx="1002">
            <a:schemeClr val="lt2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brightRoom" dir="t"/>
            </a:scene3d>
            <a:sp3d contourW="6350" prstMaterial="plastic">
              <a:bevelT w="20320" h="20320" prst="angle"/>
              <a:contourClr>
                <a:schemeClr val="accent1">
                  <a:tint val="100000"/>
                  <a:shade val="100000"/>
                  <a:hueMod val="100000"/>
                  <a:satMod val="100000"/>
                </a:schemeClr>
              </a:contourClr>
            </a:sp3d>
          </a:bodyPr>
          <a:lstStyle/>
          <a:p>
            <a:pPr algn="ctr"/>
            <a:r>
              <a:rPr lang="en-US" sz="1400" b="1" i="1" u="sng" cap="all" spc="0">
                <a:ln/>
                <a:solidFill>
                  <a:srgbClr val="400E3C"/>
                </a:solidFill>
                <a:effectLst>
                  <a:outerShdw blurRad="19685" dist="12700" dir="5400000" algn="tl" rotWithShape="0">
                    <a:schemeClr val="accent1">
                      <a:satMod val="130000"/>
                      <a:alpha val="60000"/>
                    </a:schemeClr>
                  </a:outerShdw>
                  <a:reflection blurRad="10000" stA="55000" endPos="48000" dist="500" dir="5400000" sy="-100000" algn="bl" rotWithShape="0"/>
                </a:effectLst>
              </a:rPr>
              <a:t>Page  setup  </a:t>
            </a:r>
          </a:p>
        </xdr:txBody>
      </xdr:sp>
      <xdr:sp macro="[0]!pagecolse1" textlink="">
        <xdr:nvSpPr>
          <xdr:cNvPr id="20" name="Bevel 19"/>
          <xdr:cNvSpPr/>
        </xdr:nvSpPr>
        <xdr:spPr>
          <a:xfrm>
            <a:off x="12744450" y="95250"/>
            <a:ext cx="1171575" cy="600075"/>
          </a:xfrm>
          <a:prstGeom prst="bevel">
            <a:avLst/>
          </a:prstGeom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600" b="1">
                <a:solidFill>
                  <a:srgbClr val="C00000"/>
                </a:solidFill>
              </a:rPr>
              <a:t>Page  Close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590549</xdr:colOff>
      <xdr:row>58</xdr:row>
      <xdr:rowOff>123824</xdr:rowOff>
    </xdr:from>
    <xdr:to>
      <xdr:col>18</xdr:col>
      <xdr:colOff>66674</xdr:colOff>
      <xdr:row>61</xdr:row>
      <xdr:rowOff>161924</xdr:rowOff>
    </xdr:to>
    <xdr:sp macro="" textlink="">
      <xdr:nvSpPr>
        <xdr:cNvPr id="8" name="Left-Right Arrow 7"/>
        <xdr:cNvSpPr/>
      </xdr:nvSpPr>
      <xdr:spPr>
        <a:xfrm rot="16200000">
          <a:off x="10868024" y="12277724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337669</xdr:colOff>
      <xdr:row>7</xdr:row>
      <xdr:rowOff>54374</xdr:rowOff>
    </xdr:from>
    <xdr:to>
      <xdr:col>22</xdr:col>
      <xdr:colOff>348228</xdr:colOff>
      <xdr:row>10</xdr:row>
      <xdr:rowOff>186537</xdr:rowOff>
    </xdr:to>
    <xdr:sp macro="" textlink="">
      <xdr:nvSpPr>
        <xdr:cNvPr id="10" name="Curved Left Arrow 9"/>
        <xdr:cNvSpPr/>
      </xdr:nvSpPr>
      <xdr:spPr>
        <a:xfrm rot="1798694">
          <a:off x="13300328" y="1647647"/>
          <a:ext cx="573400" cy="885504"/>
        </a:xfrm>
        <a:prstGeom prst="curvedLeftArrow">
          <a:avLst>
            <a:gd name="adj1" fmla="val 25000"/>
            <a:gd name="adj2" fmla="val 50000"/>
            <a:gd name="adj3" fmla="val 16174"/>
          </a:avLst>
        </a:prstGeom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20</xdr:col>
      <xdr:colOff>827809</xdr:colOff>
      <xdr:row>2</xdr:row>
      <xdr:rowOff>125556</xdr:rowOff>
    </xdr:to>
    <xdr:grpSp>
      <xdr:nvGrpSpPr>
        <xdr:cNvPr id="9" name="Group 8"/>
        <xdr:cNvGrpSpPr/>
      </xdr:nvGrpSpPr>
      <xdr:grpSpPr>
        <a:xfrm>
          <a:off x="9834033" y="0"/>
          <a:ext cx="2292458" cy="59088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[0]!Macro11" textlink="">
        <xdr:nvSpPr>
          <xdr:cNvPr id="11" name="Left Arrow 10"/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[0]!Macro5" textlink="">
        <xdr:nvSpPr>
          <xdr:cNvPr id="12" name="Right Arrow 11"/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16</xdr:col>
      <xdr:colOff>190501</xdr:colOff>
      <xdr:row>60</xdr:row>
      <xdr:rowOff>28575</xdr:rowOff>
    </xdr:from>
    <xdr:to>
      <xdr:col>20</xdr:col>
      <xdr:colOff>161925</xdr:colOff>
      <xdr:row>62</xdr:row>
      <xdr:rowOff>200025</xdr:rowOff>
    </xdr:to>
    <xdr:sp macro="" textlink="">
      <xdr:nvSpPr>
        <xdr:cNvPr id="7" name="Rounded Rectangle 6"/>
        <xdr:cNvSpPr/>
      </xdr:nvSpPr>
      <xdr:spPr>
        <a:xfrm>
          <a:off x="10258426" y="12401550"/>
          <a:ext cx="1971674" cy="571500"/>
        </a:xfrm>
        <a:prstGeom prst="round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>
          <a:sp3d extrusionH="57150">
            <a:bevelT w="38100" h="38100" prst="relaxedInset"/>
          </a:sp3d>
        </a:bodyPr>
        <a:lstStyle/>
        <a:p>
          <a:pPr algn="ctr"/>
          <a:r>
            <a:rPr lang="en-US" sz="1400" b="1">
              <a:solidFill>
                <a:srgbClr val="CC00FF"/>
              </a:solidFill>
              <a:latin typeface="+mj-lt"/>
            </a:rPr>
            <a:t>Please Put here your Curser to know 87A</a:t>
          </a:r>
        </a:p>
      </xdr:txBody>
    </xdr:sp>
    <xdr:clientData/>
  </xdr:twoCellAnchor>
  <xdr:twoCellAnchor>
    <xdr:from>
      <xdr:col>15</xdr:col>
      <xdr:colOff>428625</xdr:colOff>
      <xdr:row>41</xdr:row>
      <xdr:rowOff>142875</xdr:rowOff>
    </xdr:from>
    <xdr:to>
      <xdr:col>16</xdr:col>
      <xdr:colOff>371475</xdr:colOff>
      <xdr:row>43</xdr:row>
      <xdr:rowOff>9525</xdr:rowOff>
    </xdr:to>
    <xdr:sp macro="" textlink="">
      <xdr:nvSpPr>
        <xdr:cNvPr id="16" name="Left-Right Arrow 15"/>
        <xdr:cNvSpPr/>
      </xdr:nvSpPr>
      <xdr:spPr>
        <a:xfrm rot="10800000">
          <a:off x="9801225" y="8734425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283154</xdr:colOff>
      <xdr:row>16</xdr:row>
      <xdr:rowOff>199162</xdr:rowOff>
    </xdr:from>
    <xdr:to>
      <xdr:col>17</xdr:col>
      <xdr:colOff>482312</xdr:colOff>
      <xdr:row>18</xdr:row>
      <xdr:rowOff>68408</xdr:rowOff>
    </xdr:to>
    <xdr:cxnSp macro="">
      <xdr:nvCxnSpPr>
        <xdr:cNvPr id="14" name="Elbow Connector 13"/>
        <xdr:cNvCxnSpPr/>
      </xdr:nvCxnSpPr>
      <xdr:spPr>
        <a:xfrm rot="5400000">
          <a:off x="10706535" y="3777531"/>
          <a:ext cx="269296" cy="199158"/>
        </a:xfrm>
        <a:prstGeom prst="bentConnector3">
          <a:avLst>
            <a:gd name="adj1" fmla="val 33871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390525</xdr:colOff>
      <xdr:row>15</xdr:row>
      <xdr:rowOff>9525</xdr:rowOff>
    </xdr:from>
    <xdr:to>
      <xdr:col>18</xdr:col>
      <xdr:colOff>600075</xdr:colOff>
      <xdr:row>17</xdr:row>
      <xdr:rowOff>133350</xdr:rowOff>
    </xdr:to>
    <xdr:sp macro="" textlink="">
      <xdr:nvSpPr>
        <xdr:cNvPr id="13" name="Line Callout 2 12"/>
        <xdr:cNvSpPr/>
      </xdr:nvSpPr>
      <xdr:spPr>
        <a:xfrm>
          <a:off x="10848975" y="3352800"/>
          <a:ext cx="1009650" cy="523875"/>
        </a:xfrm>
        <a:prstGeom prst="borderCallout2">
          <a:avLst>
            <a:gd name="adj1" fmla="val 18750"/>
            <a:gd name="adj2" fmla="val -8333"/>
            <a:gd name="adj3" fmla="val 43750"/>
            <a:gd name="adj4" fmla="val -41195"/>
            <a:gd name="adj5" fmla="val -404596"/>
            <a:gd name="adj6" fmla="val -13675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Us 10(13-A) &amp; 10(14)</a:t>
          </a:r>
        </a:p>
      </xdr:txBody>
    </xdr:sp>
    <xdr:clientData/>
  </xdr:twoCellAnchor>
  <xdr:twoCellAnchor>
    <xdr:from>
      <xdr:col>33</xdr:col>
      <xdr:colOff>85725</xdr:colOff>
      <xdr:row>0</xdr:row>
      <xdr:rowOff>142875</xdr:rowOff>
    </xdr:from>
    <xdr:to>
      <xdr:col>34</xdr:col>
      <xdr:colOff>647701</xdr:colOff>
      <xdr:row>3</xdr:row>
      <xdr:rowOff>19050</xdr:rowOff>
    </xdr:to>
    <xdr:sp macro="[0]!pagecolse1" textlink="">
      <xdr:nvSpPr>
        <xdr:cNvPr id="18" name="Bevel 17"/>
        <xdr:cNvSpPr/>
      </xdr:nvSpPr>
      <xdr:spPr>
        <a:xfrm>
          <a:off x="14163675" y="142875"/>
          <a:ext cx="1390651" cy="581025"/>
        </a:xfrm>
        <a:prstGeom prst="bevel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solidFill>
                <a:srgbClr val="C00000"/>
              </a:solidFill>
            </a:rPr>
            <a:t>Page  Close</a:t>
          </a:r>
        </a:p>
      </xdr:txBody>
    </xdr:sp>
    <xdr:clientData/>
  </xdr:twoCellAnchor>
  <xdr:twoCellAnchor>
    <xdr:from>
      <xdr:col>17</xdr:col>
      <xdr:colOff>333375</xdr:colOff>
      <xdr:row>11</xdr:row>
      <xdr:rowOff>9525</xdr:rowOff>
    </xdr:from>
    <xdr:to>
      <xdr:col>18</xdr:col>
      <xdr:colOff>733425</xdr:colOff>
      <xdr:row>13</xdr:row>
      <xdr:rowOff>57150</xdr:rowOff>
    </xdr:to>
    <xdr:sp macro="[0]!Macro13" textlink="">
      <xdr:nvSpPr>
        <xdr:cNvPr id="19" name="Rounded Rectangle 18"/>
        <xdr:cNvSpPr/>
      </xdr:nvSpPr>
      <xdr:spPr>
        <a:xfrm>
          <a:off x="10791825" y="2552700"/>
          <a:ext cx="1200150" cy="447675"/>
        </a:xfrm>
        <a:prstGeom prst="roundRect">
          <a:avLst/>
        </a:prstGeom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0000FF"/>
              </a:solidFill>
            </a:rPr>
            <a:t>RESET  DATA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[0]!Macro6" textlink="">
      <xdr:nvSpPr>
        <xdr:cNvPr id="2" name="Left Arrow 1"/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[0]!Macro7" textlink="">
      <xdr:nvSpPr>
        <xdr:cNvPr id="3" name="Left Arrow 2"/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  <xdr:twoCellAnchor>
    <xdr:from>
      <xdr:col>14</xdr:col>
      <xdr:colOff>420687</xdr:colOff>
      <xdr:row>13</xdr:row>
      <xdr:rowOff>246063</xdr:rowOff>
    </xdr:from>
    <xdr:to>
      <xdr:col>16</xdr:col>
      <xdr:colOff>227012</xdr:colOff>
      <xdr:row>16</xdr:row>
      <xdr:rowOff>134937</xdr:rowOff>
    </xdr:to>
    <xdr:sp macro="[0]!pagecolse1" textlink="">
      <xdr:nvSpPr>
        <xdr:cNvPr id="4" name="Bevel 3"/>
        <xdr:cNvSpPr/>
      </xdr:nvSpPr>
      <xdr:spPr>
        <a:xfrm>
          <a:off x="9652000" y="2627313"/>
          <a:ext cx="1171575" cy="674687"/>
        </a:xfrm>
        <a:prstGeom prst="bevel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solidFill>
                <a:srgbClr val="C00000"/>
              </a:solidFill>
            </a:rPr>
            <a:t>Page  Close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REE\Downloads\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REE\Downloads\Micro-Income-Tax-Excel-Software-FY-2019-20-Updated-03122019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REE\Downloads\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2"/>
      <definedName name="Macro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/>
      <sheetData sheetId="1"/>
      <sheetData sheetId="2"/>
      <sheetData sheetId="3">
        <row r="11">
          <cell r="G11" t="str">
            <v>Principal</v>
          </cell>
        </row>
      </sheetData>
      <sheetData sheetId="4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/>
      <sheetData sheetId="6">
        <row r="3">
          <cell r="E3" t="str">
            <v>VIJAY RANWA</v>
          </cell>
        </row>
      </sheetData>
      <sheetData sheetId="7"/>
      <sheetData sheetId="8">
        <row r="62">
          <cell r="B62">
            <v>12000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youtu.be/MGhyFQKgC3Q" TargetMode="External"/><Relationship Id="rId7" Type="http://schemas.openxmlformats.org/officeDocument/2006/relationships/hyperlink" Target="https://www.youtube.com/watch?v=FwBqjLiBd28" TargetMode="External"/><Relationship Id="rId2" Type="http://schemas.openxmlformats.org/officeDocument/2006/relationships/hyperlink" Target="https://www.youtube.com/c/Heeralaljat/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hyperlink" Target="https://youtu.be/JIltzwkB8Ko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youtube.com/watch?v=JIltzwkB8Ko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youtu.be/MGhyFQKgC3Q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youtu.be/MGhyFQKgC3Q" TargetMode="External"/><Relationship Id="rId1" Type="http://schemas.openxmlformats.org/officeDocument/2006/relationships/hyperlink" Target="https://youtu.be/MGhyFQKgC3Q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youtube.com/watch?v=NWwIhkhEUo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TJ5dWmZplA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990033"/>
  </sheetPr>
  <dimension ref="A1:D29"/>
  <sheetViews>
    <sheetView showGridLines="0" showRowColHeaders="0" tabSelected="1" workbookViewId="0"/>
  </sheetViews>
  <sheetFormatPr defaultColWidth="0" defaultRowHeight="15" zeroHeight="1"/>
  <cols>
    <col min="1" max="1" width="10.375" style="34" customWidth="1"/>
    <col min="2" max="2" width="23.75" style="34" customWidth="1"/>
    <col min="3" max="3" width="111" style="34" customWidth="1"/>
    <col min="4" max="4" width="33.875" style="34" customWidth="1"/>
    <col min="5" max="16384" width="9" style="34" hidden="1"/>
  </cols>
  <sheetData>
    <row r="1" spans="2:4" ht="30.75" customHeight="1">
      <c r="C1" s="208" t="s">
        <v>288</v>
      </c>
    </row>
    <row r="2" spans="2:4" ht="17.25" customHeight="1" thickBot="1"/>
    <row r="3" spans="2:4" ht="57" customHeight="1" thickTop="1" thickBot="1">
      <c r="B3" s="383" t="s">
        <v>278</v>
      </c>
      <c r="C3" s="383"/>
    </row>
    <row r="4" spans="2:4" ht="24.95" customHeight="1" thickTop="1" thickBot="1">
      <c r="B4" s="384"/>
      <c r="C4" s="209" t="s">
        <v>275</v>
      </c>
    </row>
    <row r="5" spans="2:4" ht="24.95" customHeight="1" thickTop="1" thickBot="1">
      <c r="B5" s="384"/>
      <c r="C5" s="210" t="s">
        <v>276</v>
      </c>
    </row>
    <row r="6" spans="2:4" ht="79.5" customHeight="1" thickTop="1" thickBot="1">
      <c r="B6" s="385"/>
      <c r="C6" s="211" t="s">
        <v>502</v>
      </c>
      <c r="D6" s="235"/>
    </row>
    <row r="7" spans="2:4" ht="39" customHeight="1" thickTop="1" thickBot="1">
      <c r="B7" s="212" t="s">
        <v>274</v>
      </c>
      <c r="C7" s="213" t="s">
        <v>277</v>
      </c>
    </row>
    <row r="8" spans="2:4" ht="24.95" customHeight="1" thickTop="1" thickBot="1">
      <c r="B8" s="388" t="s">
        <v>279</v>
      </c>
      <c r="C8" s="389"/>
      <c r="D8" s="236" t="s">
        <v>426</v>
      </c>
    </row>
    <row r="9" spans="2:4" ht="41.25" customHeight="1" thickTop="1" thickBot="1">
      <c r="B9" s="386" t="s">
        <v>280</v>
      </c>
      <c r="C9" s="387"/>
      <c r="D9" s="236"/>
    </row>
    <row r="10" spans="2:4" ht="33" customHeight="1" thickTop="1">
      <c r="B10" s="390"/>
      <c r="C10" s="390"/>
    </row>
    <row r="11" spans="2:4" ht="142.5" customHeight="1">
      <c r="B11" s="255" t="s">
        <v>445</v>
      </c>
      <c r="C11" s="246"/>
      <c r="D11" s="256"/>
    </row>
    <row r="12" spans="2:4" ht="29.25" customHeight="1" thickBot="1">
      <c r="B12" s="373"/>
      <c r="C12" s="373"/>
      <c r="D12" s="254"/>
    </row>
    <row r="13" spans="2:4" ht="39.75" customHeight="1" thickTop="1" thickBot="1">
      <c r="B13" s="374" t="s">
        <v>282</v>
      </c>
      <c r="C13" s="374"/>
      <c r="D13" s="275" t="s">
        <v>505</v>
      </c>
    </row>
    <row r="14" spans="2:4" ht="16.5" thickTop="1" thickBot="1"/>
    <row r="15" spans="2:4" ht="30" customHeight="1">
      <c r="B15" s="375" t="s">
        <v>283</v>
      </c>
      <c r="C15" s="376"/>
    </row>
    <row r="16" spans="2:4" ht="30" customHeight="1">
      <c r="B16" s="377" t="s">
        <v>284</v>
      </c>
      <c r="C16" s="378"/>
    </row>
    <row r="17" spans="2:4" ht="30" customHeight="1">
      <c r="B17" s="379" t="s">
        <v>287</v>
      </c>
      <c r="C17" s="380"/>
    </row>
    <row r="18" spans="2:4" ht="30" customHeight="1">
      <c r="B18" s="369" t="s">
        <v>285</v>
      </c>
      <c r="C18" s="370"/>
      <c r="D18" s="381" t="s">
        <v>449</v>
      </c>
    </row>
    <row r="19" spans="2:4" ht="30" customHeight="1" thickBot="1">
      <c r="B19" s="371" t="s">
        <v>286</v>
      </c>
      <c r="C19" s="372"/>
      <c r="D19" s="381"/>
    </row>
    <row r="20" spans="2:4" ht="40.5" customHeight="1">
      <c r="C20" s="382" t="s">
        <v>451</v>
      </c>
      <c r="D20" s="382"/>
    </row>
    <row r="21" spans="2:4" ht="26.25" customHeight="1">
      <c r="B21" s="273" t="s">
        <v>447</v>
      </c>
      <c r="C21" s="368" t="s">
        <v>427</v>
      </c>
      <c r="D21" s="276" t="s">
        <v>448</v>
      </c>
    </row>
    <row r="22" spans="2:4">
      <c r="C22" s="368"/>
    </row>
    <row r="23" spans="2:4"/>
    <row r="24" spans="2:4" ht="24" customHeight="1">
      <c r="B24" s="274">
        <v>44520</v>
      </c>
      <c r="C24" s="367" t="s">
        <v>505</v>
      </c>
      <c r="D24" s="277" t="s">
        <v>450</v>
      </c>
    </row>
    <row r="25" spans="2:4"/>
    <row r="26" spans="2:4" ht="33" customHeight="1">
      <c r="C26" s="242" t="s">
        <v>428</v>
      </c>
    </row>
    <row r="27" spans="2:4"/>
    <row r="28" spans="2:4" ht="22.5" customHeight="1">
      <c r="C28" s="243" t="s">
        <v>429</v>
      </c>
    </row>
    <row r="29" spans="2:4" s="41" customFormat="1" ht="15" customHeight="1">
      <c r="C29" s="237"/>
    </row>
  </sheetData>
  <sheetProtection password="C1FB" sheet="1" objects="1" scenarios="1" selectLockedCells="1"/>
  <mergeCells count="15">
    <mergeCell ref="D18:D19"/>
    <mergeCell ref="C20:D20"/>
    <mergeCell ref="B3:C3"/>
    <mergeCell ref="B4:B6"/>
    <mergeCell ref="B9:C9"/>
    <mergeCell ref="B8:C8"/>
    <mergeCell ref="B10:C10"/>
    <mergeCell ref="C21:C22"/>
    <mergeCell ref="B18:C18"/>
    <mergeCell ref="B19:C19"/>
    <mergeCell ref="B12:C12"/>
    <mergeCell ref="B13:C13"/>
    <mergeCell ref="B15:C15"/>
    <mergeCell ref="B16:C16"/>
    <mergeCell ref="B17:C17"/>
  </mergeCells>
  <hyperlinks>
    <hyperlink ref="B18" r:id="rId1"/>
    <hyperlink ref="C28" r:id="rId2"/>
    <hyperlink ref="C24" r:id="rId3"/>
    <hyperlink ref="D13" r:id="rId4"/>
    <hyperlink ref="C20" r:id="rId5"/>
    <hyperlink ref="D21" r:id="rId6"/>
    <hyperlink ref="D24" r:id="rId7"/>
  </hyperlinks>
  <pageMargins left="0.7" right="0.7" top="0.75" bottom="0.75" header="0.3" footer="0.3"/>
  <pageSetup orientation="portrait" r:id="rId8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1:AD57"/>
  <sheetViews>
    <sheetView showGridLines="0" showRowColHeaders="0" workbookViewId="0"/>
  </sheetViews>
  <sheetFormatPr defaultColWidth="0" defaultRowHeight="0" customHeight="1" zeroHeight="1"/>
  <cols>
    <col min="1" max="1" width="4.125" style="34" customWidth="1"/>
    <col min="2" max="2" width="17" style="34" customWidth="1"/>
    <col min="3" max="3" width="14.25" style="34" customWidth="1"/>
    <col min="4" max="4" width="15" style="34" customWidth="1"/>
    <col min="5" max="5" width="12" style="34" customWidth="1"/>
    <col min="6" max="6" width="16.375" style="34" customWidth="1"/>
    <col min="7" max="7" width="15.625" style="34" customWidth="1"/>
    <col min="8" max="8" width="17.125" style="34" customWidth="1"/>
    <col min="9" max="10" width="14.375" style="34" customWidth="1"/>
    <col min="11" max="11" width="15.75" style="34" customWidth="1"/>
    <col min="12" max="12" width="15.125" style="34" customWidth="1"/>
    <col min="13" max="13" width="14.125" style="34" customWidth="1"/>
    <col min="14" max="14" width="17.625" style="34" customWidth="1"/>
    <col min="15" max="15" width="12.875" style="34" customWidth="1"/>
    <col min="16" max="16384" width="9.125" style="34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196">
        <v>1</v>
      </c>
      <c r="AD1" s="123">
        <v>43922</v>
      </c>
    </row>
    <row r="2" spans="1:30" ht="24.75" thickTop="1" thickBot="1">
      <c r="A2" s="1"/>
      <c r="B2" s="420" t="s">
        <v>505</v>
      </c>
      <c r="C2" s="421"/>
      <c r="D2" s="422"/>
      <c r="E2" s="418" t="s">
        <v>0</v>
      </c>
      <c r="F2" s="419"/>
      <c r="G2" s="419"/>
      <c r="H2" s="419"/>
      <c r="I2" s="23"/>
      <c r="J2" s="122"/>
      <c r="K2" s="122"/>
      <c r="L2" s="122"/>
      <c r="M2" s="1"/>
      <c r="N2" s="1"/>
      <c r="O2" s="1"/>
      <c r="T2" s="34" t="s">
        <v>24</v>
      </c>
      <c r="U2" s="34">
        <v>20</v>
      </c>
      <c r="AA2" s="123">
        <v>43678</v>
      </c>
      <c r="AC2" s="196">
        <v>2</v>
      </c>
      <c r="AD2" s="123">
        <v>43952</v>
      </c>
    </row>
    <row r="3" spans="1:30" ht="14.25" customHeight="1" thickBot="1">
      <c r="A3" s="1"/>
      <c r="B3" s="3"/>
      <c r="C3" s="3"/>
      <c r="D3" s="23"/>
      <c r="E3" s="23"/>
      <c r="F3" s="46"/>
      <c r="G3" s="46"/>
      <c r="H3" s="46"/>
      <c r="I3" s="23"/>
      <c r="J3" s="122"/>
      <c r="K3" s="122"/>
      <c r="L3" s="122"/>
      <c r="M3" s="1"/>
      <c r="N3" s="1"/>
      <c r="O3" s="1"/>
      <c r="AA3" s="123"/>
      <c r="AC3" s="196">
        <v>3</v>
      </c>
      <c r="AD3" s="123">
        <v>43983</v>
      </c>
    </row>
    <row r="4" spans="1:30" ht="22.5" thickTop="1" thickBot="1">
      <c r="A4" s="1"/>
      <c r="B4" s="392" t="s">
        <v>64</v>
      </c>
      <c r="C4" s="392"/>
      <c r="D4" s="396" t="s">
        <v>133</v>
      </c>
      <c r="E4" s="396"/>
      <c r="F4" s="396"/>
      <c r="G4" s="396"/>
      <c r="H4" s="396"/>
      <c r="I4" s="396"/>
      <c r="J4" s="2"/>
      <c r="K4" s="391"/>
      <c r="L4" s="391"/>
      <c r="M4" s="391"/>
      <c r="N4" s="391"/>
      <c r="O4" s="1"/>
      <c r="T4" s="34" t="s">
        <v>26</v>
      </c>
      <c r="X4" s="34">
        <v>1000</v>
      </c>
      <c r="AA4" s="123">
        <v>43709</v>
      </c>
      <c r="AC4" s="196">
        <v>4</v>
      </c>
      <c r="AD4" s="123">
        <v>44013</v>
      </c>
    </row>
    <row r="5" spans="1:30" ht="8.1" customHeight="1" thickTop="1" thickBot="1">
      <c r="A5" s="124"/>
      <c r="B5" s="125"/>
      <c r="C5" s="125"/>
      <c r="D5" s="126"/>
      <c r="E5" s="126"/>
      <c r="F5" s="126"/>
      <c r="G5" s="126"/>
      <c r="H5" s="126"/>
      <c r="I5" s="126"/>
      <c r="J5" s="6"/>
      <c r="K5" s="118"/>
      <c r="L5" s="118"/>
      <c r="M5" s="118"/>
      <c r="N5" s="118"/>
      <c r="O5" s="1"/>
      <c r="AA5" s="123"/>
      <c r="AC5" s="196">
        <v>5</v>
      </c>
      <c r="AD5" s="123">
        <v>44044</v>
      </c>
    </row>
    <row r="6" spans="1:30" ht="22.5" thickTop="1" thickBot="1">
      <c r="A6" s="1"/>
      <c r="B6" s="392" t="s">
        <v>65</v>
      </c>
      <c r="C6" s="392"/>
      <c r="D6" s="393" t="s">
        <v>27</v>
      </c>
      <c r="E6" s="393"/>
      <c r="F6" s="394" t="s">
        <v>28</v>
      </c>
      <c r="G6" s="394"/>
      <c r="H6" s="395" t="s">
        <v>29</v>
      </c>
      <c r="I6" s="395"/>
      <c r="J6" s="2"/>
      <c r="K6" s="1"/>
      <c r="L6" s="1"/>
      <c r="M6" s="1"/>
      <c r="N6" s="1"/>
      <c r="O6" s="1"/>
      <c r="T6" s="34" t="s">
        <v>30</v>
      </c>
      <c r="X6" s="34">
        <v>620</v>
      </c>
      <c r="AA6" s="123">
        <v>43739</v>
      </c>
      <c r="AC6" s="196">
        <v>6</v>
      </c>
      <c r="AD6" s="123">
        <v>44075</v>
      </c>
    </row>
    <row r="7" spans="1:30" ht="8.1" customHeight="1" thickTop="1" thickBot="1">
      <c r="A7" s="124"/>
      <c r="B7" s="125"/>
      <c r="C7" s="125"/>
      <c r="D7" s="127"/>
      <c r="E7" s="127"/>
      <c r="F7" s="125"/>
      <c r="G7" s="125"/>
      <c r="H7" s="127"/>
      <c r="I7" s="127"/>
      <c r="J7" s="6"/>
      <c r="K7" s="1"/>
      <c r="L7" s="1"/>
      <c r="M7" s="1"/>
      <c r="N7" s="1"/>
      <c r="O7" s="1"/>
      <c r="AA7" s="123"/>
      <c r="AC7" s="196">
        <v>7</v>
      </c>
      <c r="AD7" s="123">
        <v>44105</v>
      </c>
    </row>
    <row r="8" spans="1:30" ht="20.25" thickTop="1" thickBot="1">
      <c r="A8" s="1"/>
      <c r="B8" s="392" t="s">
        <v>68</v>
      </c>
      <c r="C8" s="392" t="s">
        <v>31</v>
      </c>
      <c r="D8" s="395" t="s">
        <v>134</v>
      </c>
      <c r="E8" s="395"/>
      <c r="F8" s="394" t="s">
        <v>32</v>
      </c>
      <c r="G8" s="394"/>
      <c r="H8" s="395" t="s">
        <v>132</v>
      </c>
      <c r="I8" s="395"/>
      <c r="J8" s="2"/>
      <c r="K8" s="1"/>
      <c r="L8" s="1"/>
      <c r="M8" s="1"/>
      <c r="N8" s="1"/>
      <c r="O8" s="1"/>
      <c r="T8" s="34" t="s">
        <v>33</v>
      </c>
      <c r="AA8" s="123">
        <v>43770</v>
      </c>
      <c r="AC8" s="196">
        <v>8</v>
      </c>
      <c r="AD8" s="123">
        <v>44136</v>
      </c>
    </row>
    <row r="9" spans="1:30" ht="8.1" customHeight="1" thickTop="1" thickBot="1">
      <c r="A9" s="124"/>
      <c r="B9" s="125"/>
      <c r="C9" s="125"/>
      <c r="D9" s="127"/>
      <c r="E9" s="127"/>
      <c r="F9" s="125"/>
      <c r="G9" s="125"/>
      <c r="H9" s="127"/>
      <c r="I9" s="127"/>
      <c r="J9" s="6"/>
      <c r="K9" s="1"/>
      <c r="L9" s="1"/>
      <c r="M9" s="1"/>
      <c r="N9" s="1"/>
      <c r="O9" s="1"/>
      <c r="AA9" s="123"/>
      <c r="AC9" s="196">
        <v>9</v>
      </c>
      <c r="AD9" s="123">
        <v>44166</v>
      </c>
    </row>
    <row r="10" spans="1:30" ht="22.5" thickTop="1" thickBot="1">
      <c r="A10" s="1"/>
      <c r="B10" s="392" t="s">
        <v>66</v>
      </c>
      <c r="C10" s="392"/>
      <c r="D10" s="414" t="s">
        <v>272</v>
      </c>
      <c r="E10" s="414"/>
      <c r="F10" s="394" t="s">
        <v>34</v>
      </c>
      <c r="G10" s="394"/>
      <c r="H10" s="415">
        <v>123465471475</v>
      </c>
      <c r="I10" s="415"/>
      <c r="J10" s="2"/>
      <c r="K10" s="17"/>
      <c r="L10" s="17"/>
      <c r="M10" s="17"/>
      <c r="N10" s="1"/>
      <c r="O10" s="1"/>
      <c r="T10" s="34" t="s">
        <v>4</v>
      </c>
      <c r="AA10" s="123">
        <v>43800</v>
      </c>
      <c r="AC10" s="196">
        <v>10</v>
      </c>
      <c r="AD10" s="123">
        <v>44197</v>
      </c>
    </row>
    <row r="11" spans="1:30" ht="8.1" customHeight="1" thickTop="1" thickBot="1">
      <c r="A11" s="124"/>
      <c r="B11" s="125"/>
      <c r="C11" s="125"/>
      <c r="D11" s="127"/>
      <c r="E11" s="127"/>
      <c r="F11" s="125"/>
      <c r="G11" s="125"/>
      <c r="H11" s="128"/>
      <c r="I11" s="128"/>
      <c r="J11" s="6"/>
      <c r="K11" s="17"/>
      <c r="L11" s="17"/>
      <c r="M11" s="17"/>
      <c r="N11" s="1"/>
      <c r="O11" s="1"/>
      <c r="AA11" s="123"/>
      <c r="AC11" s="196">
        <v>11</v>
      </c>
      <c r="AD11" s="123">
        <v>44228</v>
      </c>
    </row>
    <row r="12" spans="1:30" ht="22.5" thickTop="1" thickBot="1">
      <c r="A12" s="1"/>
      <c r="B12" s="392" t="s">
        <v>67</v>
      </c>
      <c r="C12" s="392"/>
      <c r="D12" s="428" t="s">
        <v>271</v>
      </c>
      <c r="E12" s="428"/>
      <c r="F12" s="394" t="s">
        <v>35</v>
      </c>
      <c r="G12" s="394"/>
      <c r="H12" s="395"/>
      <c r="I12" s="395"/>
      <c r="J12" s="2"/>
      <c r="K12" s="424"/>
      <c r="L12" s="424"/>
      <c r="M12" s="424"/>
      <c r="N12" s="424"/>
      <c r="O12" s="1"/>
      <c r="T12" s="34" t="s">
        <v>36</v>
      </c>
      <c r="AA12" s="123">
        <v>43831</v>
      </c>
      <c r="AC12" s="196">
        <v>12</v>
      </c>
      <c r="AD12" s="123"/>
    </row>
    <row r="13" spans="1:30" ht="8.1" customHeight="1" thickTop="1" thickBot="1">
      <c r="A13" s="124"/>
      <c r="B13" s="125"/>
      <c r="C13" s="125"/>
      <c r="D13" s="129"/>
      <c r="E13" s="129"/>
      <c r="F13" s="125"/>
      <c r="G13" s="125"/>
      <c r="H13" s="127"/>
      <c r="I13" s="127"/>
      <c r="J13" s="6"/>
      <c r="K13" s="116"/>
      <c r="L13" s="116"/>
      <c r="M13" s="116"/>
      <c r="N13" s="116"/>
      <c r="O13" s="1"/>
      <c r="AA13" s="123"/>
      <c r="AC13" s="196"/>
    </row>
    <row r="14" spans="1:30" ht="22.5" thickTop="1" thickBot="1">
      <c r="A14" s="1"/>
      <c r="B14" s="392" t="s">
        <v>37</v>
      </c>
      <c r="C14" s="392"/>
      <c r="D14" s="395">
        <v>11</v>
      </c>
      <c r="E14" s="395"/>
      <c r="F14" s="394" t="s">
        <v>38</v>
      </c>
      <c r="G14" s="394"/>
      <c r="H14" s="395">
        <v>123456</v>
      </c>
      <c r="I14" s="395"/>
      <c r="J14" s="2"/>
      <c r="K14" s="17"/>
      <c r="L14" s="17"/>
      <c r="M14" s="17"/>
      <c r="N14" s="1"/>
      <c r="O14" s="1"/>
      <c r="T14" s="34" t="s">
        <v>39</v>
      </c>
      <c r="AA14" s="123">
        <v>43862</v>
      </c>
    </row>
    <row r="15" spans="1:30" ht="8.1" customHeight="1" thickTop="1" thickBot="1">
      <c r="A15" s="124"/>
      <c r="B15" s="125"/>
      <c r="C15" s="125"/>
      <c r="D15" s="127"/>
      <c r="E15" s="127"/>
      <c r="F15" s="125"/>
      <c r="G15" s="125"/>
      <c r="H15" s="127"/>
      <c r="I15" s="127"/>
      <c r="J15" s="6"/>
      <c r="K15" s="17"/>
      <c r="L15" s="17"/>
      <c r="M15" s="17"/>
      <c r="N15" s="1"/>
      <c r="O15" s="1"/>
      <c r="AA15" s="123"/>
    </row>
    <row r="16" spans="1:30" ht="22.5" thickTop="1" thickBot="1">
      <c r="A16" s="1"/>
      <c r="B16" s="392" t="s">
        <v>40</v>
      </c>
      <c r="C16" s="392"/>
      <c r="D16" s="398">
        <v>12134545454541</v>
      </c>
      <c r="E16" s="398"/>
      <c r="F16" s="392" t="s">
        <v>41</v>
      </c>
      <c r="G16" s="392"/>
      <c r="H16" s="398">
        <v>121212121212121</v>
      </c>
      <c r="I16" s="398"/>
      <c r="J16" s="18"/>
      <c r="K16" s="18"/>
      <c r="L16" s="18"/>
      <c r="M16" s="18"/>
      <c r="N16" s="18"/>
      <c r="O16" s="1"/>
    </row>
    <row r="17" spans="1:29" ht="8.1" customHeight="1" thickTop="1" thickBot="1">
      <c r="A17" s="124"/>
      <c r="B17" s="125"/>
      <c r="C17" s="125"/>
      <c r="D17" s="127"/>
      <c r="E17" s="127"/>
      <c r="F17" s="125"/>
      <c r="G17" s="125"/>
      <c r="H17" s="126"/>
      <c r="I17" s="126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392" t="s">
        <v>456</v>
      </c>
      <c r="C18" s="392"/>
      <c r="D18" s="395" t="s">
        <v>473</v>
      </c>
      <c r="E18" s="395"/>
      <c r="F18" s="394" t="s">
        <v>119</v>
      </c>
      <c r="G18" s="394"/>
      <c r="H18" s="395" t="s">
        <v>89</v>
      </c>
      <c r="I18" s="395"/>
      <c r="J18" s="2"/>
      <c r="K18" s="425" t="s">
        <v>25</v>
      </c>
      <c r="L18" s="425"/>
      <c r="M18" s="425"/>
      <c r="N18" s="425"/>
      <c r="O18" s="1"/>
    </row>
    <row r="19" spans="1:29" ht="9.75" customHeight="1" thickTop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24"/>
      <c r="N19" s="124"/>
      <c r="O19" s="124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</row>
    <row r="20" spans="1:29" ht="26.25" customHeight="1">
      <c r="A20" s="1"/>
      <c r="B20" s="1"/>
      <c r="C20" s="1"/>
      <c r="D20" s="1"/>
      <c r="E20" s="411" t="s">
        <v>273</v>
      </c>
      <c r="F20" s="412"/>
      <c r="G20" s="412"/>
      <c r="H20" s="413"/>
      <c r="I20" s="1"/>
      <c r="J20" s="1"/>
      <c r="K20" s="1"/>
      <c r="L20" s="1"/>
      <c r="M20" s="124"/>
      <c r="N20" s="124"/>
      <c r="O20" s="124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24"/>
      <c r="N21" s="124"/>
      <c r="O21" s="124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</row>
    <row r="22" spans="1:29" ht="22.5" customHeight="1" thickTop="1" thickBot="1">
      <c r="A22" s="1"/>
      <c r="B22" s="401" t="s">
        <v>1</v>
      </c>
      <c r="C22" s="401"/>
      <c r="D22" s="401"/>
      <c r="E22" s="117" t="s">
        <v>89</v>
      </c>
      <c r="F22" s="435" t="s">
        <v>3</v>
      </c>
      <c r="G22" s="436"/>
      <c r="H22" s="437"/>
      <c r="I22" s="117" t="s">
        <v>33</v>
      </c>
      <c r="J22" s="1"/>
      <c r="K22" s="426" t="s">
        <v>458</v>
      </c>
      <c r="L22" s="426"/>
      <c r="M22" s="426"/>
      <c r="N22" s="426"/>
      <c r="O22" s="1"/>
      <c r="S22" s="34" t="s">
        <v>2</v>
      </c>
      <c r="T22" s="34" t="s">
        <v>5</v>
      </c>
      <c r="U22" s="34">
        <v>8</v>
      </c>
      <c r="V22" s="34" t="s">
        <v>6</v>
      </c>
      <c r="W22" s="34" t="s">
        <v>7</v>
      </c>
      <c r="Y22" s="34" t="s">
        <v>8</v>
      </c>
      <c r="AA22" s="123">
        <v>43525</v>
      </c>
    </row>
    <row r="23" spans="1:29" ht="8.1" customHeight="1" thickTop="1" thickBot="1">
      <c r="A23" s="124"/>
      <c r="B23" s="130"/>
      <c r="C23" s="130"/>
      <c r="D23" s="130"/>
      <c r="E23" s="131"/>
      <c r="F23" s="132"/>
      <c r="G23" s="132"/>
      <c r="H23" s="132"/>
      <c r="I23" s="131"/>
      <c r="J23" s="1"/>
      <c r="K23" s="426"/>
      <c r="L23" s="426"/>
      <c r="M23" s="426"/>
      <c r="N23" s="426"/>
      <c r="O23" s="1"/>
      <c r="AA23" s="123"/>
    </row>
    <row r="24" spans="1:29" ht="22.5" thickTop="1" thickBot="1">
      <c r="A24" s="1"/>
      <c r="B24" s="401" t="s">
        <v>9</v>
      </c>
      <c r="C24" s="401"/>
      <c r="D24" s="401"/>
      <c r="E24" s="20" t="s">
        <v>10</v>
      </c>
      <c r="F24" s="402" t="s">
        <v>11</v>
      </c>
      <c r="G24" s="402"/>
      <c r="H24" s="402"/>
      <c r="I24" s="19" t="s">
        <v>90</v>
      </c>
      <c r="J24" s="1"/>
      <c r="K24" s="426"/>
      <c r="L24" s="426"/>
      <c r="M24" s="426"/>
      <c r="N24" s="426"/>
      <c r="O24" s="1"/>
      <c r="S24" s="34" t="s">
        <v>12</v>
      </c>
      <c r="U24" s="34">
        <v>9</v>
      </c>
      <c r="V24" s="34" t="s">
        <v>13</v>
      </c>
      <c r="W24" s="34" t="s">
        <v>14</v>
      </c>
      <c r="Y24" s="34" t="s">
        <v>15</v>
      </c>
      <c r="AA24" s="123">
        <v>43556</v>
      </c>
    </row>
    <row r="25" spans="1:29" ht="8.1" customHeight="1" thickTop="1" thickBot="1">
      <c r="A25" s="124"/>
      <c r="B25" s="130"/>
      <c r="C25" s="130"/>
      <c r="D25" s="130"/>
      <c r="E25" s="133"/>
      <c r="F25" s="132"/>
      <c r="G25" s="132"/>
      <c r="H25" s="132"/>
      <c r="I25" s="131"/>
      <c r="J25" s="1"/>
      <c r="K25" s="134"/>
      <c r="L25" s="134"/>
      <c r="M25" s="134"/>
      <c r="N25" s="134"/>
      <c r="O25" s="1"/>
      <c r="AA25" s="123"/>
    </row>
    <row r="26" spans="1:29" ht="23.25" customHeight="1" thickTop="1" thickBot="1">
      <c r="A26" s="124"/>
      <c r="B26" s="130"/>
      <c r="C26" s="417" t="s">
        <v>442</v>
      </c>
      <c r="D26" s="417"/>
      <c r="E26" s="417"/>
      <c r="F26" s="417"/>
      <c r="G26" s="417"/>
      <c r="H26" s="417"/>
      <c r="I26" s="253">
        <v>12</v>
      </c>
      <c r="J26" s="1"/>
      <c r="K26" s="416" t="s">
        <v>459</v>
      </c>
      <c r="L26" s="416"/>
      <c r="M26" s="416"/>
      <c r="N26" s="286" t="s">
        <v>90</v>
      </c>
      <c r="O26" s="1"/>
      <c r="AA26" s="123"/>
    </row>
    <row r="27" spans="1:29" ht="8.1" customHeight="1" thickTop="1" thickBot="1">
      <c r="A27" s="124"/>
      <c r="B27" s="130"/>
      <c r="C27" s="130"/>
      <c r="D27" s="130"/>
      <c r="E27" s="133"/>
      <c r="F27" s="132"/>
      <c r="G27" s="132"/>
      <c r="H27" s="132"/>
      <c r="I27" s="131"/>
      <c r="J27" s="1"/>
      <c r="K27" s="134"/>
      <c r="L27" s="134"/>
      <c r="M27" s="134"/>
      <c r="N27" s="134"/>
      <c r="O27" s="1"/>
      <c r="AA27" s="123"/>
    </row>
    <row r="28" spans="1:29" ht="22.5" thickTop="1" thickBot="1">
      <c r="A28" s="1"/>
      <c r="B28" s="401" t="s">
        <v>16</v>
      </c>
      <c r="C28" s="401" t="s">
        <v>16</v>
      </c>
      <c r="D28" s="401"/>
      <c r="E28" s="19">
        <v>0</v>
      </c>
      <c r="F28" s="402" t="s">
        <v>17</v>
      </c>
      <c r="G28" s="402"/>
      <c r="H28" s="402"/>
      <c r="I28" s="22" t="s">
        <v>8</v>
      </c>
      <c r="J28" s="1"/>
      <c r="K28" s="430" t="s">
        <v>460</v>
      </c>
      <c r="L28" s="430"/>
      <c r="M28" s="430"/>
      <c r="N28" s="430"/>
      <c r="O28" s="1"/>
      <c r="T28" s="34" t="s">
        <v>18</v>
      </c>
      <c r="U28" s="34">
        <v>10</v>
      </c>
      <c r="W28" s="34" t="s">
        <v>19</v>
      </c>
      <c r="AA28" s="123">
        <v>43586</v>
      </c>
    </row>
    <row r="29" spans="1:29" ht="8.1" customHeight="1" thickTop="1" thickBot="1">
      <c r="A29" s="124"/>
      <c r="B29" s="132"/>
      <c r="C29" s="132"/>
      <c r="D29" s="132"/>
      <c r="E29" s="131"/>
      <c r="F29" s="132"/>
      <c r="G29" s="132"/>
      <c r="H29" s="132"/>
      <c r="I29" s="136"/>
      <c r="J29" s="1"/>
      <c r="K29" s="430"/>
      <c r="L29" s="430"/>
      <c r="M29" s="430"/>
      <c r="N29" s="430"/>
      <c r="O29" s="1"/>
      <c r="AA29" s="123"/>
    </row>
    <row r="30" spans="1:29" ht="22.5" thickTop="1" thickBot="1">
      <c r="A30" s="1"/>
      <c r="B30" s="401" t="s">
        <v>69</v>
      </c>
      <c r="C30" s="401"/>
      <c r="D30" s="401"/>
      <c r="E30" s="21">
        <v>8</v>
      </c>
      <c r="F30" s="400" t="s">
        <v>71</v>
      </c>
      <c r="G30" s="400"/>
      <c r="H30" s="400"/>
      <c r="I30" s="22" t="s">
        <v>13</v>
      </c>
      <c r="J30" s="1"/>
      <c r="K30" s="430"/>
      <c r="L30" s="430"/>
      <c r="M30" s="430"/>
      <c r="N30" s="430"/>
      <c r="O30" s="1"/>
      <c r="T30" s="34" t="s">
        <v>20</v>
      </c>
      <c r="U30" s="34">
        <v>12</v>
      </c>
      <c r="W30" s="34" t="s">
        <v>21</v>
      </c>
      <c r="AA30" s="123">
        <v>43617</v>
      </c>
    </row>
    <row r="31" spans="1:29" ht="8.1" customHeight="1" thickTop="1" thickBot="1">
      <c r="A31" s="124"/>
      <c r="B31" s="132"/>
      <c r="C31" s="132"/>
      <c r="D31" s="132"/>
      <c r="E31" s="138"/>
      <c r="F31" s="139"/>
      <c r="G31" s="132"/>
      <c r="H31" s="132"/>
      <c r="I31" s="136"/>
      <c r="J31" s="1"/>
      <c r="K31" s="6"/>
      <c r="L31" s="6"/>
      <c r="M31" s="6"/>
      <c r="N31" s="1"/>
      <c r="O31" s="1"/>
      <c r="AA31" s="123"/>
    </row>
    <row r="32" spans="1:29" ht="22.5" thickTop="1" thickBot="1">
      <c r="A32" s="1"/>
      <c r="B32" s="401" t="s">
        <v>120</v>
      </c>
      <c r="C32" s="401"/>
      <c r="D32" s="401"/>
      <c r="E32" s="19" t="s">
        <v>89</v>
      </c>
      <c r="F32" s="402" t="s">
        <v>70</v>
      </c>
      <c r="G32" s="402"/>
      <c r="H32" s="402"/>
      <c r="I32" s="22" t="s">
        <v>21</v>
      </c>
      <c r="J32" s="1"/>
      <c r="K32" s="399">
        <v>44197</v>
      </c>
      <c r="L32" s="399"/>
      <c r="M32" s="399"/>
      <c r="N32" s="286" t="s">
        <v>89</v>
      </c>
      <c r="O32" s="1"/>
      <c r="T32" s="34" t="s">
        <v>22</v>
      </c>
      <c r="U32" s="34">
        <v>16</v>
      </c>
      <c r="W32" s="34" t="s">
        <v>23</v>
      </c>
      <c r="AA32" s="123">
        <v>43647</v>
      </c>
    </row>
    <row r="33" spans="1:29" ht="8.1" customHeight="1" thickTop="1" thickBot="1">
      <c r="A33" s="124"/>
      <c r="B33" s="132"/>
      <c r="C33" s="132"/>
      <c r="D33" s="132"/>
      <c r="E33" s="131"/>
      <c r="F33" s="132"/>
      <c r="G33" s="132"/>
      <c r="H33" s="132"/>
      <c r="I33" s="136"/>
      <c r="J33" s="1"/>
      <c r="K33" s="135"/>
      <c r="L33" s="137"/>
      <c r="M33" s="1"/>
      <c r="N33" s="1"/>
      <c r="O33" s="1"/>
      <c r="AA33" s="123"/>
    </row>
    <row r="34" spans="1:29" ht="30" customHeight="1" thickTop="1" thickBot="1">
      <c r="A34" s="1"/>
      <c r="B34" s="438" t="s">
        <v>457</v>
      </c>
      <c r="C34" s="439"/>
      <c r="D34" s="439"/>
      <c r="E34" s="21">
        <v>9</v>
      </c>
      <c r="F34" s="410" t="s">
        <v>74</v>
      </c>
      <c r="G34" s="410"/>
      <c r="H34" s="410"/>
      <c r="I34" s="44">
        <v>11</v>
      </c>
      <c r="J34" s="1"/>
      <c r="K34" s="399">
        <v>44228</v>
      </c>
      <c r="L34" s="399"/>
      <c r="M34" s="399"/>
      <c r="N34" s="286" t="s">
        <v>89</v>
      </c>
      <c r="O34" s="1"/>
      <c r="AA34" s="123"/>
    </row>
    <row r="35" spans="1:29" ht="13.5" customHeight="1" thickTop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40"/>
      <c r="M35" s="124"/>
      <c r="N35" s="124"/>
      <c r="O35" s="124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</row>
    <row r="36" spans="1:29" ht="24.75" customHeight="1" thickTop="1" thickBot="1">
      <c r="A36" s="24"/>
      <c r="B36" s="409" t="s">
        <v>72</v>
      </c>
      <c r="C36" s="409"/>
      <c r="D36" s="409"/>
      <c r="E36" s="47">
        <v>50800</v>
      </c>
      <c r="F36" s="407" t="s">
        <v>443</v>
      </c>
      <c r="G36" s="408"/>
      <c r="H36" s="408"/>
      <c r="I36" s="47"/>
      <c r="J36" s="1"/>
      <c r="K36" s="427" t="s">
        <v>461</v>
      </c>
      <c r="L36" s="427"/>
      <c r="M36" s="427"/>
      <c r="N36" s="433" t="s">
        <v>89</v>
      </c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42"/>
    </row>
    <row r="37" spans="1:29" ht="12.75" customHeight="1" thickTop="1" thickBot="1">
      <c r="A37" s="24"/>
      <c r="B37" s="28"/>
      <c r="C37" s="29"/>
      <c r="D37" s="142"/>
      <c r="E37" s="142"/>
      <c r="F37" s="4"/>
      <c r="G37" s="5"/>
      <c r="H37" s="141"/>
      <c r="I37" s="141"/>
      <c r="J37" s="1"/>
      <c r="K37" s="427"/>
      <c r="L37" s="427"/>
      <c r="M37" s="427"/>
      <c r="N37" s="433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42"/>
    </row>
    <row r="38" spans="1:29" ht="21" customHeight="1" thickTop="1" thickBot="1">
      <c r="A38" s="24"/>
      <c r="B38" s="406" t="s">
        <v>444</v>
      </c>
      <c r="C38" s="406"/>
      <c r="D38" s="406"/>
      <c r="E38" s="406"/>
      <c r="F38" s="406"/>
      <c r="G38" s="406"/>
      <c r="H38" s="406"/>
      <c r="I38" s="244"/>
      <c r="J38" s="1"/>
      <c r="K38" s="431" t="s">
        <v>462</v>
      </c>
      <c r="L38" s="431"/>
      <c r="M38" s="431"/>
      <c r="N38" s="306">
        <v>220</v>
      </c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42"/>
    </row>
    <row r="39" spans="1:29" ht="12.75" customHeight="1" thickTop="1" thickBot="1">
      <c r="A39" s="24"/>
      <c r="B39" s="28"/>
      <c r="C39" s="29"/>
      <c r="D39" s="142"/>
      <c r="E39" s="142"/>
      <c r="F39" s="4"/>
      <c r="G39" s="5"/>
      <c r="H39" s="251"/>
      <c r="I39" s="251"/>
      <c r="J39" s="1"/>
      <c r="K39" s="252"/>
      <c r="L39" s="307"/>
      <c r="M39" s="307"/>
      <c r="N39" s="307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42"/>
    </row>
    <row r="40" spans="1:29" ht="36.75" customHeight="1" thickTop="1" thickBot="1">
      <c r="A40" s="25"/>
      <c r="B40" s="27"/>
      <c r="C40" s="403" t="s">
        <v>42</v>
      </c>
      <c r="D40" s="404"/>
      <c r="E40" s="405"/>
      <c r="F40" s="244">
        <v>44256</v>
      </c>
      <c r="G40" s="48" t="s">
        <v>43</v>
      </c>
      <c r="H40" s="245">
        <v>44593</v>
      </c>
      <c r="I40" s="8"/>
      <c r="J40" s="1"/>
      <c r="K40" s="432" t="s">
        <v>463</v>
      </c>
      <c r="L40" s="432"/>
      <c r="M40" s="432"/>
      <c r="N40" s="286" t="s">
        <v>89</v>
      </c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2"/>
    </row>
    <row r="41" spans="1:29" ht="16.5" thickTop="1" thickBot="1">
      <c r="A41" s="26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2"/>
    </row>
    <row r="42" spans="1:29" ht="39" customHeight="1" thickTop="1" thickBot="1">
      <c r="A42" s="397"/>
      <c r="B42" s="143" t="s">
        <v>44</v>
      </c>
      <c r="C42" s="143" t="s">
        <v>45</v>
      </c>
      <c r="D42" s="143" t="s">
        <v>46</v>
      </c>
      <c r="E42" s="240" t="s">
        <v>62</v>
      </c>
      <c r="F42" s="240" t="s">
        <v>63</v>
      </c>
      <c r="G42" s="144" t="s">
        <v>47</v>
      </c>
      <c r="H42" s="144" t="s">
        <v>131</v>
      </c>
      <c r="I42" s="144" t="s">
        <v>48</v>
      </c>
      <c r="J42" s="145" t="s">
        <v>464</v>
      </c>
      <c r="K42" s="241" t="s">
        <v>118</v>
      </c>
      <c r="L42" s="241" t="s">
        <v>117</v>
      </c>
      <c r="M42" s="145" t="s">
        <v>440</v>
      </c>
      <c r="N42" s="145" t="s">
        <v>465</v>
      </c>
      <c r="O42" s="241" t="s">
        <v>466</v>
      </c>
      <c r="P42" s="14"/>
      <c r="Q42" s="15"/>
      <c r="R42" s="146"/>
      <c r="S42" s="146"/>
      <c r="T42" s="146"/>
      <c r="U42" s="15"/>
      <c r="V42" s="14"/>
      <c r="W42" s="146"/>
      <c r="X42" s="14"/>
      <c r="Y42" s="14"/>
      <c r="Z42" s="13"/>
      <c r="AA42" s="13"/>
      <c r="AB42" s="13"/>
      <c r="AC42" s="42"/>
    </row>
    <row r="43" spans="1:29" ht="25.5" customHeight="1" thickTop="1" thickBot="1">
      <c r="A43" s="397"/>
      <c r="B43" s="16"/>
      <c r="C43" s="16">
        <v>600</v>
      </c>
      <c r="D43" s="147"/>
      <c r="E43" s="16"/>
      <c r="F43" s="16"/>
      <c r="G43" s="16">
        <v>7000</v>
      </c>
      <c r="H43" s="16">
        <v>3575</v>
      </c>
      <c r="I43" s="16">
        <v>1880</v>
      </c>
      <c r="J43" s="16">
        <v>330</v>
      </c>
      <c r="K43" s="16"/>
      <c r="L43" s="16"/>
      <c r="M43" s="16"/>
      <c r="N43" s="286" t="s">
        <v>89</v>
      </c>
      <c r="O43" s="16"/>
      <c r="P43" s="14"/>
      <c r="Q43" s="148"/>
      <c r="R43" s="148"/>
      <c r="S43" s="148"/>
      <c r="T43" s="148"/>
      <c r="U43" s="149"/>
      <c r="V43" s="150"/>
      <c r="W43" s="148"/>
      <c r="X43" s="14"/>
      <c r="Y43" s="14"/>
      <c r="Z43" s="13"/>
      <c r="AA43" s="13"/>
      <c r="AB43" s="13"/>
      <c r="AC43" s="42"/>
    </row>
    <row r="44" spans="1:29" ht="15.75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429" t="s">
        <v>505</v>
      </c>
      <c r="M44" s="429"/>
      <c r="N44" s="429"/>
      <c r="O44" s="429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</row>
    <row r="45" spans="1:29" ht="26.25" customHeight="1" thickBot="1">
      <c r="A45" s="1"/>
      <c r="B45" s="1"/>
      <c r="C45" s="1"/>
      <c r="D45" s="1"/>
      <c r="E45" s="440" t="s">
        <v>49</v>
      </c>
      <c r="F45" s="440"/>
      <c r="G45" s="440"/>
      <c r="H45" s="440"/>
      <c r="I45" s="1"/>
      <c r="J45" s="1"/>
      <c r="K45" s="1"/>
      <c r="L45" s="429"/>
      <c r="M45" s="429"/>
      <c r="N45" s="429"/>
      <c r="O45" s="429"/>
    </row>
    <row r="46" spans="1:29" ht="28.5" customHeight="1" thickTop="1" thickBot="1">
      <c r="A46" s="1"/>
      <c r="B46" s="151" t="s">
        <v>50</v>
      </c>
      <c r="C46" s="151" t="s">
        <v>51</v>
      </c>
      <c r="D46" s="151" t="s">
        <v>52</v>
      </c>
      <c r="E46" s="151" t="s">
        <v>53</v>
      </c>
      <c r="F46" s="151" t="s">
        <v>54</v>
      </c>
      <c r="G46" s="151" t="s">
        <v>55</v>
      </c>
      <c r="H46" s="151" t="s">
        <v>56</v>
      </c>
      <c r="I46" s="151" t="s">
        <v>57</v>
      </c>
      <c r="J46" s="151" t="s">
        <v>58</v>
      </c>
      <c r="K46" s="151" t="s">
        <v>59</v>
      </c>
      <c r="L46" s="151" t="s">
        <v>60</v>
      </c>
      <c r="M46" s="151" t="s">
        <v>61</v>
      </c>
      <c r="N46" s="1"/>
      <c r="O46" s="1"/>
    </row>
    <row r="47" spans="1:29" ht="27.75" customHeight="1" thickTop="1" thickBot="1">
      <c r="A47" s="1"/>
      <c r="B47" s="16">
        <v>0</v>
      </c>
      <c r="C47" s="16">
        <v>1500</v>
      </c>
      <c r="D47" s="16">
        <v>1500</v>
      </c>
      <c r="E47" s="16">
        <v>1500</v>
      </c>
      <c r="F47" s="16">
        <v>1500</v>
      </c>
      <c r="G47" s="16">
        <v>1500</v>
      </c>
      <c r="H47" s="16">
        <v>1500</v>
      </c>
      <c r="I47" s="16">
        <v>1500</v>
      </c>
      <c r="J47" s="16">
        <v>1500</v>
      </c>
      <c r="K47" s="16">
        <v>1500</v>
      </c>
      <c r="L47" s="16">
        <v>1500</v>
      </c>
      <c r="M47" s="16">
        <v>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30" customHeight="1">
      <c r="A49" s="1"/>
      <c r="B49" s="1"/>
      <c r="C49" s="423" t="s">
        <v>73</v>
      </c>
      <c r="D49" s="423"/>
      <c r="E49" s="423"/>
      <c r="F49" s="423"/>
      <c r="G49" s="423"/>
      <c r="H49" s="423"/>
      <c r="I49" s="423"/>
      <c r="J49" s="423"/>
      <c r="K49" s="423"/>
      <c r="L49" s="1"/>
      <c r="M49" s="1"/>
      <c r="N49" s="1"/>
      <c r="O49" s="1"/>
    </row>
    <row r="50" spans="1:15" ht="25.5" customHeight="1">
      <c r="A50" s="1"/>
      <c r="B50" s="1"/>
      <c r="C50" s="1"/>
      <c r="D50" s="1"/>
      <c r="E50" s="1"/>
      <c r="F50" s="434" t="s">
        <v>121</v>
      </c>
      <c r="G50" s="434"/>
      <c r="H50" s="434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B43:C43" name="Range2_1_2"/>
    <protectedRange sqref="E43:M43 O43" name="Range2_1_3_1"/>
  </protectedRanges>
  <mergeCells count="67">
    <mergeCell ref="F50:H50"/>
    <mergeCell ref="B8:C8"/>
    <mergeCell ref="B22:D22"/>
    <mergeCell ref="F22:H22"/>
    <mergeCell ref="B24:D24"/>
    <mergeCell ref="F24:H24"/>
    <mergeCell ref="B14:C14"/>
    <mergeCell ref="D14:E14"/>
    <mergeCell ref="F14:G14"/>
    <mergeCell ref="H14:I14"/>
    <mergeCell ref="B16:C16"/>
    <mergeCell ref="D16:E16"/>
    <mergeCell ref="B34:D34"/>
    <mergeCell ref="E45:H45"/>
    <mergeCell ref="B18:C18"/>
    <mergeCell ref="D18:E18"/>
    <mergeCell ref="C49:K49"/>
    <mergeCell ref="K12:N12"/>
    <mergeCell ref="K18:N18"/>
    <mergeCell ref="K22:N24"/>
    <mergeCell ref="K36:M37"/>
    <mergeCell ref="D12:E12"/>
    <mergeCell ref="F12:G12"/>
    <mergeCell ref="H12:I12"/>
    <mergeCell ref="L44:O45"/>
    <mergeCell ref="F18:G18"/>
    <mergeCell ref="H18:I18"/>
    <mergeCell ref="K28:N30"/>
    <mergeCell ref="K32:M32"/>
    <mergeCell ref="K38:M38"/>
    <mergeCell ref="K40:M40"/>
    <mergeCell ref="N36:N37"/>
    <mergeCell ref="E2:H2"/>
    <mergeCell ref="B2:D2"/>
    <mergeCell ref="D8:E8"/>
    <mergeCell ref="F8:G8"/>
    <mergeCell ref="H8:I8"/>
    <mergeCell ref="B10:C10"/>
    <mergeCell ref="D10:E10"/>
    <mergeCell ref="F10:G10"/>
    <mergeCell ref="H10:I10"/>
    <mergeCell ref="K26:M26"/>
    <mergeCell ref="B12:C12"/>
    <mergeCell ref="C26:H26"/>
    <mergeCell ref="A42:A43"/>
    <mergeCell ref="F16:G16"/>
    <mergeCell ref="H16:I16"/>
    <mergeCell ref="K34:M34"/>
    <mergeCell ref="F30:H30"/>
    <mergeCell ref="B32:D32"/>
    <mergeCell ref="F32:H32"/>
    <mergeCell ref="C40:E40"/>
    <mergeCell ref="F28:H28"/>
    <mergeCell ref="B30:D30"/>
    <mergeCell ref="B38:H38"/>
    <mergeCell ref="F36:H36"/>
    <mergeCell ref="B36:D36"/>
    <mergeCell ref="B28:D28"/>
    <mergeCell ref="F34:H34"/>
    <mergeCell ref="E20:H20"/>
    <mergeCell ref="K4:N4"/>
    <mergeCell ref="B6:C6"/>
    <mergeCell ref="D6:E6"/>
    <mergeCell ref="F6:G6"/>
    <mergeCell ref="H6:I6"/>
    <mergeCell ref="B4:C4"/>
    <mergeCell ref="D4:I4"/>
  </mergeCells>
  <conditionalFormatting sqref="C43">
    <cfRule type="expression" dxfId="18" priority="1" stopIfTrue="1">
      <formula>$E28="No"</formula>
    </cfRule>
  </conditionalFormatting>
  <dataValidations count="37">
    <dataValidation type="custom" allowBlank="1" showInputMessage="1" showErrorMessage="1" sqref="D5:I5">
      <formula1>ISTEXT(D5:I5)=TRUE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0: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="केवल हाँ अथवा ना सलेक्ट करें।" sqref="E32:E33 I24:I25 I27 E22:E23 N34 N26 N36:N37 N32 N40 N43">
      <formula1>ye</formula1>
    </dataValidation>
    <dataValidation type="custom" allowBlank="1" showInputMessage="1" showErrorMessage="1" sqref="E29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E36 I36">
      <formula1>ISNUMBER(E36)=TRUE</formula1>
    </dataValidation>
    <dataValidation type="custom" allowBlank="1" showInputMessage="1" showErrorMessage="1" errorTitle="Write in Digit" error="अंको में  लिखों सा। " sqref="B47:M47 B43 E43:M43 O43">
      <formula1>ISNUMBER(B43)=TRUE</formula1>
    </dataValidation>
    <dataValidation type="list" allowBlank="1" showInputMessage="1" showErrorMessage="1" errorTitle="Select Yes/No" error="केवल हाँ अथवा ना सलेक्ट करें।" sqref="H18:I18">
      <formula1>ye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whole" operator="lessThanOrEqual" allowBlank="1" showInputMessage="1" showErrorMessage="1" errorTitle="Write in Digit" error="विकलांग भत्ता अधिकतम 600 रुपये ही मिलता है।  " sqref="E28">
      <formula1>600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38">
      <formula1>Month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sqref="E34">
      <formula1>"9,18,20,22,25,30"</formula1>
    </dataValidation>
    <dataValidation type="list" allowBlank="1" showInputMessage="1" showErrorMessage="1" sqref="N38">
      <formula1>"220, 700, 1400, 2100"</formula1>
    </dataValidation>
    <dataValidation type="custom" allowBlank="1" showInputMessage="1" showErrorMessage="1" errorTitle="First Select Handi. All. &quot;Yes&quot;" error="विकलांग भत्ता के कॉलम में YES करने पर ही इस कॉलम में राशि लिख पायेंगे I" sqref="C43">
      <formula1>E28="Yes"</formula1>
    </dataValidation>
    <dataValidation type="list" allowBlank="1" showInputMessage="1" showErrorMessage="1" errorTitle="Select Gazetted / Non-gazetted" error="राजपत्रित अधिकारी होने पर Gazetted और अराजपत्रित होने पर Non-Gazetted सलेक्ट करें।" sqref="D18:E18">
      <formula1>"Gazetted, Non-Gazetted"</formula1>
    </dataValidation>
  </dataValidations>
  <hyperlinks>
    <hyperlink ref="L44" r:id="rId1"/>
    <hyperlink ref="B2" r:id="rId2"/>
  </hyperlinks>
  <pageMargins left="0.7" right="0.7" top="0.75" bottom="0.75" header="0.3" footer="0.3"/>
  <pageSetup orientation="portrait" horizontalDpi="300" verticalDpi="0" copies="0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Y41"/>
  <sheetViews>
    <sheetView showGridLines="0" topLeftCell="G1" workbookViewId="0">
      <selection activeCell="Y6" sqref="Y6"/>
    </sheetView>
  </sheetViews>
  <sheetFormatPr defaultColWidth="0" defaultRowHeight="21" zeroHeight="1"/>
  <cols>
    <col min="1" max="1" width="6.5" style="36" hidden="1" customWidth="1"/>
    <col min="2" max="2" width="8.375" style="36" hidden="1" customWidth="1"/>
    <col min="3" max="3" width="5.75" style="36" bestFit="1" customWidth="1"/>
    <col min="4" max="4" width="20.25" style="36" customWidth="1"/>
    <col min="5" max="5" width="14.5" style="36" customWidth="1"/>
    <col min="6" max="6" width="11" style="36" customWidth="1"/>
    <col min="7" max="7" width="11.25" style="36" customWidth="1"/>
    <col min="8" max="13" width="10.75" style="36" customWidth="1"/>
    <col min="14" max="14" width="9.125" style="36" customWidth="1"/>
    <col min="15" max="15" width="13" style="36" customWidth="1"/>
    <col min="16" max="24" width="8.75" style="36" customWidth="1"/>
    <col min="25" max="25" width="10.375" style="36" customWidth="1"/>
    <col min="26" max="27" width="8.75" style="36" customWidth="1"/>
    <col min="28" max="28" width="9.875" style="36" customWidth="1"/>
    <col min="29" max="29" width="10.125" style="36" customWidth="1"/>
    <col min="30" max="30" width="10.75" style="36" customWidth="1"/>
    <col min="31" max="31" width="12.125" style="36" customWidth="1"/>
    <col min="32" max="32" width="11.25" style="37" customWidth="1"/>
    <col min="33" max="41" width="9.125" style="308" hidden="1" customWidth="1"/>
    <col min="42" max="42" width="12.75" style="308" hidden="1" customWidth="1"/>
    <col min="43" max="43" width="10.25" style="308" hidden="1" customWidth="1"/>
    <col min="44" max="44" width="9.875" style="308" hidden="1" customWidth="1"/>
    <col min="45" max="47" width="9.125" style="308" hidden="1" customWidth="1"/>
    <col min="48" max="48" width="10.125" style="308" hidden="1" customWidth="1"/>
    <col min="49" max="49" width="5.625" style="309" hidden="1" customWidth="1"/>
    <col min="50" max="50" width="8.75" style="309" hidden="1" customWidth="1"/>
    <col min="51" max="51" width="7.25" style="309" hidden="1" customWidth="1"/>
    <col min="52" max="52" width="9" style="309" hidden="1" customWidth="1"/>
    <col min="53" max="53" width="6.25" style="309" hidden="1" customWidth="1"/>
    <col min="54" max="54" width="5.625" style="309" hidden="1" customWidth="1"/>
    <col min="55" max="55" width="6.5" style="309" hidden="1" customWidth="1"/>
    <col min="56" max="57" width="6.375" style="309" hidden="1" customWidth="1"/>
    <col min="58" max="62" width="5.625" style="309" hidden="1" customWidth="1"/>
    <col min="63" max="64" width="9.375" style="308" hidden="1" customWidth="1"/>
    <col min="65" max="103" width="9.125" style="308" hidden="1" customWidth="1"/>
    <col min="104" max="16384" width="9.125" style="310" hidden="1"/>
  </cols>
  <sheetData>
    <row r="1" spans="1:103" ht="26.25" customHeight="1"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441" t="s">
        <v>434</v>
      </c>
      <c r="U1" s="441"/>
      <c r="V1" s="441"/>
      <c r="W1" s="441"/>
      <c r="X1" s="441"/>
      <c r="Y1" s="441"/>
      <c r="Z1" s="206"/>
      <c r="AA1" s="206"/>
      <c r="AB1" s="206"/>
      <c r="AC1" s="206"/>
      <c r="AD1" s="206"/>
      <c r="AE1" s="206"/>
      <c r="AW1" s="309" t="s">
        <v>467</v>
      </c>
      <c r="AZ1" s="309">
        <f>IF('Master Data'!I34&gt;9,ROUND(AZ3/31*15,0),IF('Master Data'!D18='GA55 Check &amp; Edit'!AW1,ROUND(AZ3/31*15,0),IF('Master Data'!I34&gt;=5,ROUND(AZ3/31*22,0),AZ3)))</f>
        <v>23855</v>
      </c>
    </row>
    <row r="2" spans="1:103" ht="24.75" customHeight="1"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441"/>
      <c r="U2" s="441"/>
      <c r="V2" s="441"/>
      <c r="W2" s="441"/>
      <c r="X2" s="441"/>
      <c r="Y2" s="441"/>
      <c r="Z2" s="247"/>
      <c r="AA2" s="247"/>
      <c r="AB2" s="247"/>
      <c r="AC2" s="206"/>
      <c r="AD2" s="206"/>
      <c r="AE2" s="206"/>
    </row>
    <row r="3" spans="1:103" s="312" customFormat="1" ht="27.75" customHeight="1">
      <c r="A3" s="30"/>
      <c r="B3" s="30"/>
      <c r="C3" s="38"/>
      <c r="D3" s="450" t="s">
        <v>115</v>
      </c>
      <c r="E3" s="450"/>
      <c r="F3" s="451" t="str">
        <f>IF('Master Data'!D6="","",CONCATENATE('Master Data'!D6," ,  ",'Master Data'!H6))</f>
        <v>Heeralal jat ,  Sr Teacher</v>
      </c>
      <c r="G3" s="451"/>
      <c r="H3" s="451"/>
      <c r="I3" s="451"/>
      <c r="J3" s="38"/>
      <c r="K3" s="38"/>
      <c r="L3" s="38"/>
      <c r="M3" s="38"/>
      <c r="N3" s="38"/>
      <c r="O3" s="38"/>
      <c r="P3" s="38"/>
      <c r="Q3" s="38"/>
      <c r="R3" s="38"/>
      <c r="S3" s="456" t="s">
        <v>433</v>
      </c>
      <c r="T3" s="457"/>
      <c r="U3" s="457"/>
      <c r="V3" s="457"/>
      <c r="W3" s="457"/>
      <c r="X3" s="457"/>
      <c r="Y3" s="457"/>
      <c r="Z3" s="457"/>
      <c r="AA3" s="38"/>
      <c r="AB3" s="38"/>
      <c r="AC3" s="38"/>
      <c r="AD3" s="38"/>
      <c r="AE3" s="38"/>
      <c r="AF3" s="3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09"/>
      <c r="AX3" s="309"/>
      <c r="AY3" s="309"/>
      <c r="AZ3" s="309">
        <f>AZ15-ROUNDUP(ROUND((AZ15*3%)-(AZ15*3%)*2.9%,-2),0)</f>
        <v>49300</v>
      </c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11"/>
      <c r="BL3" s="311"/>
      <c r="BM3" s="311"/>
      <c r="BN3" s="311"/>
      <c r="BO3" s="311"/>
      <c r="BP3" s="311"/>
      <c r="BQ3" s="311"/>
      <c r="BR3" s="311"/>
      <c r="BS3" s="311"/>
      <c r="BT3" s="311"/>
      <c r="BU3" s="311"/>
      <c r="BV3" s="311"/>
      <c r="BW3" s="311"/>
      <c r="BX3" s="311"/>
      <c r="BY3" s="311"/>
      <c r="BZ3" s="311"/>
      <c r="CA3" s="311"/>
      <c r="CB3" s="311"/>
      <c r="CC3" s="311"/>
      <c r="CD3" s="311"/>
      <c r="CE3" s="311"/>
      <c r="CF3" s="311"/>
      <c r="CG3" s="311"/>
      <c r="CH3" s="311"/>
      <c r="CI3" s="311"/>
      <c r="CJ3" s="311"/>
      <c r="CK3" s="311"/>
      <c r="CL3" s="311"/>
      <c r="CM3" s="311"/>
      <c r="CN3" s="311"/>
      <c r="CO3" s="311"/>
      <c r="CP3" s="311"/>
      <c r="CQ3" s="311"/>
      <c r="CR3" s="311"/>
      <c r="CS3" s="311"/>
      <c r="CT3" s="311"/>
      <c r="CU3" s="311"/>
      <c r="CV3" s="311"/>
      <c r="CW3" s="311"/>
      <c r="CX3" s="311"/>
      <c r="CY3" s="311"/>
    </row>
    <row r="4" spans="1:103" s="312" customFormat="1" ht="20.25">
      <c r="A4" s="30"/>
      <c r="B4" s="30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09"/>
      <c r="AX4" s="309"/>
      <c r="AY4" s="309"/>
      <c r="AZ4" s="309"/>
      <c r="BA4" s="309"/>
      <c r="BB4" s="309"/>
      <c r="BC4" s="309"/>
      <c r="BD4" s="309"/>
      <c r="BE4" s="309"/>
      <c r="BF4" s="309"/>
      <c r="BG4" s="309"/>
      <c r="BH4" s="309"/>
      <c r="BI4" s="309"/>
      <c r="BJ4" s="309"/>
      <c r="BK4" s="311"/>
      <c r="BL4" s="311"/>
      <c r="BM4" s="311"/>
      <c r="BN4" s="311"/>
      <c r="BO4" s="311"/>
      <c r="BP4" s="311"/>
      <c r="BQ4" s="311"/>
      <c r="BR4" s="311"/>
      <c r="BS4" s="311"/>
      <c r="BT4" s="311"/>
      <c r="BU4" s="311"/>
      <c r="BV4" s="311"/>
      <c r="BW4" s="311"/>
      <c r="BX4" s="311"/>
      <c r="BY4" s="311"/>
      <c r="BZ4" s="311"/>
      <c r="CA4" s="311"/>
      <c r="CB4" s="311"/>
      <c r="CC4" s="311"/>
      <c r="CD4" s="311"/>
      <c r="CE4" s="311"/>
      <c r="CF4" s="311"/>
      <c r="CG4" s="311"/>
      <c r="CH4" s="311"/>
      <c r="CI4" s="311"/>
      <c r="CJ4" s="311"/>
      <c r="CK4" s="311"/>
      <c r="CL4" s="311"/>
      <c r="CM4" s="311"/>
      <c r="CN4" s="311"/>
      <c r="CO4" s="311"/>
      <c r="CP4" s="311"/>
      <c r="CQ4" s="311"/>
      <c r="CR4" s="311"/>
      <c r="CS4" s="311"/>
      <c r="CT4" s="311"/>
      <c r="CU4" s="311"/>
      <c r="CV4" s="311"/>
      <c r="CW4" s="311"/>
      <c r="CX4" s="311"/>
      <c r="CY4" s="311"/>
    </row>
    <row r="5" spans="1:103" s="312" customFormat="1" ht="18" customHeight="1" thickBot="1">
      <c r="A5" s="30"/>
      <c r="B5" s="30"/>
      <c r="C5" s="49">
        <v>1</v>
      </c>
      <c r="D5" s="49">
        <v>2</v>
      </c>
      <c r="E5" s="49">
        <v>3</v>
      </c>
      <c r="F5" s="49">
        <v>4</v>
      </c>
      <c r="G5" s="49">
        <v>5</v>
      </c>
      <c r="H5" s="49">
        <v>6</v>
      </c>
      <c r="I5" s="49">
        <v>7</v>
      </c>
      <c r="J5" s="49">
        <v>8</v>
      </c>
      <c r="K5" s="49">
        <v>9</v>
      </c>
      <c r="L5" s="49">
        <v>10</v>
      </c>
      <c r="M5" s="49">
        <v>11</v>
      </c>
      <c r="N5" s="49">
        <v>12</v>
      </c>
      <c r="O5" s="49">
        <v>13</v>
      </c>
      <c r="P5" s="49">
        <v>14</v>
      </c>
      <c r="Q5" s="49">
        <v>15</v>
      </c>
      <c r="R5" s="49">
        <v>16</v>
      </c>
      <c r="S5" s="49">
        <v>17</v>
      </c>
      <c r="T5" s="49">
        <v>18</v>
      </c>
      <c r="U5" s="49">
        <v>19</v>
      </c>
      <c r="V5" s="49">
        <v>20</v>
      </c>
      <c r="W5" s="49">
        <v>21</v>
      </c>
      <c r="X5" s="49">
        <v>22</v>
      </c>
      <c r="Y5" s="49">
        <v>23</v>
      </c>
      <c r="Z5" s="49">
        <v>24</v>
      </c>
      <c r="AA5" s="49">
        <v>25</v>
      </c>
      <c r="AB5" s="49">
        <v>26</v>
      </c>
      <c r="AC5" s="49">
        <v>27</v>
      </c>
      <c r="AD5" s="49">
        <v>28</v>
      </c>
      <c r="AE5" s="49">
        <v>29</v>
      </c>
      <c r="AF5" s="31"/>
      <c r="AG5" s="311"/>
      <c r="AH5" s="311"/>
      <c r="AI5" s="311"/>
      <c r="AJ5" s="311"/>
      <c r="AK5" s="311"/>
      <c r="AL5" s="311"/>
      <c r="AM5" s="311" t="str">
        <f>'Master Data'!N26</f>
        <v>Yes</v>
      </c>
      <c r="AN5" s="313" t="s">
        <v>6</v>
      </c>
      <c r="AO5" s="313" t="s">
        <v>90</v>
      </c>
      <c r="AP5" s="314" t="s">
        <v>8</v>
      </c>
      <c r="AQ5" s="311" t="s">
        <v>10</v>
      </c>
      <c r="AR5" s="311"/>
      <c r="AS5" s="311">
        <v>1000</v>
      </c>
      <c r="AT5" s="311"/>
      <c r="AU5" s="311"/>
      <c r="AV5" s="311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  <c r="BI5" s="315"/>
      <c r="BJ5" s="315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  <c r="CC5" s="311"/>
      <c r="CD5" s="311"/>
      <c r="CE5" s="311"/>
      <c r="CF5" s="311"/>
      <c r="CG5" s="311"/>
      <c r="CH5" s="311"/>
      <c r="CI5" s="311"/>
      <c r="CJ5" s="311"/>
      <c r="CK5" s="311"/>
      <c r="CL5" s="311"/>
      <c r="CM5" s="311"/>
      <c r="CN5" s="311"/>
      <c r="CO5" s="311"/>
      <c r="CP5" s="311"/>
      <c r="CQ5" s="311"/>
      <c r="CR5" s="311"/>
      <c r="CS5" s="311"/>
      <c r="CT5" s="311"/>
      <c r="CU5" s="311"/>
      <c r="CV5" s="311"/>
      <c r="CW5" s="311"/>
      <c r="CX5" s="311"/>
      <c r="CY5" s="311"/>
    </row>
    <row r="6" spans="1:103" s="317" customFormat="1" ht="36.75" customHeight="1">
      <c r="A6" s="32"/>
      <c r="B6" s="32"/>
      <c r="C6" s="442" t="s">
        <v>75</v>
      </c>
      <c r="D6" s="446" t="s">
        <v>76</v>
      </c>
      <c r="E6" s="448" t="s">
        <v>77</v>
      </c>
      <c r="F6" s="446" t="s">
        <v>78</v>
      </c>
      <c r="G6" s="446" t="s">
        <v>79</v>
      </c>
      <c r="H6" s="446" t="str">
        <f>IF('Master Data'!B42="","",'Master Data'!B42)</f>
        <v>Wash All.</v>
      </c>
      <c r="I6" s="446" t="str">
        <f>IF('Master Data'!C42="","",'Master Data'!C42)</f>
        <v>Handi. All.</v>
      </c>
      <c r="J6" s="446" t="str">
        <f>IF('Master Data'!D42="","",'Master Data'!D42)</f>
        <v>CCA</v>
      </c>
      <c r="K6" s="446" t="str">
        <f>IF('Master Data'!E42="","",'Master Data'!E42)</f>
        <v>other-1</v>
      </c>
      <c r="L6" s="446" t="str">
        <f>IF('Master Data'!F42="","",'Master Data'!F42)</f>
        <v>other-2</v>
      </c>
      <c r="M6" s="446" t="s">
        <v>80</v>
      </c>
      <c r="N6" s="446" t="s">
        <v>81</v>
      </c>
      <c r="O6" s="446" t="s">
        <v>82</v>
      </c>
      <c r="P6" s="446" t="str">
        <f>IF('Master Data'!G42="","",'Master Data'!G42)</f>
        <v>SI</v>
      </c>
      <c r="Q6" s="446" t="str">
        <f>IF('Master Data'!H42="","",'Master Data'!H42)</f>
        <v>GPF / NPS</v>
      </c>
      <c r="R6" s="446" t="str">
        <f>IF('Master Data'!I42="","",'Master Data'!I42)</f>
        <v>L.I.C.</v>
      </c>
      <c r="S6" s="446" t="str">
        <f>IF('Master Data'!J42="","",'Master Data'!J42)</f>
        <v>RPMF / RGHS</v>
      </c>
      <c r="T6" s="446" t="str">
        <f>IF('Master Data'!K42="","",'Master Data'!K42)</f>
        <v>SI Loan</v>
      </c>
      <c r="U6" s="446" t="str">
        <f>IF('Master Data'!L42="","",'Master Data'!L42)</f>
        <v>GPF Loan</v>
      </c>
      <c r="V6" s="446" t="str">
        <f>IF('Master Data'!M42="","",'Master Data'!M42)</f>
        <v>GPF 2004 (NPS)</v>
      </c>
      <c r="W6" s="446" t="str">
        <f>IF('Master Data'!N42="","",'Master Data'!O42)</f>
        <v>SI Int.</v>
      </c>
      <c r="X6" s="446" t="s">
        <v>468</v>
      </c>
      <c r="Y6" s="204" t="s">
        <v>116</v>
      </c>
      <c r="Z6" s="454" t="s">
        <v>83</v>
      </c>
      <c r="AA6" s="454" t="s">
        <v>84</v>
      </c>
      <c r="AB6" s="444" t="s">
        <v>85</v>
      </c>
      <c r="AC6" s="444" t="s">
        <v>86</v>
      </c>
      <c r="AD6" s="444" t="s">
        <v>87</v>
      </c>
      <c r="AE6" s="452" t="s">
        <v>88</v>
      </c>
      <c r="AF6" s="33"/>
      <c r="AG6" s="313"/>
      <c r="AH6" s="313"/>
      <c r="AI6" s="313"/>
      <c r="AJ6" s="313"/>
      <c r="AK6" s="313"/>
      <c r="AL6" s="313"/>
      <c r="AM6" s="313"/>
      <c r="AN6" s="313" t="s">
        <v>13</v>
      </c>
      <c r="AO6" s="313" t="s">
        <v>89</v>
      </c>
      <c r="AP6" s="313" t="s">
        <v>15</v>
      </c>
      <c r="AQ6" s="313" t="s">
        <v>91</v>
      </c>
      <c r="AR6" s="313"/>
      <c r="AS6" s="313">
        <v>620</v>
      </c>
      <c r="AT6" s="316"/>
      <c r="AU6" s="313"/>
      <c r="AV6" s="313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13"/>
      <c r="BL6" s="313"/>
      <c r="BM6" s="313"/>
      <c r="BN6" s="313"/>
      <c r="BO6" s="313"/>
      <c r="BP6" s="313"/>
      <c r="BQ6" s="313"/>
      <c r="BR6" s="313"/>
      <c r="BS6" s="313"/>
      <c r="BT6" s="313"/>
      <c r="BU6" s="313"/>
      <c r="BV6" s="313"/>
      <c r="BW6" s="313"/>
      <c r="BX6" s="313"/>
      <c r="BY6" s="313"/>
      <c r="BZ6" s="313"/>
      <c r="CA6" s="313"/>
      <c r="CB6" s="313"/>
      <c r="CC6" s="313"/>
      <c r="CD6" s="313"/>
      <c r="CE6" s="313"/>
      <c r="CF6" s="313"/>
      <c r="CG6" s="313"/>
      <c r="CH6" s="313"/>
      <c r="CI6" s="313"/>
      <c r="CJ6" s="313"/>
      <c r="CK6" s="313"/>
      <c r="CL6" s="313"/>
      <c r="CM6" s="313"/>
      <c r="CN6" s="313"/>
      <c r="CO6" s="313"/>
      <c r="CP6" s="313"/>
      <c r="CQ6" s="313"/>
      <c r="CR6" s="313"/>
      <c r="CS6" s="313"/>
      <c r="CT6" s="313"/>
      <c r="CU6" s="313"/>
      <c r="CV6" s="313"/>
      <c r="CW6" s="313"/>
      <c r="CX6" s="313"/>
      <c r="CY6" s="313"/>
    </row>
    <row r="7" spans="1:103" s="317" customFormat="1" ht="30" customHeight="1">
      <c r="A7" s="32"/>
      <c r="B7" s="32"/>
      <c r="C7" s="443"/>
      <c r="D7" s="447"/>
      <c r="E7" s="449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205"/>
      <c r="Z7" s="455"/>
      <c r="AA7" s="455"/>
      <c r="AB7" s="445"/>
      <c r="AC7" s="445"/>
      <c r="AD7" s="445"/>
      <c r="AE7" s="453"/>
      <c r="AF7" s="33"/>
      <c r="AG7" s="313"/>
      <c r="AH7" s="313"/>
      <c r="AI7" s="313"/>
      <c r="AJ7" s="313"/>
      <c r="AK7" s="313"/>
      <c r="AL7" s="313"/>
      <c r="AM7" s="313"/>
      <c r="AN7" s="313"/>
      <c r="AO7" s="313"/>
      <c r="AP7" s="313"/>
      <c r="AQ7" s="313" t="s">
        <v>281</v>
      </c>
      <c r="AR7" s="313"/>
      <c r="AS7" s="313"/>
      <c r="AT7" s="316"/>
      <c r="AU7" s="313"/>
      <c r="AV7" s="313"/>
      <c r="AW7" s="309"/>
      <c r="AX7" s="309"/>
      <c r="AY7" s="309"/>
      <c r="AZ7" s="309"/>
      <c r="BA7" s="309"/>
      <c r="BB7" s="309"/>
      <c r="BC7" s="309"/>
      <c r="BD7" s="309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E7" s="309"/>
      <c r="BF7" s="309"/>
      <c r="BG7" s="309"/>
      <c r="BH7" s="309"/>
      <c r="BI7" s="309"/>
      <c r="BJ7" s="309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3"/>
      <c r="CC7" s="313"/>
      <c r="CD7" s="313"/>
      <c r="CE7" s="313"/>
      <c r="CF7" s="313"/>
      <c r="CG7" s="313"/>
      <c r="CH7" s="313"/>
      <c r="CI7" s="313"/>
      <c r="CJ7" s="313"/>
      <c r="CK7" s="313"/>
      <c r="CL7" s="313"/>
      <c r="CM7" s="313"/>
      <c r="CN7" s="313"/>
      <c r="CO7" s="313"/>
      <c r="CP7" s="313"/>
      <c r="CQ7" s="313"/>
      <c r="CR7" s="313"/>
      <c r="CS7" s="313"/>
      <c r="CT7" s="313"/>
      <c r="CU7" s="313"/>
      <c r="CV7" s="313"/>
      <c r="CW7" s="313"/>
      <c r="CX7" s="313"/>
      <c r="CY7" s="313"/>
    </row>
    <row r="8" spans="1:103" s="321" customFormat="1" ht="21" customHeight="1" thickBot="1">
      <c r="A8" s="34">
        <f>MOD(B8,2)</f>
        <v>1</v>
      </c>
      <c r="B8" s="50">
        <f>IF(LEN(D8)&gt;=3,1,0)</f>
        <v>1</v>
      </c>
      <c r="C8" s="51">
        <v>1</v>
      </c>
      <c r="D8" s="318">
        <f>IFERROR(IF(BO12="","",BO12),"")</f>
        <v>44256</v>
      </c>
      <c r="E8" s="200">
        <f>IFERROR(IF(D8="","",IF(AND(BQ12=""),"",IF(AND('Master Data'!$I$28='GA55 Check &amp; Edit'!$AP$6),VLOOKUP(D8,ram,13,0),VLOOKUP(D8,ram,4,0)))),"")</f>
        <v>50800</v>
      </c>
      <c r="F8" s="201">
        <f>IFERROR(IF(D8="","",IF(D8=$AX$24,"",IF(AND(D8=$AX$25),$BC$25,IF(AND(D8=$AX$27),"",IF(AND(D8=$AX$28),"",IF(AND('Master Data'!$I$28='GA55 Check &amp; Edit'!$AP$5),VLOOKUP(D8,ram,7,0),"")))))),"")</f>
        <v>8636</v>
      </c>
      <c r="G8" s="201">
        <f>IFERROR(IF(D8="","",IF(D8=$AX$24,"",IF(AND(D8=$AX$25),"",IF(AND(D8=$AX$26),"",IF(AND(D8=$AX$27),"",IF(AND(D8=$AX$29),"",IF(AND('Master Data'!$I$28='GA55 Check &amp; Edit'!$AP$6),"",VLOOKUP(D8,ram,8,0)))))))),"")</f>
        <v>4064</v>
      </c>
      <c r="H8" s="201">
        <f>IFERROR(IF(D8="","",IF(AND(E8=""),"",IF(OR(D8=$AX$24,D8=$AX$25,D8=$AX$26,D8=$AX$27,D8=$AX$28,D8=$AX$29),"",IF(AND('Master Data'!$I$28='GA55 Check &amp; Edit'!$AP$5),'Master Data'!$B$43,"")))),"")</f>
        <v>0</v>
      </c>
      <c r="I8" s="201" t="str">
        <f>IFERROR(IF(D8="","",IF(AND(E8=""),"",IF(OR(D8=$AX$24,D8=$AX$25,D8=$AX$26,D8=$AX$27,D8=$AX$28,D8=$AX$29),"",IF(AND('Master Data'!$I$28='GA55 Check &amp; Edit'!$AP$5,'Master Data'!$E$28='GA55 Check &amp; Edit'!$AO$5),'Master Data'!$C$43,"0")))),"")</f>
        <v>0</v>
      </c>
      <c r="J8" s="201" t="str">
        <f>IFERROR(IF(OR('Master Data'!$E$32=$AO$6,'Master Data'!$E$32=""),"",IF(D8="","",IF(AND(E8=""),"",IF(OR(D8=$AX$24,D8=$AX$25,D8=$AX$26,D8=$AX$27,D8=$AX$28,D8=$AX$29),"",IF(AND('Master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8" s="201">
        <f>IFERROR(IF(D8="","",IF(AND(E8=""),"",IF(OR(D8=$AX$24,D8=$AX$25,D8=$AX$26,D8=$AX$27,D8=$AX$28,D8=$AX$29),"",IF(AND('Master Data'!$I$28='GA55 Check &amp; Edit'!$AP$5),'Master Data'!$E$43,"")))),"")</f>
        <v>0</v>
      </c>
      <c r="L8" s="201">
        <f>IFERROR(IF(D8="","",IF(AND(E8=""),"",IF(OR(D8=$AX$24,D8=$AX$25,D8=$AX$26,D8=$AX$27,D8=$AX$28,D8=$AX$29),"",IF(AND('Master Data'!$I$28='GA55 Check &amp; Edit'!$AP$6),"",'Master Data'!$F$43)))),"")</f>
        <v>0</v>
      </c>
      <c r="M8" s="201" t="str">
        <f>IFERROR(IF(D8="","",IF(AND('Master Data'!$I$28='GA55 Check &amp; Edit'!$AP$6),"",IF(AND('Master Data'!$I$24='GA55 Check &amp; Edit'!$AO$6),"0",IF(AND(D8="Bonus"),VLOOKUP(D8,ram,4,0),"")))),"")</f>
        <v/>
      </c>
      <c r="N8" s="201">
        <f>IFERROR(IF(AND(D8=""),"",IF(AND(D8=$AX$25,'Master Data'!$I$30='GA55 Check &amp; Edit'!$AN$6),ROUND((E8+F8)*0.1,0),IF(AND(D8=$AX$29,'Master Data'!$I$30='GA55 Check &amp; Edit'!$AN$6),ROUND((F8)*0.1,0),IF(AND(D8=$AX$26,'Master Data'!$I$30='GA55 Check &amp; Edit'!$AN$6),ROUND((F8)*0.1,0),IF(AND(D8=$AX$27,'Master Data'!$I$30='GA55 Check &amp; Edit'!$AN$6),ROUND((E8+F8)*0.1,0),IF(AND('Master Data'!$I$30='GA55 Check &amp; Edit'!$AN$5),"",IF(AND('Master Data'!$I$30='GA55 Check &amp; Edit'!$AN$6,'Master Data'!$I$28='GA55 Check &amp; Edit'!$AP$6),ROUND((E8)*0.1,0),ROUND((E8+F8)*0.1,0)))))))),"")</f>
        <v>5944</v>
      </c>
      <c r="O8" s="43">
        <f>IF(D8="","",IF('Master Data'!$H$18='GA55 Check &amp; Edit'!$AO$5,SUM(E8:N8),SUM(E8:M8)))</f>
        <v>63500</v>
      </c>
      <c r="P8" s="319">
        <f>IFERROR(IF(OR('Master Data'!$I$28='GA55 Check &amp; Edit'!$AP$6,D8=""),"",IF(AND(D8=$AX$24),"",IF(AND(D8=$AX$25),"",IF(AND(D8=$AX$26),"",IF(AND(D8=$AX$27),"",IF(AND(D8=$AX$28),"",IF(AND(D8=$AX$29),"",IF(AND(E8=""),"",VLOOKUP(D8,ram,11,0))))))))),"")</f>
        <v>7000</v>
      </c>
      <c r="Q8" s="319">
        <f>IFERROR(IF(AND(D8="",E8=""),"",IF(AND(D8=$AX$25,'Master Data'!$I$30='GA55 Check &amp; Edit'!$AN$6),ROUND((E8+F8)*0.1,0),IF(AND(D8=$AX$29,'Master Data'!$I$30='GA55 Check &amp; Edit'!$AN$6),ROUND((F8)*0.1,0),IF(AND(D8=$AX$26,'Master Data'!$I$30='GA55 Check &amp; Edit'!$AN$6),ROUND((F8)*0.1,0),IF(AND(D8=$AX$27,'Master Data'!$I$30='GA55 Check &amp; Edit'!$AN$6),ROUND((E8+F8)*0.1,0),IF(AND('Master Data'!$I$30='GA55 Check &amp; Edit'!$AN$6,'Master Data'!$I$28='GA55 Check &amp; Edit'!$AP$6),ROUND((E8)*0.1,0),IF(AND('Master Data'!$I$30='GA55 Check &amp; Edit'!$AN$6,'Master Data'!$I$28='GA55 Check &amp; Edit'!$AP$5),ROUND((E8+F8)*0.1,0),IF(AND('Master Data'!$I$30='GA55 Check &amp; Edit'!$AN$5,'Master Data'!$I$28='GA55 Check &amp; Edit'!$AP$5),VLOOKUP(D8,ram,12,0))))))))),"")</f>
        <v>5944</v>
      </c>
      <c r="R8" s="319">
        <f>IFERROR(IF(OR('Master Data'!$I$28='GA55 Check &amp; Edit'!$AP$6,D8=""),"",IF(AND(D8=$AX$24),"",IF(AND(D8=$AX$25),"",IF(AND(D8=$AX$26),"",IF(AND(D8=$AX$27),"",IF(AND(D8=$AX$28),"",IF(AND(D8=$AX$29),"",IF(AND(D8=$AX$32),"",IF(AND(E8=""),"",'Master Data'!$I$43))))))))),"")</f>
        <v>1880</v>
      </c>
      <c r="S8" s="319">
        <f>IFERROR(IF(OR('Master Data'!$I$28='GA55 Check &amp; Edit'!$AP$6),"",IF(D8="","",IF(E8="","",IF(AND(D8=$AX$24),"",IF(AND(D8=$AX$25),"",IF(AND(D8=$AX$26),"",IF(AND(D8=$AX$27),"",IF(AND(D8=$AX$28),"",IF(AND(D8=$AX$29),"",VLOOKUP(D8,ram,10,0)))))))))),"")</f>
        <v>0</v>
      </c>
      <c r="T8" s="319">
        <f>IFERROR(IF(OR('Master Data'!$I$28='GA55 Check &amp; Edit'!$AP$6,D8=""),"",IF(AND(D8=$AX$24),"",IF(AND(D8=$AX$25),"",IF(AND(D8=$AX$26),"",IF(AND(D8=$AX$27),"",IF(AND(D8=$AX$28),"",IF(AND(D8=$AX$29),"",IF(AND(E8=""),"",'Master Data'!$K$43)))))))),"")</f>
        <v>0</v>
      </c>
      <c r="U8" s="319">
        <f>IFERROR(IF(OR('Master Data'!$I$28='GA55 Check &amp; Edit'!$AP$6,D8=""),"",IF(AND(D8=$AX$24),"",IF(AND(D8=$AX$25),"",IF(AND(D8=$AX$26),"",IF(AND(D8=$AX$27),"",IF(AND(D8=$AX$28),"",IF(AND(D8=$AX$29),"",IF(AND(E8=""),"",'Master Data'!$L$43)))))))),"")</f>
        <v>0</v>
      </c>
      <c r="V8" s="319">
        <f>IFERROR(IF(OR('Master Data'!$I$28='GA55 Check &amp; Edit'!$AP$6,D8=""),"",IF(AND(D8=$AX$24,'Master Data'!$I$28='GA55 Check &amp; Edit'!$AP$5,'Master Data'!$I$30='GA55 Check &amp; Edit'!$AN$6),ROUND(M8*50%,0),IF(AND(D8=$AX$25),"",IF(AND(D8=$AX$26,'Master Data'!$I$28='GA55 Check &amp; Edit'!$AP$5,'Master Data'!$I$30='GA55 Check &amp; Edit'!$AN$6),SUM(F8-N8),IF(AND(D8=$AX$27),"",IF(AND(D8=$AX$28),"",IF(AND(D8=$AX$29,'Master Data'!$I$28='GA55 Check &amp; Edit'!$AP$5,'Master Data'!$I$30='GA55 Check &amp; Edit'!$AN$6),SUM(F8-N8),IF(AND(E8=""),"",'Master Data'!$M$43)))))))),"")</f>
        <v>0</v>
      </c>
      <c r="W8" s="319">
        <f>IFERROR(IF(OR('Master Data'!$I$28='GA55 Check &amp; Edit'!$AP$6,D8=""),"",IF(AND(D8=$AX$24),"",IF(AND(D8=$AX$25),"",IF(AND(D8=$AX$26),"",IF(AND(D8=$AX$27),"",IF(AND(D8=$AX$28),"",IF(AND(D8=$AX$29),"",IF(AND(E8=""),"",'Master Data'!$O$43)))))))),"")</f>
        <v>0</v>
      </c>
      <c r="X8" s="319" t="str">
        <f>IFERROR(IF(OR('Master Data'!$I$28='GA55 Check &amp; Edit'!$AP$6,D8=""),"",IF(AND(E8=""),"",IF(AND('GA55 Check &amp; Edit'!D8='GA55 Check &amp; Edit'!$AT$17,'Master Data'!$D$18="Gazetted"),500,IF(AND('GA55 Check &amp; Edit'!D8='GA55 Check &amp; Edit'!$AT$17,'Master Data'!$D$18="Non-Gazetted"),250,"")))),"")</f>
        <v/>
      </c>
      <c r="Y8" s="319">
        <f>IFERROR(IF(D8="","",IF(AND(E8=""),"",IF(AND(D8=$AX$24),"",IF(AND(D8=$AX$25),"",IF(AND(D8=$AX$26),"",IF(AND(D8=$AX$27),"",IF(AND(D8=$AX$28),"",IF(AND(D8=$AX$29),"",IF(OR('Master Data'!$I$28='GA55 Check &amp; Edit'!$AP$6,D8=""),"",$Y$7))))))))),"")</f>
        <v>0</v>
      </c>
      <c r="Z8" s="319">
        <f>IFERROR(IF(OR('Master Data'!$I$28='GA55 Check &amp; Edit'!$AP$6),"",IF(D8="","",IF(E8="","",VLOOKUP(D8,ram,9,0)))),"")</f>
        <v>0</v>
      </c>
      <c r="AA8" s="319" t="str">
        <f>IFERROR(IF(OR('Master Data'!$I$28='GA55 Check &amp; Edit'!$AP$6,D8="",'Master Data'!$N$38=""),"",IF(AND(E8=""),"",IF('GA55 Check &amp; Edit'!D8='GA55 Check &amp; Edit'!$AT$9,'Master Data'!$N$38,""))),"")</f>
        <v/>
      </c>
      <c r="AB8" s="320">
        <f>IFERROR(IF(D8="","",IF(AND(O8=""),"",IF(AND(N8=""),SUM(P8:AA8),IF(AND('Master Data'!$H$18='GA55 Check &amp; Edit'!$AO$5,'Master Data'!$I$30='GA55 Check &amp; Edit'!$AN$6),SUM(P8:AA8)+N8,SUM(P8:AA8))))),"0")</f>
        <v>14824</v>
      </c>
      <c r="AC8" s="35">
        <f>IFERROR(IF(AND(E8="",O8="",AB8=""),"",SUM(O8-AB8)),"")</f>
        <v>48676</v>
      </c>
      <c r="AD8" s="202"/>
      <c r="AE8" s="232"/>
      <c r="AF8" s="39"/>
      <c r="AR8" s="321" t="s">
        <v>7</v>
      </c>
      <c r="AS8" s="321" t="s">
        <v>5</v>
      </c>
      <c r="AT8" s="316">
        <v>44256</v>
      </c>
      <c r="AU8" s="321" t="s">
        <v>93</v>
      </c>
      <c r="AW8" s="309"/>
      <c r="AX8" s="322">
        <v>43891</v>
      </c>
      <c r="AY8" s="309"/>
      <c r="AZ8" s="309"/>
      <c r="BA8" s="309"/>
      <c r="BB8" s="309"/>
      <c r="BC8" s="309"/>
      <c r="BD8" s="309"/>
      <c r="BE8" s="309"/>
      <c r="BF8" s="309"/>
      <c r="BG8" s="309"/>
      <c r="BH8" s="309"/>
      <c r="BI8" s="309"/>
      <c r="BJ8" s="309"/>
    </row>
    <row r="9" spans="1:103" s="321" customFormat="1" ht="21" customHeight="1">
      <c r="A9" s="34">
        <f t="shared" ref="A9:A28" si="0">MOD(B9,2)</f>
        <v>0</v>
      </c>
      <c r="B9" s="50">
        <f>IF(LEN(D9)&gt;=3,B8+1,0)</f>
        <v>2</v>
      </c>
      <c r="C9" s="51">
        <v>2</v>
      </c>
      <c r="D9" s="318">
        <f t="shared" ref="D9:D24" si="1">IFERROR(IF(BO13="","",BO13),"")</f>
        <v>44287</v>
      </c>
      <c r="E9" s="200">
        <f>IFERROR(IF(D9="","",IF(AND(BQ13=""),"",IF(AND('Master Data'!$I$28='GA55 Check &amp; Edit'!$AP$6),VLOOKUP(D9,ram,13,0),VLOOKUP(D9,ram,4,0)))),"")</f>
        <v>50800</v>
      </c>
      <c r="F9" s="201">
        <f>IFERROR(IF(D9="","",IF(D9=$AX$24,"",IF(AND(D9=$AX$25),$BC$25,IF(AND(D9=$AX$27),"",IF(AND(D9=$AX$28),"",IF(AND('Master Data'!$I$28='GA55 Check &amp; Edit'!$AP$5),VLOOKUP(D9,ram,7,0),"")))))),"")</f>
        <v>8636</v>
      </c>
      <c r="G9" s="201">
        <f>IFERROR(IF(D9="","",IF(D9=$AX$24,"",IF(AND(D9=$AX$25),"",IF(AND(D9=$AX$26),"",IF(AND(D9=$AX$27),"",IF(AND(D9=$AX$29),"",IF(AND('Master Data'!$I$28='GA55 Check &amp; Edit'!$AP$6),"",VLOOKUP(D9,ram,8,0)))))))),"")</f>
        <v>4064</v>
      </c>
      <c r="H9" s="201">
        <f>IFERROR(IF(D9="","",IF(AND(E9=""),"",IF(OR(D9=$AX$24,D9=$AX$25,D9=$AX$26,D9=$AX$27,D9=$AX$28,D9=$AX$29),"",IF(AND('Master Data'!$I$28='GA55 Check &amp; Edit'!$AP$5),'Master Data'!$B$43,"")))),"")</f>
        <v>0</v>
      </c>
      <c r="I9" s="201" t="str">
        <f>IFERROR(IF(D9="","",IF(AND(E9=""),"",IF(OR(D9=$AX$24,D9=$AX$25,D9=$AX$26,D9=$AX$27,D9=$AX$28,D9=$AX$29),"",IF(AND('Master Data'!$I$28='GA55 Check &amp; Edit'!$AP$5,'Master Data'!$E$28='GA55 Check &amp; Edit'!$AO$5),'Master Data'!$C$43,"0")))),"")</f>
        <v>0</v>
      </c>
      <c r="J9" s="201" t="str">
        <f>IFERROR(IF(OR('Master Data'!$E$32=$AO$6,'Master Data'!$E$32=""),"",IF(D9="","",IF(AND(E9=""),"",IF(OR(D9=$AX$24,D9=$AX$25,D9=$AX$26,D9=$AX$27,D9=$AX$28,D9=$AX$29),"",IF(AND('Master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9" s="201">
        <f>IFERROR(IF(D9="","",IF(AND(E9=""),"",IF(OR(D9=$AX$24,D9=$AX$25,D9=$AX$26,D9=$AX$27,D9=$AX$28,D9=$AX$29),"",IF(AND('Master Data'!$I$28='GA55 Check &amp; Edit'!$AP$5),'Master Data'!$E$43,"")))),"")</f>
        <v>0</v>
      </c>
      <c r="L9" s="201">
        <f>IFERROR(IF(D9="","",IF(AND(E9=""),"",IF(OR(D9=$AX$24,D9=$AX$25,D9=$AX$26,D9=$AX$27,D9=$AX$28,D9=$AX$29),"",IF(AND('Master Data'!$I$28='GA55 Check &amp; Edit'!$AP$6),"",'Master Data'!$F$43)))),"")</f>
        <v>0</v>
      </c>
      <c r="M9" s="201" t="str">
        <f>IFERROR(IF(D9="","",IF(AND('Master Data'!$I$28='GA55 Check &amp; Edit'!$AP$6),"",IF(AND('Master Data'!$I$24='GA55 Check &amp; Edit'!$AO$6),"",IF(AND(D9="Bonus"),VLOOKUP(D9,ram,4,0),"")))),"")</f>
        <v/>
      </c>
      <c r="N9" s="201">
        <f>IFERROR(IF(AND(D9=""),"",IF(AND(D9=$AX$25,'Master Data'!$I$30='GA55 Check &amp; Edit'!$AN$6),ROUND((E9+F9)*0.1,0),IF(AND(D9=$AX$29,'Master Data'!$I$30='GA55 Check &amp; Edit'!$AN$6),ROUND((F9)*0.1,0),IF(AND(D9=$AX$26,'Master Data'!$I$30='GA55 Check &amp; Edit'!$AN$6),ROUND((F9)*0.1,0),IF(AND(D9=$AX$27,'Master Data'!$I$30='GA55 Check &amp; Edit'!$AN$6),ROUND((E9+F9)*0.1,0),IF(AND('Master Data'!$I$30='GA55 Check &amp; Edit'!$AN$5),"",IF(AND('Master Data'!$I$30='GA55 Check &amp; Edit'!$AN$6,'Master Data'!$I$28='GA55 Check &amp; Edit'!$AP$6),ROUND((E9)*0.1,0),ROUND((E9+F9)*0.1,0)))))))),"")</f>
        <v>5944</v>
      </c>
      <c r="O9" s="43">
        <f>IF(D9="","",IF('Master Data'!$H$18='GA55 Check &amp; Edit'!$AO$5,SUM(E9:N9),SUM(E9:M9)))</f>
        <v>63500</v>
      </c>
      <c r="P9" s="319">
        <f>IFERROR(IF(OR('Master Data'!$I$28='GA55 Check &amp; Edit'!$AP$6,D9=""),"",IF(AND(D9=$AX$24),"",IF(AND(D9=$AX$25),"",IF(AND(D9=$AX$26),"",IF(AND(D9=$AX$27),"",IF(AND(D9=$AX$28),"",IF(AND(D9=$AX$29),"",IF(AND(E9=""),"",VLOOKUP(D9,ram,11,0))))))))),"")</f>
        <v>7000</v>
      </c>
      <c r="Q9" s="319">
        <f>IFERROR(IF(AND(D9="",E9=""),"",IF(AND(D9=$AX$25,'Master Data'!$I$30='GA55 Check &amp; Edit'!$AN$6),ROUND((E9+F9)*0.1,0),IF(AND(D9=$AX$29,'Master Data'!$I$30='GA55 Check &amp; Edit'!$AN$6),ROUND((F9)*0.1,0),IF(AND(D9=$AX$26,'Master Data'!$I$30='GA55 Check &amp; Edit'!$AN$6),ROUND((F9)*0.1,0),IF(AND(D9=$AX$27,'Master Data'!$I$30='GA55 Check &amp; Edit'!$AN$6),ROUND((E9+F9)*0.1,0),IF(AND('Master Data'!$I$30='GA55 Check &amp; Edit'!$AN$6,'Master Data'!$I$28='GA55 Check &amp; Edit'!$AP$6),ROUND((E9)*0.1,0),IF(AND('Master Data'!$I$30='GA55 Check &amp; Edit'!$AN$6,'Master Data'!$I$28='GA55 Check &amp; Edit'!$AP$5),ROUND((E9+F9)*0.1,0),IF(AND('Master Data'!$I$30='GA55 Check &amp; Edit'!$AN$5,'Master Data'!$I$28='GA55 Check &amp; Edit'!$AP$5),VLOOKUP(D9,ram,12,0))))))))),"")</f>
        <v>5944</v>
      </c>
      <c r="R9" s="319">
        <f>IFERROR(IF(OR('Master Data'!$I$28='GA55 Check &amp; Edit'!$AP$6,D9=""),"",IF(AND(D9=$AX$24),"",IF(AND(D9=$AX$25),"",IF(AND(D9=$AX$26),"",IF(AND(D9=$AX$27),"",IF(AND(D9=$AX$28),"",IF(AND(D9=$AX$29),"",IF(AND(D9=$AX$32),"",IF(AND(E9=""),"",'Master Data'!$I$43))))))))),"")</f>
        <v>1880</v>
      </c>
      <c r="S9" s="319">
        <f>IFERROR(IF(OR('Master Data'!$I$28='GA55 Check &amp; Edit'!$AP$6),"",IF(D9="","",IF(E9="","",IF(AND(D9=$AX$24),"",IF(AND(D9=$AX$25),"",IF(AND(D9=$AX$26),"",IF(AND(D9=$AX$27),"",IF(AND(D9=$AX$28),"",IF(AND(D9=$AX$29),"",VLOOKUP(D9,ram,10,0)))))))))),"")</f>
        <v>0</v>
      </c>
      <c r="T9" s="319">
        <f>IFERROR(IF(OR('Master Data'!$I$28='GA55 Check &amp; Edit'!$AP$6,D9=""),"",IF(AND(D9=$AX$24),"",IF(AND(D9=$AX$25),"",IF(AND(D9=$AX$26),"",IF(AND(D9=$AX$27),"",IF(AND(D9=$AX$28),"",IF(AND(D9=$AX$29),"",IF(AND(E9=""),"",'Master Data'!$K$43)))))))),"")</f>
        <v>0</v>
      </c>
      <c r="U9" s="319">
        <f>IFERROR(IF(OR('Master Data'!$I$28='GA55 Check &amp; Edit'!$AP$6,D9=""),"",IF(AND(D9=$AX$24),"",IF(AND(D9=$AX$25),"",IF(AND(D9=$AX$26),"",IF(AND(D9=$AX$27),"",IF(AND(D9=$AX$28),"",IF(AND(D9=$AX$29),"",IF(AND(E9=""),"",'Master Data'!$L$43)))))))),"")</f>
        <v>0</v>
      </c>
      <c r="V9" s="319">
        <f>IFERROR(IF(OR('Master Data'!$I$28='GA55 Check &amp; Edit'!$AP$6,D9=""),"",IF(AND(D9=$AX$24,'Master Data'!$I$28='GA55 Check &amp; Edit'!$AP$5,'Master Data'!$I$30='GA55 Check &amp; Edit'!$AN$6),ROUND(M9*50%,0),IF(AND(D9=$AX$25),"",IF(AND(D9=$AX$26,'Master Data'!$I$28='GA55 Check &amp; Edit'!$AP$5,'Master Data'!$I$30='GA55 Check &amp; Edit'!$AN$6),SUM(F9-N9),IF(AND(D9=$AX$27),"",IF(AND(D9=$AX$28),"",IF(AND(D9=$AX$29,'Master Data'!$I$28='GA55 Check &amp; Edit'!$AP$5,'Master Data'!$I$30='GA55 Check &amp; Edit'!$AN$6),SUM(F9-N9),IF(AND(E9=""),"",'Master Data'!$M$43)))))))),"")</f>
        <v>0</v>
      </c>
      <c r="W9" s="319">
        <f>IFERROR(IF(OR('Master Data'!$I$28='GA55 Check &amp; Edit'!$AP$6,D9=""),"",IF(AND(D9=$AX$24),"",IF(AND(D9=$AX$25),"",IF(AND(D9=$AX$26),"",IF(AND(D9=$AX$27),"",IF(AND(D9=$AX$28),"",IF(AND(D9=$AX$29),"",IF(AND(E9=""),"",'Master Data'!$O$43)))))))),"")</f>
        <v>0</v>
      </c>
      <c r="X9" s="319" t="str">
        <f>IFERROR(IF(OR('Master Data'!$I$28='GA55 Check &amp; Edit'!$AP$6,D9=""),"",IF(AND(E9=""),"",IF(AND('GA55 Check &amp; Edit'!D9='GA55 Check &amp; Edit'!$AT$17,'Master Data'!$D$18="Gazetted"),500,IF(AND('GA55 Check &amp; Edit'!D9='GA55 Check &amp; Edit'!$AT$17,'Master Data'!$D$18="Non-Gazetted"),250,"")))),"")</f>
        <v/>
      </c>
      <c r="Y9" s="319">
        <f>IFERROR(IF(D9="","",IF(AND(E9=""),"",IF(AND(D9=$AX$24),"",IF(AND(D9=$AX$25),"",IF(AND(D9=$AX$26),"",IF(AND(D9=$AX$27),"",IF(AND(D9=$AX$28),"",IF(AND(D9=$AX$29),"",IF(OR('Master Data'!$I$28='GA55 Check &amp; Edit'!$AP$6,D9=""),"",$Y$7))))))))),"")</f>
        <v>0</v>
      </c>
      <c r="Z9" s="319">
        <f>IFERROR(IF(OR('Master Data'!$I$28='GA55 Check &amp; Edit'!$AP$6),"",IF(D9="","",IF(E9="","",VLOOKUP(D9,ram,9,0)))),"")</f>
        <v>1500</v>
      </c>
      <c r="AA9" s="319">
        <f>IFERROR(IF(OR('Master Data'!$I$28='GA55 Check &amp; Edit'!$AP$6,D9="",'Master Data'!$N$38=""),"",IF(AND(E9=""),"",IF('GA55 Check &amp; Edit'!D9='GA55 Check &amp; Edit'!$AT$9,'Master Data'!$N$38,""))),"")</f>
        <v>220</v>
      </c>
      <c r="AB9" s="320">
        <f>IFERROR(IF(D9="","",IF(AND(O9=""),"",IF(AND(N9=""),SUM(P9:AA9),IF(AND('Master Data'!$H$18='GA55 Check &amp; Edit'!$AO$5,'Master Data'!$I$30='GA55 Check &amp; Edit'!$AN$6),SUM(P9:AA9)+N9,SUM(P9:AA9))))),"0")</f>
        <v>16544</v>
      </c>
      <c r="AC9" s="35">
        <f t="shared" ref="AC9:AC28" si="2">IFERROR(IF(AND(E9="",O9="",AB9=""),"",SUM(O9-AB9)),"")</f>
        <v>46956</v>
      </c>
      <c r="AD9" s="202"/>
      <c r="AE9" s="232"/>
      <c r="AF9" s="39"/>
      <c r="AR9" s="321" t="s">
        <v>14</v>
      </c>
      <c r="AS9" s="321" t="s">
        <v>92</v>
      </c>
      <c r="AT9" s="316">
        <v>44287</v>
      </c>
      <c r="AU9" s="321" t="s">
        <v>94</v>
      </c>
      <c r="AW9" s="323"/>
      <c r="AX9" s="324"/>
      <c r="AY9" s="324"/>
      <c r="AZ9" s="325">
        <v>44620</v>
      </c>
      <c r="BA9" s="324"/>
      <c r="BB9" s="324"/>
      <c r="BC9" s="324">
        <f>IF('Master Data'!I34&gt;9,ROUND('Master Data'!$E$36/31*15,0),IF('Master Data'!E34='GA55 Check &amp; Edit'!AO5,ROUND('Master Data'!$E$36/31*15,0),IF('Master Data'!I34&gt;=5,ROUND('Master Data'!$E$36/31*22,0),IF('Master Data'!D18='GA55 Check &amp; Edit'!AO5,ROUND('Master Data'!$E$36/31*22,0),'Master Data'!E36))))</f>
        <v>24581</v>
      </c>
      <c r="BD9" s="324"/>
      <c r="BE9" s="324"/>
      <c r="BF9" s="324"/>
      <c r="BG9" s="324"/>
      <c r="BH9" s="324"/>
      <c r="BI9" s="326"/>
      <c r="BJ9" s="327"/>
    </row>
    <row r="10" spans="1:103" s="321" customFormat="1" ht="21" customHeight="1">
      <c r="A10" s="34">
        <f t="shared" si="0"/>
        <v>1</v>
      </c>
      <c r="B10" s="50">
        <f t="shared" ref="B10:B28" si="3">IF(LEN(D10)&gt;=3,B9+1,0)</f>
        <v>3</v>
      </c>
      <c r="C10" s="51">
        <f t="shared" ref="C10:C11" si="4">IF(B10=0,"",B10)</f>
        <v>3</v>
      </c>
      <c r="D10" s="318">
        <f t="shared" si="1"/>
        <v>44317</v>
      </c>
      <c r="E10" s="200">
        <f>IFERROR(IF(D10="","",IF(AND(BQ14=""),"",IF(AND('Master Data'!$I$28='GA55 Check &amp; Edit'!$AP$6),VLOOKUP(D10,ram,13,0),VLOOKUP(D10,ram,4,0)))),"")</f>
        <v>50800</v>
      </c>
      <c r="F10" s="201">
        <f>IFERROR(IF(D10="","",IF(D10=$AX$24,"",IF(AND(D10=$AX$25),$BC$25,IF(AND(D10=$AX$27),"",IF(AND(D10=$AX$28),"",IF(AND('Master Data'!$I$28='GA55 Check &amp; Edit'!$AP$5),VLOOKUP(D10,ram,7,0),"")))))),"")</f>
        <v>8636</v>
      </c>
      <c r="G10" s="201">
        <f>IFERROR(IF(D10="","",IF(D10=$AX$24,"",IF(AND(D10=$AX$25),"",IF(AND(D10=$AX$26),"",IF(AND(D10=$AX$27),"",IF(AND(D10=$AX$29),"",IF(AND('Master Data'!$I$28='GA55 Check &amp; Edit'!$AP$6),"",VLOOKUP(D10,ram,8,0)))))))),"")</f>
        <v>4064</v>
      </c>
      <c r="H10" s="201">
        <f>IFERROR(IF(D10="","",IF(AND(E10=""),"",IF(OR(D10=$AX$24,D10=$AX$25,D10=$AX$26,D10=$AX$27,D10=$AX$28,D10=$AX$29),"",IF(AND('Master Data'!$I$28='GA55 Check &amp; Edit'!$AP$5),'Master Data'!$B$43,"")))),"")</f>
        <v>0</v>
      </c>
      <c r="I10" s="201" t="str">
        <f>IFERROR(IF(D10="","",IF(AND(E10=""),"",IF(OR(D10=$AX$24,D10=$AX$25,D10=$AX$26,D10=$AX$27,D10=$AX$28,D10=$AX$29),"",IF(AND('Master Data'!$I$28='GA55 Check &amp; Edit'!$AP$5,'Master Data'!$E$28='GA55 Check &amp; Edit'!$AO$5),'Master Data'!$C$43,"0")))),"")</f>
        <v>0</v>
      </c>
      <c r="J10" s="201" t="str">
        <f>IFERROR(IF(OR('Master Data'!$E$32=$AO$6,'Master Data'!$E$32=""),"",IF(D10="","",IF(AND(E10=""),"",IF(OR(D10=$AX$24,D10=$AX$25,D10=$AX$26,D10=$AX$27,D10=$AX$28,D10=$AX$29),"",IF(AND('Master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0" s="201">
        <f>IFERROR(IF(D10="","",IF(AND(E10=""),"",IF(OR(D10=$AX$24,D10=$AX$25,D10=$AX$26,D10=$AX$27,D10=$AX$28,D10=$AX$29),"",IF(AND('Master Data'!$I$28='GA55 Check &amp; Edit'!$AP$5),'Master Data'!$E$43,"")))),"")</f>
        <v>0</v>
      </c>
      <c r="L10" s="201">
        <f>IFERROR(IF(D10="","",IF(AND(E10=""),"",IF(OR(D10=$AX$24,D10=$AX$25,D10=$AX$26,D10=$AX$27,D10=$AX$28,D10=$AX$29),"",IF(AND('Master Data'!$I$28='GA55 Check &amp; Edit'!$AP$6),"",'Master Data'!$F$43)))),"")</f>
        <v>0</v>
      </c>
      <c r="M10" s="201" t="str">
        <f>IFERROR(IF(D10="","",IF(AND('Master Data'!$I$28='GA55 Check &amp; Edit'!$AP$6),"",IF(AND('Master Data'!$I$24='GA55 Check &amp; Edit'!$AO$6),"",IF(AND(D10="Bonus"),VLOOKUP(D10,ram,4,0),"")))),"")</f>
        <v/>
      </c>
      <c r="N10" s="201">
        <f>IFERROR(IF(AND(D10=""),"",IF(AND(D10=$AX$25,'Master Data'!$I$30='GA55 Check &amp; Edit'!$AN$6),ROUND((E10+F10)*0.1,0),IF(AND(D10=$AX$29,'Master Data'!$I$30='GA55 Check &amp; Edit'!$AN$6),ROUND((F10)*0.1,0),IF(AND(D10=$AX$26,'Master Data'!$I$30='GA55 Check &amp; Edit'!$AN$6),ROUND((F10)*0.1,0),IF(AND(D10=$AX$27,'Master Data'!$I$30='GA55 Check &amp; Edit'!$AN$6),ROUND((E10+F10)*0.1,0),IF(AND('Master Data'!$I$30='GA55 Check &amp; Edit'!$AN$5),"",IF(AND('Master Data'!$I$30='GA55 Check &amp; Edit'!$AN$6,'Master Data'!$I$28='GA55 Check &amp; Edit'!$AP$6),ROUND((E10)*0.1,0),ROUND((E10+F10)*0.1,0)))))))),"")</f>
        <v>5944</v>
      </c>
      <c r="O10" s="43">
        <f>IF(D10="","",IF('Master Data'!$H$18='GA55 Check &amp; Edit'!$AO$5,SUM(E10:N10),SUM(E10:M10)))</f>
        <v>63500</v>
      </c>
      <c r="P10" s="319">
        <f>IFERROR(IF(OR('Master Data'!$I$28='GA55 Check &amp; Edit'!$AP$6,D10=""),"",IF(AND(D10=$AX$24),"",IF(AND(D10=$AX$25),"",IF(AND(D10=$AX$26),"",IF(AND(D10=$AX$27),"",IF(AND(D10=$AX$28),"",IF(AND(D10=$AX$29),"",IF(AND(E10=""),"",VLOOKUP(D10,ram,11,0))))))))),"")</f>
        <v>7000</v>
      </c>
      <c r="Q10" s="319">
        <f>IFERROR(IF(AND(D10="",E10=""),"",IF(AND(D10=$AX$25,'Master Data'!$I$30='GA55 Check &amp; Edit'!$AN$6),ROUND((E10+F10)*0.1,0),IF(AND(D10=$AX$29,'Master Data'!$I$30='GA55 Check &amp; Edit'!$AN$6),ROUND((F10)*0.1,0),IF(AND(D10=$AX$26,'Master Data'!$I$30='GA55 Check &amp; Edit'!$AN$6),ROUND((F10)*0.1,0),IF(AND(D10=$AX$27,'Master Data'!$I$30='GA55 Check &amp; Edit'!$AN$6),ROUND((E10+F10)*0.1,0),IF(AND('Master Data'!$I$30='GA55 Check &amp; Edit'!$AN$6,'Master Data'!$I$28='GA55 Check &amp; Edit'!$AP$6),ROUND((E10)*0.1,0),IF(AND('Master Data'!$I$30='GA55 Check &amp; Edit'!$AN$6,'Master Data'!$I$28='GA55 Check &amp; Edit'!$AP$5),ROUND((E10+F10)*0.1,0),IF(AND('Master Data'!$I$30='GA55 Check &amp; Edit'!$AN$5,'Master Data'!$I$28='GA55 Check &amp; Edit'!$AP$5),VLOOKUP(D10,ram,12,0))))))))),"")</f>
        <v>5944</v>
      </c>
      <c r="R10" s="319">
        <f>IFERROR(IF(OR('Master Data'!$I$28='GA55 Check &amp; Edit'!$AP$6,D10=""),"",IF(AND(D10=$AX$24),"",IF(AND(D10=$AX$25),"",IF(AND(D10=$AX$26),"",IF(AND(D10=$AX$27),"",IF(AND(D10=$AX$28),"",IF(AND(D10=$AX$29),"",IF(AND(D10=$AX$32),"",IF(AND(E10=""),"",'Master Data'!$I$43))))))))),"")</f>
        <v>1880</v>
      </c>
      <c r="S10" s="319">
        <f>IFERROR(IF(OR('Master Data'!$I$28='GA55 Check &amp; Edit'!$AP$6),"",IF(D10="","",IF(E10="","",IF(AND(D10=$AX$24),"",IF(AND(D10=$AX$25),"",IF(AND(D10=$AX$26),"",IF(AND(D10=$AX$27),"",IF(AND(D10=$AX$28),"",IF(AND(D10=$AX$29),"",VLOOKUP(D10,ram,10,0)))))))))),"")</f>
        <v>0</v>
      </c>
      <c r="T10" s="319">
        <f>IFERROR(IF(OR('Master Data'!$I$28='GA55 Check &amp; Edit'!$AP$6,D10=""),"",IF(AND(D10=$AX$24),"",IF(AND(D10=$AX$25),"",IF(AND(D10=$AX$26),"",IF(AND(D10=$AX$27),"",IF(AND(D10=$AX$28),"",IF(AND(D10=$AX$29),"",IF(AND(E10=""),"",'Master Data'!$K$43)))))))),"")</f>
        <v>0</v>
      </c>
      <c r="U10" s="319">
        <f>IFERROR(IF(OR('Master Data'!$I$28='GA55 Check &amp; Edit'!$AP$6,D10=""),"",IF(AND(D10=$AX$24),"",IF(AND(D10=$AX$25),"",IF(AND(D10=$AX$26),"",IF(AND(D10=$AX$27),"",IF(AND(D10=$AX$28),"",IF(AND(D10=$AX$29),"",IF(AND(E10=""),"",'Master Data'!$L$43)))))))),"")</f>
        <v>0</v>
      </c>
      <c r="V10" s="319">
        <f>IFERROR(IF(OR('Master Data'!$I$28='GA55 Check &amp; Edit'!$AP$6,D10=""),"",IF(AND(D10=$AX$24,'Master Data'!$I$28='GA55 Check &amp; Edit'!$AP$5,'Master Data'!$I$30='GA55 Check &amp; Edit'!$AN$6),ROUND(M10*50%,0),IF(AND(D10=$AX$25),"",IF(AND(D10=$AX$26,'Master Data'!$I$28='GA55 Check &amp; Edit'!$AP$5,'Master Data'!$I$30='GA55 Check &amp; Edit'!$AN$6),SUM(F10-N10),IF(AND(D10=$AX$27),"",IF(AND(D10=$AX$28),"",IF(AND(D10=$AX$29,'Master Data'!$I$28='GA55 Check &amp; Edit'!$AP$5,'Master Data'!$I$30='GA55 Check &amp; Edit'!$AN$6),SUM(F10-N10),IF(AND(E10=""),"",'Master Data'!$M$43)))))))),"")</f>
        <v>0</v>
      </c>
      <c r="W10" s="319">
        <f>IFERROR(IF(OR('Master Data'!$I$28='GA55 Check &amp; Edit'!$AP$6,D10=""),"",IF(AND(D10=$AX$24),"",IF(AND(D10=$AX$25),"",IF(AND(D10=$AX$26),"",IF(AND(D10=$AX$27),"",IF(AND(D10=$AX$28),"",IF(AND(D10=$AX$29),"",IF(AND(E10=""),"",'Master Data'!$O$43)))))))),"")</f>
        <v>0</v>
      </c>
      <c r="X10" s="319" t="str">
        <f>IFERROR(IF(OR('Master Data'!$I$28='GA55 Check &amp; Edit'!$AP$6,D10=""),"",IF(AND(E10=""),"",IF(AND('GA55 Check &amp; Edit'!D10='GA55 Check &amp; Edit'!$AT$17,'Master Data'!$D$18="Gazetted"),500,IF(AND('GA55 Check &amp; Edit'!D10='GA55 Check &amp; Edit'!$AT$17,'Master Data'!$D$18="Non-Gazetted"),250,"")))),"")</f>
        <v/>
      </c>
      <c r="Y10" s="319">
        <f>IFERROR(IF(D10="","",IF(AND(E10=""),"",IF(AND(D10=$AX$24),"",IF(AND(D10=$AX$25),"",IF(AND(D10=$AX$26),"",IF(AND(D10=$AX$27),"",IF(AND(D10=$AX$28),"",IF(AND(D10=$AX$29),"",IF(OR('Master Data'!$I$28='GA55 Check &amp; Edit'!$AP$6,D10=""),"",$Y$7))))))))),"")</f>
        <v>0</v>
      </c>
      <c r="Z10" s="319">
        <f>IFERROR(IF(OR('Master Data'!$I$28='GA55 Check &amp; Edit'!$AP$6),"",IF(D10="","",IF(E10="","",VLOOKUP(D10,ram,9,0)))),"")</f>
        <v>1500</v>
      </c>
      <c r="AA10" s="319" t="str">
        <f>IFERROR(IF(OR('Master Data'!$I$28='GA55 Check &amp; Edit'!$AP$6,D10="",'Master Data'!$N$38=""),"",IF(AND(E10=""),"",IF('GA55 Check &amp; Edit'!D10='GA55 Check &amp; Edit'!$AT$9,'Master Data'!$N$38,""))),"")</f>
        <v/>
      </c>
      <c r="AB10" s="320">
        <f>IFERROR(IF(D10="","",IF(AND(O10=""),"",IF(AND(N10=""),SUM(P10:AA10),IF(AND('Master Data'!$H$18='GA55 Check &amp; Edit'!$AO$5,'Master Data'!$I$30='GA55 Check &amp; Edit'!$AN$6),SUM(P10:AA10)+N10,SUM(P10:AA10))))),"0")</f>
        <v>16324</v>
      </c>
      <c r="AC10" s="35">
        <f t="shared" si="2"/>
        <v>47176</v>
      </c>
      <c r="AD10" s="202"/>
      <c r="AE10" s="232"/>
      <c r="AF10" s="39"/>
      <c r="AR10" s="321" t="s">
        <v>19</v>
      </c>
      <c r="AS10" s="321" t="s">
        <v>18</v>
      </c>
      <c r="AT10" s="316">
        <v>44317</v>
      </c>
      <c r="AU10" s="321" t="s">
        <v>95</v>
      </c>
      <c r="AW10" s="328" t="s">
        <v>5</v>
      </c>
      <c r="AX10" s="322">
        <v>44197</v>
      </c>
      <c r="AY10" s="327"/>
      <c r="AZ10" s="327"/>
      <c r="BA10" s="327">
        <f>IF(AND('Master Data'!$E$36=""),"",'Master Data'!$E$36)</f>
        <v>50800</v>
      </c>
      <c r="BB10" s="327" t="str">
        <f>IF(AND(AX10&lt;$AZ$16),"",IF(AND(AX10&gt;$AZ$17),"",BA10))</f>
        <v/>
      </c>
      <c r="BC10" s="327">
        <f>IF(AND('Master Data'!$E$36=""),"",ROUND(17%*BA10,0))</f>
        <v>8636</v>
      </c>
      <c r="BD10" s="327" t="str">
        <f>IF(BB10="","",BC10)</f>
        <v/>
      </c>
      <c r="BE10" s="327"/>
      <c r="BF10" s="327"/>
      <c r="BG10" s="329" t="str">
        <f>IFERROR(IF(AND('Master Data'!$I$28='GA55 Check &amp; Edit'!$AP$6),"",IF(AND('Master Data'!$I$30='GA55 Check &amp; Edit'!$AN$6,'Master Data'!$N$36='GA55 Check &amp; Edit'!$AO$6),"",IF(AND('Master Data'!$I$30='GA55 Check &amp; Edit'!$AN$5),IF($AZ$15&lt;18001,265,IF($AZ$15&lt;33501,440,IF($AZ$15&lt;54001,658,875)))))),0)</f>
        <v/>
      </c>
      <c r="BH10" s="327">
        <f>IFERROR(IF(OR('Master Data'!$I$28='GA55 Check &amp; Edit'!$AP$6),"",'Master Data'!$G$43),"")</f>
        <v>7000</v>
      </c>
      <c r="BI10" s="330">
        <f>IFERROR(IF(AND('Master Data'!$I$30='GA55 Check &amp; Edit'!$AN$6),ROUND((E9)*0.1,0),IF(AND('Master Data'!$I$28='GA55 Check &amp; Edit'!$AP$6),ROUND((E9+F9)*0.1,0),'Master Data'!$H$43)),"")</f>
        <v>5080</v>
      </c>
      <c r="BJ10" s="327">
        <f>BA10</f>
        <v>50800</v>
      </c>
      <c r="BL10" s="321">
        <f>MONTH(AZ17)</f>
        <v>2</v>
      </c>
      <c r="BS10" s="331">
        <f>D8</f>
        <v>44256</v>
      </c>
    </row>
    <row r="11" spans="1:103" s="321" customFormat="1" ht="21" customHeight="1">
      <c r="A11" s="34">
        <f t="shared" si="0"/>
        <v>0</v>
      </c>
      <c r="B11" s="50">
        <f t="shared" si="3"/>
        <v>4</v>
      </c>
      <c r="C11" s="51">
        <f t="shared" si="4"/>
        <v>4</v>
      </c>
      <c r="D11" s="318">
        <f t="shared" si="1"/>
        <v>44348</v>
      </c>
      <c r="E11" s="200">
        <f>IFERROR(IF(D11="","",IF(AND(BQ15=""),"",IF(AND('Master Data'!$I$28='GA55 Check &amp; Edit'!$AP$6),VLOOKUP(D11,ram,13,0),VLOOKUP(D11,ram,4,0)))),"")</f>
        <v>50800</v>
      </c>
      <c r="F11" s="201">
        <f>IFERROR(IF(D11="","",IF(D11=$AX$24,"",IF(AND(D11=$AX$25),$BC$25,IF(AND(D11=$AX$27),"",IF(AND(D11=$AX$28),"",IF(AND('Master Data'!$I$28='GA55 Check &amp; Edit'!$AP$5),VLOOKUP(D11,ram,7,0),"")))))),"")</f>
        <v>8636</v>
      </c>
      <c r="G11" s="201">
        <f>IFERROR(IF(D11="","",IF(D11=$AX$24,"",IF(AND(D11=$AX$25),"",IF(AND(D11=$AX$26),"",IF(AND(D11=$AX$27),"",IF(AND(D11=$AX$29),"",IF(AND('Master Data'!$I$28='GA55 Check &amp; Edit'!$AP$6),"",VLOOKUP(D11,ram,8,0)))))))),"")</f>
        <v>4064</v>
      </c>
      <c r="H11" s="201">
        <f>IFERROR(IF(D11="","",IF(AND(E11=""),"",IF(OR(D11=$AX$24,D11=$AX$25,D11=$AX$26,D11=$AX$27,D11=$AX$28,D11=$AX$29),"",IF(AND('Master Data'!$I$28='GA55 Check &amp; Edit'!$AP$5),'Master Data'!$B$43,"")))),"")</f>
        <v>0</v>
      </c>
      <c r="I11" s="201" t="str">
        <f>IFERROR(IF(D11="","",IF(AND(E11=""),"",IF(OR(D11=$AX$24,D11=$AX$25,D11=$AX$26,D11=$AX$27,D11=$AX$28,D11=$AX$29),"",IF(AND('Master Data'!$I$28='GA55 Check &amp; Edit'!$AP$5,'Master Data'!$E$28='GA55 Check &amp; Edit'!$AO$5),'Master Data'!$C$43,"0")))),"")</f>
        <v>0</v>
      </c>
      <c r="J11" s="201" t="str">
        <f>IFERROR(IF(OR('Master Data'!$E$32=$AO$6,'Master Data'!$E$32=""),"",IF(D11="","",IF(AND(E11=""),"",IF(OR(D11=$AX$24,D11=$AX$25,D11=$AX$26,D11=$AX$27,D11=$AX$28,D11=$AX$29),"",IF(AND('Master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1" s="201">
        <f>IFERROR(IF(D11="","",IF(AND(E11=""),"",IF(OR(D11=$AX$24,D11=$AX$25,D11=$AX$26,D11=$AX$27,D11=$AX$28,D11=$AX$29),"",IF(AND('Master Data'!$I$28='GA55 Check &amp; Edit'!$AP$5),'Master Data'!$E$43,"")))),"")</f>
        <v>0</v>
      </c>
      <c r="L11" s="201">
        <f>IFERROR(IF(D11="","",IF(AND(E11=""),"",IF(OR(D11=$AX$24,D11=$AX$25,D11=$AX$26,D11=$AX$27,D11=$AX$28,D11=$AX$29),"",IF(AND('Master Data'!$I$28='GA55 Check &amp; Edit'!$AP$6),"",'Master Data'!$F$43)))),"")</f>
        <v>0</v>
      </c>
      <c r="M11" s="201" t="str">
        <f>IFERROR(IF(D11="","",IF(AND('Master Data'!$I$28='GA55 Check &amp; Edit'!$AP$6),"",IF(AND('Master Data'!$I$24='GA55 Check &amp; Edit'!$AO$6),"",IF(AND(D11="Bonus"),VLOOKUP(D11,ram,4,0),"")))),"")</f>
        <v/>
      </c>
      <c r="N11" s="201">
        <f>IFERROR(IF(AND(D11=""),"",IF(AND(D11=$AX$25,'Master Data'!$I$30='GA55 Check &amp; Edit'!$AN$6),ROUND((E11+F11)*0.1,0),IF(AND(D11=$AX$29,'Master Data'!$I$30='GA55 Check &amp; Edit'!$AN$6),ROUND((F11)*0.1,0),IF(AND(D11=$AX$26,'Master Data'!$I$30='GA55 Check &amp; Edit'!$AN$6),ROUND((F11)*0.1,0),IF(AND(D11=$AX$27,'Master Data'!$I$30='GA55 Check &amp; Edit'!$AN$6),ROUND((E11+F11)*0.1,0),IF(AND('Master Data'!$I$30='GA55 Check &amp; Edit'!$AN$5),"",IF(AND('Master Data'!$I$30='GA55 Check &amp; Edit'!$AN$6,'Master Data'!$I$28='GA55 Check &amp; Edit'!$AP$6),ROUND((E11)*0.1,0),ROUND((E11+F11)*0.1,0)))))))),"")</f>
        <v>5944</v>
      </c>
      <c r="O11" s="43">
        <f>IF(D11="","",IF('Master Data'!$H$18='GA55 Check &amp; Edit'!$AO$5,SUM(E11:N11),SUM(E11:M11)))</f>
        <v>63500</v>
      </c>
      <c r="P11" s="319">
        <f>IFERROR(IF(OR('Master Data'!$I$28='GA55 Check &amp; Edit'!$AP$6,D11=""),"",IF(AND(D11=$AX$24),"",IF(AND(D11=$AX$25),"",IF(AND(D11=$AX$26),"",IF(AND(D11=$AX$27),"",IF(AND(D11=$AX$28),"",IF(AND(D11=$AX$29),"",IF(AND(E11=""),"",VLOOKUP(D11,ram,11,0))))))))),"")</f>
        <v>7000</v>
      </c>
      <c r="Q11" s="319">
        <f>IFERROR(IF(AND(D11="",E11=""),"",IF(AND(D11=$AX$25,'Master Data'!$I$30='GA55 Check &amp; Edit'!$AN$6),ROUND((E11+F11)*0.1,0),IF(AND(D11=$AX$29,'Master Data'!$I$30='GA55 Check &amp; Edit'!$AN$6),ROUND((F11)*0.1,0),IF(AND(D11=$AX$26,'Master Data'!$I$30='GA55 Check &amp; Edit'!$AN$6),ROUND((F11)*0.1,0),IF(AND(D11=$AX$27,'Master Data'!$I$30='GA55 Check &amp; Edit'!$AN$6),ROUND((E11+F11)*0.1,0),IF(AND('Master Data'!$I$30='GA55 Check &amp; Edit'!$AN$6,'Master Data'!$I$28='GA55 Check &amp; Edit'!$AP$6),ROUND((E11)*0.1,0),IF(AND('Master Data'!$I$30='GA55 Check &amp; Edit'!$AN$6,'Master Data'!$I$28='GA55 Check &amp; Edit'!$AP$5),ROUND((E11+F11)*0.1,0),IF(AND('Master Data'!$I$30='GA55 Check &amp; Edit'!$AN$5,'Master Data'!$I$28='GA55 Check &amp; Edit'!$AP$5),VLOOKUP(D11,ram,12,0))))))))),"")</f>
        <v>5944</v>
      </c>
      <c r="R11" s="319">
        <f>IFERROR(IF(OR('Master Data'!$I$28='GA55 Check &amp; Edit'!$AP$6,D11=""),"",IF(AND(D11=$AX$24),"",IF(AND(D11=$AX$25),"",IF(AND(D11=$AX$26),"",IF(AND(D11=$AX$27),"",IF(AND(D11=$AX$28),"",IF(AND(D11=$AX$29),"",IF(AND(D11=$AX$32),"",IF(AND(E11=""),"",'Master Data'!$I$43))))))))),"")</f>
        <v>1880</v>
      </c>
      <c r="S11" s="319">
        <f>IFERROR(IF(OR('Master Data'!$I$28='GA55 Check &amp; Edit'!$AP$6),"",IF(D11="","",IF(E11="","",IF(AND(D11=$AX$24),"",IF(AND(D11=$AX$25),"",IF(AND(D11=$AX$26),"",IF(AND(D11=$AX$27),"",IF(AND(D11=$AX$28),"",IF(AND(D11=$AX$29),"",VLOOKUP(D11,ram,10,0)))))))))),"")</f>
        <v>0</v>
      </c>
      <c r="T11" s="319">
        <f>IFERROR(IF(OR('Master Data'!$I$28='GA55 Check &amp; Edit'!$AP$6,D11=""),"",IF(AND(D11=$AX$24),"",IF(AND(D11=$AX$25),"",IF(AND(D11=$AX$26),"",IF(AND(D11=$AX$27),"",IF(AND(D11=$AX$28),"",IF(AND(D11=$AX$29),"",IF(AND(E11=""),"",'Master Data'!$K$43)))))))),"")</f>
        <v>0</v>
      </c>
      <c r="U11" s="319">
        <f>IFERROR(IF(OR('Master Data'!$I$28='GA55 Check &amp; Edit'!$AP$6,D11=""),"",IF(AND(D11=$AX$24),"",IF(AND(D11=$AX$25),"",IF(AND(D11=$AX$26),"",IF(AND(D11=$AX$27),"",IF(AND(D11=$AX$28),"",IF(AND(D11=$AX$29),"",IF(AND(E11=""),"",'Master Data'!$L$43)))))))),"")</f>
        <v>0</v>
      </c>
      <c r="V11" s="319">
        <f>IFERROR(IF(OR('Master Data'!$I$28='GA55 Check &amp; Edit'!$AP$6,D11=""),"",IF(AND(D11=$AX$24,'Master Data'!$I$28='GA55 Check &amp; Edit'!$AP$5,'Master Data'!$I$30='GA55 Check &amp; Edit'!$AN$6),ROUND(M11*50%,0),IF(AND(D11=$AX$25),"",IF(AND(D11=$AX$26,'Master Data'!$I$28='GA55 Check &amp; Edit'!$AP$5,'Master Data'!$I$30='GA55 Check &amp; Edit'!$AN$6),SUM(F11-N11),IF(AND(D11=$AX$27),"",IF(AND(D11=$AX$28),"",IF(AND(D11=$AX$29,'Master Data'!$I$28='GA55 Check &amp; Edit'!$AP$5,'Master Data'!$I$30='GA55 Check &amp; Edit'!$AN$6),SUM(F11-N11),IF(AND(E11=""),"",'Master Data'!$M$43)))))))),"")</f>
        <v>0</v>
      </c>
      <c r="W11" s="319">
        <f>IFERROR(IF(OR('Master Data'!$I$28='GA55 Check &amp; Edit'!$AP$6,D11=""),"",IF(AND(D11=$AX$24),"",IF(AND(D11=$AX$25),"",IF(AND(D11=$AX$26),"",IF(AND(D11=$AX$27),"",IF(AND(D11=$AX$28),"",IF(AND(D11=$AX$29),"",IF(AND(E11=""),"",'Master Data'!$O$43)))))))),"")</f>
        <v>0</v>
      </c>
      <c r="X11" s="319" t="str">
        <f>IFERROR(IF(OR('Master Data'!$I$28='GA55 Check &amp; Edit'!$AP$6,D11=""),"",IF(AND(E11=""),"",IF(AND('GA55 Check &amp; Edit'!D11='GA55 Check &amp; Edit'!$AT$17,'Master Data'!$D$18="Gazetted"),500,IF(AND('GA55 Check &amp; Edit'!D11='GA55 Check &amp; Edit'!$AT$17,'Master Data'!$D$18="Non-Gazetted"),250,"")))),"")</f>
        <v/>
      </c>
      <c r="Y11" s="319">
        <f>IFERROR(IF(D11="","",IF(AND(E11=""),"",IF(AND(D11=$AX$24),"",IF(AND(D11=$AX$25),"",IF(AND(D11=$AX$26),"",IF(AND(D11=$AX$27),"",IF(AND(D11=$AX$28),"",IF(AND(D11=$AX$29),"",IF(OR('Master Data'!$I$28='GA55 Check &amp; Edit'!$AP$6,D11=""),"",$Y$7))))))))),"")</f>
        <v>0</v>
      </c>
      <c r="Z11" s="319">
        <f>IFERROR(IF(OR('Master Data'!$I$28='GA55 Check &amp; Edit'!$AP$6),"",IF(D11="","",IF(E11="","",VLOOKUP(D11,ram,9,0)))),"")</f>
        <v>1500</v>
      </c>
      <c r="AA11" s="319" t="str">
        <f>IFERROR(IF(OR('Master Data'!$I$28='GA55 Check &amp; Edit'!$AP$6,D11="",'Master Data'!$N$38=""),"",IF(AND(E11=""),"",IF('GA55 Check &amp; Edit'!D11='GA55 Check &amp; Edit'!$AT$9,'Master Data'!$N$38,""))),"")</f>
        <v/>
      </c>
      <c r="AB11" s="320">
        <f>IFERROR(IF(D11="","",IF(AND(O11=""),"",IF(AND(N11=""),SUM(P11:AA11),IF(AND('Master Data'!$H$18='GA55 Check &amp; Edit'!$AO$5,'Master Data'!$I$30='GA55 Check &amp; Edit'!$AN$6),SUM(P11:AA11)+N11,SUM(P11:AA11))))),"0")</f>
        <v>16324</v>
      </c>
      <c r="AC11" s="35">
        <f t="shared" si="2"/>
        <v>47176</v>
      </c>
      <c r="AD11" s="202"/>
      <c r="AE11" s="232"/>
      <c r="AF11" s="39"/>
      <c r="AR11" s="321" t="s">
        <v>21</v>
      </c>
      <c r="AS11" s="321" t="s">
        <v>20</v>
      </c>
      <c r="AT11" s="316">
        <v>44348</v>
      </c>
      <c r="AU11" s="321" t="s">
        <v>96</v>
      </c>
      <c r="AW11" s="328" t="s">
        <v>92</v>
      </c>
      <c r="AX11" s="322">
        <v>44228</v>
      </c>
      <c r="AY11" s="327"/>
      <c r="AZ11" s="332"/>
      <c r="BA11" s="327">
        <f>IF(AND('Master Data'!$E$36=""),"",'Master Data'!$E$36)</f>
        <v>50800</v>
      </c>
      <c r="BB11" s="327" t="str">
        <f>IF(AND(AX11&lt;$AZ$16),"",IF(AND(AX11&gt;$AZ$17),"",BA11))</f>
        <v/>
      </c>
      <c r="BC11" s="327">
        <f>IF(AND('Master Data'!$E$36=""),"",ROUND(17%*BA11,0))</f>
        <v>8636</v>
      </c>
      <c r="BD11" s="327" t="str">
        <f>IF(BB11="","",BC11)</f>
        <v/>
      </c>
      <c r="BE11" s="327"/>
      <c r="BF11" s="327"/>
      <c r="BG11" s="329" t="str">
        <f>IF(AND('Master Data'!$I$28='GA55 Check &amp; Edit'!$AP$6),"",IF(AND('Master Data'!$I$30='GA55 Check &amp; Edit'!$AN$6,'Master Data'!$N$36='GA55 Check &amp; Edit'!$AO$6),"",IF(AND('Master Data'!$I$30='GA55 Check &amp; Edit'!$AN$5),IF($AZ$15&lt;18001,265,IF($AZ$15&lt;33501,440,IF($AZ$15&lt;54001,658,875))))))</f>
        <v/>
      </c>
      <c r="BH11" s="327">
        <f>IFERROR(IF(OR('Master Data'!$I$28='GA55 Check &amp; Edit'!$AP$6),"",'Master Data'!$G$43),"")</f>
        <v>7000</v>
      </c>
      <c r="BI11" s="330">
        <f>IFERROR(IF(AND('Master Data'!$I$30='GA55 Check &amp; Edit'!$AN$6),ROUND((E9)*0.1,0),IF(AND('Master Data'!$I$28='GA55 Check &amp; Edit'!$AP$6),ROUND((E9+F9)*0.1,0),'Master Data'!$H$43)),"")</f>
        <v>5080</v>
      </c>
      <c r="BJ11" s="327">
        <f>BA11</f>
        <v>50800</v>
      </c>
      <c r="BP11" s="333"/>
    </row>
    <row r="12" spans="1:103" s="321" customFormat="1" ht="21" customHeight="1">
      <c r="A12" s="34">
        <f t="shared" si="0"/>
        <v>1</v>
      </c>
      <c r="B12" s="50">
        <f>IF(LEN(D12)&gt;=3,B11+1,0)</f>
        <v>5</v>
      </c>
      <c r="C12" s="51">
        <f>IF(B12=0,"",B12)</f>
        <v>5</v>
      </c>
      <c r="D12" s="318">
        <f t="shared" si="1"/>
        <v>44378</v>
      </c>
      <c r="E12" s="200">
        <f>IFERROR(IF(D12="","",IF(AND(BQ16=""),"",IF(AND('Master Data'!$I$28='GA55 Check &amp; Edit'!$AP$6),VLOOKUP(D12,ram,13,0),VLOOKUP(D12,ram,4,0)))),"")</f>
        <v>52300</v>
      </c>
      <c r="F12" s="201">
        <f>IFERROR(IF(D12="","",IF(D12=$AX$24,"",IF(AND(D12=$AX$25),$BC$25,IF(AND(D12=$AX$27),"",IF(AND(D12=$AX$28),"",IF(AND('Master Data'!$I$28='GA55 Check &amp; Edit'!$AP$5),VLOOKUP(D12,ram,7,0),"")))))),"")</f>
        <v>14644</v>
      </c>
      <c r="G12" s="201">
        <f>IFERROR(IF(D12="","",IF(D12=$AX$24,"",IF(AND(D12=$AX$25),"",IF(AND(D12=$AX$26),"",IF(AND(D12=$AX$27),"",IF(AND(D12=$AX$29),"",IF(AND('Master Data'!$I$28='GA55 Check &amp; Edit'!$AP$6),"",VLOOKUP(D12,ram,8,0)))))))),"")</f>
        <v>4184</v>
      </c>
      <c r="H12" s="201">
        <f>IFERROR(IF(D12="","",IF(AND(E12=""),"",IF(OR(D12=$AX$24,D12=$AX$25,D12=$AX$26,D12=$AX$27,D12=$AX$28,D12=$AX$29),"",IF(AND('Master Data'!$I$28='GA55 Check &amp; Edit'!$AP$5),'Master Data'!$B$43,"")))),"")</f>
        <v>0</v>
      </c>
      <c r="I12" s="201" t="str">
        <f>IFERROR(IF(D12="","",IF(AND(E12=""),"",IF(OR(D12=$AX$24,D12=$AX$25,D12=$AX$26,D12=$AX$27,D12=$AX$28,D12=$AX$29),"",IF(AND('Master Data'!$I$28='GA55 Check &amp; Edit'!$AP$5,'Master Data'!$E$28='GA55 Check &amp; Edit'!$AO$5),'Master Data'!$C$43,"0")))),"")</f>
        <v>0</v>
      </c>
      <c r="J12" s="201" t="str">
        <f>IFERROR(IF(OR('Master Data'!$E$32=$AO$6,'Master Data'!$E$32=""),"",IF(D12="","",IF(AND(E12=""),"",IF(OR(D12=$AX$24,D12=$AX$25,D12=$AX$26,D12=$AX$27,D12=$AX$28,D12=$AX$29),"",IF(AND('Master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2" s="201">
        <f>IFERROR(IF(D12="","",IF(AND(E12=""),"",IF(OR(D12=$AX$24,D12=$AX$25,D12=$AX$26,D12=$AX$27,D12=$AX$28,D12=$AX$29),"",IF(AND('Master Data'!$I$28='GA55 Check &amp; Edit'!$AP$5),'Master Data'!$E$43,"")))),"")</f>
        <v>0</v>
      </c>
      <c r="L12" s="201">
        <f>IFERROR(IF(D12="","",IF(AND(E12=""),"",IF(OR(D12=$AX$24,D12=$AX$25,D12=$AX$26,D12=$AX$27,D12=$AX$28,D12=$AX$29),"",IF(AND('Master Data'!$I$28='GA55 Check &amp; Edit'!$AP$6),"",'Master Data'!$F$43)))),"")</f>
        <v>0</v>
      </c>
      <c r="M12" s="201" t="str">
        <f>IFERROR(IF(D12="","",IF(AND('Master Data'!$I$28='GA55 Check &amp; Edit'!$AP$6),"",IF(AND('Master Data'!$I$24='GA55 Check &amp; Edit'!$AO$6),"",IF(AND(D12="Bonus"),VLOOKUP(D12,ram,4,0),"")))),"")</f>
        <v/>
      </c>
      <c r="N12" s="201">
        <f>IFERROR(IF(AND(D12=""),"",IF(AND(D12=$AX$25,'Master Data'!$I$30='GA55 Check &amp; Edit'!$AN$6),ROUND((E12+F12)*0.1,0),IF(AND(D12=$AX$29,'Master Data'!$I$30='GA55 Check &amp; Edit'!$AN$6),ROUND((F12)*0.1,0),IF(AND(D12=$AX$26,'Master Data'!$I$30='GA55 Check &amp; Edit'!$AN$6),ROUND((F12)*0.1,0),IF(AND(D12=$AX$27,'Master Data'!$I$30='GA55 Check &amp; Edit'!$AN$6),ROUND((E12+F12)*0.1,0),IF(AND('Master Data'!$I$30='GA55 Check &amp; Edit'!$AN$5),"",IF(AND('Master Data'!$I$30='GA55 Check &amp; Edit'!$AN$6,'Master Data'!$I$28='GA55 Check &amp; Edit'!$AP$6),ROUND((E12)*0.1,0),ROUND((E12+F12)*0.1,0)))))))),"")</f>
        <v>6694</v>
      </c>
      <c r="O12" s="43">
        <f>IF(D12="","",IF('Master Data'!$H$18='GA55 Check &amp; Edit'!$AO$5,SUM(E12:N12),SUM(E12:M12)))</f>
        <v>71128</v>
      </c>
      <c r="P12" s="319">
        <f>IFERROR(IF(OR('Master Data'!$I$28='GA55 Check &amp; Edit'!$AP$6,D12=""),"",IF(AND(D12=$AX$24),"",IF(AND(D12=$AX$25),"",IF(AND(D12=$AX$26),"",IF(AND(D12=$AX$27),"",IF(AND(D12=$AX$28),"",IF(AND(D12=$AX$29),"",IF(AND(E12=""),"",VLOOKUP(D12,ram,11,0))))))))),"")</f>
        <v>7000</v>
      </c>
      <c r="Q12" s="319">
        <f>IFERROR(IF(AND(D12="",E12=""),"",IF(AND(D12=$AX$25,'Master Data'!$I$30='GA55 Check &amp; Edit'!$AN$6),ROUND((E12+F12)*0.1,0),IF(AND(D12=$AX$29,'Master Data'!$I$30='GA55 Check &amp; Edit'!$AN$6),ROUND((F12)*0.1,0),IF(AND(D12=$AX$26,'Master Data'!$I$30='GA55 Check &amp; Edit'!$AN$6),ROUND((F12)*0.1,0),IF(AND(D12=$AX$27,'Master Data'!$I$30='GA55 Check &amp; Edit'!$AN$6),ROUND((E12+F12)*0.1,0),IF(AND('Master Data'!$I$30='GA55 Check &amp; Edit'!$AN$6,'Master Data'!$I$28='GA55 Check &amp; Edit'!$AP$6),ROUND((E12)*0.1,0),IF(AND('Master Data'!$I$30='GA55 Check &amp; Edit'!$AN$6,'Master Data'!$I$28='GA55 Check &amp; Edit'!$AP$5),ROUND((E12+F12)*0.1,0),IF(AND('Master Data'!$I$30='GA55 Check &amp; Edit'!$AN$5,'Master Data'!$I$28='GA55 Check &amp; Edit'!$AP$5),VLOOKUP(D12,ram,12,0))))))))),"")</f>
        <v>6694</v>
      </c>
      <c r="R12" s="319">
        <f>IFERROR(IF(OR('Master Data'!$I$28='GA55 Check &amp; Edit'!$AP$6,D12=""),"",IF(AND(D12=$AX$24),"",IF(AND(D12=$AX$25),"",IF(AND(D12=$AX$26),"",IF(AND(D12=$AX$27),"",IF(AND(D12=$AX$28),"",IF(AND(D12=$AX$29),"",IF(AND(D12=$AX$32),"",IF(AND(E12=""),"",'Master Data'!$I$43))))))))),"")</f>
        <v>1880</v>
      </c>
      <c r="S12" s="319">
        <f>IFERROR(IF(OR('Master Data'!$I$28='GA55 Check &amp; Edit'!$AP$6),"",IF(D12="","",IF(E12="","",IF(AND(D12=$AX$24),"",IF(AND(D12=$AX$25),"",IF(AND(D12=$AX$26),"",IF(AND(D12=$AX$27),"",IF(AND(D12=$AX$28),"",IF(AND(D12=$AX$29),"",VLOOKUP(D12,ram,10,0)))))))))),"")</f>
        <v>0</v>
      </c>
      <c r="T12" s="319">
        <f>IFERROR(IF(OR('Master Data'!$I$28='GA55 Check &amp; Edit'!$AP$6,D12=""),"",IF(AND(D12=$AX$24),"",IF(AND(D12=$AX$25),"",IF(AND(D12=$AX$26),"",IF(AND(D12=$AX$27),"",IF(AND(D12=$AX$28),"",IF(AND(D12=$AX$29),"",IF(AND(E12=""),"",'Master Data'!$K$43)))))))),"")</f>
        <v>0</v>
      </c>
      <c r="U12" s="319">
        <f>IFERROR(IF(OR('Master Data'!$I$28='GA55 Check &amp; Edit'!$AP$6,D12=""),"",IF(AND(D12=$AX$24),"",IF(AND(D12=$AX$25),"",IF(AND(D12=$AX$26),"",IF(AND(D12=$AX$27),"",IF(AND(D12=$AX$28),"",IF(AND(D12=$AX$29),"",IF(AND(E12=""),"",'Master Data'!$L$43)))))))),"")</f>
        <v>0</v>
      </c>
      <c r="V12" s="319">
        <f>IFERROR(IF(OR('Master Data'!$I$28='GA55 Check &amp; Edit'!$AP$6,D12=""),"",IF(AND(D12=$AX$24,'Master Data'!$I$28='GA55 Check &amp; Edit'!$AP$5,'Master Data'!$I$30='GA55 Check &amp; Edit'!$AN$6),ROUND(M12*50%,0),IF(AND(D12=$AX$25),"",IF(AND(D12=$AX$26,'Master Data'!$I$28='GA55 Check &amp; Edit'!$AP$5,'Master Data'!$I$30='GA55 Check &amp; Edit'!$AN$6),SUM(F12-N12),IF(AND(D12=$AX$27),"",IF(AND(D12=$AX$28),"",IF(AND(D12=$AX$29,'Master Data'!$I$28='GA55 Check &amp; Edit'!$AP$5,'Master Data'!$I$30='GA55 Check &amp; Edit'!$AN$6),SUM(F12-N12),IF(AND(E12=""),"",'Master Data'!$M$43)))))))),"")</f>
        <v>0</v>
      </c>
      <c r="W12" s="319">
        <f>IFERROR(IF(OR('Master Data'!$I$28='GA55 Check &amp; Edit'!$AP$6,D12=""),"",IF(AND(D12=$AX$24),"",IF(AND(D12=$AX$25),"",IF(AND(D12=$AX$26),"",IF(AND(D12=$AX$27),"",IF(AND(D12=$AX$28),"",IF(AND(D12=$AX$29),"",IF(AND(E12=""),"",'Master Data'!$O$43)))))))),"")</f>
        <v>0</v>
      </c>
      <c r="X12" s="319" t="str">
        <f>IFERROR(IF(OR('Master Data'!$I$28='GA55 Check &amp; Edit'!$AP$6,D12=""),"",IF(AND(E12=""),"",IF(AND('GA55 Check &amp; Edit'!D12='GA55 Check &amp; Edit'!$AT$17,'Master Data'!$D$18="Gazetted"),500,IF(AND('GA55 Check &amp; Edit'!D12='GA55 Check &amp; Edit'!$AT$17,'Master Data'!$D$18="Non-Gazetted"),250,"")))),"")</f>
        <v/>
      </c>
      <c r="Y12" s="319">
        <f>IFERROR(IF(D12="","",IF(AND(E12=""),"",IF(AND(D12=$AX$24),"",IF(AND(D12=$AX$25),"",IF(AND(D12=$AX$26),"",IF(AND(D12=$AX$27),"",IF(AND(D12=$AX$28),"",IF(AND(D12=$AX$29),"",IF(OR('Master Data'!$I$28='GA55 Check &amp; Edit'!$AP$6,D12=""),"",$Y$7))))))))),"")</f>
        <v>0</v>
      </c>
      <c r="Z12" s="319">
        <f>IFERROR(IF(OR('Master Data'!$I$28='GA55 Check &amp; Edit'!$AP$6),"",IF(D12="","",IF(E12="","",VLOOKUP(D12,ram,9,0)))),"")</f>
        <v>1500</v>
      </c>
      <c r="AA12" s="319" t="str">
        <f>IFERROR(IF(OR('Master Data'!$I$28='GA55 Check &amp; Edit'!$AP$6,D12="",'Master Data'!$N$38=""),"",IF(AND(E12=""),"",IF('GA55 Check &amp; Edit'!D12='GA55 Check &amp; Edit'!$AT$9,'Master Data'!$N$38,""))),"")</f>
        <v/>
      </c>
      <c r="AB12" s="320">
        <f>IFERROR(IF(D12="","",IF(AND(O12=""),"",IF(AND(N12=""),SUM(P12:AA12),IF(AND('Master Data'!$H$18='GA55 Check &amp; Edit'!$AO$5,'Master Data'!$I$30='GA55 Check &amp; Edit'!$AN$6),SUM(P12:AA12)+N12,SUM(P12:AA12))))),"0")</f>
        <v>17074</v>
      </c>
      <c r="AC12" s="35">
        <f t="shared" si="2"/>
        <v>54054</v>
      </c>
      <c r="AD12" s="202"/>
      <c r="AE12" s="232"/>
      <c r="AF12" s="39"/>
      <c r="AR12" s="321" t="s">
        <v>23</v>
      </c>
      <c r="AS12" s="321" t="s">
        <v>22</v>
      </c>
      <c r="AT12" s="316">
        <v>44378</v>
      </c>
      <c r="AU12" s="321" t="s">
        <v>97</v>
      </c>
      <c r="AW12" s="328" t="s">
        <v>18</v>
      </c>
      <c r="AX12" s="322">
        <v>44256</v>
      </c>
      <c r="AY12" s="327">
        <v>3</v>
      </c>
      <c r="AZ12" s="327"/>
      <c r="BA12" s="329">
        <f>IF(AND('Master Data'!$E$36=""),"",IF(AND('Master Data'!$I$28='GA55 Check &amp; Edit'!$AP$6),'GA55 Check &amp; Edit'!$AZ$15,BU12))</f>
        <v>50800</v>
      </c>
      <c r="BB12" s="327">
        <f>IF(AND(AX12&lt;$AZ$16),"",IF(AND(AX12&gt;$AZ$17),"",BA12))</f>
        <v>50800</v>
      </c>
      <c r="BC12" s="327">
        <f>IF(AND('Master Data'!$E$36=""),"",ROUND(17%*BA12,0))</f>
        <v>8636</v>
      </c>
      <c r="BD12" s="327">
        <f>IF(BB12="","",BC12)</f>
        <v>8636</v>
      </c>
      <c r="BE12" s="334">
        <f>IFERROR(IF(AND('Master Data'!$E$36=""),"",ROUND('Master Data'!$E$30%*BB12,0)),"")</f>
        <v>4064</v>
      </c>
      <c r="BF12" s="329">
        <f>'Master Data'!B47</f>
        <v>0</v>
      </c>
      <c r="BG12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2" s="329">
        <f>IFERROR(IF(OR('Master Data'!$I$28='GA55 Check &amp; Edit'!$AP$6),"",'Master Data'!$G$43),"")</f>
        <v>7000</v>
      </c>
      <c r="BI12" s="335">
        <f>IFERROR(IF(AND('Master Data'!$I$30='GA55 Check &amp; Edit'!$AN$6),ROUND((E8)*0.1,0),IF(AND('Master Data'!$I$28='GA55 Check &amp; Edit'!$AP$6),ROUND((E8+F8)*0.1,0),'Master Data'!$H$43)),"")</f>
        <v>5080</v>
      </c>
      <c r="BJ12" s="329">
        <f>BA12</f>
        <v>50800</v>
      </c>
      <c r="BK12" s="336">
        <v>44256</v>
      </c>
      <c r="BL12" s="336">
        <f>IFERROR(IF('Master Data'!$E$36="","",IF('Master Data'!$F$40="","",IF(AND($AZ$17&gt;$AZ$9),"",DATE(YEAR(AZ16),MONTH(AZ16),DAY(AZ16))))),"")</f>
        <v>44256</v>
      </c>
      <c r="BM12" s="337">
        <f>IFERROR(IF('Master Data'!$E$36="","",IF('Master Data'!$F$40="","",IF(AND($AZ$17&gt;$AZ$9),"",DATE(YEAR(AZ16),MONTH(AZ16),DAY(AZ16))))),"")</f>
        <v>44256</v>
      </c>
      <c r="BN12" s="337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44256</v>
      </c>
      <c r="BO12" s="337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44256</v>
      </c>
      <c r="BP12" s="337"/>
      <c r="BQ12" s="337">
        <f>IFERROR(IF(BM12="","",IF(D8=$AX$25,$AX$25,IF(D8=$AX$30,$AX$30,IF(D8=$AX$31,$AX$31,IF(D8=$AX$32,$AX$32,IF(BM12&gt;$AZ$17,"",BM12)))))),"")</f>
        <v>44256</v>
      </c>
      <c r="BR12" s="337"/>
      <c r="BS12" s="338">
        <f ca="1">OFFSET(D6,MATCH(BO12,$D$8:$D$27,0)+1,MATCH(BO12,D8:N8,0))</f>
        <v>50800</v>
      </c>
      <c r="BT12" s="338"/>
      <c r="BU12" s="338">
        <f>IF(AND('Master Data'!$E$36=""),"",IF(AND('Master Data'!$I$38='GA55 Check &amp; Edit'!AX13),'Master Data'!$I$36,'Master Data'!$E$36))</f>
        <v>50800</v>
      </c>
      <c r="BV12" s="337"/>
      <c r="BX12" s="338">
        <f>IF(BB12="",0,BF12)</f>
        <v>0</v>
      </c>
    </row>
    <row r="13" spans="1:103" s="321" customFormat="1" ht="21" customHeight="1">
      <c r="A13" s="34">
        <f t="shared" si="0"/>
        <v>0</v>
      </c>
      <c r="B13" s="50">
        <f>IF(LEN(D13)&gt;=3,B12+1,0)</f>
        <v>6</v>
      </c>
      <c r="C13" s="51">
        <f t="shared" ref="C13:C28" si="5">IF(B13=0,"",B13)</f>
        <v>6</v>
      </c>
      <c r="D13" s="318">
        <f t="shared" si="1"/>
        <v>44409</v>
      </c>
      <c r="E13" s="200">
        <f>IFERROR(IF(D13="","",IF(AND(BQ17=""),"",IF(AND('Master Data'!$I$28='GA55 Check &amp; Edit'!$AP$6),VLOOKUP(D13,ram,13,0),VLOOKUP(D13,ram,4,0)))),"")</f>
        <v>52300</v>
      </c>
      <c r="F13" s="201">
        <f>IFERROR(IF(D13="","",IF(D13=$AX$24,"",IF(AND(D13=$AX$25),$BC$25,IF(AND(D13=$AX$27),"",IF(AND(D13=$AX$28),"",IF(AND('Master Data'!$I$28='GA55 Check &amp; Edit'!$AP$5),VLOOKUP(D13,ram,7,0),"")))))),"")</f>
        <v>14644</v>
      </c>
      <c r="G13" s="201">
        <f>IFERROR(IF(D13="","",IF(D13=$AX$24,"",IF(AND(D13=$AX$25),"",IF(AND(D13=$AX$26),"",IF(AND(D13=$AX$27),"",IF(AND(D13=$AX$29),"",IF(AND('Master Data'!$I$28='GA55 Check &amp; Edit'!$AP$6),"",VLOOKUP(D13,ram,8,0)))))))),"")</f>
        <v>4707</v>
      </c>
      <c r="H13" s="201">
        <f>IFERROR(IF(D13="","",IF(AND(E13=""),"",IF(OR(D13=$AX$24,D13=$AX$25,D13=$AX$26,D13=$AX$27,D13=$AX$28,D13=$AX$29),"",IF(AND('Master Data'!$I$28='GA55 Check &amp; Edit'!$AP$5),'Master Data'!$B$43,"")))),"")</f>
        <v>0</v>
      </c>
      <c r="I13" s="201" t="str">
        <f>IFERROR(IF(D13="","",IF(AND(E13=""),"",IF(OR(D13=$AX$24,D13=$AX$25,D13=$AX$26,D13=$AX$27,D13=$AX$28,D13=$AX$29),"",IF(AND('Master Data'!$I$28='GA55 Check &amp; Edit'!$AP$5,'Master Data'!$E$28='GA55 Check &amp; Edit'!$AO$5),'Master Data'!$C$43,"0")))),"")</f>
        <v>0</v>
      </c>
      <c r="J13" s="201" t="str">
        <f>IFERROR(IF(OR('Master Data'!$E$32=$AO$6,'Master Data'!$E$32=""),"",IF(D13="","",IF(AND(E13=""),"",IF(OR(D13=$AX$24,D13=$AX$25,D13=$AX$26,D13=$AX$27,D13=$AX$28,D13=$AX$29),"",IF(AND('Master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3" s="201">
        <f>IFERROR(IF(D13="","",IF(AND(E13=""),"",IF(OR(D13=$AX$24,D13=$AX$25,D13=$AX$26,D13=$AX$27,D13=$AX$28,D13=$AX$29),"",IF(AND('Master Data'!$I$28='GA55 Check &amp; Edit'!$AP$5),'Master Data'!$E$43,"")))),"")</f>
        <v>0</v>
      </c>
      <c r="L13" s="201">
        <f>IFERROR(IF(D13="","",IF(AND(E13=""),"",IF(OR(D13=$AX$24,D13=$AX$25,D13=$AX$26,D13=$AX$27,D13=$AX$28,D13=$AX$29),"",IF(AND('Master Data'!$I$28='GA55 Check &amp; Edit'!$AP$6),"",'Master Data'!$F$43)))),"")</f>
        <v>0</v>
      </c>
      <c r="M13" s="201" t="str">
        <f>IFERROR(IF(D13="","",IF(AND('Master Data'!$I$28='GA55 Check &amp; Edit'!$AP$6),"",IF(AND('Master Data'!$I$24='GA55 Check &amp; Edit'!$AO$6),"",IF(AND(D13="Bonus"),VLOOKUP(D13,ram,4,0),"")))),"")</f>
        <v/>
      </c>
      <c r="N13" s="201">
        <f>IFERROR(IF(AND(D13=""),"",IF(AND(D13=$AX$25,'Master Data'!$I$30='GA55 Check &amp; Edit'!$AN$6),ROUND((E13+F13)*0.1,0),IF(AND(D13=$AX$29,'Master Data'!$I$30='GA55 Check &amp; Edit'!$AN$6),ROUND((F13)*0.1,0),IF(AND(D13=$AX$26,'Master Data'!$I$30='GA55 Check &amp; Edit'!$AN$6),ROUND((F13)*0.1,0),IF(AND(D13=$AX$27,'Master Data'!$I$30='GA55 Check &amp; Edit'!$AN$6),ROUND((E13+F13)*0.1,0),IF(AND('Master Data'!$I$30='GA55 Check &amp; Edit'!$AN$5),"",IF(AND('Master Data'!$I$30='GA55 Check &amp; Edit'!$AN$6,'Master Data'!$I$28='GA55 Check &amp; Edit'!$AP$6),ROUND((E13)*0.1,0),ROUND((E13+F13)*0.1,0)))))))),"")</f>
        <v>6694</v>
      </c>
      <c r="O13" s="43">
        <f>IF(D13="","",IF('Master Data'!$H$18='GA55 Check &amp; Edit'!$AO$5,SUM(E13:N13),SUM(E13:M13)))</f>
        <v>71651</v>
      </c>
      <c r="P13" s="319">
        <f>IFERROR(IF(OR('Master Data'!$I$28='GA55 Check &amp; Edit'!$AP$6,D13=""),"",IF(AND(D13=$AX$24),"",IF(AND(D13=$AX$25),"",IF(AND(D13=$AX$26),"",IF(AND(D13=$AX$27),"",IF(AND(D13=$AX$28),"",IF(AND(D13=$AX$29),"",IF(AND(E13=""),"",VLOOKUP(D13,ram,11,0))))))))),"")</f>
        <v>7000</v>
      </c>
      <c r="Q13" s="319">
        <f>IFERROR(IF(AND(D13="",E13=""),"",IF(AND(D13=$AX$25,'Master Data'!$I$30='GA55 Check &amp; Edit'!$AN$6),ROUND((E13+F13)*0.1,0),IF(AND(D13=$AX$29,'Master Data'!$I$30='GA55 Check &amp; Edit'!$AN$6),ROUND((F13)*0.1,0),IF(AND(D13=$AX$26,'Master Data'!$I$30='GA55 Check &amp; Edit'!$AN$6),ROUND((F13)*0.1,0),IF(AND(D13=$AX$27,'Master Data'!$I$30='GA55 Check &amp; Edit'!$AN$6),ROUND((E13+F13)*0.1,0),IF(AND('Master Data'!$I$30='GA55 Check &amp; Edit'!$AN$6,'Master Data'!$I$28='GA55 Check &amp; Edit'!$AP$6),ROUND((E13)*0.1,0),IF(AND('Master Data'!$I$30='GA55 Check &amp; Edit'!$AN$6,'Master Data'!$I$28='GA55 Check &amp; Edit'!$AP$5),ROUND((E13+F13)*0.1,0),IF(AND('Master Data'!$I$30='GA55 Check &amp; Edit'!$AN$5,'Master Data'!$I$28='GA55 Check &amp; Edit'!$AP$5),VLOOKUP(D13,ram,12,0))))))))),"")</f>
        <v>6694</v>
      </c>
      <c r="R13" s="319">
        <f>IFERROR(IF(OR('Master Data'!$I$28='GA55 Check &amp; Edit'!$AP$6,D13=""),"",IF(AND(D13=$AX$24),"",IF(AND(D13=$AX$25),"",IF(AND(D13=$AX$26),"",IF(AND(D13=$AX$27),"",IF(AND(D13=$AX$28),"",IF(AND(D13=$AX$29),"",IF(AND(D13=$AX$32),"",IF(AND(E13=""),"",'Master Data'!$I$43))))))))),"")</f>
        <v>1880</v>
      </c>
      <c r="S13" s="319">
        <f>IFERROR(IF(OR('Master Data'!$I$28='GA55 Check &amp; Edit'!$AP$6),"",IF(D13="","",IF(E13="","",IF(AND(D13=$AX$24),"",IF(AND(D13=$AX$25),"",IF(AND(D13=$AX$26),"",IF(AND(D13=$AX$27),"",IF(AND(D13=$AX$28),"",IF(AND(D13=$AX$29),"",VLOOKUP(D13,ram,10,0)))))))))),"")</f>
        <v>0</v>
      </c>
      <c r="T13" s="319">
        <f>IFERROR(IF(OR('Master Data'!$I$28='GA55 Check &amp; Edit'!$AP$6,D13=""),"",IF(AND(D13=$AX$24),"",IF(AND(D13=$AX$25),"",IF(AND(D13=$AX$26),"",IF(AND(D13=$AX$27),"",IF(AND(D13=$AX$28),"",IF(AND(D13=$AX$29),"",IF(AND(E13=""),"",'Master Data'!$K$43)))))))),"")</f>
        <v>0</v>
      </c>
      <c r="U13" s="319">
        <f>IFERROR(IF(OR('Master Data'!$I$28='GA55 Check &amp; Edit'!$AP$6,D13=""),"",IF(AND(D13=$AX$24),"",IF(AND(D13=$AX$25),"",IF(AND(D13=$AX$26),"",IF(AND(D13=$AX$27),"",IF(AND(D13=$AX$28),"",IF(AND(D13=$AX$29),"",IF(AND(E13=""),"",'Master Data'!$L$43)))))))),"")</f>
        <v>0</v>
      </c>
      <c r="V13" s="319">
        <f>IFERROR(IF(OR('Master Data'!$I$28='GA55 Check &amp; Edit'!$AP$6,D13=""),"",IF(AND(D13=$AX$24,'Master Data'!$I$28='GA55 Check &amp; Edit'!$AP$5,'Master Data'!$I$30='GA55 Check &amp; Edit'!$AN$6),ROUND(M13*50%,0),IF(AND(D13=$AX$25),"",IF(AND(D13=$AX$26,'Master Data'!$I$28='GA55 Check &amp; Edit'!$AP$5,'Master Data'!$I$30='GA55 Check &amp; Edit'!$AN$6),SUM(F13-N13),IF(AND(D13=$AX$27),"",IF(AND(D13=$AX$28),"",IF(AND(D13=$AX$29,'Master Data'!$I$28='GA55 Check &amp; Edit'!$AP$5,'Master Data'!$I$30='GA55 Check &amp; Edit'!$AN$6),SUM(F13-N13),IF(AND(E13=""),"",'Master Data'!$M$43)))))))),"")</f>
        <v>0</v>
      </c>
      <c r="W13" s="319">
        <f>IFERROR(IF(OR('Master Data'!$I$28='GA55 Check &amp; Edit'!$AP$6,D13=""),"",IF(AND(D13=$AX$24),"",IF(AND(D13=$AX$25),"",IF(AND(D13=$AX$26),"",IF(AND(D13=$AX$27),"",IF(AND(D13=$AX$28),"",IF(AND(D13=$AX$29),"",IF(AND(E13=""),"",'Master Data'!$O$43)))))))),"")</f>
        <v>0</v>
      </c>
      <c r="X13" s="319" t="str">
        <f>IFERROR(IF(OR('Master Data'!$I$28='GA55 Check &amp; Edit'!$AP$6,D13=""),"",IF(AND(E13=""),"",IF(AND('GA55 Check &amp; Edit'!D13='GA55 Check &amp; Edit'!$AT$17,'Master Data'!$D$18="Gazetted"),500,IF(AND('GA55 Check &amp; Edit'!D13='GA55 Check &amp; Edit'!$AT$17,'Master Data'!$D$18="Non-Gazetted"),250,"")))),"")</f>
        <v/>
      </c>
      <c r="Y13" s="319">
        <f>IFERROR(IF(D13="","",IF(AND(E13=""),"",IF(AND(D13=$AX$24),"",IF(AND(D13=$AX$25),"",IF(AND(D13=$AX$26),"",IF(AND(D13=$AX$27),"",IF(AND(D13=$AX$28),"",IF(AND(D13=$AX$29),"",IF(OR('Master Data'!$I$28='GA55 Check &amp; Edit'!$AP$6,D13=""),"",$Y$7))))))))),"")</f>
        <v>0</v>
      </c>
      <c r="Z13" s="319">
        <f>IFERROR(IF(OR('Master Data'!$I$28='GA55 Check &amp; Edit'!$AP$6),"",IF(D13="","",IF(E13="","",VLOOKUP(D13,ram,9,0)))),"")</f>
        <v>1500</v>
      </c>
      <c r="AA13" s="319" t="str">
        <f>IFERROR(IF(OR('Master Data'!$I$28='GA55 Check &amp; Edit'!$AP$6,D13="",'Master Data'!$N$38=""),"",IF(AND(E13=""),"",IF('GA55 Check &amp; Edit'!D13='GA55 Check &amp; Edit'!$AT$9,'Master Data'!$N$38,""))),"")</f>
        <v/>
      </c>
      <c r="AB13" s="320">
        <f>IFERROR(IF(D13="","",IF(AND(O13=""),"",IF(AND(N13=""),SUM(P13:AA13),IF(AND('Master Data'!$H$18='GA55 Check &amp; Edit'!$AO$5,'Master Data'!$I$30='GA55 Check &amp; Edit'!$AN$6),SUM(P13:AA13)+N13,SUM(P13:AA13))))),"0")</f>
        <v>17074</v>
      </c>
      <c r="AC13" s="35">
        <f t="shared" si="2"/>
        <v>54577</v>
      </c>
      <c r="AD13" s="202"/>
      <c r="AE13" s="232"/>
      <c r="AF13" s="39"/>
      <c r="AS13" s="321" t="s">
        <v>24</v>
      </c>
      <c r="AT13" s="316">
        <v>44409</v>
      </c>
      <c r="AU13" s="321" t="s">
        <v>98</v>
      </c>
      <c r="AV13" s="338"/>
      <c r="AW13" s="328" t="s">
        <v>20</v>
      </c>
      <c r="AX13" s="322">
        <v>44287</v>
      </c>
      <c r="AY13" s="327">
        <v>4</v>
      </c>
      <c r="AZ13" s="327"/>
      <c r="BA13" s="329">
        <f>IF(AND('Master Data'!$E$36=""),"",IF(AND('Master Data'!$I$28='GA55 Check &amp; Edit'!$AP$6),'GA55 Check &amp; Edit'!$AZ$15,BU13))</f>
        <v>50800</v>
      </c>
      <c r="BB13" s="327">
        <f>IF(AND(AX13&lt;$AZ$16),"",IF(AND(AX13&gt;$AZ$17),"",BA13))</f>
        <v>50800</v>
      </c>
      <c r="BC13" s="327">
        <f>IF(AND('Master Data'!$E$36=""),"",ROUND(17%*BA13,0))</f>
        <v>8636</v>
      </c>
      <c r="BD13" s="327">
        <f>IF(BB13="","",BC13)</f>
        <v>8636</v>
      </c>
      <c r="BE13" s="334">
        <f>IFERROR(IF(AND('Master Data'!$E$36=""),"",ROUND('Master Data'!$E$30%*BB13,0)),"")</f>
        <v>4064</v>
      </c>
      <c r="BF13" s="329">
        <f>'Master Data'!C47</f>
        <v>1500</v>
      </c>
      <c r="BG13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3" s="329">
        <f>IFERROR(IF(OR('Master Data'!$I$28='GA55 Check &amp; Edit'!$AP$6),"",'Master Data'!$G$43),"")</f>
        <v>7000</v>
      </c>
      <c r="BI13" s="335">
        <f>IFERROR(IF(AND('Master Data'!$I$30='GA55 Check &amp; Edit'!$AN$6),ROUND((E9)*0.1,0),IF(AND('Master Data'!$I$28='GA55 Check &amp; Edit'!$AP$6),ROUND((E9+F9)*0.1,0),'Master Data'!$H$43)),"")</f>
        <v>5080</v>
      </c>
      <c r="BJ13" s="329">
        <f>BA13</f>
        <v>50800</v>
      </c>
      <c r="BK13" s="336">
        <v>44287</v>
      </c>
      <c r="BL13" s="336">
        <f>IFERROR(IF('Master Data'!$E$36="","",IF('Master Data'!$F$40="","",IF(AND($AZ$17&gt;$AZ$9),"",DATE(YEAR(BL12),MONTH(BL12)+1,DAY(BL12))))),"")</f>
        <v>44287</v>
      </c>
      <c r="BM13" s="337">
        <f>IFERROR(IF('Master Data'!$E$36="","",IF('Master Data'!$F$40="","",IF(AND($AZ$17&gt;$AZ$9),"",DATE(YEAR(BM12),MONTH(BM12)+1,DAY(BM12))))),"")</f>
        <v>44287</v>
      </c>
      <c r="BN13" s="337">
        <f t="shared" ref="BN13:BN32" si="6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44287</v>
      </c>
      <c r="BO13" s="337">
        <f t="shared" ref="BO13:BO31" si="7">IFERROR(IF(BM13="","",IF(AND(BL13=$BK$24),$BM$24,IF(AND(BL13=$BK$25),$BM$25,IF(AND(BL13=$BK$26),$BM$26,IF(AND(BL13=$BK$27),$BM$27,IF(AND(BL13=$BK$28),$BM$28,IF(AND(BL13=$BK$29),$BM$29,IF(AND(BL13=$BK$30),$BM$30,IF(AND(BL13=$BK$31),$BM$31,IF(AND(BL13=$BK$32),$BM$32,BN13)))))))))),"")</f>
        <v>44287</v>
      </c>
      <c r="BP13" s="337"/>
      <c r="BQ13" s="337">
        <f t="shared" ref="BQ13:BQ32" si="8">IFERROR(IF(BM13="","",IF(D9=$AX$25,$AX$25,IF(D9=$AX$30,$AX$30,IF(D9=$AX$31,$AX$31,IF(D9=$AX$32,$AX$32,IF(BM13&gt;$AZ$17,"",BM13)))))),"")</f>
        <v>44287</v>
      </c>
      <c r="BR13" s="337"/>
      <c r="BS13" s="338">
        <f t="shared" ref="BS13:BS20" ca="1" si="9">OFFSET(D7,MATCH(BO13,$D$8:$D$27,0)+1,MATCH(BO13,D9:N9,0))</f>
        <v>50800</v>
      </c>
      <c r="BT13" s="338"/>
      <c r="BU13" s="338">
        <f>IF(AND('Master Data'!$E$36=""),"",IF(AND('Master Data'!$I$38='GA55 Check &amp; Edit'!AX13),'Master Data'!$I$36,'Master Data'!$E$36))</f>
        <v>50800</v>
      </c>
      <c r="BX13" s="338">
        <f t="shared" ref="BX13:BX30" si="10">IF(BB13="",0,BF13)</f>
        <v>1500</v>
      </c>
    </row>
    <row r="14" spans="1:103" s="321" customFormat="1" ht="21" customHeight="1">
      <c r="A14" s="34">
        <f t="shared" si="0"/>
        <v>1</v>
      </c>
      <c r="B14" s="50">
        <f t="shared" si="3"/>
        <v>7</v>
      </c>
      <c r="C14" s="51">
        <f t="shared" si="5"/>
        <v>7</v>
      </c>
      <c r="D14" s="318">
        <f t="shared" si="1"/>
        <v>44440</v>
      </c>
      <c r="E14" s="200">
        <f>IFERROR(IF(D14="","",IF(AND(BQ18=""),"",IF(AND('Master Data'!$I$28='GA55 Check &amp; Edit'!$AP$6),VLOOKUP(D14,ram,13,0),VLOOKUP(D14,ram,4,0)))),"")</f>
        <v>52300</v>
      </c>
      <c r="F14" s="201">
        <f>IFERROR(IF(D14="","",IF(D14=$AX$24,"",IF(AND(D14=$AX$25),$BC$25,IF(AND(D14=$AX$27),"",IF(AND(D14=$AX$28),"",IF(AND('Master Data'!$I$28='GA55 Check &amp; Edit'!$AP$5),VLOOKUP(D14,ram,7,0),"")))))),"")</f>
        <v>14644</v>
      </c>
      <c r="G14" s="201">
        <f>IFERROR(IF(D14="","",IF(D14=$AX$24,"",IF(AND(D14=$AX$25),"",IF(AND(D14=$AX$26),"",IF(AND(D14=$AX$27),"",IF(AND(D14=$AX$29),"",IF(AND('Master Data'!$I$28='GA55 Check &amp; Edit'!$AP$6),"",VLOOKUP(D14,ram,8,0)))))))),"")</f>
        <v>4707</v>
      </c>
      <c r="H14" s="201">
        <f>IFERROR(IF(D14="","",IF(AND(E14=""),"",IF(OR(D14=$AX$24,D14=$AX$25,D14=$AX$26,D14=$AX$27,D14=$AX$28,D14=$AX$29),"",IF(AND('Master Data'!$I$28='GA55 Check &amp; Edit'!$AP$5),'Master Data'!$B$43,"")))),"")</f>
        <v>0</v>
      </c>
      <c r="I14" s="201" t="str">
        <f>IFERROR(IF(D14="","",IF(AND(E14=""),"",IF(OR(D14=$AX$24,D14=$AX$25,D14=$AX$26,D14=$AX$27,D14=$AX$28,D14=$AX$29),"",IF(AND('Master Data'!$I$28='GA55 Check &amp; Edit'!$AP$5,'Master Data'!$E$28='GA55 Check &amp; Edit'!$AO$5),'Master Data'!$C$43,"0")))),"")</f>
        <v>0</v>
      </c>
      <c r="J14" s="201" t="str">
        <f>IFERROR(IF(OR('Master Data'!$E$32=$AO$6,'Master Data'!$E$32=""),"",IF(D14="","",IF(AND(E14=""),"",IF(OR(D14=$AX$24,D14=$AX$25,D14=$AX$26,D14=$AX$27,D14=$AX$28,D14=$AX$29),"",IF(AND('Master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4" s="201">
        <f>IFERROR(IF(D14="","",IF(AND(E14=""),"",IF(OR(D14=$AX$24,D14=$AX$25,D14=$AX$26,D14=$AX$27,D14=$AX$28,D14=$AX$29),"",IF(AND('Master Data'!$I$28='GA55 Check &amp; Edit'!$AP$5),'Master Data'!$E$43,"")))),"")</f>
        <v>0</v>
      </c>
      <c r="L14" s="201">
        <f>IFERROR(IF(D14="","",IF(AND(E14=""),"",IF(OR(D14=$AX$24,D14=$AX$25,D14=$AX$26,D14=$AX$27,D14=$AX$28,D14=$AX$29),"",IF(AND('Master Data'!$I$28='GA55 Check &amp; Edit'!$AP$6),"",'Master Data'!$F$43)))),"")</f>
        <v>0</v>
      </c>
      <c r="M14" s="201" t="str">
        <f>IFERROR(IF(D14="","",IF(AND('Master Data'!$I$28='GA55 Check &amp; Edit'!$AP$6),"",IF(AND('Master Data'!$I$24='GA55 Check &amp; Edit'!$AO$6),"",IF(AND(D14="Bonus"),VLOOKUP(D14,ram,4,0),"")))),"")</f>
        <v/>
      </c>
      <c r="N14" s="201">
        <f>IFERROR(IF(AND(D14=""),"",IF(AND(D14=$AX$25,'Master Data'!$I$30='GA55 Check &amp; Edit'!$AN$6),ROUND((E14+F14)*0.1,0),IF(AND(D14=$AX$29,'Master Data'!$I$30='GA55 Check &amp; Edit'!$AN$6),ROUND((F14)*0.1,0),IF(AND(D14=$AX$26,'Master Data'!$I$30='GA55 Check &amp; Edit'!$AN$6),ROUND((F14)*0.1,0),IF(AND(D14=$AX$27,'Master Data'!$I$30='GA55 Check &amp; Edit'!$AN$6),ROUND((E14+F14)*0.1,0),IF(AND('Master Data'!$I$30='GA55 Check &amp; Edit'!$AN$5),"",IF(AND('Master Data'!$I$30='GA55 Check &amp; Edit'!$AN$6,'Master Data'!$I$28='GA55 Check &amp; Edit'!$AP$6),ROUND((E14)*0.1,0),ROUND((E14+F14)*0.1,0)))))))),"")</f>
        <v>6694</v>
      </c>
      <c r="O14" s="43">
        <f>IF(D14="","",IF('Master Data'!$H$18='GA55 Check &amp; Edit'!$AO$5,SUM(E14:N14),SUM(E14:M14)))</f>
        <v>71651</v>
      </c>
      <c r="P14" s="319">
        <f>IFERROR(IF(OR('Master Data'!$I$28='GA55 Check &amp; Edit'!$AP$6,D14=""),"",IF(AND(D14=$AX$24),"",IF(AND(D14=$AX$25),"",IF(AND(D14=$AX$26),"",IF(AND(D14=$AX$27),"",IF(AND(D14=$AX$28),"",IF(AND(D14=$AX$29),"",IF(AND(E14=""),"",VLOOKUP(D14,ram,11,0))))))))),"")</f>
        <v>7000</v>
      </c>
      <c r="Q14" s="319">
        <f>IFERROR(IF(AND(D14="",E14=""),"",IF(AND(D14=$AX$25,'Master Data'!$I$30='GA55 Check &amp; Edit'!$AN$6),ROUND((E14+F14)*0.1,0),IF(AND(D14=$AX$29,'Master Data'!$I$30='GA55 Check &amp; Edit'!$AN$6),ROUND((F14)*0.1,0),IF(AND(D14=$AX$26,'Master Data'!$I$30='GA55 Check &amp; Edit'!$AN$6),ROUND((F14)*0.1,0),IF(AND(D14=$AX$27,'Master Data'!$I$30='GA55 Check &amp; Edit'!$AN$6),ROUND((E14+F14)*0.1,0),IF(AND('Master Data'!$I$30='GA55 Check &amp; Edit'!$AN$6,'Master Data'!$I$28='GA55 Check &amp; Edit'!$AP$6),ROUND((E14)*0.1,0),IF(AND('Master Data'!$I$30='GA55 Check &amp; Edit'!$AN$6,'Master Data'!$I$28='GA55 Check &amp; Edit'!$AP$5),ROUND((E14+F14)*0.1,0),IF(AND('Master Data'!$I$30='GA55 Check &amp; Edit'!$AN$5,'Master Data'!$I$28='GA55 Check &amp; Edit'!$AP$5),VLOOKUP(D14,ram,12,0))))))))),"")</f>
        <v>6694</v>
      </c>
      <c r="R14" s="319">
        <f>IFERROR(IF(OR('Master Data'!$I$28='GA55 Check &amp; Edit'!$AP$6,D14=""),"",IF(AND(D14=$AX$24),"",IF(AND(D14=$AX$25),"",IF(AND(D14=$AX$26),"",IF(AND(D14=$AX$27),"",IF(AND(D14=$AX$28),"",IF(AND(D14=$AX$29),"",IF(AND(D14=$AX$32),"",IF(AND(E14=""),"",'Master Data'!$I$43))))))))),"")</f>
        <v>1880</v>
      </c>
      <c r="S14" s="319">
        <f>IFERROR(IF(OR('Master Data'!$I$28='GA55 Check &amp; Edit'!$AP$6),"",IF(D14="","",IF(E14="","",IF(AND(D14=$AX$24),"",IF(AND(D14=$AX$25),"",IF(AND(D14=$AX$26),"",IF(AND(D14=$AX$27),"",IF(AND(D14=$AX$28),"",IF(AND(D14=$AX$29),"",VLOOKUP(D14,ram,10,0)))))))))),"")</f>
        <v>0</v>
      </c>
      <c r="T14" s="319">
        <f>IFERROR(IF(OR('Master Data'!$I$28='GA55 Check &amp; Edit'!$AP$6,D14=""),"",IF(AND(D14=$AX$24),"",IF(AND(D14=$AX$25),"",IF(AND(D14=$AX$26),"",IF(AND(D14=$AX$27),"",IF(AND(D14=$AX$28),"",IF(AND(D14=$AX$29),"",IF(AND(E14=""),"",'Master Data'!$K$43)))))))),"")</f>
        <v>0</v>
      </c>
      <c r="U14" s="319">
        <f>IFERROR(IF(OR('Master Data'!$I$28='GA55 Check &amp; Edit'!$AP$6,D14=""),"",IF(AND(D14=$AX$24),"",IF(AND(D14=$AX$25),"",IF(AND(D14=$AX$26),"",IF(AND(D14=$AX$27),"",IF(AND(D14=$AX$28),"",IF(AND(D14=$AX$29),"",IF(AND(E14=""),"",'Master Data'!$L$43)))))))),"")</f>
        <v>0</v>
      </c>
      <c r="V14" s="319">
        <f>IFERROR(IF(OR('Master Data'!$I$28='GA55 Check &amp; Edit'!$AP$6,D14=""),"",IF(AND(D14=$AX$24,'Master Data'!$I$28='GA55 Check &amp; Edit'!$AP$5,'Master Data'!$I$30='GA55 Check &amp; Edit'!$AN$6),ROUND(M14*50%,0),IF(AND(D14=$AX$25),"",IF(AND(D14=$AX$26,'Master Data'!$I$28='GA55 Check &amp; Edit'!$AP$5,'Master Data'!$I$30='GA55 Check &amp; Edit'!$AN$6),SUM(F14-N14),IF(AND(D14=$AX$27),"",IF(AND(D14=$AX$28),"",IF(AND(D14=$AX$29,'Master Data'!$I$28='GA55 Check &amp; Edit'!$AP$5,'Master Data'!$I$30='GA55 Check &amp; Edit'!$AN$6),SUM(F14-N14),IF(AND(E14=""),"",'Master Data'!$M$43)))))))),"")</f>
        <v>0</v>
      </c>
      <c r="W14" s="319">
        <f>IFERROR(IF(OR('Master Data'!$I$28='GA55 Check &amp; Edit'!$AP$6,D14=""),"",IF(AND(D14=$AX$24),"",IF(AND(D14=$AX$25),"",IF(AND(D14=$AX$26),"",IF(AND(D14=$AX$27),"",IF(AND(D14=$AX$28),"",IF(AND(D14=$AX$29),"",IF(AND(E14=""),"",'Master Data'!$O$43)))))))),"")</f>
        <v>0</v>
      </c>
      <c r="X14" s="319" t="str">
        <f>IFERROR(IF(OR('Master Data'!$I$28='GA55 Check &amp; Edit'!$AP$6,D14=""),"",IF(AND(E14=""),"",IF(AND('GA55 Check &amp; Edit'!D14='GA55 Check &amp; Edit'!$AT$17,'Master Data'!$D$18="Gazetted"),500,IF(AND('GA55 Check &amp; Edit'!D14='GA55 Check &amp; Edit'!$AT$17,'Master Data'!$D$18="Non-Gazetted"),250,"")))),"")</f>
        <v/>
      </c>
      <c r="Y14" s="319">
        <f>IFERROR(IF(D14="","",IF(AND(E14=""),"",IF(AND(D14=$AX$24),"",IF(AND(D14=$AX$25),"",IF(AND(D14=$AX$26),"",IF(AND(D14=$AX$27),"",IF(AND(D14=$AX$28),"",IF(AND(D14=$AX$29),"",IF(OR('Master Data'!$I$28='GA55 Check &amp; Edit'!$AP$6,D14=""),"",$Y$7))))))))),"")</f>
        <v>0</v>
      </c>
      <c r="Z14" s="319">
        <f>IFERROR(IF(OR('Master Data'!$I$28='GA55 Check &amp; Edit'!$AP$6),"",IF(D14="","",IF(E14="","",VLOOKUP(D14,ram,9,0)))),"")</f>
        <v>1500</v>
      </c>
      <c r="AA14" s="319" t="str">
        <f>IFERROR(IF(OR('Master Data'!$I$28='GA55 Check &amp; Edit'!$AP$6,D14="",'Master Data'!$N$38=""),"",IF(AND(E14=""),"",IF('GA55 Check &amp; Edit'!D14='GA55 Check &amp; Edit'!$AT$9,'Master Data'!$N$38,""))),"")</f>
        <v/>
      </c>
      <c r="AB14" s="320">
        <f>IFERROR(IF(D14="","",IF(AND(O14=""),"",IF(AND(N14=""),SUM(P14:AA14),IF(AND('Master Data'!$H$18='GA55 Check &amp; Edit'!$AO$5,'Master Data'!$I$30='GA55 Check &amp; Edit'!$AN$6),SUM(P14:AA14)+N14,SUM(P14:AA14))))),"0")</f>
        <v>17074</v>
      </c>
      <c r="AC14" s="35">
        <f t="shared" si="2"/>
        <v>54577</v>
      </c>
      <c r="AD14" s="202"/>
      <c r="AE14" s="232"/>
      <c r="AF14" s="39"/>
      <c r="AS14" s="321" t="s">
        <v>26</v>
      </c>
      <c r="AT14" s="316">
        <v>44440</v>
      </c>
      <c r="AU14" s="321" t="s">
        <v>99</v>
      </c>
      <c r="AW14" s="328" t="s">
        <v>22</v>
      </c>
      <c r="AX14" s="322">
        <v>44317</v>
      </c>
      <c r="AY14" s="327">
        <v>5</v>
      </c>
      <c r="AZ14" s="327"/>
      <c r="BA14" s="329">
        <f>IF(AND('Master Data'!$E$36=""),"",IF(AND('Master Data'!$I$28='GA55 Check &amp; Edit'!$AP$6),'GA55 Check &amp; Edit'!$AZ$15,BU14))</f>
        <v>50800</v>
      </c>
      <c r="BB14" s="327">
        <f t="shared" ref="BB14:BB23" si="11">IF(AND(AX14&lt;$AZ$16),"",IF(AND(AX14&gt;$AZ$17),"",BA14))</f>
        <v>50800</v>
      </c>
      <c r="BC14" s="327">
        <f>IF(AND('Master Data'!$E$36=""),"",ROUND(17%*BA14,0))</f>
        <v>8636</v>
      </c>
      <c r="BD14" s="327">
        <f>IF(BB14="","",BC14)</f>
        <v>8636</v>
      </c>
      <c r="BE14" s="334">
        <f>IFERROR(IF(AND('Master Data'!$E$36=""),"",ROUND('Master Data'!$E$30%*BB14,0)),"")</f>
        <v>4064</v>
      </c>
      <c r="BF14" s="329">
        <f>'Master Data'!D47</f>
        <v>1500</v>
      </c>
      <c r="BG14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4" s="329">
        <f>IFERROR(IF(OR('Master Data'!$I$28='GA55 Check &amp; Edit'!$AP$6),"",'Master Data'!$G$43),"")</f>
        <v>7000</v>
      </c>
      <c r="BI14" s="335">
        <f>IFERROR(IF(AND('Master Data'!$I$30='GA55 Check &amp; Edit'!$AN$6),ROUND((E10)*0.1,0),IF(AND('Master Data'!$I$28='GA55 Check &amp; Edit'!$AP$6),ROUND((E10+F10)*0.1,0),'Master Data'!$H$43)),"")</f>
        <v>5080</v>
      </c>
      <c r="BJ14" s="329">
        <f t="shared" ref="BJ14:BJ15" si="12">BA14</f>
        <v>50800</v>
      </c>
      <c r="BK14" s="336">
        <v>44317</v>
      </c>
      <c r="BL14" s="336">
        <f>IFERROR(IF('Master Data'!$E$36="","",IF('Master Data'!$F$40="","",IF(AND($AZ$17&gt;$AZ$9),"",DATE(YEAR(BL13),MONTH(BL13)+1,DAY(BL13))))),"")</f>
        <v>44317</v>
      </c>
      <c r="BM14" s="337">
        <f>IFERROR(IF('Master Data'!$E$36="","",IF('Master Data'!$F$40="","",IF(AND($AZ$17&gt;$AZ$9),"",DATE(YEAR(BM13),MONTH(BM13)+1,DAY(BM13))))),"")</f>
        <v>44317</v>
      </c>
      <c r="BN14" s="337">
        <f t="shared" si="6"/>
        <v>44317</v>
      </c>
      <c r="BO14" s="337">
        <f t="shared" si="7"/>
        <v>44317</v>
      </c>
      <c r="BP14" s="337"/>
      <c r="BQ14" s="337">
        <f t="shared" si="8"/>
        <v>44317</v>
      </c>
      <c r="BR14" s="337"/>
      <c r="BS14" s="338">
        <f t="shared" ca="1" si="9"/>
        <v>52300</v>
      </c>
      <c r="BT14" s="338"/>
      <c r="BU14" s="338">
        <f>IF(AND('Master Data'!$I$38='GA55 Check &amp; Edit'!AX14),'Master Data'!$I$36,BU13)</f>
        <v>50800</v>
      </c>
      <c r="BX14" s="338">
        <f t="shared" si="10"/>
        <v>1500</v>
      </c>
    </row>
    <row r="15" spans="1:103" s="321" customFormat="1" ht="21" customHeight="1">
      <c r="A15" s="34">
        <f t="shared" si="0"/>
        <v>0</v>
      </c>
      <c r="B15" s="50">
        <f t="shared" si="3"/>
        <v>8</v>
      </c>
      <c r="C15" s="51">
        <f t="shared" si="5"/>
        <v>8</v>
      </c>
      <c r="D15" s="318">
        <f t="shared" si="1"/>
        <v>44470</v>
      </c>
      <c r="E15" s="200">
        <f>IFERROR(IF(D15="","",IF(AND(BQ19=""),"",IF(AND('Master Data'!$I$28='GA55 Check &amp; Edit'!$AP$6),VLOOKUP(D15,ram,13,0),VLOOKUP(D15,ram,4,0)))),"")</f>
        <v>52300</v>
      </c>
      <c r="F15" s="201">
        <f>IFERROR(IF(D15="","",IF(D15=$AX$24,"",IF(AND(D15=$AX$25),$BC$25,IF(AND(D15=$AX$27),"",IF(AND(D15=$AX$28),"",IF(AND('Master Data'!$I$28='GA55 Check &amp; Edit'!$AP$5),VLOOKUP(D15,ram,7,0),"")))))),"")</f>
        <v>16213</v>
      </c>
      <c r="G15" s="201">
        <f>IFERROR(IF(D15="","",IF(D15=$AX$24,"",IF(AND(D15=$AX$25),"",IF(AND(D15=$AX$26),"",IF(AND(D15=$AX$27),"",IF(AND(D15=$AX$29),"",IF(AND('Master Data'!$I$28='GA55 Check &amp; Edit'!$AP$6),"",VLOOKUP(D15,ram,8,0)))))))),"")</f>
        <v>4707</v>
      </c>
      <c r="H15" s="201">
        <f>IFERROR(IF(D15="","",IF(AND(E15=""),"",IF(OR(D15=$AX$24,D15=$AX$25,D15=$AX$26,D15=$AX$27,D15=$AX$28,D15=$AX$29),"",IF(AND('Master Data'!$I$28='GA55 Check &amp; Edit'!$AP$5),'Master Data'!$B$43,"")))),"")</f>
        <v>0</v>
      </c>
      <c r="I15" s="201" t="str">
        <f>IFERROR(IF(D15="","",IF(AND(E15=""),"",IF(OR(D15=$AX$24,D15=$AX$25,D15=$AX$26,D15=$AX$27,D15=$AX$28,D15=$AX$29),"",IF(AND('Master Data'!$I$28='GA55 Check &amp; Edit'!$AP$5,'Master Data'!$E$28='GA55 Check &amp; Edit'!$AO$5),'Master Data'!$C$43,"0")))),"")</f>
        <v>0</v>
      </c>
      <c r="J15" s="201" t="str">
        <f>IFERROR(IF(OR('Master Data'!$E$32=$AO$6,'Master Data'!$E$32=""),"",IF(D15="","",IF(AND(E15=""),"",IF(OR(D15=$AX$24,D15=$AX$25,D15=$AX$26,D15=$AX$27,D15=$AX$28,D15=$AX$29),"",IF(AND('Master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5" s="201">
        <f>IFERROR(IF(D15="","",IF(AND(E15=""),"",IF(OR(D15=$AX$24,D15=$AX$25,D15=$AX$26,D15=$AX$27,D15=$AX$28,D15=$AX$29),"",IF(AND('Master Data'!$I$28='GA55 Check &amp; Edit'!$AP$5),'Master Data'!$E$43,"")))),"")</f>
        <v>0</v>
      </c>
      <c r="L15" s="201">
        <f>IFERROR(IF(D15="","",IF(AND(E15=""),"",IF(OR(D15=$AX$24,D15=$AX$25,D15=$AX$26,D15=$AX$27,D15=$AX$28,D15=$AX$29),"",IF(AND('Master Data'!$I$28='GA55 Check &amp; Edit'!$AP$6),"",'Master Data'!$F$43)))),"")</f>
        <v>0</v>
      </c>
      <c r="M15" s="201" t="str">
        <f>IFERROR(IF(D15="","",IF(AND('Master Data'!$I$28='GA55 Check &amp; Edit'!$AP$6),"",IF(AND('Master Data'!$I$24='GA55 Check &amp; Edit'!$AO$6),"",IF(AND(D15="Bonus"),VLOOKUP(D15,ram,4,0),"")))),"")</f>
        <v/>
      </c>
      <c r="N15" s="201">
        <f>IFERROR(IF(AND(D15=""),"",IF(AND(D15=$AX$25,'Master Data'!$I$30='GA55 Check &amp; Edit'!$AN$6),ROUND((E15+F15)*0.1,0),IF(AND(D15=$AX$29,'Master Data'!$I$30='GA55 Check &amp; Edit'!$AN$6),ROUND((F15)*0.1,0),IF(AND(D15=$AX$26,'Master Data'!$I$30='GA55 Check &amp; Edit'!$AN$6),ROUND((F15)*0.1,0),IF(AND(D15=$AX$27,'Master Data'!$I$30='GA55 Check &amp; Edit'!$AN$6),ROUND((E15+F15)*0.1,0),IF(AND('Master Data'!$I$30='GA55 Check &amp; Edit'!$AN$5),"",IF(AND('Master Data'!$I$30='GA55 Check &amp; Edit'!$AN$6,'Master Data'!$I$28='GA55 Check &amp; Edit'!$AP$6),ROUND((E15)*0.1,0),ROUND((E15+F15)*0.1,0)))))))),"")</f>
        <v>6851</v>
      </c>
      <c r="O15" s="43">
        <f>IF(D15="","",IF('Master Data'!$H$18='GA55 Check &amp; Edit'!$AO$5,SUM(E15:N15),SUM(E15:M15)))</f>
        <v>73220</v>
      </c>
      <c r="P15" s="319">
        <f>IFERROR(IF(OR('Master Data'!$I$28='GA55 Check &amp; Edit'!$AP$6,D15=""),"",IF(AND(D15=$AX$24),"",IF(AND(D15=$AX$25),"",IF(AND(D15=$AX$26),"",IF(AND(D15=$AX$27),"",IF(AND(D15=$AX$28),"",IF(AND(D15=$AX$29),"",IF(AND(E15=""),"",VLOOKUP(D15,ram,11,0))))))))),"")</f>
        <v>7000</v>
      </c>
      <c r="Q15" s="319">
        <f>IFERROR(IF(AND(D15="",E15=""),"",IF(AND(D15=$AX$25,'Master Data'!$I$30='GA55 Check &amp; Edit'!$AN$6),ROUND((E15+F15)*0.1,0),IF(AND(D15=$AX$29,'Master Data'!$I$30='GA55 Check &amp; Edit'!$AN$6),ROUND((F15)*0.1,0),IF(AND(D15=$AX$26,'Master Data'!$I$30='GA55 Check &amp; Edit'!$AN$6),ROUND((F15)*0.1,0),IF(AND(D15=$AX$27,'Master Data'!$I$30='GA55 Check &amp; Edit'!$AN$6),ROUND((E15+F15)*0.1,0),IF(AND('Master Data'!$I$30='GA55 Check &amp; Edit'!$AN$6,'Master Data'!$I$28='GA55 Check &amp; Edit'!$AP$6),ROUND((E15)*0.1,0),IF(AND('Master Data'!$I$30='GA55 Check &amp; Edit'!$AN$6,'Master Data'!$I$28='GA55 Check &amp; Edit'!$AP$5),ROUND((E15+F15)*0.1,0),IF(AND('Master Data'!$I$30='GA55 Check &amp; Edit'!$AN$5,'Master Data'!$I$28='GA55 Check &amp; Edit'!$AP$5),VLOOKUP(D15,ram,12,0))))))))),"")</f>
        <v>6851</v>
      </c>
      <c r="R15" s="319">
        <f>IFERROR(IF(OR('Master Data'!$I$28='GA55 Check &amp; Edit'!$AP$6,D15=""),"",IF(AND(D15=$AX$24),"",IF(AND(D15=$AX$25),"",IF(AND(D15=$AX$26),"",IF(AND(D15=$AX$27),"",IF(AND(D15=$AX$28),"",IF(AND(D15=$AX$29),"",IF(AND(D15=$AX$32),"",IF(AND(E15=""),"",'Master Data'!$I$43))))))))),"")</f>
        <v>1880</v>
      </c>
      <c r="S15" s="319">
        <f>IFERROR(IF(OR('Master Data'!$I$28='GA55 Check &amp; Edit'!$AP$6),"",IF(D15="","",IF(E15="","",IF(AND(D15=$AX$24),"",IF(AND(D15=$AX$25),"",IF(AND(D15=$AX$26),"",IF(AND(D15=$AX$27),"",IF(AND(D15=$AX$28),"",IF(AND(D15=$AX$29),"",VLOOKUP(D15,ram,10,0)))))))))),"")</f>
        <v>0</v>
      </c>
      <c r="T15" s="319">
        <f>IFERROR(IF(OR('Master Data'!$I$28='GA55 Check &amp; Edit'!$AP$6,D15=""),"",IF(AND(D15=$AX$24),"",IF(AND(D15=$AX$25),"",IF(AND(D15=$AX$26),"",IF(AND(D15=$AX$27),"",IF(AND(D15=$AX$28),"",IF(AND(D15=$AX$29),"",IF(AND(E15=""),"",'Master Data'!$K$43)))))))),"")</f>
        <v>0</v>
      </c>
      <c r="U15" s="319">
        <f>IFERROR(IF(OR('Master Data'!$I$28='GA55 Check &amp; Edit'!$AP$6,D15=""),"",IF(AND(D15=$AX$24),"",IF(AND(D15=$AX$25),"",IF(AND(D15=$AX$26),"",IF(AND(D15=$AX$27),"",IF(AND(D15=$AX$28),"",IF(AND(D15=$AX$29),"",IF(AND(E15=""),"",'Master Data'!$L$43)))))))),"")</f>
        <v>0</v>
      </c>
      <c r="V15" s="319">
        <f>IFERROR(IF(OR('Master Data'!$I$28='GA55 Check &amp; Edit'!$AP$6,D15=""),"",IF(AND(D15=$AX$24,'Master Data'!$I$28='GA55 Check &amp; Edit'!$AP$5,'Master Data'!$I$30='GA55 Check &amp; Edit'!$AN$6),ROUND(M15*50%,0),IF(AND(D15=$AX$25),"",IF(AND(D15=$AX$26,'Master Data'!$I$28='GA55 Check &amp; Edit'!$AP$5,'Master Data'!$I$30='GA55 Check &amp; Edit'!$AN$6),SUM(F15-N15),IF(AND(D15=$AX$27),"",IF(AND(D15=$AX$28),"",IF(AND(D15=$AX$29,'Master Data'!$I$28='GA55 Check &amp; Edit'!$AP$5,'Master Data'!$I$30='GA55 Check &amp; Edit'!$AN$6),SUM(F15-N15),IF(AND(E15=""),"",'Master Data'!$M$43)))))))),"")</f>
        <v>0</v>
      </c>
      <c r="W15" s="319">
        <f>IFERROR(IF(OR('Master Data'!$I$28='GA55 Check &amp; Edit'!$AP$6,D15=""),"",IF(AND(D15=$AX$24),"",IF(AND(D15=$AX$25),"",IF(AND(D15=$AX$26),"",IF(AND(D15=$AX$27),"",IF(AND(D15=$AX$28),"",IF(AND(D15=$AX$29),"",IF(AND(E15=""),"",'Master Data'!$O$43)))))))),"")</f>
        <v>0</v>
      </c>
      <c r="X15" s="319" t="str">
        <f>IFERROR(IF(OR('Master Data'!$I$28='GA55 Check &amp; Edit'!$AP$6,D15=""),"",IF(AND(E15=""),"",IF(AND('GA55 Check &amp; Edit'!D15='GA55 Check &amp; Edit'!$AT$17,'Master Data'!$D$18="Gazetted"),500,IF(AND('GA55 Check &amp; Edit'!D15='GA55 Check &amp; Edit'!$AT$17,'Master Data'!$D$18="Non-Gazetted"),250,"")))),"")</f>
        <v/>
      </c>
      <c r="Y15" s="319">
        <f>IFERROR(IF(D15="","",IF(AND(E15=""),"",IF(AND(D15=$AX$24),"",IF(AND(D15=$AX$25),"",IF(AND(D15=$AX$26),"",IF(AND(D15=$AX$27),"",IF(AND(D15=$AX$28),"",IF(AND(D15=$AX$29),"",IF(OR('Master Data'!$I$28='GA55 Check &amp; Edit'!$AP$6,D15=""),"",$Y$7))))))))),"")</f>
        <v>0</v>
      </c>
      <c r="Z15" s="319">
        <f>IFERROR(IF(OR('Master Data'!$I$28='GA55 Check &amp; Edit'!$AP$6),"",IF(D15="","",IF(E15="","",VLOOKUP(D15,ram,9,0)))),"")</f>
        <v>1500</v>
      </c>
      <c r="AA15" s="319" t="str">
        <f>IFERROR(IF(OR('Master Data'!$I$28='GA55 Check &amp; Edit'!$AP$6,D15="",'Master Data'!$N$38=""),"",IF(AND(E15=""),"",IF('GA55 Check &amp; Edit'!D15='GA55 Check &amp; Edit'!$AT$9,'Master Data'!$N$38,""))),"")</f>
        <v/>
      </c>
      <c r="AB15" s="320">
        <f>IFERROR(IF(D15="","",IF(AND(O15=""),"",IF(AND(N15=""),SUM(P15:AA15),IF(AND('Master Data'!$H$18='GA55 Check &amp; Edit'!$AO$5,'Master Data'!$I$30='GA55 Check &amp; Edit'!$AN$6),SUM(P15:AA15)+N15,SUM(P15:AA15))))),"0")</f>
        <v>17231</v>
      </c>
      <c r="AC15" s="35">
        <f t="shared" si="2"/>
        <v>55989</v>
      </c>
      <c r="AD15" s="202"/>
      <c r="AE15" s="232"/>
      <c r="AF15" s="39"/>
      <c r="AS15" s="321" t="s">
        <v>30</v>
      </c>
      <c r="AT15" s="316">
        <v>44470</v>
      </c>
      <c r="AU15" s="321" t="s">
        <v>100</v>
      </c>
      <c r="AW15" s="328" t="s">
        <v>24</v>
      </c>
      <c r="AX15" s="322">
        <v>44348</v>
      </c>
      <c r="AY15" s="327">
        <v>6</v>
      </c>
      <c r="AZ15" s="329">
        <f>IF(AND('Master Data'!E36=""),"",'Master Data'!E36)</f>
        <v>50800</v>
      </c>
      <c r="BA15" s="329">
        <f>IF(AND('Master Data'!$E$36=""),"",IF(AND('Master Data'!$I$28='GA55 Check &amp; Edit'!$AP$6),'GA55 Check &amp; Edit'!$AZ$15,BU15))</f>
        <v>50800</v>
      </c>
      <c r="BB15" s="327">
        <f t="shared" si="11"/>
        <v>50800</v>
      </c>
      <c r="BC15" s="327">
        <f>IF(AND('Master Data'!$E$36=""),"",ROUND(17%*BA15,0))</f>
        <v>8636</v>
      </c>
      <c r="BD15" s="327">
        <f t="shared" ref="BD15:BD22" si="13">IF(BB15="","",BC15)</f>
        <v>8636</v>
      </c>
      <c r="BE15" s="334">
        <f>IFERROR(IF(AND('Master Data'!$E$36=""),"",ROUND('Master Data'!$E$30%*BB15,0)),"")</f>
        <v>4064</v>
      </c>
      <c r="BF15" s="329">
        <f>'Master Data'!E47</f>
        <v>1500</v>
      </c>
      <c r="BG15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5" s="329">
        <f>IFERROR(IF(OR('Master Data'!$I$28='GA55 Check &amp; Edit'!$AP$6),"",'Master Data'!$G$43),"")</f>
        <v>7000</v>
      </c>
      <c r="BI15" s="335">
        <f>IFERROR(IF(AND('Master Data'!$I$30='GA55 Check &amp; Edit'!$AN$6),ROUND((E11)*0.1,0),IF(AND('Master Data'!$I$28='GA55 Check &amp; Edit'!$AP$6),ROUND((E11+F11)*0.1,0),'Master Data'!$H$43)),"")</f>
        <v>5080</v>
      </c>
      <c r="BJ15" s="329">
        <f t="shared" si="12"/>
        <v>50800</v>
      </c>
      <c r="BK15" s="336">
        <v>44348</v>
      </c>
      <c r="BL15" s="336">
        <f>IFERROR(IF('Master Data'!$E$36="","",IF('Master Data'!$F$40="","",IF(AND($AZ$17&gt;$AZ$9),"",DATE(YEAR(BL14),MONTH(BL14)+1,DAY(BL14))))),"")</f>
        <v>44348</v>
      </c>
      <c r="BM15" s="337">
        <f>IFERROR(IF('Master Data'!$E$36="","",IF('Master Data'!$F$40="","",IF(AND($AZ$17&gt;$AZ$9),"",DATE(YEAR(BM14),MONTH(BM14)+1,DAY(BM14))))),"")</f>
        <v>44348</v>
      </c>
      <c r="BN15" s="337">
        <f t="shared" si="6"/>
        <v>44348</v>
      </c>
      <c r="BO15" s="337">
        <f t="shared" si="7"/>
        <v>44348</v>
      </c>
      <c r="BP15" s="337"/>
      <c r="BQ15" s="337">
        <f t="shared" si="8"/>
        <v>44348</v>
      </c>
      <c r="BR15" s="337"/>
      <c r="BS15" s="338">
        <f t="shared" ca="1" si="9"/>
        <v>52300</v>
      </c>
      <c r="BT15" s="338"/>
      <c r="BU15" s="338">
        <f>IF(AND('Master Data'!$I$38='GA55 Check &amp; Edit'!AX15),'Master Data'!$I$36,BU14)</f>
        <v>50800</v>
      </c>
      <c r="BX15" s="338">
        <f t="shared" si="10"/>
        <v>1500</v>
      </c>
    </row>
    <row r="16" spans="1:103" s="321" customFormat="1" ht="21" customHeight="1">
      <c r="A16" s="34">
        <f t="shared" si="0"/>
        <v>1</v>
      </c>
      <c r="B16" s="50">
        <f t="shared" si="3"/>
        <v>9</v>
      </c>
      <c r="C16" s="51">
        <f t="shared" si="5"/>
        <v>9</v>
      </c>
      <c r="D16" s="318">
        <f t="shared" si="1"/>
        <v>44501</v>
      </c>
      <c r="E16" s="200">
        <f>IFERROR(IF(D16="","",IF(AND(BQ20=""),"",IF(AND('Master Data'!$I$28='GA55 Check &amp; Edit'!$AP$6),VLOOKUP(D16,ram,13,0),VLOOKUP(D16,ram,4,0)))),"")</f>
        <v>52300</v>
      </c>
      <c r="F16" s="201">
        <f>IFERROR(IF(D16="","",IF(D16=$AX$24,"",IF(AND(D16=$AX$25),$BC$25,IF(AND(D16=$AX$27),"",IF(AND(D16=$AX$28),"",IF(AND('Master Data'!$I$28='GA55 Check &amp; Edit'!$AP$5),VLOOKUP(D16,ram,7,0),"")))))),"")</f>
        <v>16213</v>
      </c>
      <c r="G16" s="201">
        <f>IFERROR(IF(D16="","",IF(D16=$AX$24,"",IF(AND(D16=$AX$25),"",IF(AND(D16=$AX$26),"",IF(AND(D16=$AX$27),"",IF(AND(D16=$AX$29),"",IF(AND('Master Data'!$I$28='GA55 Check &amp; Edit'!$AP$6),"",VLOOKUP(D16,ram,8,0)))))))),"")</f>
        <v>4707</v>
      </c>
      <c r="H16" s="201">
        <f>IFERROR(IF(D16="","",IF(AND(E16=""),"",IF(OR(D16=$AX$24,D16=$AX$25,D16=$AX$26,D16=$AX$27,D16=$AX$28,D16=$AX$29),"",IF(AND('Master Data'!$I$28='GA55 Check &amp; Edit'!$AP$5),'Master Data'!$B$43,"")))),"")</f>
        <v>0</v>
      </c>
      <c r="I16" s="201" t="str">
        <f>IFERROR(IF(D16="","",IF(AND(E16=""),"",IF(OR(D16=$AX$24,D16=$AX$25,D16=$AX$26,D16=$AX$27,D16=$AX$28,D16=$AX$29),"",IF(AND('Master Data'!$I$28='GA55 Check &amp; Edit'!$AP$5,'Master Data'!$E$28='GA55 Check &amp; Edit'!$AO$5),'Master Data'!$C$43,"0")))),"")</f>
        <v>0</v>
      </c>
      <c r="J16" s="201" t="str">
        <f>IFERROR(IF(OR('Master Data'!$E$32=$AO$6,'Master Data'!$E$32=""),"",IF(D16="","",IF(AND(E16=""),"",IF(OR(D16=$AX$24,D16=$AX$25,D16=$AX$26,D16=$AX$27,D16=$AX$28,D16=$AX$29),"",IF(AND('Master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6" s="201">
        <f>IFERROR(IF(D16="","",IF(AND(E16=""),"",IF(OR(D16=$AX$24,D16=$AX$25,D16=$AX$26,D16=$AX$27,D16=$AX$28,D16=$AX$29),"",IF(AND('Master Data'!$I$28='GA55 Check &amp; Edit'!$AP$5),'Master Data'!$E$43,"")))),"")</f>
        <v>0</v>
      </c>
      <c r="L16" s="201">
        <f>IFERROR(IF(D16="","",IF(AND(E16=""),"",IF(OR(D16=$AX$24,D16=$AX$25,D16=$AX$26,D16=$AX$27,D16=$AX$28,D16=$AX$29),"",IF(AND('Master Data'!$I$28='GA55 Check &amp; Edit'!$AP$6),"",'Master Data'!$F$43)))),"")</f>
        <v>0</v>
      </c>
      <c r="M16" s="201" t="str">
        <f>IFERROR(IF(D16="","",IF(AND('Master Data'!$I$28='GA55 Check &amp; Edit'!$AP$6),"",IF(AND('Master Data'!$I$24='GA55 Check &amp; Edit'!$AO$6),"",IF(AND(D16="Bonus"),VLOOKUP(D16,ram,4,0),"")))),"")</f>
        <v/>
      </c>
      <c r="N16" s="201">
        <f>IFERROR(IF(AND(D16=""),"",IF(AND(D16=$AX$25,'Master Data'!$I$30='GA55 Check &amp; Edit'!$AN$6),ROUND((E16+F16)*0.1,0),IF(AND(D16=$AX$29,'Master Data'!$I$30='GA55 Check &amp; Edit'!$AN$6),ROUND((F16)*0.1,0),IF(AND(D16=$AX$26,'Master Data'!$I$30='GA55 Check &amp; Edit'!$AN$6),ROUND((F16)*0.1,0),IF(AND(D16=$AX$27,'Master Data'!$I$30='GA55 Check &amp; Edit'!$AN$6),ROUND((E16+F16)*0.1,0),IF(AND('Master Data'!$I$30='GA55 Check &amp; Edit'!$AN$5),"",IF(AND('Master Data'!$I$30='GA55 Check &amp; Edit'!$AN$6,'Master Data'!$I$28='GA55 Check &amp; Edit'!$AP$6),ROUND((E16)*0.1,0),ROUND((E16+F16)*0.1,0)))))))),"")</f>
        <v>6851</v>
      </c>
      <c r="O16" s="43">
        <f>IF(D16="","",IF('Master Data'!$H$18='GA55 Check &amp; Edit'!$AO$5,SUM(E16:N16),SUM(E16:M16)))</f>
        <v>73220</v>
      </c>
      <c r="P16" s="319">
        <f>IFERROR(IF(OR('Master Data'!$I$28='GA55 Check &amp; Edit'!$AP$6,D16=""),"",IF(AND(D16=$AX$24),"",IF(AND(D16=$AX$25),"",IF(AND(D16=$AX$26),"",IF(AND(D16=$AX$27),"",IF(AND(D16=$AX$28),"",IF(AND(D16=$AX$29),"",IF(AND(E16=""),"",VLOOKUP(D16,ram,11,0))))))))),"")</f>
        <v>7000</v>
      </c>
      <c r="Q16" s="319">
        <f>IFERROR(IF(AND(D16="",E16=""),"",IF(AND(D16=$AX$25,'Master Data'!$I$30='GA55 Check &amp; Edit'!$AN$6),ROUND((E16+F16)*0.1,0),IF(AND(D16=$AX$29,'Master Data'!$I$30='GA55 Check &amp; Edit'!$AN$6),ROUND((F16)*0.1,0),IF(AND(D16=$AX$26,'Master Data'!$I$30='GA55 Check &amp; Edit'!$AN$6),ROUND((F16)*0.1,0),IF(AND(D16=$AX$27,'Master Data'!$I$30='GA55 Check &amp; Edit'!$AN$6),ROUND((E16+F16)*0.1,0),IF(AND('Master Data'!$I$30='GA55 Check &amp; Edit'!$AN$6,'Master Data'!$I$28='GA55 Check &amp; Edit'!$AP$6),ROUND((E16)*0.1,0),IF(AND('Master Data'!$I$30='GA55 Check &amp; Edit'!$AN$6,'Master Data'!$I$28='GA55 Check &amp; Edit'!$AP$5),ROUND((E16+F16)*0.1,0),IF(AND('Master Data'!$I$30='GA55 Check &amp; Edit'!$AN$5,'Master Data'!$I$28='GA55 Check &amp; Edit'!$AP$5),VLOOKUP(D16,ram,12,0))))))))),"")</f>
        <v>6851</v>
      </c>
      <c r="R16" s="319">
        <f>IFERROR(IF(OR('Master Data'!$I$28='GA55 Check &amp; Edit'!$AP$6,D16=""),"",IF(AND(D16=$AX$24),"",IF(AND(D16=$AX$25),"",IF(AND(D16=$AX$26),"",IF(AND(D16=$AX$27),"",IF(AND(D16=$AX$28),"",IF(AND(D16=$AX$29),"",IF(AND(D16=$AX$32),"",IF(AND(E16=""),"",'Master Data'!$I$43))))))))),"")</f>
        <v>1880</v>
      </c>
      <c r="S16" s="319">
        <f>IFERROR(IF(OR('Master Data'!$I$28='GA55 Check &amp; Edit'!$AP$6),"",IF(D16="","",IF(E16="","",IF(AND(D16=$AX$24),"",IF(AND(D16=$AX$25),"",IF(AND(D16=$AX$26),"",IF(AND(D16=$AX$27),"",IF(AND(D16=$AX$28),"",IF(AND(D16=$AX$29),"",VLOOKUP(D16,ram,10,0)))))))))),"")</f>
        <v>0</v>
      </c>
      <c r="T16" s="319">
        <f>IFERROR(IF(OR('Master Data'!$I$28='GA55 Check &amp; Edit'!$AP$6,D16=""),"",IF(AND(D16=$AX$24),"",IF(AND(D16=$AX$25),"",IF(AND(D16=$AX$26),"",IF(AND(D16=$AX$27),"",IF(AND(D16=$AX$28),"",IF(AND(D16=$AX$29),"",IF(AND(E16=""),"",'Master Data'!$K$43)))))))),"")</f>
        <v>0</v>
      </c>
      <c r="U16" s="319">
        <f>IFERROR(IF(OR('Master Data'!$I$28='GA55 Check &amp; Edit'!$AP$6,D16=""),"",IF(AND(D16=$AX$24),"",IF(AND(D16=$AX$25),"",IF(AND(D16=$AX$26),"",IF(AND(D16=$AX$27),"",IF(AND(D16=$AX$28),"",IF(AND(D16=$AX$29),"",IF(AND(E16=""),"",'Master Data'!$L$43)))))))),"")</f>
        <v>0</v>
      </c>
      <c r="V16" s="319">
        <f>IFERROR(IF(OR('Master Data'!$I$28='GA55 Check &amp; Edit'!$AP$6,D16=""),"",IF(AND(D16=$AX$24,'Master Data'!$I$28='GA55 Check &amp; Edit'!$AP$5,'Master Data'!$I$30='GA55 Check &amp; Edit'!$AN$6),ROUND(M16*50%,0),IF(AND(D16=$AX$25),"",IF(AND(D16=$AX$26,'Master Data'!$I$28='GA55 Check &amp; Edit'!$AP$5,'Master Data'!$I$30='GA55 Check &amp; Edit'!$AN$6),SUM(F16-N16),IF(AND(D16=$AX$27),"",IF(AND(D16=$AX$28),"",IF(AND(D16=$AX$29,'Master Data'!$I$28='GA55 Check &amp; Edit'!$AP$5,'Master Data'!$I$30='GA55 Check &amp; Edit'!$AN$6),SUM(F16-N16),IF(AND(E16=""),"",'Master Data'!$M$43)))))))),"")</f>
        <v>0</v>
      </c>
      <c r="W16" s="319">
        <f>IFERROR(IF(OR('Master Data'!$I$28='GA55 Check &amp; Edit'!$AP$6,D16=""),"",IF(AND(D16=$AX$24),"",IF(AND(D16=$AX$25),"",IF(AND(D16=$AX$26),"",IF(AND(D16=$AX$27),"",IF(AND(D16=$AX$28),"",IF(AND(D16=$AX$29),"",IF(AND(E16=""),"",'Master Data'!$O$43)))))))),"")</f>
        <v>0</v>
      </c>
      <c r="X16" s="319" t="str">
        <f>IFERROR(IF(OR('Master Data'!$I$28='GA55 Check &amp; Edit'!$AP$6,D16=""),"",IF(AND(E16=""),"",IF(AND('GA55 Check &amp; Edit'!D16='GA55 Check &amp; Edit'!$AT$17,'Master Data'!$D$18="Gazetted"),500,IF(AND('GA55 Check &amp; Edit'!D16='GA55 Check &amp; Edit'!$AT$17,'Master Data'!$D$18="Non-Gazetted"),250,"")))),"")</f>
        <v/>
      </c>
      <c r="Y16" s="319">
        <f>IFERROR(IF(D16="","",IF(AND(E16=""),"",IF(AND(D16=$AX$24),"",IF(AND(D16=$AX$25),"",IF(AND(D16=$AX$26),"",IF(AND(D16=$AX$27),"",IF(AND(D16=$AX$28),"",IF(AND(D16=$AX$29),"",IF(OR('Master Data'!$I$28='GA55 Check &amp; Edit'!$AP$6,D16=""),"",$Y$7))))))))),"")</f>
        <v>0</v>
      </c>
      <c r="Z16" s="319">
        <f>IFERROR(IF(OR('Master Data'!$I$28='GA55 Check &amp; Edit'!$AP$6),"",IF(D16="","",IF(E16="","",VLOOKUP(D16,ram,9,0)))),"")</f>
        <v>1500</v>
      </c>
      <c r="AA16" s="319" t="str">
        <f>IFERROR(IF(OR('Master Data'!$I$28='GA55 Check &amp; Edit'!$AP$6,D16="",'Master Data'!$N$38=""),"",IF(AND(E16=""),"",IF('GA55 Check &amp; Edit'!D16='GA55 Check &amp; Edit'!$AT$9,'Master Data'!$N$38,""))),"")</f>
        <v/>
      </c>
      <c r="AB16" s="320">
        <f>IFERROR(IF(D16="","",IF(AND(O16=""),"",IF(AND(N16=""),SUM(P16:AA16),IF(AND('Master Data'!$H$18='GA55 Check &amp; Edit'!$AO$5,'Master Data'!$I$30='GA55 Check &amp; Edit'!$AN$6),SUM(P16:AA16)+N16,SUM(P16:AA16))))),"0")</f>
        <v>17231</v>
      </c>
      <c r="AC16" s="35">
        <f t="shared" si="2"/>
        <v>55989</v>
      </c>
      <c r="AD16" s="202"/>
      <c r="AE16" s="232"/>
      <c r="AF16" s="39"/>
      <c r="AS16" s="321" t="s">
        <v>33</v>
      </c>
      <c r="AT16" s="316">
        <v>44501</v>
      </c>
      <c r="AU16" s="321" t="s">
        <v>101</v>
      </c>
      <c r="AW16" s="328" t="s">
        <v>26</v>
      </c>
      <c r="AX16" s="322">
        <v>44378</v>
      </c>
      <c r="AY16" s="327">
        <v>7</v>
      </c>
      <c r="AZ16" s="339">
        <f>IF(AND('Master Data'!F40=""),"",'Master Data'!F40)</f>
        <v>44256</v>
      </c>
      <c r="BA16" s="329">
        <f>IF(AND('Master Data'!$E$36=""),"",IF(AND('Master Data'!$I$28='GA55 Check &amp; Edit'!$AP$6),'GA55 Check &amp; Edit'!$AZ$15,BU16))</f>
        <v>52300</v>
      </c>
      <c r="BB16" s="327">
        <f t="shared" si="11"/>
        <v>52300</v>
      </c>
      <c r="BC16" s="327">
        <f>IF(AND('Master Data'!$E$36=""),"",IF(AND('Master Data'!$N$26='GA55 Check &amp; Edit'!$AO$5),ROUND(28%*BA16,0),ROUND(17%*BA16,0)))</f>
        <v>14644</v>
      </c>
      <c r="BD16" s="327">
        <f t="shared" si="13"/>
        <v>14644</v>
      </c>
      <c r="BE16" s="334">
        <f>IFERROR(IF(AND('Master Data'!$E$36=""),"",ROUND('Master Data'!$E$30%*BB16,0)),"")</f>
        <v>4184</v>
      </c>
      <c r="BF16" s="329">
        <f>'Master Data'!F47</f>
        <v>1500</v>
      </c>
      <c r="BG16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6" s="329">
        <f>IFERROR(IF(OR('Master Data'!$I$28='GA55 Check &amp; Edit'!$AP$6),"",'Master Data'!$G$43),"")</f>
        <v>7000</v>
      </c>
      <c r="BI16" s="335">
        <f>IFERROR(IF(AND('Master Data'!$I$30='GA55 Check &amp; Edit'!$AN$6),ROUND((E12)*0.1,0),IF(AND('Master Data'!$I$28='GA55 Check &amp; Edit'!$AP$6),ROUND((E12+F12)*0.1,0),'Master Data'!$H$43)),"")</f>
        <v>5230</v>
      </c>
      <c r="BJ16" s="329">
        <f>BA16</f>
        <v>52300</v>
      </c>
      <c r="BK16" s="336">
        <v>44378</v>
      </c>
      <c r="BL16" s="336">
        <f>IFERROR(IF('Master Data'!$E$36="","",IF('Master Data'!$F$40="","",IF(AND($AZ$17&gt;$AZ$9),"",DATE(YEAR(BL15),MONTH(BL15)+1,DAY(BL15))))),"")</f>
        <v>44378</v>
      </c>
      <c r="BM16" s="337">
        <f>IFERROR(IF('Master Data'!$E$36="","",IF('Master Data'!$F$40="","",IF(AND($AZ$17&gt;$AZ$9),"",DATE(YEAR(BM15),MONTH(BM15)+1,DAY(BM15))))),"")</f>
        <v>44378</v>
      </c>
      <c r="BN16" s="337">
        <f t="shared" si="6"/>
        <v>44378</v>
      </c>
      <c r="BO16" s="337">
        <f t="shared" si="7"/>
        <v>44378</v>
      </c>
      <c r="BP16" s="337"/>
      <c r="BQ16" s="337">
        <f t="shared" si="8"/>
        <v>44378</v>
      </c>
      <c r="BR16" s="337"/>
      <c r="BS16" s="338">
        <f t="shared" ca="1" si="9"/>
        <v>52300</v>
      </c>
      <c r="BT16" s="338"/>
      <c r="BU16" s="338">
        <f>IF(AND('Master Data'!$I$38='GA55 Check &amp; Edit'!AX16),'Master Data'!$I$36,AZ18)</f>
        <v>52300</v>
      </c>
      <c r="BX16" s="338">
        <f t="shared" si="10"/>
        <v>1500</v>
      </c>
    </row>
    <row r="17" spans="1:76" s="321" customFormat="1" ht="21" customHeight="1">
      <c r="A17" s="34">
        <f t="shared" si="0"/>
        <v>0</v>
      </c>
      <c r="B17" s="50">
        <f t="shared" si="3"/>
        <v>10</v>
      </c>
      <c r="C17" s="51">
        <f t="shared" si="5"/>
        <v>10</v>
      </c>
      <c r="D17" s="318">
        <f>IFERROR(IF(BO21="","",BO21),"")</f>
        <v>44531</v>
      </c>
      <c r="E17" s="200">
        <f>IFERROR(IF(D17="","",IF(AND(BQ21=""),"",IF(AND('Master Data'!$I$28='GA55 Check &amp; Edit'!$AP$6),VLOOKUP(D17,ram,13,0),VLOOKUP(D17,ram,4,0)))),"")</f>
        <v>52300</v>
      </c>
      <c r="F17" s="201">
        <f>IFERROR(IF(D17="","",IF(D17=$AX$24,"",IF(AND(D17=$AX$25),$BC$25,IF(AND(D17=$AX$27),"",IF(AND(D17=$AX$28),"",IF(AND('Master Data'!$I$28='GA55 Check &amp; Edit'!$AP$5),VLOOKUP(D17,ram,7,0),"")))))),"")</f>
        <v>16213</v>
      </c>
      <c r="G17" s="201">
        <f>IFERROR(IF(D17="","",IF(D17=$AX$24,"",IF(AND(D17=$AX$25),"",IF(AND(D17=$AX$26),"",IF(AND(D17=$AX$27),"",IF(AND(D17=$AX$29),"",IF(AND('Master Data'!$I$28='GA55 Check &amp; Edit'!$AP$6),"",VLOOKUP(D17,ram,8,0)))))))),"")</f>
        <v>4707</v>
      </c>
      <c r="H17" s="201">
        <f>IFERROR(IF(D17="","",IF(AND(E17=""),"",IF(OR(D17=$AX$24,D17=$AX$25,D17=$AX$26,D17=$AX$27,D17=$AX$28,D17=$AX$29),"",IF(AND('Master Data'!$I$28='GA55 Check &amp; Edit'!$AP$5),'Master Data'!$B$43,"")))),"")</f>
        <v>0</v>
      </c>
      <c r="I17" s="201" t="str">
        <f>IFERROR(IF(D17="","",IF(AND(E17=""),"",IF(OR(D17=$AX$24,D17=$AX$25,D17=$AX$26,D17=$AX$27,D17=$AX$28,D17=$AX$29),"",IF(AND('Master Data'!$I$28='GA55 Check &amp; Edit'!$AP$5,'Master Data'!$E$28='GA55 Check &amp; Edit'!$AO$5),'Master Data'!$C$43,"0")))),"")</f>
        <v>0</v>
      </c>
      <c r="J17" s="201" t="str">
        <f>IFERROR(IF(OR('Master Data'!$E$32=$AO$6,'Master Data'!$E$32=""),"",IF(D17="","",IF(AND(E17=""),"",IF(OR(D17=$AX$24,D17=$AX$25,D17=$AX$26,D17=$AX$27,D17=$AX$28,D17=$AX$29),"",IF(AND('Master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7" s="201">
        <f>IFERROR(IF(D17="","",IF(AND(E17=""),"",IF(OR(D17=$AX$24,D17=$AX$25,D17=$AX$26,D17=$AX$27,D17=$AX$28,D17=$AX$29),"",IF(AND('Master Data'!$I$28='GA55 Check &amp; Edit'!$AP$5),'Master Data'!$E$43,"")))),"")</f>
        <v>0</v>
      </c>
      <c r="L17" s="201">
        <f>IFERROR(IF(D17="","",IF(AND(E17=""),"",IF(OR(D17=$AX$24,D17=$AX$25,D17=$AX$26,D17=$AX$27,D17=$AX$28,D17=$AX$29),"",IF(AND('Master Data'!$I$28='GA55 Check &amp; Edit'!$AP$6),"",'Master Data'!$F$43)))),"")</f>
        <v>0</v>
      </c>
      <c r="M17" s="201" t="str">
        <f>IFERROR(IF(D17="","",IF(AND('Master Data'!$I$28='GA55 Check &amp; Edit'!$AP$6),"",IF(AND('Master Data'!$I$24='GA55 Check &amp; Edit'!$AO$6),"",IF(AND(D17="Bonus"),VLOOKUP(D17,ram,4,0),"")))),"")</f>
        <v/>
      </c>
      <c r="N17" s="201">
        <f>IFERROR(IF(AND(D17=""),"",IF(AND(D17=$AX$25,'Master Data'!$I$30='GA55 Check &amp; Edit'!$AN$6),ROUND((E17+F17)*0.1,0),IF(AND(D17=$AX$29,'Master Data'!$I$30='GA55 Check &amp; Edit'!$AN$6),ROUND((F17)*0.1,0),IF(AND(D17=$AX$26,'Master Data'!$I$30='GA55 Check &amp; Edit'!$AN$6),ROUND((F17)*0.1,0),IF(AND(D17=$AX$27,'Master Data'!$I$30='GA55 Check &amp; Edit'!$AN$6),ROUND((E17+F17)*0.1,0),IF(AND('Master Data'!$I$30='GA55 Check &amp; Edit'!$AN$5),"",IF(AND('Master Data'!$I$30='GA55 Check &amp; Edit'!$AN$6,'Master Data'!$I$28='GA55 Check &amp; Edit'!$AP$6),ROUND((E17)*0.1,0),ROUND((E17+F17)*0.1,0)))))))),"")</f>
        <v>6851</v>
      </c>
      <c r="O17" s="43">
        <f>IF(D17="","",IF('Master Data'!$H$18='GA55 Check &amp; Edit'!$AO$5,SUM(E17:N17),SUM(E17:M17)))</f>
        <v>73220</v>
      </c>
      <c r="P17" s="319">
        <f>IFERROR(IF(OR('Master Data'!$I$28='GA55 Check &amp; Edit'!$AP$6,D17=""),"",IF(AND(D17=$AX$24),"",IF(AND(D17=$AX$25),"",IF(AND(D17=$AX$26),"",IF(AND(D17=$AX$27),"",IF(AND(D17=$AX$28),"",IF(AND(D17=$AX$29),"",IF(AND(E17=""),"",VLOOKUP(D17,ram,11,0))))))))),"")</f>
        <v>7000</v>
      </c>
      <c r="Q17" s="319">
        <f>IFERROR(IF(AND(D17="",E17=""),"",IF(AND(D17=$AX$25,'Master Data'!$I$30='GA55 Check &amp; Edit'!$AN$6),ROUND((E17+F17)*0.1,0),IF(AND(D17=$AX$29,'Master Data'!$I$30='GA55 Check &amp; Edit'!$AN$6),ROUND((F17)*0.1,0),IF(AND(D17=$AX$26,'Master Data'!$I$30='GA55 Check &amp; Edit'!$AN$6),ROUND((F17)*0.1,0),IF(AND(D17=$AX$27,'Master Data'!$I$30='GA55 Check &amp; Edit'!$AN$6),ROUND((E17+F17)*0.1,0),IF(AND('Master Data'!$I$30='GA55 Check &amp; Edit'!$AN$6,'Master Data'!$I$28='GA55 Check &amp; Edit'!$AP$6),ROUND((E17)*0.1,0),IF(AND('Master Data'!$I$30='GA55 Check &amp; Edit'!$AN$6,'Master Data'!$I$28='GA55 Check &amp; Edit'!$AP$5),ROUND((E17+F17)*0.1,0),IF(AND('Master Data'!$I$30='GA55 Check &amp; Edit'!$AN$5,'Master Data'!$I$28='GA55 Check &amp; Edit'!$AP$5),VLOOKUP(D17,ram,12,0))))))))),"")</f>
        <v>6851</v>
      </c>
      <c r="R17" s="319">
        <f>IFERROR(IF(OR('Master Data'!$I$28='GA55 Check &amp; Edit'!$AP$6,D17=""),"",IF(AND(D17=$AX$24),"",IF(AND(D17=$AX$25),"",IF(AND(D17=$AX$26),"",IF(AND(D17=$AX$27),"",IF(AND(D17=$AX$28),"",IF(AND(D17=$AX$29),"",IF(AND(D17=$AX$32),"",IF(AND(E17=""),"",'Master Data'!$I$43))))))))),"")</f>
        <v>1880</v>
      </c>
      <c r="S17" s="319">
        <f>IFERROR(IF(OR('Master Data'!$I$28='GA55 Check &amp; Edit'!$AP$6),"",IF(D17="","",IF(E17="","",IF(AND(D17=$AX$24),"",IF(AND(D17=$AX$25),"",IF(AND(D17=$AX$26),"",IF(AND(D17=$AX$27),"",IF(AND(D17=$AX$28),"",IF(AND(D17=$AX$29),"",VLOOKUP(D17,ram,10,0)))))))))),"")</f>
        <v>0</v>
      </c>
      <c r="T17" s="319">
        <f>IFERROR(IF(OR('Master Data'!$I$28='GA55 Check &amp; Edit'!$AP$6,D17=""),"",IF(AND(D17=$AX$24),"",IF(AND(D17=$AX$25),"",IF(AND(D17=$AX$26),"",IF(AND(D17=$AX$27),"",IF(AND(D17=$AX$28),"",IF(AND(D17=$AX$29),"",IF(AND(E17=""),"",'Master Data'!$K$43)))))))),"")</f>
        <v>0</v>
      </c>
      <c r="U17" s="319">
        <f>IFERROR(IF(OR('Master Data'!$I$28='GA55 Check &amp; Edit'!$AP$6,D17=""),"",IF(AND(D17=$AX$24),"",IF(AND(D17=$AX$25),"",IF(AND(D17=$AX$26),"",IF(AND(D17=$AX$27),"",IF(AND(D17=$AX$28),"",IF(AND(D17=$AX$29),"",IF(AND(E17=""),"",'Master Data'!$L$43)))))))),"")</f>
        <v>0</v>
      </c>
      <c r="V17" s="319">
        <f>IFERROR(IF(OR('Master Data'!$I$28='GA55 Check &amp; Edit'!$AP$6,D17=""),"",IF(AND(D17=$AX$24,'Master Data'!$I$28='GA55 Check &amp; Edit'!$AP$5,'Master Data'!$I$30='GA55 Check &amp; Edit'!$AN$6),ROUND(M17*50%,0),IF(AND(D17=$AX$25),"",IF(AND(D17=$AX$26,'Master Data'!$I$28='GA55 Check &amp; Edit'!$AP$5,'Master Data'!$I$30='GA55 Check &amp; Edit'!$AN$6),SUM(F17-N17),IF(AND(D17=$AX$27),"",IF(AND(D17=$AX$28),"",IF(AND(D17=$AX$29,'Master Data'!$I$28='GA55 Check &amp; Edit'!$AP$5,'Master Data'!$I$30='GA55 Check &amp; Edit'!$AN$6),SUM(F17-N17),IF(AND(E17=""),"",'Master Data'!$M$43)))))))),"")</f>
        <v>0</v>
      </c>
      <c r="W17" s="319">
        <f>IFERROR(IF(OR('Master Data'!$I$28='GA55 Check &amp; Edit'!$AP$6,D17=""),"",IF(AND(D17=$AX$24),"",IF(AND(D17=$AX$25),"",IF(AND(D17=$AX$26),"",IF(AND(D17=$AX$27),"",IF(AND(D17=$AX$28),"",IF(AND(D17=$AX$29),"",IF(AND(E17=""),"",'Master Data'!$O$43)))))))),"")</f>
        <v>0</v>
      </c>
      <c r="X17" s="319">
        <f>IFERROR(IF(OR('Master Data'!$I$28='GA55 Check &amp; Edit'!$AP$6,D17=""),"",IF(AND(E17=""),"",IF(AND('GA55 Check &amp; Edit'!D17='GA55 Check &amp; Edit'!$AT$17,'Master Data'!$D$18="Gazetted"),500,IF(AND('GA55 Check &amp; Edit'!D17='GA55 Check &amp; Edit'!$AT$17,'Master Data'!$D$18="Non-Gazetted"),250,"")))),"")</f>
        <v>250</v>
      </c>
      <c r="Y17" s="319">
        <f>IFERROR(IF(D17="","",IF(AND(E17=""),"",IF(AND(D17=$AX$24),"",IF(AND(D17=$AX$25),"",IF(AND(D17=$AX$26),"",IF(AND(D17=$AX$27),"",IF(AND(D17=$AX$28),"",IF(AND(D17=$AX$29),"",IF(OR('Master Data'!$I$28='GA55 Check &amp; Edit'!$AP$6,D17=""),"",$Y$7))))))))),"")</f>
        <v>0</v>
      </c>
      <c r="Z17" s="319">
        <f>IFERROR(IF(OR('Master Data'!$I$28='GA55 Check &amp; Edit'!$AP$6),"",IF(D17="","",IF(E17="","",VLOOKUP(D17,ram,9,0)))),"")</f>
        <v>1500</v>
      </c>
      <c r="AA17" s="319" t="str">
        <f>IFERROR(IF(OR('Master Data'!$I$28='GA55 Check &amp; Edit'!$AP$6,D17="",'Master Data'!$N$38=""),"",IF(AND(E17=""),"",IF('GA55 Check &amp; Edit'!D17='GA55 Check &amp; Edit'!$AT$9,'Master Data'!$N$38,""))),"")</f>
        <v/>
      </c>
      <c r="AB17" s="320">
        <f>IFERROR(IF(D17="","",IF(AND(O17=""),"",IF(AND(N17=""),SUM(P17:AA17),IF(AND('Master Data'!$H$18='GA55 Check &amp; Edit'!$AO$5,'Master Data'!$I$30='GA55 Check &amp; Edit'!$AN$6),SUM(P17:AA17)+N17,SUM(P17:AA17))))),"0")</f>
        <v>17481</v>
      </c>
      <c r="AC17" s="35">
        <f t="shared" si="2"/>
        <v>55739</v>
      </c>
      <c r="AD17" s="202"/>
      <c r="AE17" s="232"/>
      <c r="AF17" s="39"/>
      <c r="AS17" s="321" t="s">
        <v>4</v>
      </c>
      <c r="AT17" s="316">
        <v>44531</v>
      </c>
      <c r="AU17" s="321" t="s">
        <v>102</v>
      </c>
      <c r="AW17" s="328" t="s">
        <v>30</v>
      </c>
      <c r="AX17" s="322">
        <v>44409</v>
      </c>
      <c r="AY17" s="327">
        <v>8</v>
      </c>
      <c r="AZ17" s="339">
        <f>IF(AND('Master Data'!H40=""),"",'Master Data'!H40)</f>
        <v>44593</v>
      </c>
      <c r="BA17" s="329">
        <f>IF(AND('Master Data'!$E$36=""),"",IF(AND('Master Data'!$I$28='GA55 Check &amp; Edit'!$AP$6),'GA55 Check &amp; Edit'!$AZ$15,BU17))</f>
        <v>52300</v>
      </c>
      <c r="BB17" s="327">
        <f t="shared" si="11"/>
        <v>52300</v>
      </c>
      <c r="BC17" s="327">
        <f>IF(AND('Master Data'!$E$36=""),"",IF(AND('Master Data'!$N$26='GA55 Check &amp; Edit'!$AO$5),ROUND(28%*BA17,0),ROUND(17%*BA17,0)))</f>
        <v>14644</v>
      </c>
      <c r="BD17" s="327">
        <f t="shared" si="13"/>
        <v>14644</v>
      </c>
      <c r="BE17" s="334">
        <f>IFERROR(IF(AND('Master Data'!$E$36=""),"",ROUND('Master Data'!$E$34%*BB17,0)),"")</f>
        <v>4707</v>
      </c>
      <c r="BF17" s="329">
        <f>'Master Data'!G47</f>
        <v>1500</v>
      </c>
      <c r="BG17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7" s="329">
        <f>IFERROR(IF(OR('Master Data'!$I$28='GA55 Check &amp; Edit'!$AP$6),"",'Master Data'!$G$43),"")</f>
        <v>7000</v>
      </c>
      <c r="BI17" s="335">
        <f>IFERROR(IF(AND('Master Data'!$I$30='GA55 Check &amp; Edit'!$AN$6),ROUND((E13)*0.1,0),IF(AND('Master Data'!$I$28='GA55 Check &amp; Edit'!$AP$6),ROUND((E13+F13)*0.1,0),'Master Data'!$H$43)),"")</f>
        <v>5230</v>
      </c>
      <c r="BJ17" s="329">
        <f>BJ16</f>
        <v>52300</v>
      </c>
      <c r="BK17" s="336">
        <v>44409</v>
      </c>
      <c r="BL17" s="336">
        <f>IFERROR(IF('Master Data'!$E$36="","",IF('Master Data'!$F$40="","",IF(AND($AZ$17&gt;$AZ$9),"",DATE(YEAR(BL16),MONTH(BL16)+1,DAY(BL16))))),"")</f>
        <v>44409</v>
      </c>
      <c r="BM17" s="337">
        <f>IFERROR(IF('Master Data'!$E$36="","",IF('Master Data'!$F$40="","",IF(AND($AZ$17&gt;$AZ$9),"",DATE(YEAR(BM16),MONTH(BM16)+1,DAY(BM16))))),"")</f>
        <v>44409</v>
      </c>
      <c r="BN17" s="337">
        <f t="shared" si="6"/>
        <v>44409</v>
      </c>
      <c r="BO17" s="337">
        <f t="shared" si="7"/>
        <v>44409</v>
      </c>
      <c r="BP17" s="337"/>
      <c r="BQ17" s="337">
        <f t="shared" si="8"/>
        <v>44409</v>
      </c>
      <c r="BR17" s="337"/>
      <c r="BS17" s="338">
        <f t="shared" ca="1" si="9"/>
        <v>52300</v>
      </c>
      <c r="BT17" s="338"/>
      <c r="BU17" s="338">
        <f>IF(AND('Master Data'!$I$38='GA55 Check &amp; Edit'!AX17),'Master Data'!$I$36,BU16)</f>
        <v>52300</v>
      </c>
      <c r="BX17" s="338">
        <f t="shared" si="10"/>
        <v>1500</v>
      </c>
    </row>
    <row r="18" spans="1:76" s="321" customFormat="1" ht="21" customHeight="1">
      <c r="A18" s="34">
        <f t="shared" si="0"/>
        <v>1</v>
      </c>
      <c r="B18" s="50">
        <f t="shared" si="3"/>
        <v>11</v>
      </c>
      <c r="C18" s="51">
        <f t="shared" si="5"/>
        <v>11</v>
      </c>
      <c r="D18" s="318">
        <f t="shared" si="1"/>
        <v>44562</v>
      </c>
      <c r="E18" s="200">
        <f>IFERROR(IF(D18="","",IF(AND(BQ22=""),"",IF(AND('Master Data'!$I$28='GA55 Check &amp; Edit'!$AP$6),VLOOKUP(D18,ram,13,0),VLOOKUP(D18,ram,4,0)))),"")</f>
        <v>52300</v>
      </c>
      <c r="F18" s="201">
        <f>IFERROR(IF(D18="","",IF(D18=$AX$24,"",IF(AND(D18=$AX$25),$BC$25,IF(AND(D18=$AX$27),"",IF(AND(D18=$AX$28),"",IF(AND('Master Data'!$I$28='GA55 Check &amp; Edit'!$AP$5),VLOOKUP(D18,ram,7,0),"")))))),"")</f>
        <v>16213</v>
      </c>
      <c r="G18" s="201">
        <f>IFERROR(IF(D18="","",IF(D18=$AX$24,"",IF(AND(D18=$AX$25),"",IF(AND(D18=$AX$26),"",IF(AND(D18=$AX$27),"",IF(AND(D18=$AX$29),"",IF(AND('Master Data'!$I$28='GA55 Check &amp; Edit'!$AP$6),"",VLOOKUP(D18,ram,8,0)))))))),"")</f>
        <v>4707</v>
      </c>
      <c r="H18" s="201">
        <f>IFERROR(IF(D18="","",IF(AND(E18=""),"",IF(OR(D18=$AX$24,D18=$AX$25,D18=$AX$26,D18=$AX$27,D18=$AX$28,D18=$AX$29),"",IF(AND('Master Data'!$I$28='GA55 Check &amp; Edit'!$AP$5),'Master Data'!$B$43,"")))),"")</f>
        <v>0</v>
      </c>
      <c r="I18" s="201" t="str">
        <f>IFERROR(IF(D18="","",IF(AND(E18=""),"",IF(OR(D18=$AX$24,D18=$AX$25,D18=$AX$26,D18=$AX$27,D18=$AX$28,D18=$AX$29),"",IF(AND('Master Data'!$I$28='GA55 Check &amp; Edit'!$AP$5,'Master Data'!$E$28='GA55 Check &amp; Edit'!$AO$5),'Master Data'!$C$43,"0")))),"")</f>
        <v>0</v>
      </c>
      <c r="J18" s="201" t="str">
        <f>IFERROR(IF(OR('Master Data'!$E$32=$AO$6,'Master Data'!$E$32=""),"",IF(D18="","",IF(AND(E18=""),"",IF(OR(D18=$AX$24,D18=$AX$25,D18=$AX$26,D18=$AX$27,D18=$AX$28,D18=$AX$29),"",IF(AND('Master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8" s="201">
        <f>IFERROR(IF(D18="","",IF(AND(E18=""),"",IF(OR(D18=$AX$24,D18=$AX$25,D18=$AX$26,D18=$AX$27,D18=$AX$28,D18=$AX$29),"",IF(AND('Master Data'!$I$28='GA55 Check &amp; Edit'!$AP$5),'Master Data'!$E$43,"")))),"")</f>
        <v>0</v>
      </c>
      <c r="L18" s="201">
        <f>IFERROR(IF(D18="","",IF(AND(E18=""),"",IF(OR(D18=$AX$24,D18=$AX$25,D18=$AX$26,D18=$AX$27,D18=$AX$28,D18=$AX$29),"",IF(AND('Master Data'!$I$28='GA55 Check &amp; Edit'!$AP$6),"",'Master Data'!$F$43)))),"")</f>
        <v>0</v>
      </c>
      <c r="M18" s="201" t="str">
        <f>IFERROR(IF(D18="","",IF(AND('Master Data'!$I$28='GA55 Check &amp; Edit'!$AP$6),"",IF(AND('Master Data'!$I$24='GA55 Check &amp; Edit'!$AO$6),"",IF(AND(D18="Bonus"),VLOOKUP(D18,ram,4,0),"")))),"")</f>
        <v/>
      </c>
      <c r="N18" s="201">
        <f>IFERROR(IF(AND(D18=""),"",IF(AND(D18=$AX$25,'Master Data'!$I$30='GA55 Check &amp; Edit'!$AN$6),ROUND((E18+F18)*0.1,0),IF(AND(D18=$AX$29,'Master Data'!$I$30='GA55 Check &amp; Edit'!$AN$6),ROUND((F18)*0.1,0),IF(AND(D18=$AX$26,'Master Data'!$I$30='GA55 Check &amp; Edit'!$AN$6),ROUND((F18)*0.1,0),IF(AND(D18=$AX$27,'Master Data'!$I$30='GA55 Check &amp; Edit'!$AN$6),ROUND((E18+F18)*0.1,0),IF(AND('Master Data'!$I$30='GA55 Check &amp; Edit'!$AN$5),"",IF(AND('Master Data'!$I$30='GA55 Check &amp; Edit'!$AN$6,'Master Data'!$I$28='GA55 Check &amp; Edit'!$AP$6),ROUND((E18)*0.1,0),ROUND((E18+F18)*0.1,0)))))))),"")</f>
        <v>6851</v>
      </c>
      <c r="O18" s="43">
        <f>IF(D18="","",IF('Master Data'!$H$18='GA55 Check &amp; Edit'!$AO$5,SUM(E18:N18),SUM(E18:M18)))</f>
        <v>73220</v>
      </c>
      <c r="P18" s="319">
        <f>IFERROR(IF(OR('Master Data'!$I$28='GA55 Check &amp; Edit'!$AP$6,D18=""),"",IF(AND(D18=$AX$24),"",IF(AND(D18=$AX$25),"",IF(AND(D18=$AX$26),"",IF(AND(D18=$AX$27),"",IF(AND(D18=$AX$28),"",IF(AND(D18=$AX$29),"",IF(AND(E18=""),"",VLOOKUP(D18,ram,11,0))))))))),"")</f>
        <v>7000</v>
      </c>
      <c r="Q18" s="319">
        <f>IFERROR(IF(AND(D18="",E18=""),"",IF(AND(D18=$AX$25,'Master Data'!$I$30='GA55 Check &amp; Edit'!$AN$6),ROUND((E18+F18)*0.1,0),IF(AND(D18=$AX$29,'Master Data'!$I$30='GA55 Check &amp; Edit'!$AN$6),ROUND((F18)*0.1,0),IF(AND(D18=$AX$26,'Master Data'!$I$30='GA55 Check &amp; Edit'!$AN$6),ROUND((F18)*0.1,0),IF(AND(D18=$AX$27,'Master Data'!$I$30='GA55 Check &amp; Edit'!$AN$6),ROUND((E18+F18)*0.1,0),IF(AND('Master Data'!$I$30='GA55 Check &amp; Edit'!$AN$6,'Master Data'!$I$28='GA55 Check &amp; Edit'!$AP$6),ROUND((E18)*0.1,0),IF(AND('Master Data'!$I$30='GA55 Check &amp; Edit'!$AN$6,'Master Data'!$I$28='GA55 Check &amp; Edit'!$AP$5),ROUND((E18+F18)*0.1,0),IF(AND('Master Data'!$I$30='GA55 Check &amp; Edit'!$AN$5,'Master Data'!$I$28='GA55 Check &amp; Edit'!$AP$5),VLOOKUP(D18,ram,12,0))))))))),"")</f>
        <v>6851</v>
      </c>
      <c r="R18" s="319">
        <f>IFERROR(IF(OR('Master Data'!$I$28='GA55 Check &amp; Edit'!$AP$6,D18=""),"",IF(AND(D18=$AX$24),"",IF(AND(D18=$AX$25),"",IF(AND(D18=$AX$26),"",IF(AND(D18=$AX$27),"",IF(AND(D18=$AX$28),"",IF(AND(D18=$AX$29),"",IF(AND(D18=$AX$32),"",IF(AND(E18=""),"",'Master Data'!$I$43))))))))),"")</f>
        <v>1880</v>
      </c>
      <c r="S18" s="319">
        <f>IFERROR(IF(OR('Master Data'!$I$28='GA55 Check &amp; Edit'!$AP$6),"",IF(D18="","",IF(E18="","",IF(AND(D18=$AX$24),"",IF(AND(D18=$AX$25),"",IF(AND(D18=$AX$26),"",IF(AND(D18=$AX$27),"",IF(AND(D18=$AX$28),"",IF(AND(D18=$AX$29),"",VLOOKUP(D18,ram,10,0)))))))))),"")</f>
        <v>0</v>
      </c>
      <c r="T18" s="319">
        <f>IFERROR(IF(OR('Master Data'!$I$28='GA55 Check &amp; Edit'!$AP$6,D18=""),"",IF(AND(D18=$AX$24),"",IF(AND(D18=$AX$25),"",IF(AND(D18=$AX$26),"",IF(AND(D18=$AX$27),"",IF(AND(D18=$AX$28),"",IF(AND(D18=$AX$29),"",IF(AND(E18=""),"",'Master Data'!$K$43)))))))),"")</f>
        <v>0</v>
      </c>
      <c r="U18" s="319">
        <f>IFERROR(IF(OR('Master Data'!$I$28='GA55 Check &amp; Edit'!$AP$6,D18=""),"",IF(AND(D18=$AX$24),"",IF(AND(D18=$AX$25),"",IF(AND(D18=$AX$26),"",IF(AND(D18=$AX$27),"",IF(AND(D18=$AX$28),"",IF(AND(D18=$AX$29),"",IF(AND(E18=""),"",'Master Data'!$L$43)))))))),"")</f>
        <v>0</v>
      </c>
      <c r="V18" s="319">
        <f>IFERROR(IF(OR('Master Data'!$I$28='GA55 Check &amp; Edit'!$AP$6,D18=""),"",IF(AND(D18=$AX$24,'Master Data'!$I$28='GA55 Check &amp; Edit'!$AP$5,'Master Data'!$I$30='GA55 Check &amp; Edit'!$AN$6),ROUND(M18*50%,0),IF(AND(D18=$AX$25),"",IF(AND(D18=$AX$26,'Master Data'!$I$28='GA55 Check &amp; Edit'!$AP$5,'Master Data'!$I$30='GA55 Check &amp; Edit'!$AN$6),SUM(F18-N18),IF(AND(D18=$AX$27),"",IF(AND(D18=$AX$28),"",IF(AND(D18=$AX$29,'Master Data'!$I$28='GA55 Check &amp; Edit'!$AP$5,'Master Data'!$I$30='GA55 Check &amp; Edit'!$AN$6),SUM(F18-N18),IF(AND(E18=""),"",'Master Data'!$M$43)))))))),"")</f>
        <v>0</v>
      </c>
      <c r="W18" s="319">
        <f>IFERROR(IF(OR('Master Data'!$I$28='GA55 Check &amp; Edit'!$AP$6,D18=""),"",IF(AND(D18=$AX$24),"",IF(AND(D18=$AX$25),"",IF(AND(D18=$AX$26),"",IF(AND(D18=$AX$27),"",IF(AND(D18=$AX$28),"",IF(AND(D18=$AX$29),"",IF(AND(E18=""),"",'Master Data'!$O$43)))))))),"")</f>
        <v>0</v>
      </c>
      <c r="X18" s="319" t="str">
        <f>IFERROR(IF(OR('Master Data'!$I$28='GA55 Check &amp; Edit'!$AP$6,D18=""),"",IF(AND(E18=""),"",IF(AND('GA55 Check &amp; Edit'!D18='GA55 Check &amp; Edit'!$AT$17,'Master Data'!$D$18="Gazetted"),500,IF(AND('GA55 Check &amp; Edit'!D18='GA55 Check &amp; Edit'!$AT$17,'Master Data'!$D$18="Non-Gazetted"),250,"")))),"")</f>
        <v/>
      </c>
      <c r="Y18" s="319">
        <f>IFERROR(IF(D18="","",IF(AND(E18=""),"",IF(AND(D18=$AX$24),"",IF(AND(D18=$AX$25),"",IF(AND(D18=$AX$26),"",IF(AND(D18=$AX$27),"",IF(AND(D18=$AX$28),"",IF(AND(D18=$AX$29),"",IF(OR('Master Data'!$I$28='GA55 Check &amp; Edit'!$AP$6,D18=""),"",$Y$7))))))))),"")</f>
        <v>0</v>
      </c>
      <c r="Z18" s="319">
        <f>IFERROR(IF(OR('Master Data'!$I$28='GA55 Check &amp; Edit'!$AP$6),"",IF(D18="","",IF(E18="","",VLOOKUP(D18,ram,9,0)))),"")</f>
        <v>1500</v>
      </c>
      <c r="AA18" s="319" t="str">
        <f>IFERROR(IF(OR('Master Data'!$I$28='GA55 Check &amp; Edit'!$AP$6,D18="",'Master Data'!$N$38=""),"",IF(AND(E18=""),"",IF('GA55 Check &amp; Edit'!D18='GA55 Check &amp; Edit'!$AT$9,'Master Data'!$N$38,""))),"")</f>
        <v/>
      </c>
      <c r="AB18" s="320">
        <f>IFERROR(IF(D18="","",IF(AND(O18=""),"",IF(AND(N18=""),SUM(P18:AA18),IF(AND('Master Data'!$H$18='GA55 Check &amp; Edit'!$AO$5,'Master Data'!$I$30='GA55 Check &amp; Edit'!$AN$6),SUM(P18:AA18)+N18,SUM(P18:AA18))))),"0")</f>
        <v>17231</v>
      </c>
      <c r="AC18" s="35">
        <f t="shared" si="2"/>
        <v>55989</v>
      </c>
      <c r="AD18" s="202"/>
      <c r="AE18" s="232"/>
      <c r="AF18" s="39"/>
      <c r="AS18" s="321" t="s">
        <v>36</v>
      </c>
      <c r="AT18" s="316">
        <v>44562</v>
      </c>
      <c r="AU18" s="321" t="s">
        <v>103</v>
      </c>
      <c r="AW18" s="328" t="s">
        <v>33</v>
      </c>
      <c r="AX18" s="322">
        <v>44440</v>
      </c>
      <c r="AY18" s="327">
        <v>9</v>
      </c>
      <c r="AZ18" s="327">
        <f>IF(OR('Master Data'!I36="",'Master Data'!I38=""),MROUND(AZ15*1.03,100),IF('Master Data'!I38&lt;'GA55 Check &amp; Edit'!AX16,MROUND('Master Data'!I36*1.03,100),MROUND(AZ15*1.03,100)))</f>
        <v>52300</v>
      </c>
      <c r="BA18" s="329">
        <f>IF(AND('Master Data'!$E$36=""),"",IF(AND('Master Data'!$I$28='GA55 Check &amp; Edit'!$AP$6),'GA55 Check &amp; Edit'!$AZ$15,BU18))</f>
        <v>52300</v>
      </c>
      <c r="BB18" s="327">
        <f t="shared" si="11"/>
        <v>52300</v>
      </c>
      <c r="BC18" s="327">
        <f>IF(AND('Master Data'!$E$36=""),"",IF(AND('Master Data'!$N$26='GA55 Check &amp; Edit'!$AO$5),ROUND(28%*BA18,0),ROUND(17%*BA18,0)))</f>
        <v>14644</v>
      </c>
      <c r="BD18" s="327">
        <f t="shared" si="13"/>
        <v>14644</v>
      </c>
      <c r="BE18" s="334">
        <f>IFERROR(IF(AND('Master Data'!$E$36=""),"",ROUND('Master Data'!$E$34%*BB18,0)),"")</f>
        <v>4707</v>
      </c>
      <c r="BF18" s="329">
        <f>'Master Data'!H47</f>
        <v>1500</v>
      </c>
      <c r="BG18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8" s="329">
        <f>IFERROR(IF(OR('Master Data'!$I$28='GA55 Check &amp; Edit'!$AP$6),"",'Master Data'!$G$43),"")</f>
        <v>7000</v>
      </c>
      <c r="BI18" s="335">
        <f>IFERROR(IF(AND('Master Data'!$I$30='GA55 Check &amp; Edit'!$AN$6),ROUND((E14)*0.1,0),IF(AND('Master Data'!$I$28='GA55 Check &amp; Edit'!$AP$6),ROUND((E14+F14)*0.1,0),'Master Data'!$H$43)),"")</f>
        <v>5230</v>
      </c>
      <c r="BJ18" s="329">
        <f t="shared" ref="BJ18:BJ23" si="14">BJ17</f>
        <v>52300</v>
      </c>
      <c r="BK18" s="336">
        <v>44440</v>
      </c>
      <c r="BL18" s="336">
        <f>IFERROR(IF('Master Data'!$E$36="","",IF('Master Data'!$F$40="","",IF(AND($AZ$17&gt;$AZ$9),"",DATE(YEAR(BL17),MONTH(BL17)+1,DAY(BL17))))),"")</f>
        <v>44440</v>
      </c>
      <c r="BM18" s="337">
        <f>IFERROR(IF('Master Data'!$E$36="","",IF('Master Data'!$F$40="","",IF(AND($AZ$17&gt;$AZ$9),"",DATE(YEAR(BM17),MONTH(BM17)+1,DAY(BM17))))),"")</f>
        <v>44440</v>
      </c>
      <c r="BN18" s="337">
        <f t="shared" si="6"/>
        <v>44440</v>
      </c>
      <c r="BO18" s="337">
        <f t="shared" si="7"/>
        <v>44440</v>
      </c>
      <c r="BP18" s="337"/>
      <c r="BQ18" s="337">
        <f t="shared" si="8"/>
        <v>44440</v>
      </c>
      <c r="BR18" s="337"/>
      <c r="BS18" s="338" t="str">
        <f t="shared" ca="1" si="9"/>
        <v/>
      </c>
      <c r="BT18" s="338"/>
      <c r="BU18" s="338">
        <f>IF(AND('Master Data'!$I$38='GA55 Check &amp; Edit'!AX18),'Master Data'!$I$36,BU17)</f>
        <v>52300</v>
      </c>
      <c r="BV18" s="337"/>
      <c r="BX18" s="338">
        <f t="shared" si="10"/>
        <v>1500</v>
      </c>
    </row>
    <row r="19" spans="1:76" s="321" customFormat="1" ht="21" customHeight="1">
      <c r="A19" s="34">
        <f t="shared" si="0"/>
        <v>0</v>
      </c>
      <c r="B19" s="50">
        <f t="shared" si="3"/>
        <v>12</v>
      </c>
      <c r="C19" s="51">
        <f t="shared" si="5"/>
        <v>12</v>
      </c>
      <c r="D19" s="318">
        <f>IFERROR(IF(BO23="","",BO23),"")</f>
        <v>44593</v>
      </c>
      <c r="E19" s="200">
        <f>IFERROR(IF(D19="","",IF(AND(BQ23=""),"",IF(AND('Master Data'!$I$28='GA55 Check &amp; Edit'!$AP$6),VLOOKUP(D19,ram,13,0),VLOOKUP(D19,ram,4,0)))),"")</f>
        <v>52300</v>
      </c>
      <c r="F19" s="201">
        <f>IFERROR(IF(D19="","",IF(D19=$AX$24,"",IF(AND(D19=$AX$25),$BC$25,IF(AND(D19=$AX$27),"",IF(AND(D19=$AX$28),"",IF(AND('Master Data'!$I$28='GA55 Check &amp; Edit'!$AP$5),VLOOKUP(D19,ram,7,0),"")))))),"")</f>
        <v>16213</v>
      </c>
      <c r="G19" s="201">
        <f>IFERROR(IF(D19="","",IF(D19=$AX$24,"",IF(AND(D19=$AX$25),"",IF(AND(D19=$AX$26),"",IF(AND(D19=$AX$27),"",IF(AND(D19=$AX$29),"",IF(AND('Master Data'!$I$28='GA55 Check &amp; Edit'!$AP$6),"",VLOOKUP(D19,ram,8,0)))))))),"")</f>
        <v>4707</v>
      </c>
      <c r="H19" s="201">
        <f>IFERROR(IF(D19="","",IF(AND(E19=""),"",IF(OR(D19=$AX$24,D19=$AX$25,D19=$AX$26,D19=$AX$27,D19=$AX$28,D19=$AX$29),"",IF(AND('Master Data'!$I$28='GA55 Check &amp; Edit'!$AP$5),'Master Data'!$B$43,"")))),"")</f>
        <v>0</v>
      </c>
      <c r="I19" s="201" t="str">
        <f>IFERROR(IF(D19="","",IF(AND(E19=""),"",IF(OR(D19=$AX$24,D19=$AX$25,D19=$AX$26,D19=$AX$27,D19=$AX$28,D19=$AX$29),"",IF(AND('Master Data'!$I$28='GA55 Check &amp; Edit'!$AP$5,'Master Data'!$E$28='GA55 Check &amp; Edit'!$AO$5),'Master Data'!$C$43,"0")))),"")</f>
        <v>0</v>
      </c>
      <c r="J19" s="201" t="str">
        <f>IFERROR(IF(OR('Master Data'!$E$32=$AO$6,'Master Data'!$E$32=""),"",IF(D19="","",IF(AND(E19=""),"",IF(OR(D19=$AX$24,D19=$AX$25,D19=$AX$26,D19=$AX$27,D19=$AX$28,D19=$AX$29),"",IF(AND('Master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9" s="201">
        <f>IFERROR(IF(D19="","",IF(AND(E19=""),"",IF(OR(D19=$AX$24,D19=$AX$25,D19=$AX$26,D19=$AX$27,D19=$AX$28,D19=$AX$29),"",IF(AND('Master Data'!$I$28='GA55 Check &amp; Edit'!$AP$5),'Master Data'!$E$43,"")))),"")</f>
        <v>0</v>
      </c>
      <c r="L19" s="201">
        <f>IFERROR(IF(D19="","",IF(AND(E19=""),"",IF(OR(D19=$AX$24,D19=$AX$25,D19=$AX$26,D19=$AX$27,D19=$AX$28,D19=$AX$29),"",IF(AND('Master Data'!$I$28='GA55 Check &amp; Edit'!$AP$6),"",'Master Data'!$F$43)))),"")</f>
        <v>0</v>
      </c>
      <c r="M19" s="201" t="str">
        <f>IFERROR(IF(D19="","",IF(AND('Master Data'!$I$28='GA55 Check &amp; Edit'!$AP$6),"",IF(AND('Master Data'!$I$24='GA55 Check &amp; Edit'!$AO$6),"",IF(AND(D19="Bonus"),VLOOKUP(D19,ram,4,0),"")))),"")</f>
        <v/>
      </c>
      <c r="N19" s="201">
        <f>IFERROR(IF(AND(D19=""),"",IF(AND(D19=$AX$25,'Master Data'!$I$30='GA55 Check &amp; Edit'!$AN$6),ROUND((E19+F19)*0.1,0),IF(AND(D19=$AX$29,'Master Data'!$I$30='GA55 Check &amp; Edit'!$AN$6),ROUND((F19)*0.1,0),IF(AND(D19=$AX$26,'Master Data'!$I$30='GA55 Check &amp; Edit'!$AN$6),ROUND((F19)*0.1,0),IF(AND(D19=$AX$27,'Master Data'!$I$30='GA55 Check &amp; Edit'!$AN$6),ROUND((E19+F19)*0.1,0),IF(AND('Master Data'!$I$30='GA55 Check &amp; Edit'!$AN$5),"",IF(AND('Master Data'!$I$30='GA55 Check &amp; Edit'!$AN$6,'Master Data'!$I$28='GA55 Check &amp; Edit'!$AP$6),ROUND((E19)*0.1,0),ROUND((E19+F19)*0.1,0)))))))),"")</f>
        <v>6851</v>
      </c>
      <c r="O19" s="43">
        <f>IF(D19="","",IF('Master Data'!$H$18='GA55 Check &amp; Edit'!$AO$5,SUM(E19:N19),SUM(E19:M19)))</f>
        <v>73220</v>
      </c>
      <c r="P19" s="319">
        <f>IFERROR(IF(OR('Master Data'!$I$28='GA55 Check &amp; Edit'!$AP$6,D19=""),"",IF(AND(D19=$AX$24),"",IF(AND(D19=$AX$25),"",IF(AND(D19=$AX$26),"",IF(AND(D19=$AX$27),"",IF(AND(D19=$AX$28),"",IF(AND(D19=$AX$29),"",IF(AND(E19=""),"",VLOOKUP(D19,ram,11,0))))))))),"")</f>
        <v>7000</v>
      </c>
      <c r="Q19" s="319">
        <f>IFERROR(IF(AND(D19="",E19=""),"",IF(AND(D19=$AX$25,'Master Data'!$I$30='GA55 Check &amp; Edit'!$AN$6),ROUND((E19+F19)*0.1,0),IF(AND(D19=$AX$29,'Master Data'!$I$30='GA55 Check &amp; Edit'!$AN$6),ROUND((F19)*0.1,0),IF(AND(D19=$AX$26,'Master Data'!$I$30='GA55 Check &amp; Edit'!$AN$6),ROUND((F19)*0.1,0),IF(AND(D19=$AX$27,'Master Data'!$I$30='GA55 Check &amp; Edit'!$AN$6),ROUND((E19+F19)*0.1,0),IF(AND('Master Data'!$I$30='GA55 Check &amp; Edit'!$AN$6,'Master Data'!$I$28='GA55 Check &amp; Edit'!$AP$6),ROUND((E19)*0.1,0),IF(AND('Master Data'!$I$30='GA55 Check &amp; Edit'!$AN$6,'Master Data'!$I$28='GA55 Check &amp; Edit'!$AP$5),ROUND((E19+F19)*0.1,0),IF(AND('Master Data'!$I$30='GA55 Check &amp; Edit'!$AN$5,'Master Data'!$I$28='GA55 Check &amp; Edit'!$AP$5),VLOOKUP(D19,ram,12,0))))))))),"")</f>
        <v>6851</v>
      </c>
      <c r="R19" s="319">
        <f>IFERROR(IF(OR('Master Data'!$I$28='GA55 Check &amp; Edit'!$AP$6,D19=""),"",IF(AND(D19=$AX$24),"",IF(AND(D19=$AX$25),"",IF(AND(D19=$AX$26),"",IF(AND(D19=$AX$27),"",IF(AND(D19=$AX$28),"",IF(AND(D19=$AX$29),"",IF(AND(D19=$AX$32),"",IF(AND(E19=""),"",'Master Data'!$I$43))))))))),"")</f>
        <v>1880</v>
      </c>
      <c r="S19" s="319">
        <f>IFERROR(IF(OR('Master Data'!$I$28='GA55 Check &amp; Edit'!$AP$6),"",IF(D19="","",IF(E19="","",IF(AND(D19=$AX$24),"",IF(AND(D19=$AX$25),"",IF(AND(D19=$AX$26),"",IF(AND(D19=$AX$27),"",IF(AND(D19=$AX$28),"",IF(AND(D19=$AX$29),"",VLOOKUP(D19,ram,10,0)))))))))),"")</f>
        <v>0</v>
      </c>
      <c r="T19" s="319">
        <f>IFERROR(IF(OR('Master Data'!$I$28='GA55 Check &amp; Edit'!$AP$6,D19=""),"",IF(AND(D19=$AX$24),"",IF(AND(D19=$AX$25),"",IF(AND(D19=$AX$26),"",IF(AND(D19=$AX$27),"",IF(AND(D19=$AX$28),"",IF(AND(D19=$AX$29),"",IF(AND(E19=""),"",'Master Data'!$K$43)))))))),"")</f>
        <v>0</v>
      </c>
      <c r="U19" s="319">
        <f>IFERROR(IF(OR('Master Data'!$I$28='GA55 Check &amp; Edit'!$AP$6,D19=""),"",IF(AND(D19=$AX$24),"",IF(AND(D19=$AX$25),"",IF(AND(D19=$AX$26),"",IF(AND(D19=$AX$27),"",IF(AND(D19=$AX$28),"",IF(AND(D19=$AX$29),"",IF(AND(E19=""),"",'Master Data'!$L$43)))))))),"")</f>
        <v>0</v>
      </c>
      <c r="V19" s="319">
        <f>IFERROR(IF(OR('Master Data'!$I$28='GA55 Check &amp; Edit'!$AP$6,D19=""),"",IF(AND(D19=$AX$24,'Master Data'!$I$28='GA55 Check &amp; Edit'!$AP$5,'Master Data'!$I$30='GA55 Check &amp; Edit'!$AN$6),ROUND(M19*50%,0),IF(AND(D19=$AX$25),"",IF(AND(D19=$AX$26,'Master Data'!$I$28='GA55 Check &amp; Edit'!$AP$5,'Master Data'!$I$30='GA55 Check &amp; Edit'!$AN$6),SUM(F19-N19),IF(AND(D19=$AX$27),"",IF(AND(D19=$AX$28),"",IF(AND(D19=$AX$29,'Master Data'!$I$28='GA55 Check &amp; Edit'!$AP$5,'Master Data'!$I$30='GA55 Check &amp; Edit'!$AN$6),SUM(F19-N19),IF(AND(E19=""),"",'Master Data'!$M$43)))))))),"")</f>
        <v>0</v>
      </c>
      <c r="W19" s="319">
        <f>IFERROR(IF(OR('Master Data'!$I$28='GA55 Check &amp; Edit'!$AP$6,D19=""),"",IF(AND(D19=$AX$24),"",IF(AND(D19=$AX$25),"",IF(AND(D19=$AX$26),"",IF(AND(D19=$AX$27),"",IF(AND(D19=$AX$28),"",IF(AND(D19=$AX$29),"",IF(AND(E19=""),"",'Master Data'!$O$43)))))))),"")</f>
        <v>0</v>
      </c>
      <c r="X19" s="319" t="str">
        <f>IFERROR(IF(OR('Master Data'!$I$28='GA55 Check &amp; Edit'!$AP$6,D19=""),"",IF(AND(E19=""),"",IF(AND('GA55 Check &amp; Edit'!D19='GA55 Check &amp; Edit'!$AT$17,'Master Data'!$D$18="Gazetted"),500,IF(AND('GA55 Check &amp; Edit'!D19='GA55 Check &amp; Edit'!$AT$17,'Master Data'!$D$18="Non-Gazetted"),250,"")))),"")</f>
        <v/>
      </c>
      <c r="Y19" s="319">
        <f>IFERROR(IF(D19="","",IF(AND(E19=""),"",IF(AND(D19=$AX$24),"",IF(AND(D19=$AX$25),"",IF(AND(D19=$AX$26),"",IF(AND(D19=$AX$27),"",IF(AND(D19=$AX$28),"",IF(AND(D19=$AX$29),"",IF(OR('Master Data'!$I$28='GA55 Check &amp; Edit'!$AP$6,D19=""),"",$Y$7))))))))),"")</f>
        <v>0</v>
      </c>
      <c r="Z19" s="319">
        <f>IFERROR(IF(OR('Master Data'!$I$28='GA55 Check &amp; Edit'!$AP$6),"",IF(D19="","",IF(E19="","",VLOOKUP(D19,ram,9,0)))),"")</f>
        <v>0</v>
      </c>
      <c r="AA19" s="319" t="str">
        <f>IFERROR(IF(OR('Master Data'!$I$28='GA55 Check &amp; Edit'!$AP$6,D19="",'Master Data'!$N$38=""),"",IF(AND(E19=""),"",IF('GA55 Check &amp; Edit'!D19='GA55 Check &amp; Edit'!$AT$9,'Master Data'!$N$38,""))),"")</f>
        <v/>
      </c>
      <c r="AB19" s="320">
        <f>IFERROR(IF(D19="","",IF(AND(O19=""),"",IF(AND(N19=""),SUM(P19:AA19),IF(AND('Master Data'!$H$18='GA55 Check &amp; Edit'!$AO$5,'Master Data'!$I$30='GA55 Check &amp; Edit'!$AN$6),SUM(P19:AA19)+N19,SUM(P19:AA19))))),"0")</f>
        <v>15731</v>
      </c>
      <c r="AC19" s="35">
        <f t="shared" si="2"/>
        <v>57489</v>
      </c>
      <c r="AD19" s="202"/>
      <c r="AE19" s="232"/>
      <c r="AF19" s="39"/>
      <c r="AS19" s="321" t="s">
        <v>39</v>
      </c>
      <c r="AT19" s="316">
        <v>44593</v>
      </c>
      <c r="AU19" s="321" t="s">
        <v>104</v>
      </c>
      <c r="AW19" s="328" t="s">
        <v>4</v>
      </c>
      <c r="AX19" s="322">
        <v>44470</v>
      </c>
      <c r="AY19" s="327">
        <v>10</v>
      </c>
      <c r="AZ19" s="327"/>
      <c r="BA19" s="329">
        <f>IF(AND('Master Data'!$E$36=""),"",IF(AND('Master Data'!$I$28='GA55 Check &amp; Edit'!$AP$6),'GA55 Check &amp; Edit'!$AZ$15,BU19))</f>
        <v>52300</v>
      </c>
      <c r="BB19" s="327">
        <f>IF(AND(AX19&lt;$AZ$16),"",IF(AND(AX19&gt;$AZ$17),"",BA19))</f>
        <v>52300</v>
      </c>
      <c r="BC19" s="327">
        <f>IF(AND('Master Data'!$E$36=""),"",IF(AND('Master Data'!$N$26='GA55 Check &amp; Edit'!$AO$5),ROUND(31%*BA19,0),ROUND(17%*BA19,0)))</f>
        <v>16213</v>
      </c>
      <c r="BD19" s="327">
        <f>IF(BB19="","",BC19)</f>
        <v>16213</v>
      </c>
      <c r="BE19" s="334">
        <f>IFERROR(IF(AND('Master Data'!$E$36=""),"",ROUND('Master Data'!$E$34%*BB19,0)),"")</f>
        <v>4707</v>
      </c>
      <c r="BF19" s="340">
        <f>'Master Data'!I47</f>
        <v>1500</v>
      </c>
      <c r="BG19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9" s="329">
        <f>IFERROR(IF(OR('Master Data'!$I$28='GA55 Check &amp; Edit'!$AP$6),"",'Master Data'!$G$43),"")</f>
        <v>7000</v>
      </c>
      <c r="BI19" s="335">
        <f>IFERROR(IF(AND('Master Data'!$I$30='GA55 Check &amp; Edit'!$AN$6),ROUND((E15)*0.1,0),IF(AND('Master Data'!$I$28='GA55 Check &amp; Edit'!$AP$6),ROUND((E15+F15)*0.1,0),'Master Data'!$H$43)),"")</f>
        <v>5230</v>
      </c>
      <c r="BJ19" s="329">
        <f t="shared" si="14"/>
        <v>52300</v>
      </c>
      <c r="BK19" s="336">
        <v>44470</v>
      </c>
      <c r="BL19" s="336">
        <f>IFERROR(IF('Master Data'!$E$36="","",IF('Master Data'!$F$40="","",IF(AND($AZ$17&gt;$AZ$9),"",DATE(YEAR(BL18),MONTH(BL18)+1,DAY(BL18))))),"")</f>
        <v>44470</v>
      </c>
      <c r="BM19" s="337">
        <f>IFERROR(IF('Master Data'!$E$36="","",IF('Master Data'!$F$40="","",IF(AND($AZ$17&gt;$AZ$9),"",DATE(YEAR(BM18),MONTH(BM18)+1,DAY(BM18))))),"")</f>
        <v>44470</v>
      </c>
      <c r="BN19" s="337">
        <f t="shared" si="6"/>
        <v>44470</v>
      </c>
      <c r="BO19" s="337">
        <f t="shared" si="7"/>
        <v>44470</v>
      </c>
      <c r="BP19" s="337"/>
      <c r="BQ19" s="337">
        <f t="shared" si="8"/>
        <v>44470</v>
      </c>
      <c r="BR19" s="337"/>
      <c r="BS19" s="338" t="str">
        <f t="shared" ca="1" si="9"/>
        <v/>
      </c>
      <c r="BT19" s="338"/>
      <c r="BU19" s="338">
        <f>IF(AND('Master Data'!$I$38='GA55 Check &amp; Edit'!AX19),'Master Data'!$I$36,BU18)</f>
        <v>52300</v>
      </c>
      <c r="BV19" s="337"/>
      <c r="BX19" s="338">
        <f t="shared" si="10"/>
        <v>1500</v>
      </c>
    </row>
    <row r="20" spans="1:76" s="321" customFormat="1" ht="21" customHeight="1">
      <c r="A20" s="34">
        <f t="shared" si="0"/>
        <v>1</v>
      </c>
      <c r="B20" s="50">
        <f>IF(LEN(D20)&gt;=3,B19+1,0)</f>
        <v>13</v>
      </c>
      <c r="C20" s="51">
        <f t="shared" si="5"/>
        <v>13</v>
      </c>
      <c r="D20" s="318" t="str">
        <f t="shared" si="1"/>
        <v>Bonus</v>
      </c>
      <c r="E20" s="200" t="str">
        <f>IFERROR(IF(D20="","",IF(AND(BQ24=""),"",IF(AND('Master Data'!$I$28='GA55 Check &amp; Edit'!$AP$6),VLOOKUP(D20,ram,13,0),VLOOKUP(D20,ram,4,0)))),"")</f>
        <v/>
      </c>
      <c r="F20" s="201" t="str">
        <f>IFERROR(IF(D20="","",IF(D20=$AX$24,"",IF(AND(D20=$AX$25),$BC$25,IF(AND(D20=$AX$27),"",IF(AND(D20=$AX$28),"",IF(AND('Master Data'!$I$28='GA55 Check &amp; Edit'!$AP$5),VLOOKUP(D20,ram,7,0),"")))))),"")</f>
        <v/>
      </c>
      <c r="G20" s="201" t="str">
        <f>IFERROR(IF(D20="","",IF(D20=$AX$24,"",IF(AND(D20=$AX$25),"",IF(AND(D20=$AX$26),"",IF(AND(D20=$AX$27),"",IF(AND(D20=$AX$29),"",IF(AND('Master Data'!$I$28='GA55 Check &amp; Edit'!$AP$6),"",VLOOKUP(D20,ram,8,0)))))))),"")</f>
        <v/>
      </c>
      <c r="H20" s="201" t="str">
        <f>IFERROR(IF(D20="","",IF(AND(E20=""),"",IF(OR(D20=$AX$24,D20=$AX$25,D20=$AX$26,D20=$AX$27,D20=$AX$28,D20=$AX$29),"",IF(AND('Master Data'!$I$28='GA55 Check &amp; Edit'!$AP$5),'Master Data'!$B$43,"")))),"")</f>
        <v/>
      </c>
      <c r="I20" s="201" t="str">
        <f>IFERROR(IF(D20="","",IF(AND(E20=""),"",IF(OR(D20=$AX$24,D20=$AX$25,D20=$AX$26,D20=$AX$27,D20=$AX$28,D20=$AX$29),"",IF(AND('Master Data'!$I$28='GA55 Check &amp; Edit'!$AP$5,'Master Data'!$E$28='GA55 Check &amp; Edit'!$AO$5),'Master Data'!$C$43,"0")))),"")</f>
        <v/>
      </c>
      <c r="J20" s="201" t="str">
        <f>IFERROR(IF(OR('Master Data'!$E$32=$AO$6,'Master Data'!$E$32=""),"",IF(D20="","",IF(AND(E20=""),"",IF(OR(D20=$AX$24,D20=$AX$25,D20=$AX$26,D20=$AX$27,D20=$AX$28,D20=$AX$29),"",IF(AND('Master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0" s="201" t="str">
        <f>IFERROR(IF(D20="","",IF(AND(E20=""),"",IF(OR(D20=$AX$24,D20=$AX$25,D20=$AX$26,D20=$AX$27,D20=$AX$28,D20=$AX$29),"",IF(AND('Master Data'!$I$28='GA55 Check &amp; Edit'!$AP$5),'Master Data'!$E$43,"")))),"")</f>
        <v/>
      </c>
      <c r="L20" s="201" t="str">
        <f>IFERROR(IF(D20="","",IF(AND(E20=""),"",IF(OR(D20=$AX$24,D20=$AX$25,D20=$AX$26,D20=$AX$27,D20=$AX$28,D20=$AX$29),"",IF(AND('Master Data'!$I$28='GA55 Check &amp; Edit'!$AP$6),"",'Master Data'!$F$43)))),"")</f>
        <v/>
      </c>
      <c r="M20" s="201">
        <f>IFERROR(IF(D20="","",IF(AND('Master Data'!$I$28='GA55 Check &amp; Edit'!$AP$6),"",IF(AND('Master Data'!$I$24='GA55 Check &amp; Edit'!$AO$6),"",IF(AND(D20="Bonus"),VLOOKUP(D20,ram,4,0),"")))),"")</f>
        <v>6774</v>
      </c>
      <c r="N20" s="201" t="str">
        <f>IFERROR(IF(AND(D20=""),"",IF(AND(D20=$AX$25,'Master Data'!$I$30='GA55 Check &amp; Edit'!$AN$6),ROUND((E20+F20)*0.1,0),IF(AND(D20=$AX$29,'Master Data'!$I$30='GA55 Check &amp; Edit'!$AN$6),ROUND((F20)*0.1,0),IF(AND(D20=$AX$26,'Master Data'!$I$30='GA55 Check &amp; Edit'!$AN$6),ROUND((F20)*0.1,0),IF(AND(D20=$AX$27,'Master Data'!$I$30='GA55 Check &amp; Edit'!$AN$6),ROUND((E20+F20)*0.1,0),IF(AND('Master Data'!$I$30='GA55 Check &amp; Edit'!$AN$5),"",IF(AND('Master Data'!$I$30='GA55 Check &amp; Edit'!$AN$6,'Master Data'!$I$28='GA55 Check &amp; Edit'!$AP$6),ROUND((E20)*0.1,0),ROUND((E20+F20)*0.1,0)))))))),"")</f>
        <v/>
      </c>
      <c r="O20" s="43">
        <f>IF(D20="","",IF('Master Data'!$H$18='GA55 Check &amp; Edit'!$AO$5,SUM(E20:N20),SUM(E20:M20)))</f>
        <v>6774</v>
      </c>
      <c r="P20" s="319" t="str">
        <f>IFERROR(IF(OR('Master Data'!$I$28='GA55 Check &amp; Edit'!$AP$6,D20=""),"",IF(AND(D20=$AX$24),"",IF(AND(D20=$AX$25),"",IF(AND(D20=$AX$26),"",IF(AND(D20=$AX$27),"",IF(AND(D20=$AX$28),"",IF(AND(D20=$AX$29),"",IF(AND(E20=""),"",VLOOKUP(D20,ram,11,0))))))))),"")</f>
        <v/>
      </c>
      <c r="Q20" s="319" t="str">
        <f>IFERROR(IF(AND(D20="",E20=""),"",IF(AND(D20=$AX$25,'Master Data'!$I$30='GA55 Check &amp; Edit'!$AN$6),ROUND((E20+F20)*0.1,0),IF(AND(D20=$AX$29,'Master Data'!$I$30='GA55 Check &amp; Edit'!$AN$6),ROUND((F20)*0.1,0),IF(AND(D20=$AX$26,'Master Data'!$I$30='GA55 Check &amp; Edit'!$AN$6),ROUND((F20)*0.1,0),IF(AND(D20=$AX$27,'Master Data'!$I$30='GA55 Check &amp; Edit'!$AN$6),ROUND((E20+F20)*0.1,0),IF(AND('Master Data'!$I$30='GA55 Check &amp; Edit'!$AN$6,'Master Data'!$I$28='GA55 Check &amp; Edit'!$AP$6),ROUND((E20)*0.1,0),IF(AND('Master Data'!$I$30='GA55 Check &amp; Edit'!$AN$6,'Master Data'!$I$28='GA55 Check &amp; Edit'!$AP$5),ROUND((E20+F20)*0.1,0),IF(AND('Master Data'!$I$30='GA55 Check &amp; Edit'!$AN$5,'Master Data'!$I$28='GA55 Check &amp; Edit'!$AP$5),VLOOKUP(D20,ram,12,0))))))))),"")</f>
        <v/>
      </c>
      <c r="R20" s="319" t="str">
        <f>IFERROR(IF(OR('Master Data'!$I$28='GA55 Check &amp; Edit'!$AP$6,D20=""),"",IF(AND(D20=$AX$24),"",IF(AND(D20=$AX$25),"",IF(AND(D20=$AX$26),"",IF(AND(D20=$AX$27),"",IF(AND(D20=$AX$28),"",IF(AND(D20=$AX$29),"",IF(AND(D20=$AX$32),"",IF(AND(E20=""),"",'Master Data'!$I$43))))))))),"")</f>
        <v/>
      </c>
      <c r="S20" s="319" t="str">
        <f>IFERROR(IF(OR('Master Data'!$I$28='GA55 Check &amp; Edit'!$AP$6),"",IF(D20="","",IF(E20="","",IF(AND(D20=$AX$24),"",IF(AND(D20=$AX$25),"",IF(AND(D20=$AX$26),"",IF(AND(D20=$AX$27),"",IF(AND(D20=$AX$28),"",IF(AND(D20=$AX$29),"",VLOOKUP(D20,ram,10,0)))))))))),"")</f>
        <v/>
      </c>
      <c r="T20" s="319" t="str">
        <f>IFERROR(IF(OR('Master Data'!$I$28='GA55 Check &amp; Edit'!$AP$6,D20=""),"",IF(AND(D20=$AX$24),"",IF(AND(D20=$AX$25),"",IF(AND(D20=$AX$26),"",IF(AND(D20=$AX$27),"",IF(AND(D20=$AX$28),"",IF(AND(D20=$AX$29),"",IF(AND(E20=""),"",'Master Data'!$K$43)))))))),"")</f>
        <v/>
      </c>
      <c r="U20" s="319" t="str">
        <f>IFERROR(IF(OR('Master Data'!$I$28='GA55 Check &amp; Edit'!$AP$6,D20=""),"",IF(AND(D20=$AX$24),"",IF(AND(D20=$AX$25),"",IF(AND(D20=$AX$26),"",IF(AND(D20=$AX$27),"",IF(AND(D20=$AX$28),"",IF(AND(D20=$AX$29),"",IF(AND(E20=""),"",'Master Data'!$L$43)))))))),"")</f>
        <v/>
      </c>
      <c r="V20" s="319">
        <f>IFERROR(IF(OR('Master Data'!$I$28='GA55 Check &amp; Edit'!$AP$6,D20=""),"",IF(AND(D20=$AX$24,'Master Data'!$I$28='GA55 Check &amp; Edit'!$AP$5,'Master Data'!$I$30='GA55 Check &amp; Edit'!$AN$6),ROUND(M20*50%,0),IF(AND(D20=$AX$25),"",IF(AND(D20=$AX$26,'Master Data'!$I$28='GA55 Check &amp; Edit'!$AP$5,'Master Data'!$I$30='GA55 Check &amp; Edit'!$AN$6),SUM(F20-N20),IF(AND(D20=$AX$27),"",IF(AND(D20=$AX$28),"",IF(AND(D20=$AX$29,'Master Data'!$I$28='GA55 Check &amp; Edit'!$AP$5,'Master Data'!$I$30='GA55 Check &amp; Edit'!$AN$6),SUM(F20-N20),IF(AND(E20=""),"",'Master Data'!$M$43)))))))),"")</f>
        <v>3387</v>
      </c>
      <c r="W20" s="319" t="str">
        <f>IFERROR(IF(OR('Master Data'!$I$28='GA55 Check &amp; Edit'!$AP$6,D20=""),"",IF(AND(D20=$AX$24),"",IF(AND(D20=$AX$25),"",IF(AND(D20=$AX$26),"",IF(AND(D20=$AX$27),"",IF(AND(D20=$AX$28),"",IF(AND(D20=$AX$29),"",IF(AND(E20=""),"",'Master Data'!$O$43)))))))),"")</f>
        <v/>
      </c>
      <c r="X20" s="319" t="str">
        <f>IFERROR(IF(OR('Master Data'!$I$28='GA55 Check &amp; Edit'!$AP$6,D20=""),"",IF(AND(E20=""),"",IF(AND('GA55 Check &amp; Edit'!D20='GA55 Check &amp; Edit'!$AT$17,'Master Data'!$D$18="Gazetted"),500,IF(AND('GA55 Check &amp; Edit'!D20='GA55 Check &amp; Edit'!$AT$17,'Master Data'!$D$18="Non-Gazetted"),250,"")))),"")</f>
        <v/>
      </c>
      <c r="Y20" s="319" t="str">
        <f>IFERROR(IF(D20="","",IF(AND(E20=""),"",IF(AND(D20=$AX$24),"",IF(AND(D20=$AX$25),"",IF(AND(D20=$AX$26),"",IF(AND(D20=$AX$27),"",IF(AND(D20=$AX$28),"",IF(AND(D20=$AX$29),"",IF(OR('Master Data'!$I$28='GA55 Check &amp; Edit'!$AP$6,D20=""),"",$Y$7))))))))),"")</f>
        <v/>
      </c>
      <c r="Z20" s="319"/>
      <c r="AA20" s="319" t="str">
        <f>IFERROR(IF(OR('Master Data'!$I$28='GA55 Check &amp; Edit'!$AP$6,D20="",'Master Data'!$N$38=""),"",IF(AND(E20=""),"",IF('GA55 Check &amp; Edit'!D20='GA55 Check &amp; Edit'!$AT$9,'Master Data'!$N$38,""))),"")</f>
        <v/>
      </c>
      <c r="AB20" s="320">
        <f>IFERROR(IF(D20="","",IF(AND(O20=""),"",IF(AND(N20=""),SUM(P20:AA20),IF(AND('Master Data'!$H$18='GA55 Check &amp; Edit'!$AO$5,'Master Data'!$I$30='GA55 Check &amp; Edit'!$AN$6),SUM(P20:AA20)+N20,SUM(P20:AA20))))),"0")</f>
        <v>3387</v>
      </c>
      <c r="AC20" s="35">
        <f t="shared" si="2"/>
        <v>3387</v>
      </c>
      <c r="AD20" s="202"/>
      <c r="AE20" s="232"/>
      <c r="AF20" s="39"/>
      <c r="AU20" s="321" t="s">
        <v>105</v>
      </c>
      <c r="AW20" s="328" t="s">
        <v>36</v>
      </c>
      <c r="AX20" s="322">
        <v>44501</v>
      </c>
      <c r="AY20" s="327">
        <v>11</v>
      </c>
      <c r="AZ20" s="327">
        <f>ROUND(17%*AZ18,0)+ROUND(AZ18*'Master Data'!E30%,0)</f>
        <v>13075</v>
      </c>
      <c r="BA20" s="329">
        <f>IF(AND('Master Data'!$E$36=""),"",IF(AND('Master Data'!$I$28='GA55 Check &amp; Edit'!$AP$6),'GA55 Check &amp; Edit'!$AZ$15,BU20))</f>
        <v>52300</v>
      </c>
      <c r="BB20" s="327">
        <f t="shared" si="11"/>
        <v>52300</v>
      </c>
      <c r="BC20" s="327">
        <f>IF(AND('Master Data'!$E$36=""),"",IF(AND('Master Data'!$N$26='GA55 Check &amp; Edit'!$AO$5),ROUND(31%*BA20,0),ROUND(17%*BA20,0)))</f>
        <v>16213</v>
      </c>
      <c r="BD20" s="327">
        <f t="shared" si="13"/>
        <v>16213</v>
      </c>
      <c r="BE20" s="334">
        <f>IFERROR(IF(AND('Master Data'!$E$36=""),"",ROUND('Master Data'!$E$34%*BB20,0)),"")</f>
        <v>4707</v>
      </c>
      <c r="BF20" s="329">
        <f>'Master Data'!J47</f>
        <v>1500</v>
      </c>
      <c r="BG20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20" s="329">
        <f>IFERROR(IF(OR('Master Data'!$I$28='GA55 Check &amp; Edit'!$AP$6),"",'Master Data'!$G$43),"")</f>
        <v>7000</v>
      </c>
      <c r="BI20" s="335">
        <f>IFERROR(IF(AND('Master Data'!$I$30='GA55 Check &amp; Edit'!$AN$6),ROUND((E16)*0.1,0),IF(AND('Master Data'!$I$28='GA55 Check &amp; Edit'!$AP$6),ROUND((E16+F16)*0.1,0),'Master Data'!$H$43)),"")</f>
        <v>5230</v>
      </c>
      <c r="BJ20" s="329">
        <f t="shared" si="14"/>
        <v>52300</v>
      </c>
      <c r="BK20" s="336">
        <v>44501</v>
      </c>
      <c r="BL20" s="336">
        <f>IFERROR(IF('Master Data'!$E$36="","",IF('Master Data'!$F$40="","",IF(AND($AZ$17&gt;$AZ$9),"",DATE(YEAR(BL19),MONTH(BL19)+1,DAY(BL19))))),"")</f>
        <v>44501</v>
      </c>
      <c r="BM20" s="337">
        <f>IFERROR(IF('Master Data'!$E$36="","",IF('Master Data'!$F$40="","",IF(AND($AZ$17&gt;$AZ$9),"",DATE(YEAR(BM19),MONTH(BM19)+1,DAY(BM19))))),"")</f>
        <v>44501</v>
      </c>
      <c r="BN20" s="337">
        <f t="shared" si="6"/>
        <v>44501</v>
      </c>
      <c r="BO20" s="337">
        <f t="shared" si="7"/>
        <v>44501</v>
      </c>
      <c r="BP20" s="337"/>
      <c r="BQ20" s="337">
        <f t="shared" si="8"/>
        <v>44501</v>
      </c>
      <c r="BR20" s="337"/>
      <c r="BS20" s="338" t="str">
        <f t="shared" ca="1" si="9"/>
        <v/>
      </c>
      <c r="BT20" s="338"/>
      <c r="BU20" s="338">
        <f>IF(AND('Master Data'!$I$38='GA55 Check &amp; Edit'!AX20),'Master Data'!$I$36,BU19)</f>
        <v>52300</v>
      </c>
      <c r="BV20" s="337"/>
      <c r="BX20" s="338">
        <f t="shared" si="10"/>
        <v>1500</v>
      </c>
    </row>
    <row r="21" spans="1:76" s="321" customFormat="1" ht="21" customHeight="1">
      <c r="A21" s="34">
        <f t="shared" si="0"/>
        <v>0</v>
      </c>
      <c r="B21" s="50">
        <f t="shared" si="3"/>
        <v>14</v>
      </c>
      <c r="C21" s="51">
        <f t="shared" si="5"/>
        <v>14</v>
      </c>
      <c r="D21" s="318" t="str">
        <f t="shared" si="1"/>
        <v>PL Surrender</v>
      </c>
      <c r="E21" s="200">
        <f>IFERROR(IF(D21="","",IF(AND(BQ25=""),"",IF(AND('Master Data'!$I$28='GA55 Check &amp; Edit'!$AP$6),VLOOKUP(D21,ram,13,0),VLOOKUP(D21,ram,4,0)))),"")</f>
        <v>0</v>
      </c>
      <c r="F21" s="201">
        <f>IFERROR(IF(D21="","",IF(D21=$AX$24,"",IF(AND(D21=$AX$25),$BC$25,IF(AND(D21=$AX$27),"",IF(AND(D21=$AX$28),"",IF(AND('Master Data'!$I$28='GA55 Check &amp; Edit'!$AP$5),VLOOKUP(D21,ram,7,0),"")))))),"")</f>
        <v>0</v>
      </c>
      <c r="G21" s="201" t="str">
        <f>IFERROR(IF(D21="","",IF(D21=$AX$24,"",IF(AND(D21=$AX$25),"",IF(AND(D21=$AX$26),"",IF(AND(D21=$AX$27),"",IF(AND(D21=$AX$29),"",IF(AND('Master Data'!$I$28='GA55 Check &amp; Edit'!$AP$6),"",VLOOKUP(D21,ram,8,0)))))))),"")</f>
        <v/>
      </c>
      <c r="H21" s="201" t="str">
        <f>IFERROR(IF(D21="","",IF(AND(E21=""),"",IF(OR(D21=$AX$24,D21=$AX$25,D21=$AX$26,D21=$AX$27,D21=$AX$28,D21=$AX$29),"",IF(AND('Master Data'!$I$28='GA55 Check &amp; Edit'!$AP$5),'Master Data'!$B$43,"")))),"")</f>
        <v/>
      </c>
      <c r="I21" s="201" t="str">
        <f>IFERROR(IF(D21="","",IF(AND(E21=""),"",IF(OR(D21=$AX$24,D21=$AX$25,D21=$AX$26,D21=$AX$27,D21=$AX$28,D21=$AX$29),"",IF(AND('Master Data'!$I$28='GA55 Check &amp; Edit'!$AP$5,'Master Data'!$E$28='GA55 Check &amp; Edit'!$AO$5),'Master Data'!$C$43,"0")))),"")</f>
        <v/>
      </c>
      <c r="J21" s="201" t="str">
        <f>IFERROR(IF(OR('Master Data'!$E$32=$AO$6,'Master Data'!$E$32=""),"",IF(D21="","",IF(AND(E21=""),"",IF(OR(D21=$AX$24,D21=$AX$25,D21=$AX$26,D21=$AX$27,D21=$AX$28,D21=$AX$29),"",IF(AND('Master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1" s="201" t="str">
        <f>IFERROR(IF(D21="","",IF(AND(E21=""),"",IF(OR(D21=$AX$24,D21=$AX$25,D21=$AX$26,D21=$AX$27,D21=$AX$28,D21=$AX$29),"",IF(AND('Master Data'!$I$28='GA55 Check &amp; Edit'!$AP$5),'Master Data'!$E$43,"")))),"")</f>
        <v/>
      </c>
      <c r="L21" s="201" t="str">
        <f>IFERROR(IF(D21="","",IF(AND(E21=""),"",IF(OR(D21=$AX$24,D21=$AX$25,D21=$AX$26,D21=$AX$27,D21=$AX$28,D21=$AX$29),"",IF(AND('Master Data'!$I$28='GA55 Check &amp; Edit'!$AP$6),"",'Master Data'!$F$43)))),"")</f>
        <v/>
      </c>
      <c r="M21" s="201"/>
      <c r="N21" s="201">
        <f>IFERROR(IF(AND(D21=""),"",IF(AND(D21=$AX$25,'Master Data'!$I$30='GA55 Check &amp; Edit'!$AN$6),ROUND((E21+F21)*0.1,0),IF(AND(D21=$AX$29,'Master Data'!$I$30='GA55 Check &amp; Edit'!$AN$6),ROUND((F21)*0.1,0),IF(AND(D21=$AX$26,'Master Data'!$I$30='GA55 Check &amp; Edit'!$AN$6),ROUND((F21)*0.1,0),IF(AND(D21=$AX$27,'Master Data'!$I$30='GA55 Check &amp; Edit'!$AN$6),ROUND((E21+F21)*0.1,0),IF(AND('Master Data'!$I$30='GA55 Check &amp; Edit'!$AN$5),"",IF(AND('Master Data'!$I$30='GA55 Check &amp; Edit'!$AN$6,'Master Data'!$I$28='GA55 Check &amp; Edit'!$AP$6),ROUND((E21)*0.1,0),ROUND((E21+F21)*0.1,0)))))))),"")</f>
        <v>0</v>
      </c>
      <c r="O21" s="43">
        <f>IF(D21="","",IF('Master Data'!$H$18='GA55 Check &amp; Edit'!$AO$5,SUM(E21:N21),SUM(E21:M21)))</f>
        <v>0</v>
      </c>
      <c r="P21" s="319" t="str">
        <f>IFERROR(IF(OR('Master Data'!$I$28='GA55 Check &amp; Edit'!$AP$6,D21=""),"",IF(AND(D21=$AX$24),"",IF(AND(D21=$AX$25),"",IF(AND(D21=$AX$26),"",IF(AND(D21=$AX$27),"",IF(AND(D21=$AX$28),"",IF(AND(D21=$AX$29),"",IF(AND(E21=""),"",VLOOKUP(D21,ram,11,0))))))))),"")</f>
        <v/>
      </c>
      <c r="Q21" s="319">
        <f>IFERROR(IF(AND(D21="",E21=""),"",IF(AND(D21=$AX$25,'Master Data'!$I$30='GA55 Check &amp; Edit'!$AN$6),ROUND((E21+F21)*0.1,0),IF(AND(D21=$AX$29,'Master Data'!$I$30='GA55 Check &amp; Edit'!$AN$6),ROUND((F21)*0.1,0),IF(AND(D21=$AX$26,'Master Data'!$I$30='GA55 Check &amp; Edit'!$AN$6),ROUND((F21)*0.1,0),IF(AND(D21=$AX$27,'Master Data'!$I$30='GA55 Check &amp; Edit'!$AN$6),ROUND((E21+F21)*0.1,0),IF(AND('Master Data'!$I$30='GA55 Check &amp; Edit'!$AN$6,'Master Data'!$I$28='GA55 Check &amp; Edit'!$AP$6),ROUND((E21)*0.1,0),IF(AND('Master Data'!$I$30='GA55 Check &amp; Edit'!$AN$6,'Master Data'!$I$28='GA55 Check &amp; Edit'!$AP$5),ROUND((E21+F21)*0.1,0),IF(AND('Master Data'!$I$30='GA55 Check &amp; Edit'!$AN$5,'Master Data'!$I$28='GA55 Check &amp; Edit'!$AP$5),VLOOKUP(D21,ram,12,0))))))))),"")</f>
        <v>0</v>
      </c>
      <c r="R21" s="319" t="str">
        <f>IFERROR(IF(OR('Master Data'!$I$28='GA55 Check &amp; Edit'!$AP$6,D21=""),"",IF(AND(D21=$AX$24),"",IF(AND(D21=$AX$25),"",IF(AND(D21=$AX$26),"",IF(AND(D21=$AX$27),"",IF(AND(D21=$AX$28),"",IF(AND(D21=$AX$29),"",IF(AND(D21=$AX$32),"",IF(AND(E21=""),"",'Master Data'!$I$43))))))))),"")</f>
        <v/>
      </c>
      <c r="S21" s="319" t="str">
        <f>IFERROR(IF(OR('Master Data'!$I$28='GA55 Check &amp; Edit'!$AP$6),"",IF(D21="","",IF(E21="","",IF(AND(D21=$AX$24),"",IF(AND(D21=$AX$25),"",IF(AND(D21=$AX$26),"",IF(AND(D21=$AX$27),"",IF(AND(D21=$AX$28),"",IF(AND(D21=$AX$29),"",VLOOKUP(D21,ram,10,0)))))))))),"")</f>
        <v/>
      </c>
      <c r="T21" s="319" t="str">
        <f>IFERROR(IF(OR('Master Data'!$I$28='GA55 Check &amp; Edit'!$AP$6,D21=""),"",IF(AND(D21=$AX$24),"",IF(AND(D21=$AX$25),"",IF(AND(D21=$AX$26),"",IF(AND(D21=$AX$27),"",IF(AND(D21=$AX$28),"",IF(AND(D21=$AX$29),"",IF(AND(E21=""),"",'Master Data'!$K$43)))))))),"")</f>
        <v/>
      </c>
      <c r="U21" s="319" t="str">
        <f>IFERROR(IF(OR('Master Data'!$I$28='GA55 Check &amp; Edit'!$AP$6,D21=""),"",IF(AND(D21=$AX$24),"",IF(AND(D21=$AX$25),"",IF(AND(D21=$AX$26),"",IF(AND(D21=$AX$27),"",IF(AND(D21=$AX$28),"",IF(AND(D21=$AX$29),"",IF(AND(E21=""),"",'Master Data'!$L$43)))))))),"")</f>
        <v/>
      </c>
      <c r="V21" s="319" t="str">
        <f>IFERROR(IF(OR('Master Data'!$I$28='GA55 Check &amp; Edit'!$AP$6,D21=""),"",IF(AND(D21=$AX$24,'Master Data'!$I$28='GA55 Check &amp; Edit'!$AP$5,'Master Data'!$I$30='GA55 Check &amp; Edit'!$AN$6),ROUND(M21*50%,0),IF(AND(D21=$AX$25),"",IF(AND(D21=$AX$26,'Master Data'!$I$28='GA55 Check &amp; Edit'!$AP$5,'Master Data'!$I$30='GA55 Check &amp; Edit'!$AN$6),SUM(F21-N21),IF(AND(D21=$AX$27),"",IF(AND(D21=$AX$28),"",IF(AND(D21=$AX$29,'Master Data'!$I$28='GA55 Check &amp; Edit'!$AP$5,'Master Data'!$I$30='GA55 Check &amp; Edit'!$AN$6),SUM(F21-N21),IF(AND(E21=""),"",'Master Data'!$M$43)))))))),"")</f>
        <v/>
      </c>
      <c r="W21" s="319" t="str">
        <f>IFERROR(IF(OR('Master Data'!$I$28='GA55 Check &amp; Edit'!$AP$6,D21=""),"",IF(AND(D21=$AX$24),"",IF(AND(D21=$AX$25),"",IF(AND(D21=$AX$26),"",IF(AND(D21=$AX$27),"",IF(AND(D21=$AX$28),"",IF(AND(D21=$AX$29),"",IF(AND(E21=""),"",'Master Data'!$O$43)))))))),"")</f>
        <v/>
      </c>
      <c r="X21" s="319" t="str">
        <f>IFERROR(IF(OR('Master Data'!$I$28='GA55 Check &amp; Edit'!$AP$6,D21=""),"",IF(AND(E21=""),"",IF(AND('GA55 Check &amp; Edit'!D21='GA55 Check &amp; Edit'!$AT$17,'Master Data'!$D$18="Gazetted"),500,IF(AND('GA55 Check &amp; Edit'!D21='GA55 Check &amp; Edit'!$AT$17,'Master Data'!$D$18="Non-Gazetted"),250,"")))),"")</f>
        <v/>
      </c>
      <c r="Y21" s="319" t="str">
        <f>IFERROR(IF(D21="","",IF(AND(E21=""),"",IF(AND(D21=$AX$24),"",IF(AND(D21=$AX$25),"",IF(AND(D21=$AX$26),"",IF(AND(D21=$AX$27),"",IF(AND(D21=$AX$28),"",IF(AND(D21=$AX$29),"",IF(OR('Master Data'!$I$28='GA55 Check &amp; Edit'!$AP$6,D21=""),"",$Y$7))))))))),"")</f>
        <v/>
      </c>
      <c r="Z21" s="319"/>
      <c r="AA21" s="319" t="str">
        <f>IFERROR(IF(OR('Master Data'!$I$28='GA55 Check &amp; Edit'!$AP$6,D21="",'Master Data'!$N$38=""),"",IF(AND(E21=""),"",IF('GA55 Check &amp; Edit'!D21='GA55 Check &amp; Edit'!$AT$9,'Master Data'!$N$38,""))),"")</f>
        <v/>
      </c>
      <c r="AB21" s="320">
        <f>IFERROR(IF(D21="","",IF(AND(O21=""),"",IF(AND(N21=""),SUM(P21:AA21),IF(AND('Master Data'!$H$18='GA55 Check &amp; Edit'!$AO$5,'Master Data'!$I$30='GA55 Check &amp; Edit'!$AN$6),SUM(P21:AA21)+N21,SUM(P21:AA21))))),"0")</f>
        <v>0</v>
      </c>
      <c r="AC21" s="35">
        <f t="shared" si="2"/>
        <v>0</v>
      </c>
      <c r="AD21" s="202"/>
      <c r="AE21" s="232"/>
      <c r="AF21" s="39"/>
      <c r="AU21" s="321" t="s">
        <v>106</v>
      </c>
      <c r="AW21" s="328" t="s">
        <v>39</v>
      </c>
      <c r="AX21" s="322">
        <v>44531</v>
      </c>
      <c r="AY21" s="327">
        <v>12</v>
      </c>
      <c r="AZ21" s="327">
        <f>AZ18+AZ20</f>
        <v>65375</v>
      </c>
      <c r="BA21" s="329">
        <f>IF(AND('Master Data'!$E$36=""),"",IF(AND('Master Data'!$I$28='GA55 Check &amp; Edit'!$AP$6),'GA55 Check &amp; Edit'!$AZ$15,BU21))</f>
        <v>52300</v>
      </c>
      <c r="BB21" s="327">
        <f t="shared" si="11"/>
        <v>52300</v>
      </c>
      <c r="BC21" s="327">
        <f>IF(AND('Master Data'!$E$36=""),"",IF(AND('Master Data'!$N$26='GA55 Check &amp; Edit'!$AO$5),ROUND(31%*BA21,0),ROUND(17%*BA21,0)))</f>
        <v>16213</v>
      </c>
      <c r="BD21" s="327">
        <f t="shared" si="13"/>
        <v>16213</v>
      </c>
      <c r="BE21" s="334">
        <f>IFERROR(IF(AND('Master Data'!$E$36=""),"",ROUND('Master Data'!$E$34%*BB21,0)),"")</f>
        <v>4707</v>
      </c>
      <c r="BF21" s="329">
        <f>'Master Data'!K47</f>
        <v>1500</v>
      </c>
      <c r="BG21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21" s="329">
        <f>IFERROR(IF(OR('Master Data'!$I$28='GA55 Check &amp; Edit'!$AP$6),"",'Master Data'!$G$43),"")</f>
        <v>7000</v>
      </c>
      <c r="BI21" s="335">
        <f>IFERROR(IF(AND('Master Data'!$I$30='GA55 Check &amp; Edit'!$AN$6),ROUND((E17)*0.1,0),IF(AND('Master Data'!$I$28='GA55 Check &amp; Edit'!$AP$6),ROUND((E17+F17)*0.1,0),'Master Data'!$H$43)),"")</f>
        <v>5230</v>
      </c>
      <c r="BJ21" s="329">
        <f t="shared" si="14"/>
        <v>52300</v>
      </c>
      <c r="BK21" s="336">
        <v>44531</v>
      </c>
      <c r="BL21" s="336">
        <f>IFERROR(IF('Master Data'!$E$36="","",IF('Master Data'!$F$40="","",IF(AND($AZ$17&gt;$AZ$9),"",DATE(YEAR(BL20),MONTH(BL20)+1,DAY(BL20))))),"")</f>
        <v>44531</v>
      </c>
      <c r="BM21" s="337">
        <f>IFERROR(IF('Master Data'!$E$36="","",IF('Master Data'!$F$40="","",IF(AND($AZ$17&gt;$AZ$9),"",DATE(YEAR(BM20),MONTH(BM20)+1,DAY(BM20))))),"")</f>
        <v>44531</v>
      </c>
      <c r="BN21" s="337">
        <f t="shared" si="6"/>
        <v>44531</v>
      </c>
      <c r="BO21" s="337">
        <f t="shared" si="7"/>
        <v>44531</v>
      </c>
      <c r="BP21" s="337"/>
      <c r="BQ21" s="337">
        <f t="shared" si="8"/>
        <v>44531</v>
      </c>
      <c r="BR21" s="337"/>
      <c r="BS21" s="338"/>
      <c r="BT21" s="338"/>
      <c r="BU21" s="338">
        <f>IF(AND('Master Data'!$I$38='GA55 Check &amp; Edit'!AX21),'Master Data'!$I$36,BU20)</f>
        <v>52300</v>
      </c>
      <c r="BV21" s="337"/>
      <c r="BX21" s="338">
        <f t="shared" si="10"/>
        <v>1500</v>
      </c>
    </row>
    <row r="22" spans="1:76" s="321" customFormat="1" ht="21" customHeight="1">
      <c r="A22" s="34">
        <f t="shared" si="0"/>
        <v>1</v>
      </c>
      <c r="B22" s="50">
        <f t="shared" si="3"/>
        <v>15</v>
      </c>
      <c r="C22" s="51">
        <f t="shared" si="5"/>
        <v>15</v>
      </c>
      <c r="D22" s="318" t="str">
        <f t="shared" si="1"/>
        <v xml:space="preserve">DA Arrear </v>
      </c>
      <c r="E22" s="200" t="str">
        <f>IFERROR(IF(D22="","",IF(AND(BQ26=""),"",IF(AND('Master Data'!$I$28='GA55 Check &amp; Edit'!$AP$6),VLOOKUP(D22,ram,13,0),VLOOKUP(D22,ram,4,0)))),"")</f>
        <v/>
      </c>
      <c r="F22" s="201">
        <f>IFERROR(IF(D22="","",IF(D22=$AX$24,"",IF(AND(D22=$AX$25),$BC$25,IF(AND(D22=$AX$27),"",IF(AND(D22=$AX$28),"",IF(AND('Master Data'!$I$28='GA55 Check &amp; Edit'!$AP$5),VLOOKUP(D22,ram,7,0),"")))))),"")</f>
        <v>4707</v>
      </c>
      <c r="G22" s="201" t="str">
        <f>IFERROR(IF(D22="","",IF(D22=$AX$24,"",IF(AND(D22=$AX$25),"",IF(AND(D22=$AX$26),"",IF(AND(D22=$AX$27),"",IF(AND(D22=$AX$29),"",IF(AND('Master Data'!$I$28='GA55 Check &amp; Edit'!$AP$6),"",VLOOKUP(D22,ram,8,0)))))))),"")</f>
        <v/>
      </c>
      <c r="H22" s="201" t="str">
        <f>IFERROR(IF(D22="","",IF(AND(E22=""),"",IF(OR(D22=$AX$24,D22=$AX$25,D22=$AX$26,D22=$AX$27,D22=$AX$28,D22=$AX$29),"",IF(AND('Master Data'!$I$28='GA55 Check &amp; Edit'!$AP$5),'Master Data'!$B$43,"")))),"")</f>
        <v/>
      </c>
      <c r="I22" s="201" t="str">
        <f>IFERROR(IF(D22="","",IF(AND(E22=""),"",IF(OR(D22=$AX$24,D22=$AX$25,D22=$AX$26,D22=$AX$27,D22=$AX$28,D22=$AX$29),"",IF(AND('Master Data'!$I$28='GA55 Check &amp; Edit'!$AP$5,'Master Data'!$E$28='GA55 Check &amp; Edit'!$AO$5),'Master Data'!$C$43,"0")))),"")</f>
        <v/>
      </c>
      <c r="J22" s="201" t="str">
        <f>IFERROR(IF(OR('Master Data'!$E$32=$AO$6,'Master Data'!$E$32=""),"",IF(D22="","",IF(AND(E22=""),"",IF(OR(D22=$AX$24,D22=$AX$25,D22=$AX$26,D22=$AX$27,D22=$AX$28,D22=$AX$29),"",IF(AND('Master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2" s="201" t="str">
        <f>IFERROR(IF(D22="","",IF(AND(E22=""),"",IF(OR(D22=$AX$24,D22=$AX$25,D22=$AX$26,D22=$AX$27,D22=$AX$28,D22=$AX$29),"",IF(AND('Master Data'!$I$28='GA55 Check &amp; Edit'!$AP$5),'Master Data'!$E$43,"")))),"")</f>
        <v/>
      </c>
      <c r="L22" s="201" t="str">
        <f>IFERROR(IF(D22="","",IF(AND(E22=""),"",IF(OR(D22=$AX$24,D22=$AX$25,D22=$AX$26,D22=$AX$27,D22=$AX$28,D22=$AX$29),"",IF(AND('Master Data'!$I$28='GA55 Check &amp; Edit'!$AP$6),"",'Master Data'!$F$43)))),"")</f>
        <v/>
      </c>
      <c r="M22" s="201"/>
      <c r="N22" s="201">
        <f>IFERROR(IF(AND(D22=""),"",IF(AND(D22=$AX$25,'Master Data'!$I$30='GA55 Check &amp; Edit'!$AN$6),ROUND((E22+F22)*0.1,0),IF(AND(D22=$AX$29,'Master Data'!$I$30='GA55 Check &amp; Edit'!$AN$6),ROUND((F22)*0.1,0),IF(AND(D22=$AX$26,'Master Data'!$I$30='GA55 Check &amp; Edit'!$AN$6),ROUND((F22)*0.1,0),IF(AND(D22=$AX$27,'Master Data'!$I$30='GA55 Check &amp; Edit'!$AN$6),ROUND((E22+F22)*0.1,0),IF(AND('Master Data'!$I$30='GA55 Check &amp; Edit'!$AN$5),"",IF(AND('Master Data'!$I$30='GA55 Check &amp; Edit'!$AN$6,'Master Data'!$I$28='GA55 Check &amp; Edit'!$AP$6),ROUND((E22)*0.1,0),ROUND((E22+F22)*0.1,0)))))))),"")</f>
        <v>471</v>
      </c>
      <c r="O22" s="43">
        <f>IF(D22="","",IF('Master Data'!$H$18='GA55 Check &amp; Edit'!$AO$5,SUM(E22:N22),SUM(E22:M22)))</f>
        <v>4707</v>
      </c>
      <c r="P22" s="319" t="str">
        <f>IFERROR(IF(OR('Master Data'!$I$28='GA55 Check &amp; Edit'!$AP$6,D22=""),"",IF(AND(D22=$AX$24),"",IF(AND(D22=$AX$25),"",IF(AND(D22=$AX$26),"",IF(AND(D22=$AX$27),"",IF(AND(D22=$AX$28),"",IF(AND(D22=$AX$29),"",IF(AND(E22=""),"",VLOOKUP(D22,ram,11,0))))))))),"")</f>
        <v/>
      </c>
      <c r="Q22" s="319">
        <f>IFERROR(IF(AND(D22="",E22=""),"",IF(AND(D22=$AX$25,'Master Data'!$I$30='GA55 Check &amp; Edit'!$AN$6),ROUND((E22+F22)*0.1,0),IF(AND(D22=$AX$29,'Master Data'!$I$30='GA55 Check &amp; Edit'!$AN$6),ROUND((F22)*0.1,0),IF(AND(D22=$AX$26,'Master Data'!$I$30='GA55 Check &amp; Edit'!$AN$6),ROUND((F22)*0.1,0),IF(AND(D22=$AX$27,'Master Data'!$I$30='GA55 Check &amp; Edit'!$AN$6),ROUND((E22+F22)*0.1,0),IF(AND('Master Data'!$I$30='GA55 Check &amp; Edit'!$AN$6,'Master Data'!$I$28='GA55 Check &amp; Edit'!$AP$6),ROUND((E22)*0.1,0),IF(AND('Master Data'!$I$30='GA55 Check &amp; Edit'!$AN$6,'Master Data'!$I$28='GA55 Check &amp; Edit'!$AP$5),ROUND((E22+F22)*0.1,0),IF(AND('Master Data'!$I$30='GA55 Check &amp; Edit'!$AN$5,'Master Data'!$I$28='GA55 Check &amp; Edit'!$AP$5),VLOOKUP(D22,ram,12,0))))))))),"")</f>
        <v>471</v>
      </c>
      <c r="R22" s="319" t="str">
        <f>IFERROR(IF(OR('Master Data'!$I$28='GA55 Check &amp; Edit'!$AP$6,D22=""),"",IF(AND(D22=$AX$24),"",IF(AND(D22=$AX$25),"",IF(AND(D22=$AX$26),"",IF(AND(D22=$AX$27),"",IF(AND(D22=$AX$28),"",IF(AND(D22=$AX$29),"",IF(AND(D22=$AX$32),"",IF(AND(E22=""),"",'Master Data'!$I$43))))))))),"")</f>
        <v/>
      </c>
      <c r="S22" s="319" t="str">
        <f>IFERROR(IF(OR('Master Data'!$I$28='GA55 Check &amp; Edit'!$AP$6),"",IF(D22="","",IF(E22="","",IF(AND(D22=$AX$24),"",IF(AND(D22=$AX$25),"",IF(AND(D22=$AX$26),"",IF(AND(D22=$AX$27),"",IF(AND(D22=$AX$28),"",IF(AND(D22=$AX$29),"",VLOOKUP(D22,ram,10,0)))))))))),"")</f>
        <v/>
      </c>
      <c r="T22" s="319" t="str">
        <f>IFERROR(IF(OR('Master Data'!$I$28='GA55 Check &amp; Edit'!$AP$6,D22=""),"",IF(AND(D22=$AX$24),"",IF(AND(D22=$AX$25),"",IF(AND(D22=$AX$26),"",IF(AND(D22=$AX$27),"",IF(AND(D22=$AX$28),"",IF(AND(D22=$AX$29),"",IF(AND(E22=""),"",'Master Data'!$K$43)))))))),"")</f>
        <v/>
      </c>
      <c r="U22" s="319" t="str">
        <f>IFERROR(IF(OR('Master Data'!$I$28='GA55 Check &amp; Edit'!$AP$6,D22=""),"",IF(AND(D22=$AX$24),"",IF(AND(D22=$AX$25),"",IF(AND(D22=$AX$26),"",IF(AND(D22=$AX$27),"",IF(AND(D22=$AX$28),"",IF(AND(D22=$AX$29),"",IF(AND(E22=""),"",'Master Data'!$L$43)))))))),"")</f>
        <v/>
      </c>
      <c r="V22" s="319">
        <f>IFERROR(IF(OR('Master Data'!$I$28='GA55 Check &amp; Edit'!$AP$6,D22=""),"",IF(AND(D22=$AX$24,'Master Data'!$I$28='GA55 Check &amp; Edit'!$AP$5,'Master Data'!$I$30='GA55 Check &amp; Edit'!$AN$6),ROUND(M22*50%,0),IF(AND(D22=$AX$25),"",IF(AND(D22=$AX$26,'Master Data'!$I$28='GA55 Check &amp; Edit'!$AP$5,'Master Data'!$I$30='GA55 Check &amp; Edit'!$AN$6),SUM(F22-N22),IF(AND(D22=$AX$27),"",IF(AND(D22=$AX$28),"",IF(AND(D22=$AX$29,'Master Data'!$I$28='GA55 Check &amp; Edit'!$AP$5,'Master Data'!$I$30='GA55 Check &amp; Edit'!$AN$6),SUM(F22-N22),IF(AND(E22=""),"",'Master Data'!$M$43)))))))),"")</f>
        <v>4236</v>
      </c>
      <c r="W22" s="319" t="str">
        <f>IFERROR(IF(OR('Master Data'!$I$28='GA55 Check &amp; Edit'!$AP$6,D22=""),"",IF(AND(D22=$AX$24),"",IF(AND(D22=$AX$25),"",IF(AND(D22=$AX$26),"",IF(AND(D22=$AX$27),"",IF(AND(D22=$AX$28),"",IF(AND(D22=$AX$29),"",IF(AND(E22=""),"",'Master Data'!$O$43)))))))),"")</f>
        <v/>
      </c>
      <c r="X22" s="319" t="str">
        <f>IFERROR(IF(OR('Master Data'!$I$28='GA55 Check &amp; Edit'!$AP$6,D22=""),"",IF(AND(E22=""),"",IF(AND('GA55 Check &amp; Edit'!D22='GA55 Check &amp; Edit'!$AT$17,'Master Data'!$D$18="Gazetted"),500,IF(AND('GA55 Check &amp; Edit'!D22='GA55 Check &amp; Edit'!$AT$17,'Master Data'!$D$18="Non-Gazetted"),250,"")))),"")</f>
        <v/>
      </c>
      <c r="Y22" s="319" t="str">
        <f>IFERROR(IF(D22="","",IF(AND(E22=""),"",IF(AND(D22=$AX$24),"",IF(AND(D22=$AX$25),"",IF(AND(D22=$AX$26),"",IF(AND(D22=$AX$27),"",IF(AND(D22=$AX$28),"",IF(AND(D22=$AX$29),"",IF(OR('Master Data'!$I$28='GA55 Check &amp; Edit'!$AP$6,D22=""),"",$Y$7))))))))),"")</f>
        <v/>
      </c>
      <c r="Z22" s="319"/>
      <c r="AA22" s="319" t="str">
        <f>IFERROR(IF(OR('Master Data'!$I$28='GA55 Check &amp; Edit'!$AP$6,D22="",'Master Data'!$N$38=""),"",IF(AND(E22=""),"",IF('GA55 Check &amp; Edit'!D22='GA55 Check &amp; Edit'!$AT$9,'Master Data'!$N$38,""))),"")</f>
        <v/>
      </c>
      <c r="AB22" s="320">
        <f>IFERROR(IF(D22="","",IF(AND(O22=""),"",IF(AND(N22=""),SUM(P22:AA22),IF(AND('Master Data'!$H$18='GA55 Check &amp; Edit'!$AO$5,'Master Data'!$I$30='GA55 Check &amp; Edit'!$AN$6),SUM(P22:AA22)+N22,SUM(P22:AA22))))),"0")</f>
        <v>4707</v>
      </c>
      <c r="AC22" s="35">
        <f t="shared" si="2"/>
        <v>0</v>
      </c>
      <c r="AD22" s="202"/>
      <c r="AE22" s="232"/>
      <c r="AF22" s="39"/>
      <c r="AU22" s="321" t="s">
        <v>107</v>
      </c>
      <c r="AW22" s="328" t="s">
        <v>5</v>
      </c>
      <c r="AX22" s="322">
        <v>44562</v>
      </c>
      <c r="AY22" s="327">
        <v>1</v>
      </c>
      <c r="AZ22" s="327"/>
      <c r="BA22" s="329">
        <f>IF(AND('Master Data'!$E$36=""),"",IF(AND('Master Data'!$I$28='GA55 Check &amp; Edit'!$AP$6),'GA55 Check &amp; Edit'!$AZ$15,BU22))</f>
        <v>52300</v>
      </c>
      <c r="BB22" s="327">
        <f t="shared" si="11"/>
        <v>52300</v>
      </c>
      <c r="BC22" s="327">
        <f>IF(AND('Master Data'!$E$36=""),"",IF(AND('Master Data'!$N$26='GA55 Check &amp; Edit'!$AO$5),ROUND(31%*BA22,0),ROUND(17%*BA22,0)))</f>
        <v>16213</v>
      </c>
      <c r="BD22" s="327">
        <f t="shared" si="13"/>
        <v>16213</v>
      </c>
      <c r="BE22" s="334">
        <f>IFERROR(IF(AND('Master Data'!$E$36=""),"",ROUND('Master Data'!$E$34%*BB22,0)),"")</f>
        <v>4707</v>
      </c>
      <c r="BF22" s="329">
        <f>'Master Data'!L47</f>
        <v>1500</v>
      </c>
      <c r="BG22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22" s="329">
        <f>IFERROR(IF(OR('Master Data'!$I$28='GA55 Check &amp; Edit'!$AP$6),"",'Master Data'!$G$43),"")</f>
        <v>7000</v>
      </c>
      <c r="BI22" s="335">
        <f>IFERROR(IF(AND('Master Data'!$I$30='GA55 Check &amp; Edit'!$AN$6),ROUND((E18)*0.1,0),IF(AND('Master Data'!$I$28='GA55 Check &amp; Edit'!$AP$6),ROUND((E18+F18)*0.1,0),'Master Data'!$H$43)),"")</f>
        <v>5230</v>
      </c>
      <c r="BJ22" s="329">
        <f t="shared" si="14"/>
        <v>52300</v>
      </c>
      <c r="BK22" s="336">
        <v>44562</v>
      </c>
      <c r="BL22" s="336">
        <f>IFERROR(IF('Master Data'!$E$36="","",IF('Master Data'!$F$40="","",IF(AND($AZ$17&gt;$AZ$9),"",DATE(YEAR(BL21),MONTH(BL21)+1,DAY(BL21))))),"")</f>
        <v>44562</v>
      </c>
      <c r="BM22" s="337">
        <f>IFERROR(IF('Master Data'!$E$36="","",IF('Master Data'!$F$40="","",IF(AND($AZ$17&gt;$AZ$9),"",DATE(YEAR(BM21),MONTH(BM21)+1,DAY(BM21))))),"")</f>
        <v>44562</v>
      </c>
      <c r="BN22" s="337">
        <f t="shared" si="6"/>
        <v>44562</v>
      </c>
      <c r="BO22" s="337">
        <f t="shared" si="7"/>
        <v>44562</v>
      </c>
      <c r="BP22" s="337"/>
      <c r="BQ22" s="337">
        <f t="shared" si="8"/>
        <v>44562</v>
      </c>
      <c r="BR22" s="337"/>
      <c r="BS22" s="338"/>
      <c r="BT22" s="338"/>
      <c r="BU22" s="338">
        <f>IF(AND('Master Data'!$I$38='GA55 Check &amp; Edit'!AX22),'Master Data'!$I$36,BU21)</f>
        <v>52300</v>
      </c>
      <c r="BV22" s="337"/>
      <c r="BX22" s="338">
        <f t="shared" si="10"/>
        <v>1500</v>
      </c>
    </row>
    <row r="23" spans="1:76" s="321" customFormat="1" ht="21" customHeight="1">
      <c r="A23" s="34">
        <f t="shared" si="0"/>
        <v>0</v>
      </c>
      <c r="B23" s="50">
        <f t="shared" si="3"/>
        <v>16</v>
      </c>
      <c r="C23" s="51">
        <f t="shared" si="5"/>
        <v>16</v>
      </c>
      <c r="D23" s="318" t="str">
        <f t="shared" si="1"/>
        <v>Fixation arear</v>
      </c>
      <c r="E23" s="200" t="str">
        <f>IFERROR(IF(D23="","",IF(AND(BQ27=""),"",IF(AND('Master Data'!$I$28='GA55 Check &amp; Edit'!$AP$6),VLOOKUP(D23,ram,13,0),VLOOKUP(D23,ram,4,0)))),"")</f>
        <v/>
      </c>
      <c r="F23" s="201" t="str">
        <f>IFERROR(IF(D23="","",IF(D23=$AX$24,"",IF(AND(D23=$AX$25),$BC$25,IF(AND(D23=$AX$27),"",IF(AND(D23=$AX$28),"",IF(AND('Master Data'!$I$28='GA55 Check &amp; Edit'!$AP$5),VLOOKUP(D23,ram,7,0),"")))))),"")</f>
        <v/>
      </c>
      <c r="G23" s="201" t="str">
        <f>IFERROR(IF(D23="","",IF(D23=$AX$24,"",IF(AND(D23=$AX$25),"",IF(AND(D23=$AX$26),"",IF(AND(D23=$AX$27),"",IF(AND(D23=$AX$29),"",IF(AND('Master Data'!$I$28='GA55 Check &amp; Edit'!$AP$6),"",VLOOKUP(D23,ram,8,0)))))))),"")</f>
        <v/>
      </c>
      <c r="H23" s="201" t="str">
        <f>IFERROR(IF(D23="","",IF(AND(E23=""),"",IF(OR(D23=$AX$24,D23=$AX$25,D23=$AX$26,D23=$AX$27,D23=$AX$28,D23=$AX$29),"",IF(AND('Master Data'!$I$28='GA55 Check &amp; Edit'!$AP$5),'Master Data'!$B$43,"")))),"")</f>
        <v/>
      </c>
      <c r="I23" s="201" t="str">
        <f>IFERROR(IF(D23="","",IF(AND(E23=""),"",IF(OR(D23=$AX$24,D23=$AX$25,D23=$AX$26,D23=$AX$27,D23=$AX$28,D23=$AX$29),"",IF(AND('Master Data'!$I$28='GA55 Check &amp; Edit'!$AP$5,'Master Data'!$E$28='GA55 Check &amp; Edit'!$AO$5),'Master Data'!$C$43,"0")))),"")</f>
        <v/>
      </c>
      <c r="J23" s="201" t="str">
        <f>IFERROR(IF(OR('Master Data'!$E$32=$AO$6,'Master Data'!$E$32=""),"",IF(D23="","",IF(AND(E23=""),"",IF(OR(D23=$AX$24,D23=$AX$25,D23=$AX$26,D23=$AX$27,D23=$AX$28,D23=$AX$29),"",IF(AND('Master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3" s="201" t="str">
        <f>IFERROR(IF(D23="","",IF(AND(E23=""),"",IF(OR(D23=$AX$24,D23=$AX$25,D23=$AX$26,D23=$AX$27,D23=$AX$28,D23=$AX$29),"",IF(AND('Master Data'!$I$28='GA55 Check &amp; Edit'!$AP$5),'Master Data'!$E$43,"")))),"")</f>
        <v/>
      </c>
      <c r="L23" s="201" t="str">
        <f>IFERROR(IF(D23="","",IF(AND(E23=""),"",IF(OR(D23=$AX$24,D23=$AX$25,D23=$AX$26,D23=$AX$27,D23=$AX$28,D23=$AX$29),"",IF(AND('Master Data'!$I$28='GA55 Check &amp; Edit'!$AP$6),"",'Master Data'!$F$43)))),"")</f>
        <v/>
      </c>
      <c r="M23" s="201"/>
      <c r="N23" s="201" t="str">
        <f>IFERROR(IF(AND(D23=""),"",IF(AND(D23=$AX$25,'Master Data'!$I$30='GA55 Check &amp; Edit'!$AN$6),ROUND((E23+F23)*0.1,0),IF(AND(D23=$AX$29,'Master Data'!$I$30='GA55 Check &amp; Edit'!$AN$6),ROUND((F23)*0.1,0),IF(AND(D23=$AX$26,'Master Data'!$I$30='GA55 Check &amp; Edit'!$AN$6),ROUND((F23)*0.1,0),IF(AND(D23=$AX$27,'Master Data'!$I$30='GA55 Check &amp; Edit'!$AN$6),ROUND((E23+F23)*0.1,0),IF(AND('Master Data'!$I$30='GA55 Check &amp; Edit'!$AN$5),"",IF(AND('Master Data'!$I$30='GA55 Check &amp; Edit'!$AN$6,'Master Data'!$I$28='GA55 Check &amp; Edit'!$AP$6),ROUND((E23)*0.1,0),ROUND((E23+F23)*0.1,0)))))))),"")</f>
        <v/>
      </c>
      <c r="O23" s="43">
        <f>IF(D23="","",IF('Master Data'!$H$18='GA55 Check &amp; Edit'!$AO$5,SUM(E23:N23),SUM(E23:M23)))</f>
        <v>0</v>
      </c>
      <c r="P23" s="319" t="str">
        <f>IFERROR(IF(OR('Master Data'!$I$28='GA55 Check &amp; Edit'!$AP$6,D23=""),"",IF(AND(D23=$AX$24),"",IF(AND(D23=$AX$25),"",IF(AND(D23=$AX$26),"",IF(AND(D23=$AX$27),"",IF(AND(D23=$AX$28),"",IF(AND(D23=$AX$29),"",IF(AND(E23=""),"",VLOOKUP(D23,ram,11,0))))))))),"")</f>
        <v/>
      </c>
      <c r="Q23" s="319" t="str">
        <f>IFERROR(IF(AND(D23="",E23=""),"",IF(AND(D23=$AX$25,'Master Data'!$I$30='GA55 Check &amp; Edit'!$AN$6),ROUND((E23+F23)*0.1,0),IF(AND(D23=$AX$29,'Master Data'!$I$30='GA55 Check &amp; Edit'!$AN$6),ROUND((F23)*0.1,0),IF(AND(D23=$AX$26,'Master Data'!$I$30='GA55 Check &amp; Edit'!$AN$6),ROUND((F23)*0.1,0),IF(AND(D23=$AX$27,'Master Data'!$I$30='GA55 Check &amp; Edit'!$AN$6),ROUND((E23+F23)*0.1,0),IF(AND('Master Data'!$I$30='GA55 Check &amp; Edit'!$AN$6,'Master Data'!$I$28='GA55 Check &amp; Edit'!$AP$6),ROUND((E23)*0.1,0),IF(AND('Master Data'!$I$30='GA55 Check &amp; Edit'!$AN$6,'Master Data'!$I$28='GA55 Check &amp; Edit'!$AP$5),ROUND((E23+F23)*0.1,0),IF(AND('Master Data'!$I$30='GA55 Check &amp; Edit'!$AN$5,'Master Data'!$I$28='GA55 Check &amp; Edit'!$AP$5),VLOOKUP(D23,ram,12,0))))))))),"")</f>
        <v/>
      </c>
      <c r="R23" s="319" t="str">
        <f>IFERROR(IF(OR('Master Data'!$I$28='GA55 Check &amp; Edit'!$AP$6,D23=""),"",IF(AND(D23=$AX$24),"",IF(AND(D23=$AX$25),"",IF(AND(D23=$AX$26),"",IF(AND(D23=$AX$27),"",IF(AND(D23=$AX$28),"",IF(AND(D23=$AX$29),"",IF(AND(D23=$AX$32),"",IF(AND(E23=""),"",'Master Data'!$I$43))))))))),"")</f>
        <v/>
      </c>
      <c r="S23" s="319" t="str">
        <f>IFERROR(IF(OR('Master Data'!$I$28='GA55 Check &amp; Edit'!$AP$6),"",IF(D23="","",IF(E23="","",IF(AND(D23=$AX$24),"",IF(AND(D23=$AX$25),"",IF(AND(D23=$AX$26),"",IF(AND(D23=$AX$27),"",IF(AND(D23=$AX$28),"",IF(AND(D23=$AX$29),"",VLOOKUP(D23,ram,10,0)))))))))),"")</f>
        <v/>
      </c>
      <c r="T23" s="319" t="str">
        <f>IFERROR(IF(OR('Master Data'!$I$28='GA55 Check &amp; Edit'!$AP$6,D23=""),"",IF(AND(D23=$AX$24),"",IF(AND(D23=$AX$25),"",IF(AND(D23=$AX$26),"",IF(AND(D23=$AX$27),"",IF(AND(D23=$AX$28),"",IF(AND(D23=$AX$29),"",IF(AND(E23=""),"",'Master Data'!$K$43)))))))),"")</f>
        <v/>
      </c>
      <c r="U23" s="319" t="str">
        <f>IFERROR(IF(OR('Master Data'!$I$28='GA55 Check &amp; Edit'!$AP$6,D23=""),"",IF(AND(D23=$AX$24),"",IF(AND(D23=$AX$25),"",IF(AND(D23=$AX$26),"",IF(AND(D23=$AX$27),"",IF(AND(D23=$AX$28),"",IF(AND(D23=$AX$29),"",IF(AND(E23=""),"",'Master Data'!$L$43)))))))),"")</f>
        <v/>
      </c>
      <c r="V23" s="319" t="str">
        <f>IFERROR(IF(OR('Master Data'!$I$28='GA55 Check &amp; Edit'!$AP$6,D23=""),"",IF(AND(D23=$AX$24,'Master Data'!$I$28='GA55 Check &amp; Edit'!$AP$5,'Master Data'!$I$30='GA55 Check &amp; Edit'!$AN$6),ROUND(M23*50%,0),IF(AND(D23=$AX$25),"",IF(AND(D23=$AX$26,'Master Data'!$I$28='GA55 Check &amp; Edit'!$AP$5,'Master Data'!$I$30='GA55 Check &amp; Edit'!$AN$6),SUM(F23-N23),IF(AND(D23=$AX$27),"",IF(AND(D23=$AX$28),"",IF(AND(D23=$AX$29,'Master Data'!$I$28='GA55 Check &amp; Edit'!$AP$5,'Master Data'!$I$30='GA55 Check &amp; Edit'!$AN$6),SUM(F23-N23),IF(AND(E23=""),"",'Master Data'!$M$43)))))))),"")</f>
        <v/>
      </c>
      <c r="W23" s="319" t="str">
        <f>IFERROR(IF(OR('Master Data'!$I$28='GA55 Check &amp; Edit'!$AP$6,D23=""),"",IF(AND(D23=$AX$24),"",IF(AND(D23=$AX$25),"",IF(AND(D23=$AX$26),"",IF(AND(D23=$AX$27),"",IF(AND(D23=$AX$28),"",IF(AND(D23=$AX$29),"",IF(AND(E23=""),"",'Master Data'!$O$43)))))))),"")</f>
        <v/>
      </c>
      <c r="X23" s="319" t="str">
        <f>IFERROR(IF(OR('Master Data'!$I$28='GA55 Check &amp; Edit'!$AP$6,D23=""),"",IF(AND(E23=""),"",IF(AND('GA55 Check &amp; Edit'!D23='GA55 Check &amp; Edit'!$AT$17,'Master Data'!$D$18="Gazetted"),500,IF(AND('GA55 Check &amp; Edit'!D23='GA55 Check &amp; Edit'!$AT$17,'Master Data'!$D$18="Non-Gazetted"),250,"")))),"")</f>
        <v/>
      </c>
      <c r="Y23" s="319" t="str">
        <f>IFERROR(IF(D23="","",IF(AND(E23=""),"",IF(AND(D23=$AX$24),"",IF(AND(D23=$AX$25),"",IF(AND(D23=$AX$26),"",IF(AND(D23=$AX$27),"",IF(AND(D23=$AX$28),"",IF(AND(D23=$AX$29),"",IF(OR('Master Data'!$I$28='GA55 Check &amp; Edit'!$AP$6,D23=""),"",$Y$7))))))))),"")</f>
        <v/>
      </c>
      <c r="Z23" s="319"/>
      <c r="AA23" s="319" t="str">
        <f>IFERROR(IF(OR('Master Data'!$I$28='GA55 Check &amp; Edit'!$AP$6,D23="",'Master Data'!$N$38=""),"",IF(AND(E23=""),"",IF('GA55 Check &amp; Edit'!D23='GA55 Check &amp; Edit'!$AT$9,'Master Data'!$N$38,""))),"")</f>
        <v/>
      </c>
      <c r="AB23" s="320">
        <f>IFERROR(IF(D23="","",IF(AND(O23=""),"",IF(AND(N23=""),SUM(P23:AA23),IF(AND('Master Data'!$H$18='GA55 Check &amp; Edit'!$AO$5,'Master Data'!$I$30='GA55 Check &amp; Edit'!$AN$6),SUM(P23:AA23)+N23,SUM(P23:AA23))))),"0")</f>
        <v>0</v>
      </c>
      <c r="AC23" s="35">
        <f t="shared" si="2"/>
        <v>0</v>
      </c>
      <c r="AD23" s="202"/>
      <c r="AE23" s="232"/>
      <c r="AF23" s="39"/>
      <c r="AR23" s="321">
        <f>IF('Master Data'!I38&lt;'GA55 Check &amp; Edit'!AX16,MROUND('Master Data'!I36*1.03,100),MROUND(AZ15*1.03,100))</f>
        <v>0</v>
      </c>
      <c r="AU23" s="321" t="s">
        <v>108</v>
      </c>
      <c r="AW23" s="328" t="s">
        <v>92</v>
      </c>
      <c r="AX23" s="322">
        <v>44593</v>
      </c>
      <c r="AY23" s="327">
        <v>2</v>
      </c>
      <c r="AZ23" s="327"/>
      <c r="BA23" s="329">
        <f>IF(AND('Master Data'!$E$36=""),"",IF(AND('Master Data'!$I$28='GA55 Check &amp; Edit'!$AP$6),'GA55 Check &amp; Edit'!$AZ$15,BU23))</f>
        <v>52300</v>
      </c>
      <c r="BB23" s="327">
        <f t="shared" si="11"/>
        <v>52300</v>
      </c>
      <c r="BC23" s="327">
        <f>IF(AND('Master Data'!$E$36=""),"",IF(AND('Master Data'!$N$26='GA55 Check &amp; Edit'!$AO$5),ROUND(31%*BA23,0),ROUND(17%*BA23,0)))</f>
        <v>16213</v>
      </c>
      <c r="BD23" s="327">
        <f>IF(BB23="","",BC23)</f>
        <v>16213</v>
      </c>
      <c r="BE23" s="334">
        <f>IFERROR(IF(AND('Master Data'!$E$36=""),"",ROUND('Master Data'!$E$34%*BB23,0)),"")</f>
        <v>4707</v>
      </c>
      <c r="BF23" s="329">
        <f>'Master Data'!M47</f>
        <v>0</v>
      </c>
      <c r="BG23" s="32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23" s="329">
        <f>IFERROR(IF(OR('Master Data'!$I$28='GA55 Check &amp; Edit'!$AP$6),"",'Master Data'!$G$43),"")</f>
        <v>7000</v>
      </c>
      <c r="BI23" s="335">
        <f>IFERROR(IF(AND('Master Data'!$I$30='GA55 Check &amp; Edit'!$AN$6),ROUND((E19)*0.1,0),IF(AND('Master Data'!$I$28='GA55 Check &amp; Edit'!$AP$6),ROUND((E19+F19)*0.1,0),'Master Data'!$H$43)),"")</f>
        <v>5230</v>
      </c>
      <c r="BJ23" s="329">
        <f t="shared" si="14"/>
        <v>52300</v>
      </c>
      <c r="BK23" s="336">
        <v>44593</v>
      </c>
      <c r="BL23" s="336">
        <f>IFERROR(IF('Master Data'!$E$36="","",IF('Master Data'!$F$40="","",IF(AND($AZ$17&gt;$AZ$9),"",DATE(YEAR(BL22),MONTH(BL22)+1,DAY(BL22))))),"")</f>
        <v>44593</v>
      </c>
      <c r="BM23" s="337">
        <f>IFERROR(IF('Master Data'!$E$36="","",IF('Master Data'!$F$40="","",IF(AND($AZ$17&gt;$AZ$9),"",DATE(YEAR(BM22),MONTH(BM22)+1,DAY(BM22))))),"")</f>
        <v>44593</v>
      </c>
      <c r="BN23" s="337">
        <f t="shared" si="6"/>
        <v>44593</v>
      </c>
      <c r="BO23" s="337">
        <f t="shared" si="7"/>
        <v>44593</v>
      </c>
      <c r="BP23" s="337"/>
      <c r="BQ23" s="337">
        <f t="shared" si="8"/>
        <v>44593</v>
      </c>
      <c r="BR23" s="337"/>
      <c r="BS23" s="338"/>
      <c r="BT23" s="338"/>
      <c r="BU23" s="338">
        <f>IF(AND('Master Data'!$I$38='GA55 Check &amp; Edit'!AX23),'Master Data'!$I$36,BU22)</f>
        <v>52300</v>
      </c>
      <c r="BV23" s="337"/>
      <c r="BX23" s="338">
        <f>IF(BB23="",0,BF23)</f>
        <v>0</v>
      </c>
    </row>
    <row r="24" spans="1:76" s="321" customFormat="1" ht="21" customHeight="1">
      <c r="A24" s="34">
        <f t="shared" si="0"/>
        <v>1</v>
      </c>
      <c r="B24" s="50">
        <f t="shared" si="3"/>
        <v>17</v>
      </c>
      <c r="C24" s="51">
        <f t="shared" si="5"/>
        <v>17</v>
      </c>
      <c r="D24" s="318" t="str">
        <f t="shared" si="1"/>
        <v>HRA Arrear</v>
      </c>
      <c r="E24" s="200" t="str">
        <f>IFERROR(IF(D24="","",IF(AND(BQ28=""),"",IF(AND('Master Data'!$I$28='GA55 Check &amp; Edit'!$AP$6),VLOOKUP(D24,ram,13,0),VLOOKUP(D24,ram,4,0)))),"")</f>
        <v/>
      </c>
      <c r="F24" s="201" t="str">
        <f>IFERROR(IF(D24="","",IF(D24=$AX$24,"",IF(AND(D24=$AX$25),$BC$25,IF(AND(D24=$AX$27),"",IF(AND(D24=$AX$28),"",IF(AND('Master Data'!$I$28='GA55 Check &amp; Edit'!$AP$5),VLOOKUP(D24,ram,7,0),"")))))),"")</f>
        <v/>
      </c>
      <c r="G24" s="201">
        <f>IFERROR(IF(D24="","",IF(D24=$AX$24,"",IF(AND(D24=$AX$25),"",IF(AND(D24=$AX$26),"",IF(AND(D24=$AX$27),"",IF(AND(D24=$AX$29),"",IF(AND('Master Data'!$I$28='GA55 Check &amp; Edit'!$AP$6),"",VLOOKUP(D24,ram,8,0)))))))),"")</f>
        <v>523</v>
      </c>
      <c r="H24" s="201" t="str">
        <f>IFERROR(IF(D24="","",IF(AND(E24=""),"",IF(OR(D24=$AX$24,D24=$AX$25,D24=$AX$26,D24=$AX$27,D24=$AX$28,D24=$AX$29),"",IF(AND('Master Data'!$I$28='GA55 Check &amp; Edit'!$AP$5),'Master Data'!$B$43,"")))),"")</f>
        <v/>
      </c>
      <c r="I24" s="201" t="str">
        <f>IFERROR(IF(D24="","",IF(AND(E24=""),"",IF(OR(D24=$AX$24,D24=$AX$25,D24=$AX$26,D24=$AX$27,D24=$AX$28,D24=$AX$29),"",IF(AND('Master Data'!$I$28='GA55 Check &amp; Edit'!$AP$5,'Master Data'!$E$28='GA55 Check &amp; Edit'!$AO$5),'Master Data'!$C$43,"0")))),"")</f>
        <v/>
      </c>
      <c r="J24" s="201" t="str">
        <f>IFERROR(IF(OR('Master Data'!$E$32=$AO$6,'Master Data'!$E$32=""),"",IF(D24="","",IF(AND(E24=""),"",IF(OR(D24=$AX$24,D24=$AX$25,D24=$AX$26,D24=$AX$27,D24=$AX$28,D24=$AX$29),"",IF(AND('Master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4" s="201" t="str">
        <f>IFERROR(IF(D24="","",IF(AND(E24=""),"",IF(OR(D24=$AX$24,D24=$AX$25,D24=$AX$26,D24=$AX$27,D24=$AX$28,D24=$AX$29),"",IF(AND('Master Data'!$I$28='GA55 Check &amp; Edit'!$AP$5),'Master Data'!$E$43,"")))),"")</f>
        <v/>
      </c>
      <c r="L24" s="201" t="str">
        <f>IFERROR(IF(D24="","",IF(AND(E24=""),"",IF(OR(D24=$AX$24,D24=$AX$25,D24=$AX$26,D24=$AX$27,D24=$AX$28,D24=$AX$29),"",IF(AND('Master Data'!$I$28='GA55 Check &amp; Edit'!$AP$6),"",'Master Data'!$F$43)))),"")</f>
        <v/>
      </c>
      <c r="M24" s="201"/>
      <c r="N24" s="201" t="str">
        <f>IFERROR(IF(AND(D24=""),"",IF(AND(D24=$AX$25,'Master Data'!$I$30='GA55 Check &amp; Edit'!$AN$6),ROUND((E24+F24)*0.1,0),IF(AND(D24=$AX$29,'Master Data'!$I$30='GA55 Check &amp; Edit'!$AN$6),ROUND((F24)*0.1,0),IF(AND(D24=$AX$26,'Master Data'!$I$30='GA55 Check &amp; Edit'!$AN$6),ROUND((F24)*0.1,0),IF(AND(D24=$AX$27,'Master Data'!$I$30='GA55 Check &amp; Edit'!$AN$6),ROUND((E24+F24)*0.1,0),IF(AND('Master Data'!$I$30='GA55 Check &amp; Edit'!$AN$5),"",IF(AND('Master Data'!$I$30='GA55 Check &amp; Edit'!$AN$6,'Master Data'!$I$28='GA55 Check &amp; Edit'!$AP$6),ROUND((E24)*0.1,0),ROUND((E24+F24)*0.1,0)))))))),"")</f>
        <v/>
      </c>
      <c r="O24" s="43">
        <f>IF(D24="","",IF('Master Data'!$H$18='GA55 Check &amp; Edit'!$AO$5,SUM(E24:N24),SUM(E24:M24)))</f>
        <v>523</v>
      </c>
      <c r="P24" s="319" t="str">
        <f>IFERROR(IF(OR('Master Data'!$I$28='GA55 Check &amp; Edit'!$AP$6,D24=""),"",IF(AND(D24=$AX$24),"",IF(AND(D24=$AX$25),"",IF(AND(D24=$AX$26),"",IF(AND(D24=$AX$27),"",IF(AND(D24=$AX$28),"",IF(AND(D24=$AX$29),"",IF(AND(E24=""),"",VLOOKUP(D24,ram,11,0))))))))),"")</f>
        <v/>
      </c>
      <c r="Q24" s="319" t="str">
        <f>IFERROR(IF(AND(D24="",E24=""),"",IF(AND(D24=$AX$25,'Master Data'!$I$30='GA55 Check &amp; Edit'!$AN$6),ROUND((E24+F24)*0.1,0),IF(AND(D24=$AX$29,'Master Data'!$I$30='GA55 Check &amp; Edit'!$AN$6),ROUND((F24)*0.1,0),IF(AND(D24=$AX$26,'Master Data'!$I$30='GA55 Check &amp; Edit'!$AN$6),ROUND((F24)*0.1,0),IF(AND(D24=$AX$27,'Master Data'!$I$30='GA55 Check &amp; Edit'!$AN$6),ROUND((E24+F24)*0.1,0),IF(AND('Master Data'!$I$30='GA55 Check &amp; Edit'!$AN$6,'Master Data'!$I$28='GA55 Check &amp; Edit'!$AP$6),ROUND((E24)*0.1,0),IF(AND('Master Data'!$I$30='GA55 Check &amp; Edit'!$AN$6,'Master Data'!$I$28='GA55 Check &amp; Edit'!$AP$5),ROUND((E24+F24)*0.1,0),IF(AND('Master Data'!$I$30='GA55 Check &amp; Edit'!$AN$5,'Master Data'!$I$28='GA55 Check &amp; Edit'!$AP$5),VLOOKUP(D24,ram,12,0))))))))),"")</f>
        <v/>
      </c>
      <c r="R24" s="319" t="str">
        <f>IFERROR(IF(OR('Master Data'!$I$28='GA55 Check &amp; Edit'!$AP$6,D24=""),"",IF(AND(D24=$AX$24),"",IF(AND(D24=$AX$25),"",IF(AND(D24=$AX$26),"",IF(AND(D24=$AX$27),"",IF(AND(D24=$AX$28),"",IF(AND(D24=$AX$29),"",IF(AND(D24=$AX$32),"",IF(AND(E24=""),"",'Master Data'!$I$43))))))))),"")</f>
        <v/>
      </c>
      <c r="S24" s="319" t="str">
        <f>IFERROR(IF(OR('Master Data'!$I$28='GA55 Check &amp; Edit'!$AP$6),"",IF(D24="","",IF(E24="","",IF(AND(D24=$AX$24),"",IF(AND(D24=$AX$25),"",IF(AND(D24=$AX$26),"",IF(AND(D24=$AX$27),"",IF(AND(D24=$AX$28),"",IF(AND(D24=$AX$29),"",VLOOKUP(D24,ram,10,0)))))))))),"")</f>
        <v/>
      </c>
      <c r="T24" s="319" t="str">
        <f>IFERROR(IF(OR('Master Data'!$I$28='GA55 Check &amp; Edit'!$AP$6,D24=""),"",IF(AND(D24=$AX$24),"",IF(AND(D24=$AX$25),"",IF(AND(D24=$AX$26),"",IF(AND(D24=$AX$27),"",IF(AND(D24=$AX$28),"",IF(AND(D24=$AX$29),"",IF(AND(E24=""),"",'Master Data'!$K$43)))))))),"")</f>
        <v/>
      </c>
      <c r="U24" s="319" t="str">
        <f>IFERROR(IF(OR('Master Data'!$I$28='GA55 Check &amp; Edit'!$AP$6,D24=""),"",IF(AND(D24=$AX$24),"",IF(AND(D24=$AX$25),"",IF(AND(D24=$AX$26),"",IF(AND(D24=$AX$27),"",IF(AND(D24=$AX$28),"",IF(AND(D24=$AX$29),"",IF(AND(E24=""),"",'Master Data'!$L$43)))))))),"")</f>
        <v/>
      </c>
      <c r="V24" s="319" t="str">
        <f>IFERROR(IF(OR('Master Data'!$I$28='GA55 Check &amp; Edit'!$AP$6,D24=""),"",IF(AND(D24=$AX$24,'Master Data'!$I$28='GA55 Check &amp; Edit'!$AP$5,'Master Data'!$I$30='GA55 Check &amp; Edit'!$AN$6),ROUND(M24*50%,0),IF(AND(D24=$AX$25),"",IF(AND(D24=$AX$26,'Master Data'!$I$28='GA55 Check &amp; Edit'!$AP$5,'Master Data'!$I$30='GA55 Check &amp; Edit'!$AN$6),SUM(F24-N24),IF(AND(D24=$AX$27),"",IF(AND(D24=$AX$28),"",IF(AND(D24=$AX$29,'Master Data'!$I$28='GA55 Check &amp; Edit'!$AP$5,'Master Data'!$I$30='GA55 Check &amp; Edit'!$AN$6),SUM(F24-N24),IF(AND(E24=""),"",'Master Data'!$M$43)))))))),"")</f>
        <v/>
      </c>
      <c r="W24" s="319" t="str">
        <f>IFERROR(IF(OR('Master Data'!$I$28='GA55 Check &amp; Edit'!$AP$6,D24=""),"",IF(AND(D24=$AX$24),"",IF(AND(D24=$AX$25),"",IF(AND(D24=$AX$26),"",IF(AND(D24=$AX$27),"",IF(AND(D24=$AX$28),"",IF(AND(D24=$AX$29),"",IF(AND(E24=""),"",'Master Data'!$O$43)))))))),"")</f>
        <v/>
      </c>
      <c r="X24" s="319" t="str">
        <f>IFERROR(IF(OR('Master Data'!$I$28='GA55 Check &amp; Edit'!$AP$6,D24=""),"",IF(AND(E24=""),"",IF(AND('GA55 Check &amp; Edit'!D24='GA55 Check &amp; Edit'!$AT$17,'Master Data'!$D$18="Gazetted"),500,IF(AND('GA55 Check &amp; Edit'!D24='GA55 Check &amp; Edit'!$AT$17,'Master Data'!$D$18="Non-Gazetted"),250,"")))),"")</f>
        <v/>
      </c>
      <c r="Y24" s="319" t="str">
        <f>IFERROR(IF(D24="","",IF(AND(E24=""),"",IF(AND(D24=$AX$24),"",IF(AND(D24=$AX$25),"",IF(AND(D24=$AX$26),"",IF(AND(D24=$AX$27),"",IF(AND(D24=$AX$28),"",IF(AND(D24=$AX$29),"",IF(OR('Master Data'!$I$28='GA55 Check &amp; Edit'!$AP$6,D24=""),"",$Y$7))))))))),"")</f>
        <v/>
      </c>
      <c r="Z24" s="319"/>
      <c r="AA24" s="319" t="str">
        <f>IFERROR(IF(OR('Master Data'!$I$28='GA55 Check &amp; Edit'!$AP$6,D24="",'Master Data'!$N$38=""),"",IF(AND(E24=""),"",IF('GA55 Check &amp; Edit'!D24='GA55 Check &amp; Edit'!$AT$9,'Master Data'!$N$38,""))),"")</f>
        <v/>
      </c>
      <c r="AB24" s="320">
        <f>IFERROR(IF(D24="","",IF(AND(O24=""),"",IF(AND(N24=""),SUM(P24:AA24),IF(AND('Master Data'!$H$18='GA55 Check &amp; Edit'!$AO$5,'Master Data'!$I$30='GA55 Check &amp; Edit'!$AN$6),SUM(P24:AA24)+N24,SUM(P24:AA24))))),"0")</f>
        <v>0</v>
      </c>
      <c r="AC24" s="35">
        <f t="shared" si="2"/>
        <v>523</v>
      </c>
      <c r="AD24" s="202"/>
      <c r="AE24" s="232"/>
      <c r="AF24" s="39"/>
      <c r="AS24" s="321">
        <f>MROUND('Master Data'!I36*1.03,100)</f>
        <v>0</v>
      </c>
      <c r="AU24" s="321" t="s">
        <v>109</v>
      </c>
      <c r="AW24" s="328"/>
      <c r="AX24" s="341" t="str">
        <f>BM24</f>
        <v>Bonus</v>
      </c>
      <c r="AY24" s="327"/>
      <c r="AZ24" s="327"/>
      <c r="BA24" s="327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B24" s="327"/>
      <c r="BC24" s="327"/>
      <c r="BD24" s="327" t="str">
        <f>IF(BC24="","",BC24)</f>
        <v/>
      </c>
      <c r="BE24" s="327"/>
      <c r="BF24" s="327"/>
      <c r="BG24" s="327"/>
      <c r="BH24" s="327"/>
      <c r="BI24" s="330">
        <f>IF(AND('Master Data'!$I$24='GA55 Check &amp; Edit'!$AO$6),"",ROUND(BA24*50%,0))</f>
        <v>3387</v>
      </c>
      <c r="BJ24" s="327"/>
      <c r="BK24" s="336">
        <v>44621</v>
      </c>
      <c r="BL24" s="336">
        <f>IFERROR(IF('Master Data'!$E$36="","",IF('Master Data'!$F$40="","",IF(AND($AZ$17&gt;$AZ$9),"",DATE(YEAR(BL23),MONTH(BL23)+1,DAY(BL23))))),"")</f>
        <v>44621</v>
      </c>
      <c r="BM24" s="321" t="s">
        <v>80</v>
      </c>
      <c r="BN24" s="337" t="str">
        <f t="shared" si="6"/>
        <v/>
      </c>
      <c r="BO24" s="337" t="str">
        <f t="shared" si="7"/>
        <v>Bonus</v>
      </c>
      <c r="BP24" s="337"/>
      <c r="BQ24" s="337" t="str">
        <f t="shared" si="8"/>
        <v/>
      </c>
      <c r="BR24" s="337"/>
      <c r="BS24" s="338"/>
      <c r="BT24" s="338"/>
      <c r="BU24" s="338"/>
      <c r="BV24" s="337"/>
      <c r="BX24" s="338">
        <f t="shared" si="10"/>
        <v>0</v>
      </c>
    </row>
    <row r="25" spans="1:76" s="321" customFormat="1" ht="21" customHeight="1">
      <c r="A25" s="34">
        <f t="shared" si="0"/>
        <v>0</v>
      </c>
      <c r="B25" s="50">
        <f t="shared" si="3"/>
        <v>18</v>
      </c>
      <c r="C25" s="51">
        <f t="shared" si="5"/>
        <v>18</v>
      </c>
      <c r="D25" s="318" t="str">
        <f>IFERROR(IF(BO29="","",BO29),"")</f>
        <v>PL Surrender Arrear</v>
      </c>
      <c r="E25" s="200" t="str">
        <f>IFERROR(IF(D25="","",IF(AND(BQ29=""),"",IF(AND('Master Data'!$I$28='GA55 Check &amp; Edit'!$AP$6),VLOOKUP(D25,ram,13,0),VLOOKUP(D25,ram,4,0)))),"")</f>
        <v/>
      </c>
      <c r="F25" s="201">
        <f>IFERROR(IF(D25="","",IF(D25=$AX$24,"",IF(AND(D25=$AX$25),$BC$25,IF(AND(D25=$AX$27),"",IF(AND(D25=$AX$28),"",IF(AND('Master Data'!$I$28='GA55 Check &amp; Edit'!$AP$5),VLOOKUP(D25,ram,7,0),"")))))),"")</f>
        <v>0</v>
      </c>
      <c r="G25" s="201" t="str">
        <f>IFERROR(IF(D25="","",IF(D25=$AX$24,"",IF(AND(D25=$AX$25),"",IF(AND(D25=$AX$26),"",IF(AND(D25=$AX$27),"",IF(AND(D25=$AX$29),"",IF(AND('Master Data'!$I$28='GA55 Check &amp; Edit'!$AP$6),"",VLOOKUP(D25,ram,8,0)))))))),"")</f>
        <v/>
      </c>
      <c r="H25" s="201" t="str">
        <f>IFERROR(IF(D25="","",IF(AND(E25=""),"",IF(OR(D25=$AX$24,D25=$AX$25,D25=$AX$26,D25=$AX$27,D25=$AX$28,D25=$AX$29),"",IF(AND('Master Data'!$I$28='GA55 Check &amp; Edit'!$AP$5),'Master Data'!$B$43,"")))),"")</f>
        <v/>
      </c>
      <c r="I25" s="201" t="str">
        <f>IFERROR(IF(D25="","",IF(AND(E25=""),"",IF(OR(D25=$AX$24,D25=$AX$25,D25=$AX$26,D25=$AX$27,D25=$AX$28,D25=$AX$29),"",IF(AND('Master Data'!$I$28='GA55 Check &amp; Edit'!$AP$5,'Master Data'!$E$28='GA55 Check &amp; Edit'!$AO$5),'Master Data'!$C$43,"0")))),"")</f>
        <v/>
      </c>
      <c r="J25" s="201" t="str">
        <f>IFERROR(IF(OR('Master Data'!$E$32=$AO$6,'Master Data'!$E$32=""),"",IF(D25="","",IF(AND(E25=""),"",IF(OR(D25=$AX$24,D25=$AX$25,D25=$AX$26,D25=$AX$27,D25=$AX$28,D25=$AX$29),"",IF(AND('Master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5" s="201" t="str">
        <f>IFERROR(IF(D25="","",IF(AND(E25=""),"",IF(OR(D25=$AX$24,D25=$AX$25,D25=$AX$26,D25=$AX$27,D25=$AX$28,D25=$AX$29),"",IF(AND('Master Data'!$I$28='GA55 Check &amp; Edit'!$AP$5),'Master Data'!$E$43,"")))),"")</f>
        <v/>
      </c>
      <c r="L25" s="201" t="str">
        <f>IFERROR(IF(D25="","",IF(AND(E25=""),"",IF(OR(D25=$AX$24,D25=$AX$25,D25=$AX$26,D25=$AX$27,D25=$AX$28,D25=$AX$29),"",IF(AND('Master Data'!$I$28='GA55 Check &amp; Edit'!$AP$6),"",'Master Data'!$F$43)))),"")</f>
        <v/>
      </c>
      <c r="M25" s="201"/>
      <c r="N25" s="201">
        <f>IFERROR(IF(AND(D25=""),"",IF(AND(D25=$AX$25,'Master Data'!$I$30='GA55 Check &amp; Edit'!$AN$6),ROUND((E25+F25)*0.1,0),IF(AND(D25=$AX$29,'Master Data'!$I$30='GA55 Check &amp; Edit'!$AN$6),ROUND((F25)*0.1,0),IF(AND(D25=$AX$26,'Master Data'!$I$30='GA55 Check &amp; Edit'!$AN$6),ROUND((F25)*0.1,0),IF(AND(D25=$AX$27,'Master Data'!$I$30='GA55 Check &amp; Edit'!$AN$6),ROUND((E25+F25)*0.1,0),IF(AND('Master Data'!$I$30='GA55 Check &amp; Edit'!$AN$5),"",IF(AND('Master Data'!$I$30='GA55 Check &amp; Edit'!$AN$6,'Master Data'!$I$28='GA55 Check &amp; Edit'!$AP$6),ROUND((E25)*0.1,0),ROUND((E25+F25)*0.1,0)))))))),"")</f>
        <v>0</v>
      </c>
      <c r="O25" s="43">
        <f>IF(D25="","",IF('Master Data'!$H$18='GA55 Check &amp; Edit'!$AO$5,SUM(E25:N25),SUM(E25:M25)))</f>
        <v>0</v>
      </c>
      <c r="P25" s="319" t="str">
        <f>IFERROR(IF(OR('Master Data'!$I$28='GA55 Check &amp; Edit'!$AP$6,D25=""),"",IF(AND(D25=$AX$24),"",IF(AND(D25=$AX$25),"",IF(AND(D25=$AX$26),"",IF(AND(D25=$AX$27),"",IF(AND(D25=$AX$28),"",IF(AND(D25=$AX$29),"",IF(AND(E25=""),"",VLOOKUP(D25,ram,11,0))))))))),"")</f>
        <v/>
      </c>
      <c r="Q25" s="319">
        <f>IFERROR(IF(AND(D25="",E25=""),"",IF(AND(D25=$AX$25,'Master Data'!$I$30='GA55 Check &amp; Edit'!$AN$6),ROUND((E25+F25)*0.1,0),IF(AND(D25=$AX$29,'Master Data'!$I$30='GA55 Check &amp; Edit'!$AN$6),ROUND((F25)*0.1,0),IF(AND(D25=$AX$26,'Master Data'!$I$30='GA55 Check &amp; Edit'!$AN$6),ROUND((F25)*0.1,0),IF(AND(D25=$AX$27,'Master Data'!$I$30='GA55 Check &amp; Edit'!$AN$6),ROUND((E25+F25)*0.1,0),IF(AND('Master Data'!$I$30='GA55 Check &amp; Edit'!$AN$6,'Master Data'!$I$28='GA55 Check &amp; Edit'!$AP$6),ROUND((E25)*0.1,0),IF(AND('Master Data'!$I$30='GA55 Check &amp; Edit'!$AN$6,'Master Data'!$I$28='GA55 Check &amp; Edit'!$AP$5),ROUND((E25+F25)*0.1,0),IF(AND('Master Data'!$I$30='GA55 Check &amp; Edit'!$AN$5,'Master Data'!$I$28='GA55 Check &amp; Edit'!$AP$5),VLOOKUP(D25,ram,12,0))))))))),"")</f>
        <v>0</v>
      </c>
      <c r="R25" s="319" t="str">
        <f>IFERROR(IF(OR('Master Data'!$I$28='GA55 Check &amp; Edit'!$AP$6,D25=""),"",IF(AND(D25=$AX$24),"",IF(AND(D25=$AX$25),"",IF(AND(D25=$AX$26),"",IF(AND(D25=$AX$27),"",IF(AND(D25=$AX$28),"",IF(AND(D25=$AX$29),"",IF(AND(D25=$AX$32),"",IF(AND(E25=""),"",'Master Data'!$I$43))))))))),"")</f>
        <v/>
      </c>
      <c r="S25" s="319" t="str">
        <f>IFERROR(IF(OR('Master Data'!$I$28='GA55 Check &amp; Edit'!$AP$6),"",IF(D25="","",IF(E25="","",IF(AND(D25=$AX$24),"",IF(AND(D25=$AX$25),"",IF(AND(D25=$AX$26),"",IF(AND(D25=$AX$27),"",IF(AND(D25=$AX$28),"",IF(AND(D25=$AX$29),"",VLOOKUP(D25,ram,10,0)))))))))),"")</f>
        <v/>
      </c>
      <c r="T25" s="319" t="str">
        <f>IFERROR(IF(OR('Master Data'!$I$28='GA55 Check &amp; Edit'!$AP$6,D25=""),"",IF(AND(D25=$AX$24),"",IF(AND(D25=$AX$25),"",IF(AND(D25=$AX$26),"",IF(AND(D25=$AX$27),"",IF(AND(D25=$AX$28),"",IF(AND(D25=$AX$29),"",IF(AND(E25=""),"",'Master Data'!$K$43)))))))),"")</f>
        <v/>
      </c>
      <c r="U25" s="319" t="str">
        <f>IFERROR(IF(OR('Master Data'!$I$28='GA55 Check &amp; Edit'!$AP$6,D25=""),"",IF(AND(D25=$AX$24),"",IF(AND(D25=$AX$25),"",IF(AND(D25=$AX$26),"",IF(AND(D25=$AX$27),"",IF(AND(D25=$AX$28),"",IF(AND(D25=$AX$29),"",IF(AND(E25=""),"",'Master Data'!$L$43)))))))),"")</f>
        <v/>
      </c>
      <c r="V25" s="319">
        <f>IFERROR(IF(OR('Master Data'!$I$28='GA55 Check &amp; Edit'!$AP$6,D25=""),"",IF(AND(D25=$AX$24,'Master Data'!$I$28='GA55 Check &amp; Edit'!$AP$5,'Master Data'!$I$30='GA55 Check &amp; Edit'!$AN$6),ROUND(M25*50%,0),IF(AND(D25=$AX$25),"",IF(AND(D25=$AX$26,'Master Data'!$I$28='GA55 Check &amp; Edit'!$AP$5,'Master Data'!$I$30='GA55 Check &amp; Edit'!$AN$6),SUM(F25-N25),IF(AND(D25=$AX$27),"",IF(AND(D25=$AX$28),"",IF(AND(D25=$AX$29,'Master Data'!$I$28='GA55 Check &amp; Edit'!$AP$5,'Master Data'!$I$30='GA55 Check &amp; Edit'!$AN$6),SUM(F25-N25),IF(AND(E25=""),"",'Master Data'!$M$43)))))))),"")</f>
        <v>0</v>
      </c>
      <c r="W25" s="319" t="str">
        <f>IFERROR(IF(OR('Master Data'!$I$28='GA55 Check &amp; Edit'!$AP$6,D25=""),"",IF(AND(D25=$AX$24),"",IF(AND(D25=$AX$25),"",IF(AND(D25=$AX$26),"",IF(AND(D25=$AX$27),"",IF(AND(D25=$AX$28),"",IF(AND(D25=$AX$29),"",IF(AND(E25=""),"",'Master Data'!$O$43)))))))),"")</f>
        <v/>
      </c>
      <c r="X25" s="319" t="str">
        <f>IFERROR(IF(OR('Master Data'!$I$28='GA55 Check &amp; Edit'!$AP$6,D25=""),"",IF(AND(E25=""),"",IF(AND('GA55 Check &amp; Edit'!D25='GA55 Check &amp; Edit'!$AT$17,'Master Data'!$D$18="Gazetted"),500,IF(AND('GA55 Check &amp; Edit'!D25='GA55 Check &amp; Edit'!$AT$17,'Master Data'!$D$18="Non-Gazetted"),250,"")))),"")</f>
        <v/>
      </c>
      <c r="Y25" s="319" t="str">
        <f>IFERROR(IF(D25="","",IF(AND(E25=""),"",IF(AND(D25=$AX$24),"",IF(AND(D25=$AX$25),"",IF(AND(D25=$AX$26),"",IF(AND(D25=$AX$27),"",IF(AND(D25=$AX$28),"",IF(AND(D25=$AX$29),"",IF(OR('Master Data'!$I$28='GA55 Check &amp; Edit'!$AP$6,D25=""),"",$Y$7))))))))),"")</f>
        <v/>
      </c>
      <c r="Z25" s="319"/>
      <c r="AA25" s="319" t="str">
        <f>IFERROR(IF(OR('Master Data'!$I$28='GA55 Check &amp; Edit'!$AP$6,D25="",'Master Data'!$N$38=""),"",IF(AND(E25=""),"",IF('GA55 Check &amp; Edit'!D25='GA55 Check &amp; Edit'!$AT$9,'Master Data'!$N$38,""))),"")</f>
        <v/>
      </c>
      <c r="AB25" s="320">
        <f>IFERROR(IF(D25="","",IF(AND(O25=""),"",IF(AND(N25=""),SUM(P25:AA25),IF(AND('Master Data'!$H$18='GA55 Check &amp; Edit'!$AO$5,'Master Data'!$I$30='GA55 Check &amp; Edit'!$AN$6),SUM(P25:AA25)+N25,SUM(P25:AA25))))),"0")</f>
        <v>0</v>
      </c>
      <c r="AC25" s="35">
        <f t="shared" si="2"/>
        <v>0</v>
      </c>
      <c r="AD25" s="202"/>
      <c r="AE25" s="232"/>
      <c r="AF25" s="39"/>
      <c r="AP25" s="337"/>
      <c r="AS25" s="321">
        <f>MROUND(AZ15*1.03,100)</f>
        <v>52300</v>
      </c>
      <c r="AU25" s="321" t="s">
        <v>110</v>
      </c>
      <c r="AW25" s="328"/>
      <c r="AX25" s="341" t="str">
        <f t="shared" ref="AX25:AX28" si="15">BM25</f>
        <v>PL Surrender</v>
      </c>
      <c r="AY25" s="327"/>
      <c r="AZ25" s="327"/>
      <c r="BA25" s="327">
        <f>IF('Master Data'!$I$28='GA55 Check &amp; Edit'!$AP$6,"",IF(OR('Master Data'!E22="NO",'Master Data'!E22=""),0,VLOOKUP('Master Data'!I22,AW12:BD29,5,0)/2))</f>
        <v>0</v>
      </c>
      <c r="BB25" s="327"/>
      <c r="BC25" s="327">
        <f>IF('Master Data'!$I$28='GA55 Check &amp; Edit'!$AP$6,"",IF(AND(BA25=""),"",IF(OR('Master Data'!I22='GA55 Check &amp; Edit'!AW12,'Master Data'!I22='GA55 Check &amp; Edit'!AW13,'Master Data'!I22='GA55 Check &amp; Edit'!AW14,'Master Data'!I22='GA55 Check &amp; Edit'!AW15),ROUND(17%*BA25,0),IF(OR('Master Data'!I22='GA55 Check &amp; Edit'!AW16,'Master Data'!I22='GA55 Check &amp; Edit'!AW17,'Master Data'!I22='GA55 Check &amp; Edit'!AW18),ROUND(28%*BA25,0),ROUND(31%*BA25,0)))))</f>
        <v>0</v>
      </c>
      <c r="BD25" s="327">
        <f>IF(BC25="","",BC25)</f>
        <v>0</v>
      </c>
      <c r="BE25" s="327"/>
      <c r="BF25" s="327"/>
      <c r="BG25" s="327"/>
      <c r="BH25" s="327"/>
      <c r="BI25" s="330"/>
      <c r="BJ25" s="327"/>
      <c r="BK25" s="336">
        <v>44652</v>
      </c>
      <c r="BL25" s="336">
        <f>IFERROR(IF('Master Data'!$E$36="","",IF('Master Data'!$F$40="","",IF(AND($AZ$17&gt;$AZ$9),"",DATE(YEAR(BL24),MONTH(BL24)+1,DAY(BL24))))),"")</f>
        <v>44652</v>
      </c>
      <c r="BM25" s="321" t="s">
        <v>114</v>
      </c>
      <c r="BN25" s="337" t="str">
        <f t="shared" si="6"/>
        <v/>
      </c>
      <c r="BO25" s="337" t="str">
        <f t="shared" si="7"/>
        <v>PL Surrender</v>
      </c>
      <c r="BP25" s="337"/>
      <c r="BQ25" s="337" t="str">
        <f t="shared" si="8"/>
        <v>PL Surrender</v>
      </c>
      <c r="BS25" s="338"/>
      <c r="BT25" s="338"/>
      <c r="BU25" s="338"/>
      <c r="BV25" s="337"/>
      <c r="BX25" s="338">
        <f t="shared" si="10"/>
        <v>0</v>
      </c>
    </row>
    <row r="26" spans="1:76" s="321" customFormat="1" ht="21" customHeight="1">
      <c r="A26" s="34">
        <f t="shared" si="0"/>
        <v>0</v>
      </c>
      <c r="B26" s="50">
        <f t="shared" si="3"/>
        <v>0</v>
      </c>
      <c r="C26" s="51" t="str">
        <f t="shared" si="5"/>
        <v/>
      </c>
      <c r="D26" s="318" t="str">
        <f t="shared" ref="D26:D28" si="16">IFERROR(IF(BO30="","",BO30),"")</f>
        <v/>
      </c>
      <c r="E26" s="200" t="str">
        <f>IFERROR(IF(D26="","",IF(AND(BQ30=""),"",IF(AND('Master Data'!$I$28='GA55 Check &amp; Edit'!$AP$6),VLOOKUP(D26,ram,13,0),VLOOKUP(D26,ram,4,0)))),"")</f>
        <v/>
      </c>
      <c r="F26" s="201" t="str">
        <f>IFERROR(IF(D26="","",IF(D26=$AX$24,"",IF(AND(D26=$AX$25),$BC$25,IF(AND(D26=$AX$27),"",IF(AND(D26=$AX$28),"",IF(AND('Master Data'!$I$28='GA55 Check &amp; Edit'!$AP$5),VLOOKUP(D26,ram,7,0),"")))))),"")</f>
        <v/>
      </c>
      <c r="G26" s="201" t="str">
        <f>IFERROR(IF(D26="","",IF(D26=$AX$24,"",IF(AND(D26=$AX$25),"",IF(AND(D26=$AX$26),"",IF(AND(D26=$AX$27),"",IF(AND(D26=$AX$29),"",IF(AND('Master Data'!$I$28='GA55 Check &amp; Edit'!$AP$6),"",VLOOKUP(D26,ram,8,0)))))))),"")</f>
        <v/>
      </c>
      <c r="H26" s="201" t="str">
        <f>IFERROR(IF(D26="","",IF(AND(E26=""),"",IF(OR(D26=$AX$24,D26=$AX$25,D26=$AX$26,D26=$AX$27,D26=$AX$28,D26=$AX$29),"",IF(AND('Master Data'!$I$28='GA55 Check &amp; Edit'!$AP$5),'Master Data'!$B$43,"")))),"")</f>
        <v/>
      </c>
      <c r="I26" s="201" t="str">
        <f>IFERROR(IF(D26="","",IF(AND(E26=""),"",IF(OR(D26=$AX$24,D26=$AX$25,D26=$AX$26,D26=$AX$27,D26=$AX$28,D26=$AX$29),"",IF(AND('Master Data'!$I$28='GA55 Check &amp; Edit'!$AP$5,'Master Data'!$E$28='GA55 Check &amp; Edit'!$AO$5),'Master Data'!$C$43,"0")))),"")</f>
        <v/>
      </c>
      <c r="J26" s="201" t="str">
        <f>IFERROR(IF(OR('Master Data'!$E$32=$AO$6,'Master Data'!$E$32=""),"",IF(D26="","",IF(AND(E26=""),"",IF(OR(D26=$AX$24,D26=$AX$25,D26=$AX$26,D26=$AX$27,D26=$AX$28,D26=$AX$29),"",IF(AND('Master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6" s="201" t="str">
        <f>IFERROR(IF(D26="","",IF(AND(E26=""),"",IF(OR(D26=$AX$24,D26=$AX$25,D26=$AX$26,D26=$AX$27,D26=$AX$28,D26=$AX$29),"",IF(AND('Master Data'!$I$28='GA55 Check &amp; Edit'!$AP$5),'Master Data'!$E$43,"")))),"")</f>
        <v/>
      </c>
      <c r="L26" s="201" t="str">
        <f>IFERROR(IF(D26="","",IF(AND(E26=""),"",IF(OR(D26=$AX$24,D26=$AX$25,D26=$AX$26,D26=$AX$27,D26=$AX$28,D26=$AX$29),"",IF(AND('Master Data'!$I$28='GA55 Check &amp; Edit'!$AP$6),"",'Master Data'!$F$43)))),"")</f>
        <v/>
      </c>
      <c r="M26" s="201"/>
      <c r="N26" s="201" t="str">
        <f>IFERROR(IF(AND(D26=""),"",IF(AND(D26=$AX$25,'Master Data'!$I$30='GA55 Check &amp; Edit'!$AN$6),ROUND((E26+F26)*0.1,0),IF(AND(D26=$AX$29,'Master Data'!$I$30='GA55 Check &amp; Edit'!$AN$6),ROUND((F26)*0.1,0),IF(AND(D26=$AX$26,'Master Data'!$I$30='GA55 Check &amp; Edit'!$AN$6),ROUND((F26)*0.1,0),IF(AND(D26=$AX$27,'Master Data'!$I$30='GA55 Check &amp; Edit'!$AN$6),ROUND((E26+F26)*0.1,0),IF(AND('Master Data'!$I$30='GA55 Check &amp; Edit'!$AN$5),"",IF(AND('Master Data'!$I$30='GA55 Check &amp; Edit'!$AN$6,'Master Data'!$I$28='GA55 Check &amp; Edit'!$AP$6),ROUND((E26)*0.1,0),ROUND((E26+F26)*0.1,0)))))))),"")</f>
        <v/>
      </c>
      <c r="O26" s="43" t="str">
        <f>IF(D26="","",IF('Master Data'!$H$18='GA55 Check &amp; Edit'!$AO$5,SUM(E26:N26),SUM(E26:M26)))</f>
        <v/>
      </c>
      <c r="P26" s="319" t="str">
        <f>IFERROR(IF(OR('Master Data'!$I$28='GA55 Check &amp; Edit'!$AP$6,D26=""),"",IF(AND(D26=$AX$24),"",IF(AND(D26=$AX$25),"",IF(AND(D26=$AX$26),"",IF(AND(D26=$AX$27),"",IF(AND(D26=$AX$28),"",IF(AND(D26=$AX$29),"",IF(AND(E26=""),"",VLOOKUP(D26,ram,11,0))))))))),"")</f>
        <v/>
      </c>
      <c r="Q26" s="319" t="str">
        <f>IFERROR(IF(AND(D26="",E26=""),"",IF(AND(D26=$AX$25,'Master Data'!$I$30='GA55 Check &amp; Edit'!$AN$6),ROUND((E26+F26)*0.1,0),IF(AND(D26=$AX$29,'Master Data'!$I$30='GA55 Check &amp; Edit'!$AN$6),ROUND((F26)*0.1,0),IF(AND(D26=$AX$26,'Master Data'!$I$30='GA55 Check &amp; Edit'!$AN$6),ROUND((F26)*0.1,0),IF(AND(D26=$AX$27,'Master Data'!$I$30='GA55 Check &amp; Edit'!$AN$6),ROUND((E26+F26)*0.1,0),IF(AND('Master Data'!$I$30='GA55 Check &amp; Edit'!$AN$6,'Master Data'!$I$28='GA55 Check &amp; Edit'!$AP$6),ROUND((E26)*0.1,0),IF(AND('Master Data'!$I$30='GA55 Check &amp; Edit'!$AN$6,'Master Data'!$I$28='GA55 Check &amp; Edit'!$AP$5),ROUND((E26+F26)*0.1,0),IF(AND('Master Data'!$I$30='GA55 Check &amp; Edit'!$AN$5,'Master Data'!$I$28='GA55 Check &amp; Edit'!$AP$5),VLOOKUP(D26,ram,12,0))))))))),"")</f>
        <v/>
      </c>
      <c r="R26" s="319" t="str">
        <f>IFERROR(IF(OR('Master Data'!$I$28='GA55 Check &amp; Edit'!$AP$6,D26=""),"",IF(AND(D26=$AX$24),"",IF(AND(D26=$AX$25),"",IF(AND(D26=$AX$26),"",IF(AND(D26=$AX$27),"",IF(AND(D26=$AX$28),"",IF(AND(D26=$AX$29),"",IF(AND(D26=$AX$32),"",IF(AND(E26=""),"",'Master Data'!$I$43))))))))),"")</f>
        <v/>
      </c>
      <c r="S26" s="319" t="str">
        <f>IFERROR(IF(OR('Master Data'!$I$28='GA55 Check &amp; Edit'!$AP$6),"",IF(D26="","",IF(E26="","",IF(AND(D26=$AX$24),"",IF(AND(D26=$AX$25),"",IF(AND(D26=$AX$26),"",IF(AND(D26=$AX$27),"",IF(AND(D26=$AX$28),"",IF(AND(D26=$AX$29),"",VLOOKUP(D26,ram,10,0)))))))))),"")</f>
        <v/>
      </c>
      <c r="T26" s="319" t="str">
        <f>IFERROR(IF(OR('Master Data'!$I$28='GA55 Check &amp; Edit'!$AP$6,D26=""),"",IF(AND(D26=$AX$24),"",IF(AND(D26=$AX$25),"",IF(AND(D26=$AX$26),"",IF(AND(D26=$AX$27),"",IF(AND(D26=$AX$28),"",IF(AND(D26=$AX$29),"",IF(AND(E26=""),"",'Master Data'!$K$43)))))))),"")</f>
        <v/>
      </c>
      <c r="U26" s="319" t="str">
        <f>IFERROR(IF(OR('Master Data'!$I$28='GA55 Check &amp; Edit'!$AP$6,D26=""),"",IF(AND(D26=$AX$24),"",IF(AND(D26=$AX$25),"",IF(AND(D26=$AX$26),"",IF(AND(D26=$AX$27),"",IF(AND(D26=$AX$28),"",IF(AND(D26=$AX$29),"",IF(AND(E26=""),"",'Master Data'!$L$43)))))))),"")</f>
        <v/>
      </c>
      <c r="V26" s="319" t="str">
        <f>IFERROR(IF(OR('Master Data'!$I$28='GA55 Check &amp; Edit'!$AP$6,D26=""),"",IF(AND(D26=$AX$24,'Master Data'!$I$28='GA55 Check &amp; Edit'!$AP$5,'Master Data'!$I$30='GA55 Check &amp; Edit'!$AN$6),ROUND(M26*50%,0),IF(AND(D26=$AX$25),"",IF(AND(D26=$AX$26,'Master Data'!$I$28='GA55 Check &amp; Edit'!$AP$5,'Master Data'!$I$30='GA55 Check &amp; Edit'!$AN$6),SUM(F26-N26),IF(AND(D26=$AX$27),"",IF(AND(D26=$AX$28),"",IF(AND(D26=$AX$29,'Master Data'!$I$28='GA55 Check &amp; Edit'!$AP$5,'Master Data'!$I$30='GA55 Check &amp; Edit'!$AN$6),SUM(F26-N26),IF(AND(E26=""),"",'Master Data'!$M$43)))))))),"")</f>
        <v/>
      </c>
      <c r="W26" s="319" t="str">
        <f>IFERROR(IF(OR('Master Data'!$I$28='GA55 Check &amp; Edit'!$AP$6,D26=""),"",IF(AND(D26=$AX$24),"",IF(AND(D26=$AX$25),"",IF(AND(D26=$AX$26),"",IF(AND(D26=$AX$27),"",IF(AND(D26=$AX$28),"",IF(AND(D26=$AX$29),"",IF(AND(E26=""),"",'Master Data'!$O$43)))))))),"")</f>
        <v/>
      </c>
      <c r="X26" s="319" t="str">
        <f>IFERROR(IF(OR('Master Data'!$I$28='GA55 Check &amp; Edit'!$AP$6,D26=""),"",IF(AND(E26=""),"",IF(AND('GA55 Check &amp; Edit'!D26='GA55 Check &amp; Edit'!$AT$17,'Master Data'!$D$18="Gazetted"),500,IF(AND('GA55 Check &amp; Edit'!D26='GA55 Check &amp; Edit'!$AT$17,'Master Data'!$D$18="Non-Gazetted"),250,"")))),"")</f>
        <v/>
      </c>
      <c r="Y26" s="319" t="str">
        <f>IFERROR(IF(D26="","",IF(AND(E26=""),"",IF(AND(D26=$AX$24),"",IF(AND(D26=$AX$25),"",IF(AND(D26=$AX$26),"",IF(AND(D26=$AX$27),"",IF(AND(D26=$AX$28),"",IF(AND(D26=$AX$29),"",IF(OR('Master Data'!$I$28='GA55 Check &amp; Edit'!$AP$6,D26=""),"",$Y$7))))))))),"")</f>
        <v/>
      </c>
      <c r="Z26" s="319"/>
      <c r="AA26" s="319" t="str">
        <f>IFERROR(IF(OR('Master Data'!$I$28='GA55 Check &amp; Edit'!$AP$6,D26="",'Master Data'!$N$38=""),"",IF(AND(E26=""),"",IF('GA55 Check &amp; Edit'!D26='GA55 Check &amp; Edit'!$AT$9,'Master Data'!$N$38,""))),"")</f>
        <v/>
      </c>
      <c r="AB26" s="320" t="str">
        <f>IFERROR(IF(D26="","",IF(AND(O26=""),"",IF(AND(N26=""),SUM(P26:AA26),IF(AND('Master Data'!$H$18='GA55 Check &amp; Edit'!$AO$5,'Master Data'!$I$30='GA55 Check &amp; Edit'!$AN$6),SUM(P26:AA26)+N26,SUM(P26:AA26))))),"0")</f>
        <v/>
      </c>
      <c r="AC26" s="35" t="str">
        <f t="shared" si="2"/>
        <v/>
      </c>
      <c r="AD26" s="202"/>
      <c r="AE26" s="232"/>
      <c r="AF26" s="39"/>
      <c r="AP26" s="337"/>
      <c r="AU26" s="321" t="s">
        <v>111</v>
      </c>
      <c r="AW26" s="328"/>
      <c r="AX26" s="341" t="str">
        <f t="shared" si="15"/>
        <v xml:space="preserve">DA Arrear </v>
      </c>
      <c r="AY26" s="327"/>
      <c r="AZ26" s="327"/>
      <c r="BA26" s="327"/>
      <c r="BB26" s="327"/>
      <c r="BC26" s="327">
        <f>(ROUND((BA16*31%),0)-ROUND((BA16*28%),0))*3</f>
        <v>4707</v>
      </c>
      <c r="BD26" s="327">
        <f>IF(BC26="","",BC26)</f>
        <v>4707</v>
      </c>
      <c r="BE26" s="327"/>
      <c r="BF26" s="327"/>
      <c r="BG26" s="327"/>
      <c r="BH26" s="327"/>
      <c r="BI26" s="330">
        <f>BD26</f>
        <v>4707</v>
      </c>
      <c r="BJ26" s="327"/>
      <c r="BK26" s="336">
        <v>44682</v>
      </c>
      <c r="BL26" s="336">
        <f>IFERROR(IF('Master Data'!$E$36="","",IF('Master Data'!$F$40="","",IF(AND($AZ$17&gt;$AZ$9),"",DATE(YEAR(BL25),MONTH(BL25)+1,DAY(BL25))))),"")</f>
        <v>44682</v>
      </c>
      <c r="BM26" s="321" t="s">
        <v>469</v>
      </c>
      <c r="BN26" s="337" t="str">
        <f t="shared" si="6"/>
        <v/>
      </c>
      <c r="BO26" s="337" t="str">
        <f t="shared" si="7"/>
        <v xml:space="preserve">DA Arrear </v>
      </c>
      <c r="BP26" s="337"/>
      <c r="BQ26" s="337" t="str">
        <f t="shared" si="8"/>
        <v/>
      </c>
      <c r="BS26" s="338"/>
      <c r="BT26" s="337"/>
      <c r="BU26" s="338"/>
      <c r="BV26" s="337"/>
      <c r="BX26" s="338">
        <f t="shared" si="10"/>
        <v>0</v>
      </c>
    </row>
    <row r="27" spans="1:76" s="321" customFormat="1" ht="21" customHeight="1">
      <c r="A27" s="34">
        <f t="shared" si="0"/>
        <v>0</v>
      </c>
      <c r="B27" s="50">
        <f t="shared" si="3"/>
        <v>0</v>
      </c>
      <c r="C27" s="51" t="str">
        <f t="shared" si="5"/>
        <v/>
      </c>
      <c r="D27" s="318" t="str">
        <f t="shared" si="16"/>
        <v/>
      </c>
      <c r="E27" s="200" t="str">
        <f>IFERROR(IF(D27="","",IF(AND(BQ31=""),"",IF(AND('Master Data'!$I$28='GA55 Check &amp; Edit'!$AP$6),VLOOKUP(D27,ram,13,0),VLOOKUP(D27,ram,4,0)))),"")</f>
        <v/>
      </c>
      <c r="F27" s="201" t="str">
        <f>IFERROR(IF(D27="","",IF(D27=$AX$24,"",IF(AND(D27=$AX$25),$BC$25,IF(AND(D27=$AX$27),"",IF(AND(D27=$AX$28),"",IF(AND('Master Data'!$I$28='GA55 Check &amp; Edit'!$AP$5),VLOOKUP(D27,ram,7,0),"")))))),"")</f>
        <v/>
      </c>
      <c r="G27" s="201" t="str">
        <f>IFERROR(IF(D27="","",IF(D27=$AX$24,"",IF(AND(D27=$AX$25),"",IF(AND(D27=$AX$26),"",IF(AND(D27=$AX$27),"",IF(AND(D27=$AX$29),"",IF(AND('Master Data'!$I$28='GA55 Check &amp; Edit'!$AP$6),"",VLOOKUP(D27,ram,8,0)))))))),"")</f>
        <v/>
      </c>
      <c r="H27" s="201" t="str">
        <f>IFERROR(IF(D27="","",IF(AND(E27=""),"",IF(OR(D27=$AX$24,D27=$AX$25,D27=$AX$26,D27=$AX$27,D27=$AX$28,D27=$AX$29),"",IF(AND('Master Data'!$I$28='GA55 Check &amp; Edit'!$AP$5),'Master Data'!$B$43,"")))),"")</f>
        <v/>
      </c>
      <c r="I27" s="201" t="str">
        <f>IFERROR(IF(D27="","",IF(AND(E27=""),"",IF(OR(D27=$AX$24,D27=$AX$25,D27=$AX$26,D27=$AX$27,D27=$AX$28,D27=$AX$29),"",IF(AND('Master Data'!$I$28='GA55 Check &amp; Edit'!$AP$5,'Master Data'!$E$28='GA55 Check &amp; Edit'!$AO$5),'Master Data'!$C$43,"0")))),"")</f>
        <v/>
      </c>
      <c r="J27" s="201" t="str">
        <f>IFERROR(IF(OR('Master Data'!$E$32=$AO$6,'Master Data'!$E$32=""),"",IF(D27="","",IF(AND(E27=""),"",IF(OR(D27=$AX$24,D27=$AX$25,D27=$AX$26,D27=$AX$27,D27=$AX$28,D27=$AX$29),"",IF(AND('Master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7" s="201" t="str">
        <f>IFERROR(IF(D27="","",IF(AND(E27=""),"",IF(OR(D27=$AX$24,D27=$AX$25,D27=$AX$26,D27=$AX$27,D27=$AX$28,D27=$AX$29),"",IF(AND('Master Data'!$I$28='GA55 Check &amp; Edit'!$AP$5),'Master Data'!$E$43,"")))),"")</f>
        <v/>
      </c>
      <c r="L27" s="201" t="str">
        <f>IFERROR(IF(D27="","",IF(AND(E27=""),"",IF(OR(D27=$AX$24,D27=$AX$25,D27=$AX$26,D27=$AX$27,D27=$AX$28,D27=$AX$29),"",IF(AND('Master Data'!$I$28='GA55 Check &amp; Edit'!$AP$6),"",'Master Data'!$F$43)))),"")</f>
        <v/>
      </c>
      <c r="M27" s="201"/>
      <c r="N27" s="201" t="str">
        <f>IFERROR(IF(AND(D27=""),"",IF(AND(D27=$AX$25,'Master Data'!$I$30='GA55 Check &amp; Edit'!$AN$6),ROUND((E27+F27)*0.1,0),IF(AND(D27=$AX$29,'Master Data'!$I$30='GA55 Check &amp; Edit'!$AN$6),ROUND((F27)*0.1,0),IF(AND(D27=$AX$26,'Master Data'!$I$30='GA55 Check &amp; Edit'!$AN$6),ROUND((F27)*0.1,0),IF(AND(D27=$AX$27,'Master Data'!$I$30='GA55 Check &amp; Edit'!$AN$6),ROUND((E27+F27)*0.1,0),IF(AND('Master Data'!$I$30='GA55 Check &amp; Edit'!$AN$5),"",IF(AND('Master Data'!$I$30='GA55 Check &amp; Edit'!$AN$6,'Master Data'!$I$28='GA55 Check &amp; Edit'!$AP$6),ROUND((E27)*0.1,0),ROUND((E27+F27)*0.1,0)))))))),"")</f>
        <v/>
      </c>
      <c r="O27" s="43" t="str">
        <f>IF(D27="","",IF('Master Data'!$H$18='GA55 Check &amp; Edit'!$AO$5,SUM(E27:N27),SUM(E27:M27)))</f>
        <v/>
      </c>
      <c r="P27" s="319" t="str">
        <f>IFERROR(IF(OR('Master Data'!$I$28='GA55 Check &amp; Edit'!$AP$6,D27=""),"",IF(AND(D27=$AX$24),"",IF(AND(D27=$AX$25),"",IF(AND(D27=$AX$26),"",IF(AND(D27=$AX$27),"",IF(AND(D27=$AX$28),"",IF(AND(D27=$AX$29),"",IF(AND(E27=""),"",VLOOKUP(D27,ram,11,0))))))))),"")</f>
        <v/>
      </c>
      <c r="Q27" s="319" t="str">
        <f>IFERROR(IF(AND(D27="",E27=""),"",IF(AND(D27=$AX$25,'Master Data'!$I$30='GA55 Check &amp; Edit'!$AN$6),ROUND((E27+F27)*0.1,0),IF(AND(D27=$AX$29,'Master Data'!$I$30='GA55 Check &amp; Edit'!$AN$6),ROUND((F27)*0.1,0),IF(AND(D27=$AX$26,'Master Data'!$I$30='GA55 Check &amp; Edit'!$AN$6),ROUND((F27)*0.1,0),IF(AND(D27=$AX$27,'Master Data'!$I$30='GA55 Check &amp; Edit'!$AN$6),ROUND((E27+F27)*0.1,0),IF(AND('Master Data'!$I$30='GA55 Check &amp; Edit'!$AN$6,'Master Data'!$I$28='GA55 Check &amp; Edit'!$AP$6),ROUND((E27)*0.1,0),IF(AND('Master Data'!$I$30='GA55 Check &amp; Edit'!$AN$6,'Master Data'!$I$28='GA55 Check &amp; Edit'!$AP$5),ROUND((E27+F27)*0.1,0),IF(AND('Master Data'!$I$30='GA55 Check &amp; Edit'!$AN$5,'Master Data'!$I$28='GA55 Check &amp; Edit'!$AP$5),VLOOKUP(D27,ram,12,0))))))))),"")</f>
        <v/>
      </c>
      <c r="R27" s="319" t="str">
        <f>IFERROR(IF(OR('Master Data'!$I$28='GA55 Check &amp; Edit'!$AP$6,D27=""),"",IF(AND(D27=$AX$24),"",IF(AND(D27=$AX$25),"",IF(AND(D27=$AX$26),"",IF(AND(D27=$AX$27),"",IF(AND(D27=$AX$28),"",IF(AND(D27=$AX$29),"",IF(AND(D27=$AX$32),"",IF(AND(E27=""),"",'Master Data'!$I$43))))))))),"")</f>
        <v/>
      </c>
      <c r="S27" s="319" t="str">
        <f>IFERROR(IF(OR('Master Data'!$I$28='GA55 Check &amp; Edit'!$AP$6),"",IF(D27="","",IF(E27="","",IF(AND(D27=$AX$24),"",IF(AND(D27=$AX$25),"",IF(AND(D27=$AX$26),"",IF(AND(D27=$AX$27),"",IF(AND(D27=$AX$28),"",IF(AND(D27=$AX$29),"",VLOOKUP(D27,ram,10,0)))))))))),"")</f>
        <v/>
      </c>
      <c r="T27" s="319" t="str">
        <f>IFERROR(IF(OR('Master Data'!$I$28='GA55 Check &amp; Edit'!$AP$6,D27=""),"",IF(AND(D27=$AX$24),"",IF(AND(D27=$AX$25),"",IF(AND(D27=$AX$26),"",IF(AND(D27=$AX$27),"",IF(AND(D27=$AX$28),"",IF(AND(D27=$AX$29),"",IF(AND(E27=""),"",'Master Data'!$K$43)))))))),"")</f>
        <v/>
      </c>
      <c r="U27" s="319" t="str">
        <f>IFERROR(IF(OR('Master Data'!$I$28='GA55 Check &amp; Edit'!$AP$6,D27=""),"",IF(AND(D27=$AX$24),"",IF(AND(D27=$AX$25),"",IF(AND(D27=$AX$26),"",IF(AND(D27=$AX$27),"",IF(AND(D27=$AX$28),"",IF(AND(D27=$AX$29),"",IF(AND(E27=""),"",'Master Data'!$L$43)))))))),"")</f>
        <v/>
      </c>
      <c r="V27" s="319" t="str">
        <f>IFERROR(IF(OR('Master Data'!$I$28='GA55 Check &amp; Edit'!$AP$6,D27=""),"",IF(AND(D27=$AX$24,'Master Data'!$I$28='GA55 Check &amp; Edit'!$AP$5,'Master Data'!$I$30='GA55 Check &amp; Edit'!$AN$6),ROUND(M27*50%,0),IF(AND(D27=$AX$25),"",IF(AND(D27=$AX$26,'Master Data'!$I$28='GA55 Check &amp; Edit'!$AP$5,'Master Data'!$I$30='GA55 Check &amp; Edit'!$AN$6),SUM(F27-N27),IF(AND(D27=$AX$27),"",IF(AND(D27=$AX$28),"",IF(AND(D27=$AX$29,'Master Data'!$I$28='GA55 Check &amp; Edit'!$AP$5,'Master Data'!$I$30='GA55 Check &amp; Edit'!$AN$6),SUM(F27-N27),IF(AND(E27=""),"",'Master Data'!$M$43)))))))),"")</f>
        <v/>
      </c>
      <c r="W27" s="319" t="str">
        <f>IFERROR(IF(OR('Master Data'!$I$28='GA55 Check &amp; Edit'!$AP$6,D27=""),"",IF(AND(D27=$AX$24),"",IF(AND(D27=$AX$25),"",IF(AND(D27=$AX$26),"",IF(AND(D27=$AX$27),"",IF(AND(D27=$AX$28),"",IF(AND(D27=$AX$29),"",IF(AND(E27=""),"",'Master Data'!$O$43)))))))),"")</f>
        <v/>
      </c>
      <c r="X27" s="319" t="str">
        <f>IFERROR(IF(OR('Master Data'!$I$28='GA55 Check &amp; Edit'!$AP$6,D27=""),"",IF(AND(E27=""),"",IF(AND('GA55 Check &amp; Edit'!D27='GA55 Check &amp; Edit'!$AT$17,'Master Data'!$D$18="Gazetted"),500,IF(AND('GA55 Check &amp; Edit'!D27='GA55 Check &amp; Edit'!$AT$17,'Master Data'!$D$18="Non-Gazetted"),250,"")))),"")</f>
        <v/>
      </c>
      <c r="Y27" s="319" t="str">
        <f>IFERROR(IF(D27="","",IF(AND(E27=""),"",IF(AND(D27=$AX$24),"",IF(AND(D27=$AX$25),"",IF(AND(D27=$AX$26),"",IF(AND(D27=$AX$27),"",IF(AND(D27=$AX$28),"",IF(AND(D27=$AX$29),"",IF(OR('Master Data'!$I$28='GA55 Check &amp; Edit'!$AP$6,D27=""),"",$Y$7))))))))),"")</f>
        <v/>
      </c>
      <c r="Z27" s="319"/>
      <c r="AA27" s="319" t="str">
        <f>IFERROR(IF(OR('Master Data'!$I$28='GA55 Check &amp; Edit'!$AP$6,D27="",'Master Data'!$N$38=""),"",IF(AND(E27=""),"",IF('GA55 Check &amp; Edit'!D27='GA55 Check &amp; Edit'!$AT$9,'Master Data'!$N$38,""))),"")</f>
        <v/>
      </c>
      <c r="AB27" s="320" t="str">
        <f>IFERROR(IF(D27="","",IF(AND(O27=""),"",IF(AND(N27=""),SUM(P27:AA27),IF(AND('Master Data'!$H$18='GA55 Check &amp; Edit'!$AO$5,'Master Data'!$I$30='GA55 Check &amp; Edit'!$AN$6),SUM(P27:AA27)+N27,SUM(P27:AA27))))),"0")</f>
        <v/>
      </c>
      <c r="AC27" s="35" t="str">
        <f t="shared" si="2"/>
        <v/>
      </c>
      <c r="AD27" s="202"/>
      <c r="AE27" s="233"/>
      <c r="AF27" s="39"/>
      <c r="AU27" s="321" t="s">
        <v>112</v>
      </c>
      <c r="AW27" s="328"/>
      <c r="AX27" s="341" t="str">
        <f t="shared" si="15"/>
        <v>Fixation arear</v>
      </c>
      <c r="AY27" s="327"/>
      <c r="AZ27" s="327"/>
      <c r="BA27" s="327"/>
      <c r="BB27" s="327"/>
      <c r="BC27" s="327"/>
      <c r="BD27" s="327" t="str">
        <f>IF(BC27="","",BC27)</f>
        <v/>
      </c>
      <c r="BE27" s="327"/>
      <c r="BF27" s="327"/>
      <c r="BG27" s="327"/>
      <c r="BH27" s="327"/>
      <c r="BI27" s="330"/>
      <c r="BJ27" s="327"/>
      <c r="BK27" s="336">
        <v>44713</v>
      </c>
      <c r="BL27" s="336">
        <f>IFERROR(IF('Master Data'!$E$36="","",IF('Master Data'!$F$40="","",IF(AND($AZ$17&gt;$AZ$9),"",DATE(YEAR(BL26),MONTH(BL26)+1,DAY(BL26))))),"")</f>
        <v>44713</v>
      </c>
      <c r="BM27" s="321" t="s">
        <v>470</v>
      </c>
      <c r="BN27" s="337" t="str">
        <f t="shared" si="6"/>
        <v/>
      </c>
      <c r="BO27" s="337" t="str">
        <f t="shared" si="7"/>
        <v>Fixation arear</v>
      </c>
      <c r="BP27" s="337"/>
      <c r="BQ27" s="337" t="str">
        <f t="shared" si="8"/>
        <v/>
      </c>
      <c r="BS27" s="338"/>
      <c r="BU27" s="338"/>
      <c r="BV27" s="337"/>
      <c r="BX27" s="338">
        <f t="shared" si="10"/>
        <v>0</v>
      </c>
    </row>
    <row r="28" spans="1:76" s="321" customFormat="1" ht="21" customHeight="1" thickBot="1">
      <c r="A28" s="34">
        <f t="shared" si="0"/>
        <v>0</v>
      </c>
      <c r="B28" s="50">
        <f t="shared" si="3"/>
        <v>0</v>
      </c>
      <c r="C28" s="52" t="str">
        <f t="shared" si="5"/>
        <v/>
      </c>
      <c r="D28" s="318" t="str">
        <f t="shared" si="16"/>
        <v/>
      </c>
      <c r="E28" s="200" t="str">
        <f>IFERROR(IF(D28="","",IF(AND(BQ32=""),"",IF(AND('Master Data'!$I$28='GA55 Check &amp; Edit'!$AP$6),VLOOKUP(D28,ram,13,0),VLOOKUP(D28,ram,4,0)))),"")</f>
        <v/>
      </c>
      <c r="F28" s="201" t="str">
        <f>IFERROR(IF(D28="","",IF(D28=$AX$24,"",IF(AND(D28=$AX$25),$BC$25,IF(AND(D28=$AX$27),"",IF(AND(D28=$AX$28),"",IF(AND('Master Data'!$I$28='GA55 Check &amp; Edit'!$AP$5),VLOOKUP(D28,ram,7,0),"")))))),"")</f>
        <v/>
      </c>
      <c r="G28" s="201" t="str">
        <f>IFERROR(IF(D28="","",IF(D28=$AX$24,"",IF(AND(D28=$AX$25),"",IF(AND(D28=$AX$26),"",IF(AND(D28=$AX$27),"",IF(AND(D28=$AX$29),"",IF(AND('Master Data'!$I$28='GA55 Check &amp; Edit'!$AP$6),"",VLOOKUP(D28,ram,8,0)))))))),"")</f>
        <v/>
      </c>
      <c r="H28" s="201" t="str">
        <f>IFERROR(IF(D28="","",IF(AND(E28=""),"",IF(OR(D28=$AX$24,D28=$AX$25,D28=$AX$26,D28=$AX$27,D28=$AX$28,D28=$AX$29),"",IF(AND('Master Data'!$I$28='GA55 Check &amp; Edit'!$AP$5),'Master Data'!$B$43,"")))),"")</f>
        <v/>
      </c>
      <c r="I28" s="201" t="str">
        <f>IFERROR(IF(D28="","",IF(AND(E28=""),"",IF(OR(D28=$AX$24,D28=$AX$25,D28=$AX$26,D28=$AX$27,D28=$AX$28,D28=$AX$29),"",IF(AND('Master Data'!$I$28='GA55 Check &amp; Edit'!$AP$5,'Master Data'!$E$28='GA55 Check &amp; Edit'!$AO$5),'Master Data'!$C$43,"0")))),"")</f>
        <v/>
      </c>
      <c r="J28" s="201" t="str">
        <f>IFERROR(IF(OR('Master Data'!$E$32=$AO$6,'Master Data'!$E$32=""),"",IF(D28="","",IF(AND(E28=""),"",IF(OR(D28=$AX$24,D28=$AX$25,D28=$AX$26,D28=$AX$27,D28=$AX$28,D28=$AX$29),"",IF(AND('Master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8" s="201" t="str">
        <f>IFERROR(IF(D28="","",IF(AND(E28=""),"",IF(OR(D28=$AX$24,D28=$AX$25,D28=$AX$26,D28=$AX$27,D28=$AX$28,D28=$AX$29),"",IF(AND('Master Data'!$I$28='GA55 Check &amp; Edit'!$AP$5),'Master Data'!$E$43,"")))),"")</f>
        <v/>
      </c>
      <c r="L28" s="201" t="str">
        <f>IFERROR(IF(D28="","",IF(AND(E28=""),"",IF(OR(D28=$AX$24,D28=$AX$25,D28=$AX$26,D28=$AX$27,D28=$AX$28,D28=$AX$29),"",IF(AND('Master Data'!$I$28='GA55 Check &amp; Edit'!$AP$6),"",'Master Data'!$F$43)))),"")</f>
        <v/>
      </c>
      <c r="M28" s="201"/>
      <c r="N28" s="201" t="str">
        <f>IFERROR(IF(AND(D28=""),"",IF(AND(D28=$AX$25,'Master Data'!$I$30='GA55 Check &amp; Edit'!$AN$6),ROUND((E28+F28)*0.1,0),IF(AND(D28=$AX$29,'Master Data'!$I$30='GA55 Check &amp; Edit'!$AN$6),ROUND((F28)*0.1,0),IF(AND(D28=$AX$26,'Master Data'!$I$30='GA55 Check &amp; Edit'!$AN$6),ROUND((F28)*0.1,0),IF(AND(D28=$AX$27,'Master Data'!$I$30='GA55 Check &amp; Edit'!$AN$6),ROUND((E28+F28)*0.1,0),IF(AND('Master Data'!$I$30='GA55 Check &amp; Edit'!$AN$5),"",IF(AND('Master Data'!$I$30='GA55 Check &amp; Edit'!$AN$6,'Master Data'!$I$28='GA55 Check &amp; Edit'!$AP$6),ROUND((E28)*0.1,0),ROUND((E28+F28)*0.1,0)))))))),"")</f>
        <v/>
      </c>
      <c r="O28" s="43" t="str">
        <f>IF(D28="","",IF('Master Data'!$H$18='GA55 Check &amp; Edit'!$AO$5,SUM(E28:N28),SUM(E28:M28)))</f>
        <v/>
      </c>
      <c r="P28" s="319" t="str">
        <f>IFERROR(IF(OR('Master Data'!$I$28='GA55 Check &amp; Edit'!$AP$6,D28=""),"",IF(AND(D28=$AX$24),"",IF(AND(D28=$AX$25),"",IF(AND(D28=$AX$26),"",IF(AND(D28=$AX$27),"",IF(AND(D28=$AX$28),"",IF(AND(D28=$AX$29),"",IF(AND(E28=""),"",VLOOKUP(D28,ram,11,0))))))))),"")</f>
        <v/>
      </c>
      <c r="Q28" s="319" t="str">
        <f>IFERROR(IF(AND(D28="",E28=""),"",IF(AND(D28=$AX$25,'Master Data'!$I$30='GA55 Check &amp; Edit'!$AN$6),ROUND((E28+F28)*0.1,0),IF(AND(D28=$AX$29,'Master Data'!$I$30='GA55 Check &amp; Edit'!$AN$6),ROUND((F28)*0.1,0),IF(AND(D28=$AX$26,'Master Data'!$I$30='GA55 Check &amp; Edit'!$AN$6),ROUND((F28)*0.1,0),IF(AND(D28=$AX$27,'Master Data'!$I$30='GA55 Check &amp; Edit'!$AN$6),ROUND((E28+F28)*0.1,0),IF(AND('Master Data'!$I$30='GA55 Check &amp; Edit'!$AN$6,'Master Data'!$I$28='GA55 Check &amp; Edit'!$AP$6),ROUND((E28)*0.1,0),IF(AND('Master Data'!$I$30='GA55 Check &amp; Edit'!$AN$6,'Master Data'!$I$28='GA55 Check &amp; Edit'!$AP$5),ROUND((E28+F28)*0.1,0),IF(AND('Master Data'!$I$30='GA55 Check &amp; Edit'!$AN$5,'Master Data'!$I$28='GA55 Check &amp; Edit'!$AP$5),VLOOKUP(D28,ram,12,0))))))))),"")</f>
        <v/>
      </c>
      <c r="R28" s="319" t="str">
        <f>IFERROR(IF(OR('Master Data'!$I$28='GA55 Check &amp; Edit'!$AP$6,D28=""),"",IF(AND(D28=$AX$24),"",IF(AND(D28=$AX$25),"",IF(AND(D28=$AX$26),"",IF(AND(D28=$AX$27),"",IF(AND(D28=$AX$28),"",IF(AND(D28=$AX$29),"",IF(AND(D28=$AX$32),"",IF(AND(E28=""),"",'Master Data'!$I$43))))))))),"")</f>
        <v/>
      </c>
      <c r="S28" s="319" t="str">
        <f>IFERROR(IF(OR('Master Data'!$I$28='GA55 Check &amp; Edit'!$AP$6),"",IF(D28="","",IF(E28="","",IF(AND(D28=$AX$24),"",IF(AND(D28=$AX$25),"",IF(AND(D28=$AX$26),"",IF(AND(D28=$AX$27),"",IF(AND(D28=$AX$28),"",IF(AND(D28=$AX$29),"",VLOOKUP(D28,ram,10,0)))))))))),"")</f>
        <v/>
      </c>
      <c r="T28" s="319" t="str">
        <f>IFERROR(IF(OR('Master Data'!$I$28='GA55 Check &amp; Edit'!$AP$6,D28=""),"",IF(AND(D28=$AX$24),"",IF(AND(D28=$AX$25),"",IF(AND(D28=$AX$26),"",IF(AND(D28=$AX$27),"",IF(AND(D28=$AX$28),"",IF(AND(D28=$AX$29),"",IF(AND(E28=""),"",'Master Data'!$K$43)))))))),"")</f>
        <v/>
      </c>
      <c r="U28" s="319" t="str">
        <f>IFERROR(IF(OR('Master Data'!$I$28='GA55 Check &amp; Edit'!$AP$6,D28=""),"",IF(AND(D28=$AX$24),"",IF(AND(D28=$AX$25),"",IF(AND(D28=$AX$26),"",IF(AND(D28=$AX$27),"",IF(AND(D28=$AX$28),"",IF(AND(D28=$AX$29),"",IF(AND(E28=""),"",'Master Data'!$L$43)))))))),"")</f>
        <v/>
      </c>
      <c r="V28" s="319" t="str">
        <f>IFERROR(IF(OR('Master Data'!$I$28='GA55 Check &amp; Edit'!$AP$6,D28=""),"",IF(AND(D28=$AX$24,'Master Data'!$I$28='GA55 Check &amp; Edit'!$AP$5,'Master Data'!$I$30='GA55 Check &amp; Edit'!$AN$6),ROUND(M28*50%,0),IF(AND(D28=$AX$25),"",IF(AND(D28=$AX$26,'Master Data'!$I$28='GA55 Check &amp; Edit'!$AP$5,'Master Data'!$I$30='GA55 Check &amp; Edit'!$AN$6),SUM(F28-N28),IF(AND(D28=$AX$27),"",IF(AND(D28=$AX$28),"",IF(AND(D28=$AX$29,'Master Data'!$I$28='GA55 Check &amp; Edit'!$AP$5,'Master Data'!$I$30='GA55 Check &amp; Edit'!$AN$6),SUM(F28-N28),IF(AND(E28=""),"",'Master Data'!$M$43)))))))),"")</f>
        <v/>
      </c>
      <c r="W28" s="319" t="str">
        <f>IFERROR(IF(OR('Master Data'!$I$28='GA55 Check &amp; Edit'!$AP$6,D28=""),"",IF(AND(D28=$AX$24),"",IF(AND(D28=$AX$25),"",IF(AND(D28=$AX$26),"",IF(AND(D28=$AX$27),"",IF(AND(D28=$AX$28),"",IF(AND(D28=$AX$29),"",IF(AND(E28=""),"",'Master Data'!$O$43)))))))),"")</f>
        <v/>
      </c>
      <c r="X28" s="319" t="str">
        <f>IFERROR(IF(OR('Master Data'!$I$28='GA55 Check &amp; Edit'!$AP$6,D28=""),"",IF(AND(E28=""),"",IF(AND('GA55 Check &amp; Edit'!D28='GA55 Check &amp; Edit'!$AT$17,'Master Data'!$D$18="Gazetted"),500,IF(AND('GA55 Check &amp; Edit'!D28='GA55 Check &amp; Edit'!$AT$17,'Master Data'!$D$18="Non-Gazetted"),250,"")))),"")</f>
        <v/>
      </c>
      <c r="Y28" s="319" t="str">
        <f>IFERROR(IF(D28="","",IF(AND(E28=""),"",IF(AND(D28=$AX$24),"",IF(AND(D28=$AX$25),"",IF(AND(D28=$AX$26),"",IF(AND(D28=$AX$27),"",IF(AND(D28=$AX$28),"",IF(AND(D28=$AX$29),"",IF(OR('Master Data'!$I$28='GA55 Check &amp; Edit'!$AP$6,D28=""),"",$Y$7))))))))),"")</f>
        <v/>
      </c>
      <c r="Z28" s="319"/>
      <c r="AA28" s="319" t="str">
        <f>IFERROR(IF(OR('Master Data'!$I$28='GA55 Check &amp; Edit'!$AP$6,D28="",'Master Data'!$N$38=""),"",IF(AND(E28=""),"",IF('GA55 Check &amp; Edit'!D28='GA55 Check &amp; Edit'!$AT$9,'Master Data'!$N$38,""))),"")</f>
        <v/>
      </c>
      <c r="AB28" s="320" t="str">
        <f>IFERROR(IF(D28="","",IF(AND(O28=""),"",IF(AND(N28=""),SUM(P28:AA28),IF(AND('Master Data'!$H$18='GA55 Check &amp; Edit'!$AO$5,'Master Data'!$I$30='GA55 Check &amp; Edit'!$AN$6),SUM(P28:AA28)+N28,SUM(P28:AA28))))),"0")</f>
        <v/>
      </c>
      <c r="AC28" s="35" t="str">
        <f t="shared" si="2"/>
        <v/>
      </c>
      <c r="AD28" s="203"/>
      <c r="AE28" s="234"/>
      <c r="AF28" s="39"/>
      <c r="AU28" s="321" t="s">
        <v>113</v>
      </c>
      <c r="AW28" s="328"/>
      <c r="AX28" s="341" t="str">
        <f t="shared" si="15"/>
        <v>HRA Arrear</v>
      </c>
      <c r="AY28" s="327"/>
      <c r="AZ28" s="327"/>
      <c r="BA28" s="327"/>
      <c r="BB28" s="327"/>
      <c r="BC28" s="327"/>
      <c r="BD28" s="327" t="str">
        <f t="shared" ref="BD28:BD29" si="17">IF(BC28="","",BC28)</f>
        <v/>
      </c>
      <c r="BE28" s="327">
        <f>SUM(ROUND(AZ18*'Master Data'!E34%,0)-ROUND('GA55 Check &amp; Edit'!AZ18*'Master Data'!E30%,0))</f>
        <v>523</v>
      </c>
      <c r="BF28" s="327"/>
      <c r="BG28" s="327"/>
      <c r="BH28" s="327"/>
      <c r="BI28" s="330"/>
      <c r="BJ28" s="327"/>
      <c r="BK28" s="336">
        <v>44743</v>
      </c>
      <c r="BL28" s="336">
        <f>IFERROR(IF('Master Data'!$E$36="","",IF('Master Data'!$F$40="","",IF(AND($AZ$17&gt;$AZ$9),"",DATE(YEAR(BL27),MONTH(BL27)+1,DAY(BL27))))),"")</f>
        <v>44743</v>
      </c>
      <c r="BM28" s="321" t="s">
        <v>471</v>
      </c>
      <c r="BN28" s="337" t="str">
        <f t="shared" si="6"/>
        <v/>
      </c>
      <c r="BO28" s="337" t="str">
        <f t="shared" si="7"/>
        <v>HRA Arrear</v>
      </c>
      <c r="BQ28" s="337" t="str">
        <f t="shared" si="8"/>
        <v/>
      </c>
      <c r="BS28" s="338"/>
      <c r="BU28" s="338"/>
      <c r="BV28" s="337"/>
      <c r="BX28" s="338">
        <f t="shared" si="10"/>
        <v>0</v>
      </c>
    </row>
    <row r="29" spans="1:76" s="342" customFormat="1" ht="20.25">
      <c r="A29" s="36"/>
      <c r="B29" s="36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319" t="str">
        <f>IFERROR(IF(OR('Master Data'!$I$28='GA55 Check &amp; Edit'!$AP$6,D29=""),"",IF(AND(D29=$AX$24),"",IF(AND(D29=$AX$25),"",IF(AND(D29=$AX$26),"",IF(AND(D29=$AX$27),"",IF(AND(D29=$AX$28),"",IF(AND(D29=$AX$29),"",IF(AND(E29=""),"",'Master Data'!$O$43)))))))),"")</f>
        <v/>
      </c>
      <c r="X29" s="207"/>
      <c r="Y29" s="207"/>
      <c r="Z29" s="207"/>
      <c r="AA29" s="207"/>
      <c r="AB29" s="207"/>
      <c r="AC29" s="207"/>
      <c r="AD29" s="207"/>
      <c r="AE29" s="207"/>
      <c r="AF29" s="207"/>
      <c r="AW29" s="343"/>
      <c r="AX29" s="344" t="str">
        <f>IF(BM29="","",BM29)</f>
        <v>PL Surrender Arrear</v>
      </c>
      <c r="AY29" s="345"/>
      <c r="AZ29" s="345"/>
      <c r="BA29" s="345"/>
      <c r="BB29" s="345"/>
      <c r="BC29" s="345">
        <f>IF('Master Data'!$I$28='GA55 Check &amp; Edit'!$AP$6,"",IF(AND(BA25=""),"",IF(OR('Master Data'!I22='GA55 Check &amp; Edit'!AW16,'Master Data'!I22='GA55 Check &amp; Edit'!AW17,'Master Data'!I22='GA55 Check &amp; Edit'!AW18),ROUND(3%*BA25,0),"")))</f>
        <v>0</v>
      </c>
      <c r="BD29" s="327">
        <f t="shared" si="17"/>
        <v>0</v>
      </c>
      <c r="BE29" s="345"/>
      <c r="BF29" s="345"/>
      <c r="BG29" s="345"/>
      <c r="BH29" s="345"/>
      <c r="BI29" s="346">
        <f>BD29</f>
        <v>0</v>
      </c>
      <c r="BJ29" s="347"/>
      <c r="BK29" s="336">
        <v>44774</v>
      </c>
      <c r="BL29" s="348">
        <f>IFERROR(IF('Master Data'!$E$36="","",IF('Master Data'!$F$40="","",IF(AND($AZ$17&gt;$AZ$9),"",DATE(YEAR(BL28),MONTH(BL28)+1,DAY(BL28))))),"")</f>
        <v>44774</v>
      </c>
      <c r="BM29" s="321" t="s">
        <v>472</v>
      </c>
      <c r="BN29" s="337" t="str">
        <f t="shared" si="6"/>
        <v/>
      </c>
      <c r="BO29" s="337" t="str">
        <f t="shared" si="7"/>
        <v>PL Surrender Arrear</v>
      </c>
      <c r="BQ29" s="337" t="str">
        <f t="shared" si="8"/>
        <v/>
      </c>
      <c r="BU29" s="349"/>
      <c r="BV29" s="350"/>
      <c r="BX29" s="338">
        <f t="shared" si="10"/>
        <v>0</v>
      </c>
    </row>
    <row r="30" spans="1:76">
      <c r="AR30" s="308">
        <f>ROUND(BA24*50%,0)</f>
        <v>3387</v>
      </c>
      <c r="AW30" s="327"/>
      <c r="AX30" s="322" t="str">
        <f>IF(BM30="","",BM30)</f>
        <v/>
      </c>
      <c r="AY30" s="327"/>
      <c r="AZ30" s="327"/>
      <c r="BA30" s="327" t="str">
        <f>IF(AND('Master Data'!$E$36=""),"",IF('Master Data'!$N$32='GA55 Check &amp; Edit'!$AO$5,'Master Data'!$E$36,""))</f>
        <v/>
      </c>
      <c r="BB30" s="327" t="str">
        <f>IF('Master Data'!$N$32='GA55 Check &amp; Edit'!$AO$5,BA30,"")</f>
        <v/>
      </c>
      <c r="BC30" s="327" t="str">
        <f>IFERROR(IF(AND('Master Data'!$E$36=""),"",ROUND(17%*BB30,0)),"")</f>
        <v/>
      </c>
      <c r="BD30" s="327" t="str">
        <f>IF(BC30="","",BC30)</f>
        <v/>
      </c>
      <c r="BE30" s="327" t="str">
        <f>IFERROR(IF(AND('Master Data'!$E$36=""),"",ROUND('Master Data'!$E$30%*BB30,0)),"")</f>
        <v/>
      </c>
      <c r="BF30" s="327"/>
      <c r="BG30" s="327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30" s="327" t="str">
        <f>IFERROR(IF(OR('Master Data'!$I$28='GA55 Check &amp; Edit'!$AP$6),"",IF('Master Data'!$N$32='GA55 Check &amp; Edit'!$AO$5,'Master Data'!$G$43,"")),"")</f>
        <v/>
      </c>
      <c r="BI30" s="327" t="str">
        <f>IFERROR(IF('Master Data'!$N$32='GA55 Check &amp; Edit'!$AO$6,"",IF(AND('Master Data'!I$30='GA55 Check &amp; Edit'!$AN$6),ROUND((BB30)*0.1,0),IF(AND('Master Data'!$I$28='GA55 Check &amp; Edit'!$AP$6),ROUND((BB30+BD30)*0.1,0),'Master Data'!$H$43))),"")</f>
        <v/>
      </c>
      <c r="BK30" s="336">
        <v>44805</v>
      </c>
      <c r="BL30" s="348">
        <f>IFERROR(IF('Master Data'!$E$36="","",IF('Master Data'!$F$40="","",IF(AND($AZ$17&gt;$AZ$9),"",DATE(YEAR(BL29),MONTH(BL29)+1,DAY(BL29))))),"")</f>
        <v>44805</v>
      </c>
      <c r="BM30" s="322" t="str">
        <f>IF(OR('Master Data'!N34='GA55 Check &amp; Edit'!AO5,'Master Data'!N32='GA55 Check &amp; Edit'!AO5,'Master Data'!N40='GA55 Check &amp; Edit'!AO5),'GA55 Check &amp; Edit'!AX10,"")</f>
        <v/>
      </c>
      <c r="BN30" s="337" t="str">
        <f t="shared" si="6"/>
        <v/>
      </c>
      <c r="BO30" s="337" t="str">
        <f t="shared" si="7"/>
        <v/>
      </c>
      <c r="BQ30" s="337" t="str">
        <f>IFERROR(IF(BM30="","",IF(D26=$AX$25,$AX$25,IF(D26=$AX$30,$AX$30,IF(D26=$AX$31,$AX$31,IF(D26=$AX$32,$AX$32,IF(BM30&gt;$AZ$17,"",BM30)))))),"")</f>
        <v/>
      </c>
      <c r="BV30" s="337"/>
      <c r="BX30" s="338">
        <f t="shared" si="10"/>
        <v>0</v>
      </c>
    </row>
    <row r="31" spans="1:76">
      <c r="AX31" s="322" t="str">
        <f>IF(BM31="","",BM31)</f>
        <v/>
      </c>
      <c r="BA31" s="327" t="str">
        <f>IF(AND('Master Data'!$E$36=""),"",IF('Master Data'!$N$34='GA55 Check &amp; Edit'!$AO$5,'Master Data'!$E$36,""))</f>
        <v/>
      </c>
      <c r="BB31" s="327" t="str">
        <f>IF('Master Data'!$N$34='GA55 Check &amp; Edit'!$AO$5,BA31,"")</f>
        <v/>
      </c>
      <c r="BC31" s="327" t="str">
        <f>IFERROR(IF(AND('Master Data'!$E$36=""),"",ROUND(17%*BB31,0)),"")</f>
        <v/>
      </c>
      <c r="BD31" s="327" t="str">
        <f>IF(BC31="","",BC31)</f>
        <v/>
      </c>
      <c r="BE31" s="327" t="str">
        <f>IFERROR(IF(AND('Master Data'!$E$36=""),"",ROUND('Master Data'!$E$30%*BB31,0)),"")</f>
        <v/>
      </c>
      <c r="BG31" s="327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31" s="327" t="str">
        <f>IFERROR(IF(OR('Master Data'!$I$28='GA55 Check &amp; Edit'!$AP$6),"",IF('Master Data'!$N$34='GA55 Check &amp; Edit'!$AO$5,'Master Data'!$G$43,"")),"")</f>
        <v/>
      </c>
      <c r="BI31" s="327" t="str">
        <f>IFERROR(IF('Master Data'!$N$34='GA55 Check &amp; Edit'!$AO$6,"",IF(AND('Master Data'!I$30='GA55 Check &amp; Edit'!$AN$6),ROUND((BB31)*0.1,0),IF(AND('Master Data'!$I$28='GA55 Check &amp; Edit'!$AP$6),ROUND((BB31+BD31)*0.1,0),'Master Data'!$H$43))),"")</f>
        <v/>
      </c>
      <c r="BK31" s="336">
        <v>44835</v>
      </c>
      <c r="BL31" s="348">
        <f>IFERROR(IF('Master Data'!$E$36="","",IF('Master Data'!$F$40="","",IF(AND($AZ$17&gt;$AZ$9),"",DATE(YEAR(BL30),MONTH(BL30)+1,DAY(BL30))))),"")</f>
        <v>44835</v>
      </c>
      <c r="BM31" s="322" t="str">
        <f>IF(OR('Master Data'!N34='GA55 Check &amp; Edit'!AO5,'Master Data'!N40='GA55 Check &amp; Edit'!AO5),'GA55 Check &amp; Edit'!AX11,"")</f>
        <v/>
      </c>
      <c r="BN31" s="337" t="str">
        <f t="shared" si="6"/>
        <v/>
      </c>
      <c r="BO31" s="337" t="str">
        <f t="shared" si="7"/>
        <v/>
      </c>
      <c r="BQ31" s="337" t="str">
        <f t="shared" si="8"/>
        <v/>
      </c>
    </row>
    <row r="32" spans="1:76" hidden="1">
      <c r="AX32" s="322" t="str">
        <f>IF(BM32="","",BM32)</f>
        <v/>
      </c>
      <c r="BA32" s="309" t="str">
        <f>IF('Master Data'!N40='GA55 Check &amp; Edit'!$AO$5,(AZ3-AZ1),"")</f>
        <v/>
      </c>
      <c r="BB32" s="327" t="str">
        <f>IF('Master Data'!N40='GA55 Check &amp; Edit'!$AO$5,BA32,"")</f>
        <v/>
      </c>
      <c r="BC32" s="309" t="str">
        <f>IF(OR('Master Data'!$E$36="",BB32=""),"",ROUND(17%*BB32,0))</f>
        <v/>
      </c>
      <c r="BD32" s="327" t="str">
        <f>IF(BC32="","",BC32)</f>
        <v/>
      </c>
      <c r="BE32" s="327" t="str">
        <f>IFERROR(IF(AND('Master Data'!$E$36=""),"",ROUND('Master Data'!$E$30%*BB32,0)),"")</f>
        <v/>
      </c>
      <c r="BG32" s="327"/>
      <c r="BI32" s="309">
        <f>IFERROR(IF(AND('Master Data'!$I$30='GA55 Check &amp; Edit'!$AN$6),ROUND((E19)*0.1,0),IF(AND('Master Data'!$I$28='GA55 Check &amp; Edit'!$AP$6),ROUND((E19+F19)*0.1,0),'Master Data'!$H$43)),"")</f>
        <v>5230</v>
      </c>
      <c r="BK32" s="336">
        <v>44866</v>
      </c>
      <c r="BL32" s="348">
        <f>IFERROR(IF('Master Data'!$E$36="","",IF('Master Data'!$F$40="","",IF(AND($AZ$17&gt;$AZ$9),"",DATE(YEAR(BL31),MONTH(BL31)+1,DAY(BL31))))),"")</f>
        <v>44866</v>
      </c>
      <c r="BM32" s="351" t="str">
        <f>IF('Master Data'!N40='GA55 Check &amp; Edit'!AO5,CONCATENATE("Defer Salary"," - ","March-20"),"")</f>
        <v/>
      </c>
      <c r="BN32" s="337" t="str">
        <f t="shared" si="6"/>
        <v/>
      </c>
      <c r="BO32" s="337" t="str">
        <f>IFERROR(IF(BM32="","",IF(AND(BL32=$BK$24),$BM$24,IF(AND(BL32=$BK$25),$BM$25,IF(AND(BL32=$BK$26),$BM$26,IF(AND(BL32=$BK$27),$BM$27,IF(AND(BL32=$BK$28),$BM$28,IF(AND(BL32=$BK$29),$BM$29,IF(AND(BL32=$BK$30),$BM$30,IF(AND(BL32=$BK$31),$BM$31,IF(AND(BL32=$BK$32),$BM$32,BN32)))))))))),"")</f>
        <v/>
      </c>
      <c r="BQ32" s="337" t="str">
        <f t="shared" si="8"/>
        <v/>
      </c>
    </row>
    <row r="33" spans="50:64" hidden="1"/>
    <row r="34" spans="50:64" hidden="1"/>
    <row r="35" spans="50:64" hidden="1">
      <c r="BL35" s="311"/>
    </row>
    <row r="36" spans="50:64" hidden="1"/>
    <row r="37" spans="50:64" hidden="1"/>
    <row r="38" spans="50:64" hidden="1"/>
    <row r="39" spans="50:64" hidden="1"/>
    <row r="40" spans="50:64" hidden="1"/>
    <row r="41" spans="50:64" hidden="1">
      <c r="AX41" s="309">
        <f>IFERROR(IF(D23="","",IF(AND(D23=AX34),VLOOKUP(D23,ram,4,0),IF(AND('Master Data'!$I$28='GA55 Check &amp; Edit'!$AP$6),'Master Data'!$E$36,VLOOKUP(D23,ram,4,0)))),"")</f>
        <v>0</v>
      </c>
    </row>
  </sheetData>
  <sheetProtection password="C1FB" sheet="1" objects="1" scenarios="1" selectLockedCells="1"/>
  <protectedRanges>
    <protectedRange password="CFD9" sqref="AB8:AC28" name="Range2_2"/>
    <protectedRange password="CFD9" sqref="O8:AA8 O9:V28 X9:AA28 W9:W29" name="Range1_2"/>
    <protectedRange sqref="D7" name="Range1_1_1"/>
    <protectedRange sqref="E7:M7" name="Range2_1_1"/>
    <protectedRange sqref="N7" name="Range3_1"/>
    <protectedRange sqref="AD7:AE7" name="Range4_1"/>
  </protectedRanges>
  <mergeCells count="32">
    <mergeCell ref="P6:P7"/>
    <mergeCell ref="D3:E3"/>
    <mergeCell ref="F3:I3"/>
    <mergeCell ref="AC6:AC7"/>
    <mergeCell ref="AE6:AE7"/>
    <mergeCell ref="U6:U7"/>
    <mergeCell ref="V6:V7"/>
    <mergeCell ref="W6:W7"/>
    <mergeCell ref="Z6:Z7"/>
    <mergeCell ref="Q6:Q7"/>
    <mergeCell ref="R6:R7"/>
    <mergeCell ref="S6:S7"/>
    <mergeCell ref="AA6:AA7"/>
    <mergeCell ref="AB6:AB7"/>
    <mergeCell ref="X6:X7"/>
    <mergeCell ref="S3:Z3"/>
    <mergeCell ref="T1:Y2"/>
    <mergeCell ref="C6:C7"/>
    <mergeCell ref="AD6:AD7"/>
    <mergeCell ref="D6:D7"/>
    <mergeCell ref="E6:E7"/>
    <mergeCell ref="F6:F7"/>
    <mergeCell ref="G6:G7"/>
    <mergeCell ref="H6:H7"/>
    <mergeCell ref="T6:T7"/>
    <mergeCell ref="I6:I7"/>
    <mergeCell ref="J6:J7"/>
    <mergeCell ref="K6:K7"/>
    <mergeCell ref="L6:L7"/>
    <mergeCell ref="M6:M7"/>
    <mergeCell ref="N6:N7"/>
    <mergeCell ref="O6:O7"/>
  </mergeCells>
  <conditionalFormatting sqref="B8:C28">
    <cfRule type="cellIs" dxfId="17" priority="30" operator="equal">
      <formula>0</formula>
    </cfRule>
  </conditionalFormatting>
  <conditionalFormatting sqref="B9:AE28">
    <cfRule type="expression" dxfId="16" priority="29">
      <formula>$B8=0</formula>
    </cfRule>
  </conditionalFormatting>
  <conditionalFormatting sqref="B8:AE28">
    <cfRule type="expression" dxfId="15" priority="28">
      <formula>$A8=0</formula>
    </cfRule>
  </conditionalFormatting>
  <conditionalFormatting sqref="B28:AE28">
    <cfRule type="expression" dxfId="14" priority="21">
      <formula>$B23=0</formula>
    </cfRule>
  </conditionalFormatting>
  <conditionalFormatting sqref="B27:AE27">
    <cfRule type="expression" dxfId="13" priority="20">
      <formula>$B23=0</formula>
    </cfRule>
  </conditionalFormatting>
  <conditionalFormatting sqref="B26:AE26 R27:U28 W27:AB28 E27:O28">
    <cfRule type="expression" dxfId="12" priority="19">
      <formula>$B23=0</formula>
    </cfRule>
  </conditionalFormatting>
  <conditionalFormatting sqref="B25:AE25 E26:AC26 R27:U28 W27:AB28 E27:O28">
    <cfRule type="expression" dxfId="11" priority="18">
      <formula>$B23=0</formula>
    </cfRule>
  </conditionalFormatting>
  <conditionalFormatting sqref="M8:M20">
    <cfRule type="expression" dxfId="10" priority="9">
      <formula>$B7=0</formula>
    </cfRule>
  </conditionalFormatting>
  <conditionalFormatting sqref="B8:C28">
    <cfRule type="cellIs" dxfId="9" priority="8" operator="equal">
      <formula>0</formula>
    </cfRule>
  </conditionalFormatting>
  <conditionalFormatting sqref="B9:AE28">
    <cfRule type="expression" dxfId="8" priority="7">
      <formula>$B8=0</formula>
    </cfRule>
  </conditionalFormatting>
  <conditionalFormatting sqref="W29 B8:AE28">
    <cfRule type="expression" dxfId="7" priority="6">
      <formula>$A8=0</formula>
    </cfRule>
  </conditionalFormatting>
  <conditionalFormatting sqref="B28:AE28">
    <cfRule type="expression" dxfId="6" priority="5">
      <formula>$B23=0</formula>
    </cfRule>
  </conditionalFormatting>
  <conditionalFormatting sqref="B27:AE27">
    <cfRule type="expression" dxfId="5" priority="4">
      <formula>$B23=0</formula>
    </cfRule>
  </conditionalFormatting>
  <conditionalFormatting sqref="B26:AE26 R27:U28 W27:AB28 E27:O28 D27">
    <cfRule type="expression" dxfId="4" priority="3">
      <formula>$B23=0</formula>
    </cfRule>
  </conditionalFormatting>
  <conditionalFormatting sqref="B25:AE25 R27:U28 W27:AB28 D26:AC26 D27:O28">
    <cfRule type="expression" dxfId="3" priority="2">
      <formula>$B23=0</formula>
    </cfRule>
  </conditionalFormatting>
  <conditionalFormatting sqref="M8:M20">
    <cfRule type="expression" dxfId="2" priority="1">
      <formula>$B7=0</formula>
    </cfRule>
  </conditionalFormatting>
  <hyperlinks>
    <hyperlink ref="S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00FF"/>
  </sheetPr>
  <dimension ref="A1:K30"/>
  <sheetViews>
    <sheetView showGridLines="0" showRowColHeaders="0" workbookViewId="0">
      <selection activeCell="A3" sqref="A3"/>
    </sheetView>
  </sheetViews>
  <sheetFormatPr defaultColWidth="0" defaultRowHeight="15" zeroHeight="1"/>
  <cols>
    <col min="1" max="1" width="9" style="34" customWidth="1"/>
    <col min="2" max="2" width="3.5" style="34" customWidth="1"/>
    <col min="3" max="3" width="59" style="34" customWidth="1"/>
    <col min="4" max="4" width="6.25" style="34" customWidth="1"/>
    <col min="5" max="5" width="18.625" style="34" customWidth="1"/>
    <col min="6" max="6" width="3.375" style="34" customWidth="1"/>
    <col min="7" max="7" width="70.75" style="34" customWidth="1"/>
    <col min="8" max="8" width="8.125" style="34" customWidth="1"/>
    <col min="9" max="9" width="16.625" style="34" customWidth="1"/>
    <col min="10" max="10" width="3.375" style="34" customWidth="1"/>
    <col min="11" max="11" width="9" style="34" customWidth="1"/>
    <col min="12" max="16384" width="9" style="34" hidden="1"/>
  </cols>
  <sheetData>
    <row r="1" spans="1:11" ht="37.5" customHeight="1">
      <c r="A1" s="462" t="s">
        <v>435</v>
      </c>
      <c r="B1" s="463"/>
      <c r="C1" s="463"/>
      <c r="D1" s="152"/>
      <c r="E1" s="152"/>
      <c r="F1" s="152"/>
      <c r="G1" s="152"/>
      <c r="H1" s="152"/>
      <c r="I1" s="152"/>
      <c r="J1" s="152"/>
      <c r="K1" s="152"/>
    </row>
    <row r="2" spans="1:11" ht="18.75" customHeight="1">
      <c r="A2" s="152"/>
      <c r="B2" s="464" t="s">
        <v>436</v>
      </c>
      <c r="C2" s="464"/>
      <c r="D2" s="152"/>
      <c r="E2" s="152"/>
      <c r="F2" s="152"/>
      <c r="G2" s="152"/>
      <c r="H2" s="152"/>
      <c r="I2" s="152"/>
      <c r="J2" s="152"/>
      <c r="K2" s="152"/>
    </row>
    <row r="3" spans="1:11" ht="27" customHeight="1">
      <c r="A3" s="152"/>
      <c r="B3" s="152"/>
      <c r="C3" s="465" t="s">
        <v>122</v>
      </c>
      <c r="D3" s="465"/>
      <c r="E3" s="465"/>
      <c r="F3" s="465"/>
      <c r="G3" s="465"/>
      <c r="H3" s="465"/>
      <c r="I3" s="465"/>
      <c r="J3" s="152"/>
      <c r="K3" s="152"/>
    </row>
    <row r="4" spans="1:11" ht="15.75" customHeight="1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1" ht="15.75" customHeight="1">
      <c r="A5" s="152"/>
      <c r="B5" s="153"/>
      <c r="C5" s="154"/>
      <c r="D5" s="154"/>
      <c r="E5" s="154"/>
      <c r="F5" s="154"/>
      <c r="G5" s="154"/>
      <c r="H5" s="154"/>
      <c r="I5" s="154"/>
      <c r="J5" s="153"/>
      <c r="K5" s="152"/>
    </row>
    <row r="6" spans="1:11" ht="24.95" customHeight="1">
      <c r="A6" s="152"/>
      <c r="B6" s="155"/>
      <c r="C6" s="458" t="s">
        <v>452</v>
      </c>
      <c r="D6" s="459"/>
      <c r="E6" s="279"/>
      <c r="F6" s="466"/>
      <c r="G6" s="467" t="s">
        <v>237</v>
      </c>
      <c r="H6" s="467"/>
      <c r="I6" s="156"/>
      <c r="J6" s="473"/>
      <c r="K6" s="152"/>
    </row>
    <row r="7" spans="1:11" ht="24.95" customHeight="1">
      <c r="A7" s="152"/>
      <c r="B7" s="155"/>
      <c r="C7" s="475" t="s">
        <v>227</v>
      </c>
      <c r="D7" s="476"/>
      <c r="E7" s="156">
        <v>50000</v>
      </c>
      <c r="F7" s="466"/>
      <c r="G7" s="470" t="s">
        <v>238</v>
      </c>
      <c r="H7" s="471"/>
      <c r="I7" s="156"/>
      <c r="J7" s="473"/>
      <c r="K7" s="152"/>
    </row>
    <row r="8" spans="1:11" ht="24.95" customHeight="1">
      <c r="A8" s="152"/>
      <c r="B8" s="155"/>
      <c r="C8" s="477" t="s">
        <v>228</v>
      </c>
      <c r="D8" s="478"/>
      <c r="E8" s="156"/>
      <c r="F8" s="466"/>
      <c r="G8" s="467" t="s">
        <v>260</v>
      </c>
      <c r="H8" s="467"/>
      <c r="I8" s="156"/>
      <c r="J8" s="473"/>
      <c r="K8" s="152"/>
    </row>
    <row r="9" spans="1:11" ht="24.95" customHeight="1">
      <c r="A9" s="152"/>
      <c r="B9" s="155"/>
      <c r="C9" s="477" t="s">
        <v>229</v>
      </c>
      <c r="D9" s="478"/>
      <c r="E9" s="156"/>
      <c r="F9" s="466"/>
      <c r="G9" s="467" t="s">
        <v>239</v>
      </c>
      <c r="H9" s="467"/>
      <c r="I9" s="156"/>
      <c r="J9" s="473"/>
      <c r="K9" s="152"/>
    </row>
    <row r="10" spans="1:11" ht="24.95" customHeight="1">
      <c r="A10" s="152"/>
      <c r="B10" s="155"/>
      <c r="C10" s="477" t="s">
        <v>230</v>
      </c>
      <c r="D10" s="478"/>
      <c r="E10" s="156"/>
      <c r="F10" s="466"/>
      <c r="G10" s="467" t="s">
        <v>261</v>
      </c>
      <c r="H10" s="467"/>
      <c r="I10" s="156"/>
      <c r="J10" s="473"/>
      <c r="K10" s="152"/>
    </row>
    <row r="11" spans="1:11" ht="33" customHeight="1">
      <c r="A11" s="152"/>
      <c r="B11" s="155"/>
      <c r="C11" s="477" t="s">
        <v>231</v>
      </c>
      <c r="D11" s="478"/>
      <c r="E11" s="156"/>
      <c r="F11" s="466"/>
      <c r="G11" s="468" t="s">
        <v>240</v>
      </c>
      <c r="H11" s="468"/>
      <c r="I11" s="156"/>
      <c r="J11" s="473"/>
      <c r="K11" s="152"/>
    </row>
    <row r="12" spans="1:11" ht="24.95" customHeight="1">
      <c r="A12" s="152"/>
      <c r="B12" s="155"/>
      <c r="C12" s="477" t="s">
        <v>232</v>
      </c>
      <c r="D12" s="478"/>
      <c r="E12" s="156"/>
      <c r="F12" s="466"/>
      <c r="G12" s="467" t="s">
        <v>241</v>
      </c>
      <c r="H12" s="467"/>
      <c r="I12" s="156"/>
      <c r="J12" s="473"/>
      <c r="K12" s="152"/>
    </row>
    <row r="13" spans="1:11" ht="24.95" customHeight="1">
      <c r="A13" s="152"/>
      <c r="B13" s="155"/>
      <c r="C13" s="479" t="s">
        <v>233</v>
      </c>
      <c r="D13" s="480"/>
      <c r="E13" s="156"/>
      <c r="F13" s="466"/>
      <c r="G13" s="467" t="s">
        <v>422</v>
      </c>
      <c r="H13" s="467"/>
      <c r="I13" s="156"/>
      <c r="J13" s="473"/>
      <c r="K13" s="152"/>
    </row>
    <row r="14" spans="1:11" ht="24.95" customHeight="1">
      <c r="A14" s="152"/>
      <c r="B14" s="155"/>
      <c r="C14" s="481" t="s">
        <v>252</v>
      </c>
      <c r="D14" s="482"/>
      <c r="E14" s="156"/>
      <c r="F14" s="466"/>
      <c r="G14" s="469" t="s">
        <v>242</v>
      </c>
      <c r="H14" s="469"/>
      <c r="I14" s="156"/>
      <c r="J14" s="473"/>
      <c r="K14" s="152"/>
    </row>
    <row r="15" spans="1:11" ht="24.95" customHeight="1">
      <c r="A15" s="152"/>
      <c r="B15" s="155"/>
      <c r="C15" s="483" t="s">
        <v>253</v>
      </c>
      <c r="D15" s="484"/>
      <c r="E15" s="156"/>
      <c r="F15" s="466"/>
      <c r="G15" s="467" t="s">
        <v>243</v>
      </c>
      <c r="H15" s="467"/>
      <c r="I15" s="156"/>
      <c r="J15" s="473"/>
      <c r="K15" s="152"/>
    </row>
    <row r="16" spans="1:11" ht="24.95" customHeight="1">
      <c r="A16" s="152"/>
      <c r="B16" s="155"/>
      <c r="C16" s="485" t="s">
        <v>254</v>
      </c>
      <c r="D16" s="486"/>
      <c r="E16" s="156"/>
      <c r="F16" s="466"/>
      <c r="G16" s="467" t="s">
        <v>244</v>
      </c>
      <c r="H16" s="467"/>
      <c r="I16" s="156"/>
      <c r="J16" s="473"/>
      <c r="K16" s="152"/>
    </row>
    <row r="17" spans="1:11" ht="24.95" customHeight="1">
      <c r="A17" s="152"/>
      <c r="B17" s="155"/>
      <c r="C17" s="483" t="s">
        <v>234</v>
      </c>
      <c r="D17" s="484"/>
      <c r="E17" s="156"/>
      <c r="F17" s="466"/>
      <c r="G17" s="467" t="s">
        <v>245</v>
      </c>
      <c r="H17" s="467"/>
      <c r="I17" s="156"/>
      <c r="J17" s="473"/>
      <c r="K17" s="152"/>
    </row>
    <row r="18" spans="1:11" ht="24.95" customHeight="1">
      <c r="A18" s="152"/>
      <c r="B18" s="155"/>
      <c r="C18" s="483" t="s">
        <v>255</v>
      </c>
      <c r="D18" s="484"/>
      <c r="E18" s="156"/>
      <c r="F18" s="466"/>
      <c r="G18" s="467" t="s">
        <v>246</v>
      </c>
      <c r="H18" s="467"/>
      <c r="I18" s="156"/>
      <c r="J18" s="473"/>
      <c r="K18" s="152"/>
    </row>
    <row r="19" spans="1:11" ht="24.95" customHeight="1">
      <c r="A19" s="152"/>
      <c r="B19" s="155"/>
      <c r="C19" s="483" t="s">
        <v>235</v>
      </c>
      <c r="D19" s="484"/>
      <c r="E19" s="156"/>
      <c r="F19" s="466"/>
      <c r="G19" s="467" t="s">
        <v>247</v>
      </c>
      <c r="H19" s="467"/>
      <c r="I19" s="285">
        <f>SUM(E25)+ ROUND(I25/2,0)</f>
        <v>0</v>
      </c>
      <c r="J19" s="473"/>
      <c r="K19" s="152"/>
    </row>
    <row r="20" spans="1:11" ht="24.95" customHeight="1">
      <c r="A20" s="152"/>
      <c r="B20" s="155"/>
      <c r="C20" s="483" t="s">
        <v>256</v>
      </c>
      <c r="D20" s="484"/>
      <c r="E20" s="156"/>
      <c r="F20" s="466"/>
      <c r="G20" s="467" t="s">
        <v>248</v>
      </c>
      <c r="H20" s="467"/>
      <c r="I20" s="156"/>
      <c r="J20" s="473"/>
      <c r="K20" s="152"/>
    </row>
    <row r="21" spans="1:11" ht="24.95" customHeight="1">
      <c r="A21" s="152"/>
      <c r="B21" s="155"/>
      <c r="C21" s="483" t="s">
        <v>257</v>
      </c>
      <c r="D21" s="484"/>
      <c r="E21" s="156"/>
      <c r="F21" s="466"/>
      <c r="G21" s="474" t="s">
        <v>262</v>
      </c>
      <c r="H21" s="474"/>
      <c r="I21" s="156">
        <v>1500</v>
      </c>
      <c r="J21" s="473"/>
      <c r="K21" s="152"/>
    </row>
    <row r="22" spans="1:11" ht="24.95" customHeight="1">
      <c r="A22" s="152"/>
      <c r="B22" s="155"/>
      <c r="C22" s="483" t="s">
        <v>258</v>
      </c>
      <c r="D22" s="484"/>
      <c r="E22" s="156"/>
      <c r="F22" s="466"/>
      <c r="G22" s="467" t="s">
        <v>249</v>
      </c>
      <c r="H22" s="467"/>
      <c r="I22" s="156"/>
      <c r="J22" s="473"/>
      <c r="K22" s="152"/>
    </row>
    <row r="23" spans="1:11" ht="24.95" customHeight="1">
      <c r="A23" s="152"/>
      <c r="B23" s="155"/>
      <c r="C23" s="483" t="s">
        <v>259</v>
      </c>
      <c r="D23" s="484"/>
      <c r="E23" s="156"/>
      <c r="F23" s="466"/>
      <c r="G23" s="487" t="s">
        <v>264</v>
      </c>
      <c r="H23" s="488"/>
      <c r="I23" s="156"/>
      <c r="J23" s="473"/>
      <c r="K23" s="152"/>
    </row>
    <row r="24" spans="1:11" ht="24.95" customHeight="1">
      <c r="A24" s="152"/>
      <c r="B24" s="155"/>
      <c r="C24" s="483" t="s">
        <v>236</v>
      </c>
      <c r="D24" s="484"/>
      <c r="E24" s="156"/>
      <c r="F24" s="466"/>
      <c r="G24" s="460" t="s">
        <v>453</v>
      </c>
      <c r="H24" s="461"/>
      <c r="I24" s="156">
        <v>0</v>
      </c>
      <c r="J24" s="473"/>
      <c r="K24" s="152"/>
    </row>
    <row r="25" spans="1:11" ht="24.95" customHeight="1">
      <c r="A25" s="152"/>
      <c r="B25" s="155"/>
      <c r="C25" s="281" t="s">
        <v>454</v>
      </c>
      <c r="D25" s="281"/>
      <c r="E25" s="284"/>
      <c r="F25" s="282"/>
      <c r="G25" s="280" t="s">
        <v>455</v>
      </c>
      <c r="H25" s="280"/>
      <c r="I25" s="284"/>
      <c r="J25" s="283"/>
      <c r="K25" s="152"/>
    </row>
    <row r="26" spans="1:11" ht="16.5" customHeight="1">
      <c r="A26" s="152"/>
      <c r="B26" s="153"/>
      <c r="C26" s="472"/>
      <c r="D26" s="472"/>
      <c r="E26" s="472"/>
      <c r="F26" s="472"/>
      <c r="G26" s="472"/>
      <c r="H26" s="472"/>
      <c r="I26" s="472"/>
      <c r="J26" s="153"/>
      <c r="K26" s="152"/>
    </row>
    <row r="27" spans="1:11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</row>
    <row r="28" spans="1:1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</row>
    <row r="29" spans="1:11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</row>
    <row r="30" spans="1:1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</row>
  </sheetData>
  <sheetProtection password="C1FB" sheet="1" objects="1" scenarios="1" selectLockedCells="1"/>
  <mergeCells count="44">
    <mergeCell ref="C24:D24"/>
    <mergeCell ref="C18:D18"/>
    <mergeCell ref="C19:D19"/>
    <mergeCell ref="C20:D20"/>
    <mergeCell ref="C21:D21"/>
    <mergeCell ref="C22:D22"/>
    <mergeCell ref="C17:D17"/>
    <mergeCell ref="G23:H23"/>
    <mergeCell ref="G17:H17"/>
    <mergeCell ref="G18:H18"/>
    <mergeCell ref="G19:H19"/>
    <mergeCell ref="C23:D23"/>
    <mergeCell ref="G16:H16"/>
    <mergeCell ref="G7:H7"/>
    <mergeCell ref="C26:I26"/>
    <mergeCell ref="J6:J24"/>
    <mergeCell ref="G21:H21"/>
    <mergeCell ref="G22:H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6:D6"/>
    <mergeCell ref="G24:H24"/>
    <mergeCell ref="A1:C1"/>
    <mergeCell ref="B2:C2"/>
    <mergeCell ref="C3:I3"/>
    <mergeCell ref="F6:F24"/>
    <mergeCell ref="G20:H20"/>
    <mergeCell ref="G6:H6"/>
    <mergeCell ref="G8:H8"/>
    <mergeCell ref="G9:H9"/>
    <mergeCell ref="G10:H10"/>
    <mergeCell ref="G11:H11"/>
    <mergeCell ref="G12:H12"/>
    <mergeCell ref="G13:H13"/>
    <mergeCell ref="G14:H14"/>
    <mergeCell ref="G15:H15"/>
  </mergeCells>
  <dataValidations count="3">
    <dataValidation type="custom" allowBlank="1" showInputMessage="1" showErrorMessage="1" errorTitle="write Digit in only" error="Please input Data in Digit Only" sqref="I6:I25">
      <formula1>ISNUMBER(I6)=TRUE</formula1>
    </dataValidation>
    <dataValidation type="custom" allowBlank="1" showInputMessage="1" showErrorMessage="1" errorTitle="Write in Digit only" error="Please input Data  in Digit / Number only" sqref="E7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33CC33"/>
    <pageSetUpPr fitToPage="1"/>
  </sheetPr>
  <dimension ref="A1:AG33"/>
  <sheetViews>
    <sheetView showGridLines="0" view="pageBreakPreview" zoomScaleSheetLayoutView="100" workbookViewId="0">
      <selection activeCell="T23" sqref="T23"/>
    </sheetView>
  </sheetViews>
  <sheetFormatPr defaultColWidth="9.125" defaultRowHeight="15.75"/>
  <cols>
    <col min="1" max="1" width="4" style="53" customWidth="1"/>
    <col min="2" max="2" width="12.125" style="53" customWidth="1"/>
    <col min="3" max="3" width="7.75" style="53" customWidth="1"/>
    <col min="4" max="4" width="6.625" style="53" customWidth="1"/>
    <col min="5" max="5" width="5.625" style="53" customWidth="1"/>
    <col min="6" max="6" width="5.75" style="53" customWidth="1"/>
    <col min="7" max="7" width="5.375" style="53" customWidth="1"/>
    <col min="8" max="8" width="5.25" style="53" customWidth="1"/>
    <col min="9" max="9" width="6.25" style="53" customWidth="1"/>
    <col min="10" max="10" width="6.375" style="53" customWidth="1"/>
    <col min="11" max="12" width="5.875" style="53" customWidth="1"/>
    <col min="13" max="13" width="7.625" style="53" customWidth="1"/>
    <col min="14" max="14" width="5.25" style="53" customWidth="1"/>
    <col min="15" max="15" width="5.375" style="53" customWidth="1"/>
    <col min="16" max="16" width="5.25" style="53" customWidth="1"/>
    <col min="17" max="17" width="5.625" style="53" customWidth="1"/>
    <col min="18" max="18" width="5.75" style="53" customWidth="1"/>
    <col min="19" max="20" width="5.25" style="53" customWidth="1"/>
    <col min="21" max="21" width="5.5" style="53" customWidth="1"/>
    <col min="22" max="22" width="5.625" style="53" customWidth="1"/>
    <col min="23" max="25" width="5.75" style="53" customWidth="1"/>
    <col min="26" max="26" width="7.75" style="53" customWidth="1"/>
    <col min="27" max="27" width="8" style="72" customWidth="1"/>
    <col min="28" max="28" width="7.125" style="72" customWidth="1"/>
    <col min="29" max="29" width="8.25" style="34" customWidth="1"/>
    <col min="30" max="32" width="9.125" style="34" customWidth="1"/>
    <col min="33" max="33" width="22.625" style="53" customWidth="1"/>
    <col min="34" max="34" width="9.125" style="34" customWidth="1"/>
    <col min="35" max="35" width="10.875" style="34" customWidth="1"/>
    <col min="36" max="51" width="9.125" style="34" customWidth="1"/>
    <col min="52" max="52" width="11.25" style="34" customWidth="1"/>
    <col min="53" max="85" width="9.125" style="34" customWidth="1"/>
    <col min="86" max="86" width="8.375" style="34" customWidth="1"/>
    <col min="87" max="271" width="9.125" style="34" customWidth="1"/>
    <col min="272" max="16384" width="9.125" style="34"/>
  </cols>
  <sheetData>
    <row r="1" spans="1:33" ht="62.25" customHeight="1" thickBot="1"/>
    <row r="2" spans="1:33" ht="27.75" customHeight="1">
      <c r="A2" s="265"/>
      <c r="B2" s="499" t="str">
        <f>IF(AND('Master Data'!D4=""),"",CONCATENATE("Office Name :- ",PROPER('Master Data'!D4)))</f>
        <v>Office Name :- Mahatma Gandhi Govt. School (English Medium) Bar, Pali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271"/>
      <c r="AB2" s="271"/>
      <c r="AC2" s="272"/>
    </row>
    <row r="3" spans="1:33" s="54" customFormat="1" ht="25.5" customHeight="1">
      <c r="A3" s="490" t="s">
        <v>115</v>
      </c>
      <c r="B3" s="491"/>
      <c r="C3" s="491"/>
      <c r="D3" s="492" t="str">
        <f>UPPER(IF('Master Data'!D6="","",'Master Data'!D6))</f>
        <v>HEERALAL JAT</v>
      </c>
      <c r="E3" s="492"/>
      <c r="F3" s="492"/>
      <c r="G3" s="492"/>
      <c r="H3" s="492"/>
      <c r="I3" s="489" t="s">
        <v>28</v>
      </c>
      <c r="J3" s="489"/>
      <c r="K3" s="489"/>
      <c r="L3" s="489"/>
      <c r="M3" s="512" t="str">
        <f>UPPER(IF('Master Data'!H6="","",'Master Data'!H6))</f>
        <v>SR TEACHER</v>
      </c>
      <c r="N3" s="512"/>
      <c r="O3" s="512"/>
      <c r="P3" s="512"/>
      <c r="Q3" s="491" t="s">
        <v>31</v>
      </c>
      <c r="R3" s="491"/>
      <c r="S3" s="491"/>
      <c r="T3" s="491"/>
      <c r="U3" s="512" t="str">
        <f>UPPER(IF('Master Data'!D8="","",'Master Data'!D8))</f>
        <v>M.G.G.S. BAR</v>
      </c>
      <c r="V3" s="512"/>
      <c r="W3" s="512"/>
      <c r="X3" s="512"/>
      <c r="Y3" s="512"/>
      <c r="Z3" s="512"/>
      <c r="AA3" s="512"/>
      <c r="AB3" s="513" t="s">
        <v>123</v>
      </c>
      <c r="AC3" s="514"/>
      <c r="AG3" s="55"/>
    </row>
    <row r="4" spans="1:33" s="54" customFormat="1" ht="23.25" customHeight="1">
      <c r="A4" s="509" t="s">
        <v>124</v>
      </c>
      <c r="B4" s="510"/>
      <c r="C4" s="511" t="str">
        <f>UPPER(IF('Master Data'!D12="","",'Master Data'!D12))</f>
        <v>ABCDE1234H</v>
      </c>
      <c r="D4" s="511"/>
      <c r="E4" s="511"/>
      <c r="F4" s="266" t="s">
        <v>125</v>
      </c>
      <c r="G4" s="511">
        <f>IF(AND('Master Data'!H14=""),"",'Master Data'!H14)</f>
        <v>123456</v>
      </c>
      <c r="H4" s="511"/>
      <c r="I4" s="511"/>
      <c r="J4" s="267" t="s">
        <v>6</v>
      </c>
      <c r="K4" s="496">
        <f>IF(AND('Master Data'!D14=""),"",'Master Data'!D14)</f>
        <v>11</v>
      </c>
      <c r="L4" s="496"/>
      <c r="M4" s="496"/>
      <c r="N4" s="496"/>
      <c r="O4" s="495" t="s">
        <v>40</v>
      </c>
      <c r="P4" s="495"/>
      <c r="Q4" s="495"/>
      <c r="R4" s="496">
        <f>IF(AND('Master Data'!D16=""),"",'Master Data'!D16)</f>
        <v>12134545454541</v>
      </c>
      <c r="S4" s="496"/>
      <c r="T4" s="496"/>
      <c r="U4" s="496"/>
      <c r="V4" s="496"/>
      <c r="W4" s="489" t="s">
        <v>446</v>
      </c>
      <c r="X4" s="489"/>
      <c r="Y4" s="489"/>
      <c r="Z4" s="489"/>
      <c r="AA4" s="500">
        <f>IF(AND('Master Data'!H16=""),"",'Master Data'!H16)</f>
        <v>121212121212121</v>
      </c>
      <c r="AB4" s="500"/>
      <c r="AC4" s="501"/>
      <c r="AG4" s="55"/>
    </row>
    <row r="5" spans="1:33" s="56" customFormat="1" ht="21.75" customHeight="1">
      <c r="A5" s="502" t="s">
        <v>126</v>
      </c>
      <c r="B5" s="503"/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4"/>
      <c r="N5" s="505" t="s">
        <v>127</v>
      </c>
      <c r="O5" s="503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6" t="str">
        <f>'GA55 Check &amp; Edit'!AC6</f>
        <v>NET PAY</v>
      </c>
      <c r="AB5" s="507" t="str">
        <f>'GA55 Check &amp; Edit'!AD6</f>
        <v>TV.NO.</v>
      </c>
      <c r="AC5" s="508" t="str">
        <f>'GA55 Check &amp; Edit'!AE6</f>
        <v>Enc.  DATE</v>
      </c>
      <c r="AG5" s="40"/>
    </row>
    <row r="6" spans="1:33" s="57" customFormat="1" ht="47.25" customHeight="1">
      <c r="A6" s="268" t="str">
        <f>IF(AND('GA55 Check &amp; Edit'!C6=""),"",'GA55 Check &amp; Edit'!C6)</f>
        <v>S.N.</v>
      </c>
      <c r="B6" s="257" t="str">
        <f>IF(AND('GA55 Check &amp; Edit'!D6=""),"",'GA55 Check &amp; Edit'!D6)</f>
        <v>Month</v>
      </c>
      <c r="C6" s="257" t="str">
        <f>IF(AND('GA55 Check &amp; Edit'!E6=""),"",'GA55 Check &amp; Edit'!E6)</f>
        <v>Basic with Grade Pay</v>
      </c>
      <c r="D6" s="257" t="str">
        <f>IF(AND('GA55 Check &amp; Edit'!F6=""),"",'GA55 Check &amp; Edit'!F6)</f>
        <v>DA</v>
      </c>
      <c r="E6" s="257" t="str">
        <f>IF(AND('GA55 Check &amp; Edit'!G6=""),"",'GA55 Check &amp; Edit'!G6)</f>
        <v>HRA</v>
      </c>
      <c r="F6" s="257" t="str">
        <f>IF(AND('GA55 Check &amp; Edit'!H6=""),"",'GA55 Check &amp; Edit'!H6)</f>
        <v>Wash All.</v>
      </c>
      <c r="G6" s="257" t="str">
        <f>IF(AND('GA55 Check &amp; Edit'!I6=""),"",'GA55 Check &amp; Edit'!I6)</f>
        <v>Handi. All.</v>
      </c>
      <c r="H6" s="257" t="str">
        <f>IF(AND('GA55 Check &amp; Edit'!J6=""),"",'GA55 Check &amp; Edit'!J6)</f>
        <v>CCA</v>
      </c>
      <c r="I6" s="257" t="str">
        <f>IF(AND('GA55 Check &amp; Edit'!K6=""),"",'GA55 Check &amp; Edit'!K6)</f>
        <v>other-1</v>
      </c>
      <c r="J6" s="257" t="str">
        <f>IF(AND('GA55 Check &amp; Edit'!L6=""),"",'GA55 Check &amp; Edit'!L6)</f>
        <v>other-2</v>
      </c>
      <c r="K6" s="257" t="str">
        <f>IF(AND('GA55 Check &amp; Edit'!M6=""),"",'GA55 Check &amp; Edit'!M6)</f>
        <v>Bonus</v>
      </c>
      <c r="L6" s="257" t="str">
        <f>IF(AND('GA55 Check &amp; Edit'!N6=""),"",'GA55 Check &amp; Edit'!N6)</f>
        <v>N.P.S. By Govt.</v>
      </c>
      <c r="M6" s="257" t="str">
        <f>IF(AND('GA55 Check &amp; Edit'!O6=""),"",'GA55 Check &amp; Edit'!O6)</f>
        <v>TOTAL</v>
      </c>
      <c r="N6" s="257" t="str">
        <f>IF(AND('GA55 Check &amp; Edit'!P6=""),"",'GA55 Check &amp; Edit'!P6)</f>
        <v>SI</v>
      </c>
      <c r="O6" s="257" t="str">
        <f>IF(AND('GA55 Check &amp; Edit'!Q6=""),"",'GA55 Check &amp; Edit'!Q6)</f>
        <v>GPF / NPS</v>
      </c>
      <c r="P6" s="257" t="str">
        <f>IF(AND('GA55 Check &amp; Edit'!R6=""),"",'GA55 Check &amp; Edit'!R6)</f>
        <v>L.I.C.</v>
      </c>
      <c r="Q6" s="257" t="str">
        <f>IF(AND('GA55 Check &amp; Edit'!S6=""),"",'GA55 Check &amp; Edit'!S6)</f>
        <v>RPMF / RGHS</v>
      </c>
      <c r="R6" s="257" t="str">
        <f>IF(AND('GA55 Check &amp; Edit'!T6=""),"",'GA55 Check &amp; Edit'!T6)</f>
        <v>SI Loan</v>
      </c>
      <c r="S6" s="257" t="str">
        <f>IF(AND('GA55 Check &amp; Edit'!U6=""),"",'GA55 Check &amp; Edit'!U6)</f>
        <v>GPF Loan</v>
      </c>
      <c r="T6" s="257" t="str">
        <f>IF(AND('GA55 Check &amp; Edit'!V6=""),"",'GA55 Check &amp; Edit'!V6)</f>
        <v>GPF 2004 (NPS)</v>
      </c>
      <c r="U6" s="257" t="str">
        <f>IF(AND('GA55 Check &amp; Edit'!W6=""),"",'GA55 Check &amp; Edit'!W6)</f>
        <v>SI Int.</v>
      </c>
      <c r="V6" s="366" t="str">
        <f>IF(AND('GA55 Check &amp; Edit'!X6=""),"",'GA55 Check &amp; Edit'!X6)</f>
        <v>HITKARI NIDHI</v>
      </c>
      <c r="W6" s="257" t="str">
        <f>IF(AND('GA55 Check &amp; Edit'!Y6=""),"",'GA55 Check &amp; Edit'!Y6)</f>
        <v xml:space="preserve">Other </v>
      </c>
      <c r="X6" s="257" t="str">
        <f>IF(AND('GA55 Check &amp; Edit'!Z6=""),"",'GA55 Check &amp; Edit'!Z6)</f>
        <v>Income Tax</v>
      </c>
      <c r="Y6" s="257" t="str">
        <f>IF(AND('GA55 Check &amp; Edit'!AA6=""),"",'GA55 Check &amp; Edit'!AA6)</f>
        <v>G.I. + S. Tax</v>
      </c>
      <c r="Z6" s="257" t="str">
        <f>IF(AND('GA55 Check &amp; Edit'!AB6=""),"",'GA55 Check &amp; Edit'!AB6)</f>
        <v>Total Ded.</v>
      </c>
      <c r="AA6" s="506"/>
      <c r="AB6" s="507"/>
      <c r="AC6" s="508"/>
      <c r="AG6" s="58"/>
    </row>
    <row r="7" spans="1:33" ht="21.95" customHeight="1">
      <c r="A7" s="59">
        <v>1</v>
      </c>
      <c r="B7" s="258">
        <f>IF(AND('GA55 Check &amp; Edit'!D8=""),"",'GA55 Check &amp; Edit'!D8)</f>
        <v>44256</v>
      </c>
      <c r="C7" s="259">
        <f>IF(AND('GA55 Check &amp; Edit'!E8=""),"",'GA55 Check &amp; Edit'!E8)</f>
        <v>50800</v>
      </c>
      <c r="D7" s="259">
        <f>IF(AND('GA55 Check &amp; Edit'!F8=""),"",'GA55 Check &amp; Edit'!F8)</f>
        <v>8636</v>
      </c>
      <c r="E7" s="259">
        <f>IF(AND('GA55 Check &amp; Edit'!G8=""),"",'GA55 Check &amp; Edit'!G8)</f>
        <v>4064</v>
      </c>
      <c r="F7" s="259">
        <f>IF(AND('GA55 Check &amp; Edit'!H8=""),"",'GA55 Check &amp; Edit'!H8)</f>
        <v>0</v>
      </c>
      <c r="G7" s="259" t="str">
        <f>IF(AND('GA55 Check &amp; Edit'!I8=""),"",'GA55 Check &amp; Edit'!I8)</f>
        <v>0</v>
      </c>
      <c r="H7" s="259" t="str">
        <f>IF(AND('GA55 Check &amp; Edit'!J8=""),"",'GA55 Check &amp; Edit'!J8)</f>
        <v/>
      </c>
      <c r="I7" s="259">
        <f>IF(AND('GA55 Check &amp; Edit'!K8=""),"",'GA55 Check &amp; Edit'!K8)</f>
        <v>0</v>
      </c>
      <c r="J7" s="259">
        <f>IF(AND('GA55 Check &amp; Edit'!L8=""),"",'GA55 Check &amp; Edit'!L8)</f>
        <v>0</v>
      </c>
      <c r="K7" s="259" t="str">
        <f>IF(AND('GA55 Check &amp; Edit'!M8=""),"",'GA55 Check &amp; Edit'!M8)</f>
        <v/>
      </c>
      <c r="L7" s="259">
        <f>IF(AND('GA55 Check &amp; Edit'!N8=""),"",'GA55 Check &amp; Edit'!N8)</f>
        <v>5944</v>
      </c>
      <c r="M7" s="259">
        <f>IF(B7="","",IF('Master Data'!$H$18='GA55 Check &amp; Edit'!$AO$5,SUM(C7:L7),SUM(C7:K7)))</f>
        <v>63500</v>
      </c>
      <c r="N7" s="259">
        <f>IF(AND('GA55 Check &amp; Edit'!P8=""),"",'GA55 Check &amp; Edit'!P8)</f>
        <v>7000</v>
      </c>
      <c r="O7" s="259">
        <f>IF(AND('GA55 Check &amp; Edit'!Q8=""),"",'GA55 Check &amp; Edit'!Q8)</f>
        <v>5944</v>
      </c>
      <c r="P7" s="259">
        <f>IF(AND('GA55 Check &amp; Edit'!R8=""),"",'GA55 Check &amp; Edit'!R8)</f>
        <v>1880</v>
      </c>
      <c r="Q7" s="259">
        <f>IF(AND('GA55 Check &amp; Edit'!S8=""),"",'GA55 Check &amp; Edit'!S8)</f>
        <v>0</v>
      </c>
      <c r="R7" s="259">
        <f>IF(AND('GA55 Check &amp; Edit'!T8=""),"",'GA55 Check &amp; Edit'!T8)</f>
        <v>0</v>
      </c>
      <c r="S7" s="259">
        <f>IF(AND('GA55 Check &amp; Edit'!U8=""),"",'GA55 Check &amp; Edit'!U8)</f>
        <v>0</v>
      </c>
      <c r="T7" s="259">
        <f>IF(AND('GA55 Check &amp; Edit'!V8=""),"",'GA55 Check &amp; Edit'!V8)</f>
        <v>0</v>
      </c>
      <c r="U7" s="259">
        <f>IF(AND('GA55 Check &amp; Edit'!W8=""),"",'GA55 Check &amp; Edit'!W8)</f>
        <v>0</v>
      </c>
      <c r="V7" s="259" t="str">
        <f>IF(AND('GA55 Check &amp; Edit'!X8=""),"",'GA55 Check &amp; Edit'!X8)</f>
        <v/>
      </c>
      <c r="W7" s="259">
        <f>IF(AND('GA55 Check &amp; Edit'!Y8=""),"",'GA55 Check &amp; Edit'!Y8)</f>
        <v>0</v>
      </c>
      <c r="X7" s="259">
        <f>IF(AND('GA55 Check &amp; Edit'!Z8=""),"",'GA55 Check &amp; Edit'!Z8)</f>
        <v>0</v>
      </c>
      <c r="Y7" s="259" t="str">
        <f>IF(AND('GA55 Check &amp; Edit'!AA8=""),"",'GA55 Check &amp; Edit'!AA8)</f>
        <v/>
      </c>
      <c r="Z7" s="259">
        <f>IFERROR(IF(B7="","",IF(L7="",SUM(N7:Y7),IF('Master Data'!$H$18='GA55 Check &amp; Edit'!$AO$5,SUM(N7:Y7)+L7,SUM(N7:Y7)))),0)</f>
        <v>14824</v>
      </c>
      <c r="AA7" s="259">
        <f>IFERROR(IF(AND(C7="",M7="",Z7=""),"",SUM(M7-Z7)),"")</f>
        <v>48676</v>
      </c>
      <c r="AB7" s="259"/>
      <c r="AC7" s="262"/>
    </row>
    <row r="8" spans="1:33" ht="21.95" customHeight="1">
      <c r="A8" s="59">
        <v>2</v>
      </c>
      <c r="B8" s="258">
        <f>IF(AND('GA55 Check &amp; Edit'!D9=""),"",'GA55 Check &amp; Edit'!D9)</f>
        <v>44287</v>
      </c>
      <c r="C8" s="259">
        <f>IF(AND('GA55 Check &amp; Edit'!E9=""),"",'GA55 Check &amp; Edit'!E9)</f>
        <v>50800</v>
      </c>
      <c r="D8" s="259">
        <f>IF(AND('GA55 Check &amp; Edit'!F9=""),"",'GA55 Check &amp; Edit'!F9)</f>
        <v>8636</v>
      </c>
      <c r="E8" s="259">
        <f>IF(AND('GA55 Check &amp; Edit'!G9=""),"",'GA55 Check &amp; Edit'!G9)</f>
        <v>4064</v>
      </c>
      <c r="F8" s="259">
        <f>IF(AND('GA55 Check &amp; Edit'!H9=""),"",'GA55 Check &amp; Edit'!H9)</f>
        <v>0</v>
      </c>
      <c r="G8" s="259" t="str">
        <f>IF(AND('GA55 Check &amp; Edit'!I9=""),"",'GA55 Check &amp; Edit'!I9)</f>
        <v>0</v>
      </c>
      <c r="H8" s="259" t="str">
        <f>IF(AND('GA55 Check &amp; Edit'!J9=""),"",'GA55 Check &amp; Edit'!J9)</f>
        <v/>
      </c>
      <c r="I8" s="259">
        <f>IF(AND('GA55 Check &amp; Edit'!K9=""),"",'GA55 Check &amp; Edit'!K9)</f>
        <v>0</v>
      </c>
      <c r="J8" s="259">
        <f>IF(AND('GA55 Check &amp; Edit'!L9=""),"",'GA55 Check &amp; Edit'!L9)</f>
        <v>0</v>
      </c>
      <c r="K8" s="259" t="str">
        <f>IF(AND('GA55 Check &amp; Edit'!M9=""),"",'GA55 Check &amp; Edit'!M9)</f>
        <v/>
      </c>
      <c r="L8" s="259">
        <f>IF(AND('GA55 Check &amp; Edit'!N9=""),"",'GA55 Check &amp; Edit'!N9)</f>
        <v>5944</v>
      </c>
      <c r="M8" s="259">
        <f>IF(B8="","",IF('Master Data'!$H$18='GA55 Check &amp; Edit'!$AO$5,SUM(C8:L8),SUM(C8:K8)))</f>
        <v>63500</v>
      </c>
      <c r="N8" s="259">
        <f>IF(AND('GA55 Check &amp; Edit'!P9=""),"",'GA55 Check &amp; Edit'!P9)</f>
        <v>7000</v>
      </c>
      <c r="O8" s="259">
        <f>IF(AND('GA55 Check &amp; Edit'!Q9=""),"",'GA55 Check &amp; Edit'!Q9)</f>
        <v>5944</v>
      </c>
      <c r="P8" s="259">
        <f>IF(AND('GA55 Check &amp; Edit'!R9=""),"",'GA55 Check &amp; Edit'!R9)</f>
        <v>1880</v>
      </c>
      <c r="Q8" s="259">
        <f>IF(AND('GA55 Check &amp; Edit'!S9=""),"",'GA55 Check &amp; Edit'!S9)</f>
        <v>0</v>
      </c>
      <c r="R8" s="259">
        <f>IF(AND('GA55 Check &amp; Edit'!T9=""),"",'GA55 Check &amp; Edit'!T9)</f>
        <v>0</v>
      </c>
      <c r="S8" s="259">
        <f>IF(AND('GA55 Check &amp; Edit'!U9=""),"",'GA55 Check &amp; Edit'!U9)</f>
        <v>0</v>
      </c>
      <c r="T8" s="259">
        <f>IF(AND('GA55 Check &amp; Edit'!V9=""),"",'GA55 Check &amp; Edit'!V9)</f>
        <v>0</v>
      </c>
      <c r="U8" s="259">
        <f>IF(AND('GA55 Check &amp; Edit'!W9=""),"",'GA55 Check &amp; Edit'!W9)</f>
        <v>0</v>
      </c>
      <c r="V8" s="259" t="str">
        <f>IF(AND('GA55 Check &amp; Edit'!X9=""),"",'GA55 Check &amp; Edit'!X9)</f>
        <v/>
      </c>
      <c r="W8" s="259">
        <f>IF(AND('GA55 Check &amp; Edit'!Y9=""),"",'GA55 Check &amp; Edit'!Y9)</f>
        <v>0</v>
      </c>
      <c r="X8" s="259">
        <f>IF(AND('GA55 Check &amp; Edit'!Z9=""),"",'GA55 Check &amp; Edit'!Z9)</f>
        <v>1500</v>
      </c>
      <c r="Y8" s="259">
        <f>IF(AND('GA55 Check &amp; Edit'!AA9=""),"",'GA55 Check &amp; Edit'!AA9)</f>
        <v>220</v>
      </c>
      <c r="Z8" s="259">
        <f>IFERROR(IF(B8="","",IF(L8="",SUM(N8:Y8),IF('Master Data'!$H$18='GA55 Check &amp; Edit'!$AO$5,SUM(N8:Y8)+L8,SUM(N8:Y8)))),0)</f>
        <v>16544</v>
      </c>
      <c r="AA8" s="259">
        <f t="shared" ref="AA8:AA27" si="0">IFERROR(IF(AND(C8="",M8="",Z8=""),"",SUM(M8-Z8)),"")</f>
        <v>46956</v>
      </c>
      <c r="AB8" s="259"/>
      <c r="AC8" s="262"/>
    </row>
    <row r="9" spans="1:33" ht="21.95" customHeight="1">
      <c r="A9" s="59">
        <v>3</v>
      </c>
      <c r="B9" s="258">
        <f>IF(AND('GA55 Check &amp; Edit'!D10=""),"",'GA55 Check &amp; Edit'!D10)</f>
        <v>44317</v>
      </c>
      <c r="C9" s="259">
        <f>IF(AND('GA55 Check &amp; Edit'!E10=""),"",'GA55 Check &amp; Edit'!E10)</f>
        <v>50800</v>
      </c>
      <c r="D9" s="259">
        <f>IF(AND('GA55 Check &amp; Edit'!F10=""),"",'GA55 Check &amp; Edit'!F10)</f>
        <v>8636</v>
      </c>
      <c r="E9" s="259">
        <f>IF(AND('GA55 Check &amp; Edit'!G10=""),"",'GA55 Check &amp; Edit'!G10)</f>
        <v>4064</v>
      </c>
      <c r="F9" s="259">
        <f>IF(AND('GA55 Check &amp; Edit'!H10=""),"",'GA55 Check &amp; Edit'!H10)</f>
        <v>0</v>
      </c>
      <c r="G9" s="259" t="str">
        <f>IF(AND('GA55 Check &amp; Edit'!I10=""),"",'GA55 Check &amp; Edit'!I10)</f>
        <v>0</v>
      </c>
      <c r="H9" s="259" t="str">
        <f>IF(AND('GA55 Check &amp; Edit'!J10=""),"",'GA55 Check &amp; Edit'!J10)</f>
        <v/>
      </c>
      <c r="I9" s="259">
        <f>IF(AND('GA55 Check &amp; Edit'!K10=""),"",'GA55 Check &amp; Edit'!K10)</f>
        <v>0</v>
      </c>
      <c r="J9" s="259">
        <f>IF(AND('GA55 Check &amp; Edit'!L10=""),"",'GA55 Check &amp; Edit'!L10)</f>
        <v>0</v>
      </c>
      <c r="K9" s="259" t="str">
        <f>IF(AND('GA55 Check &amp; Edit'!M10=""),"",'GA55 Check &amp; Edit'!M10)</f>
        <v/>
      </c>
      <c r="L9" s="259">
        <f>IF(AND('GA55 Check &amp; Edit'!N10=""),"",'GA55 Check &amp; Edit'!N10)</f>
        <v>5944</v>
      </c>
      <c r="M9" s="259">
        <f>IF(B9="","",IF('Master Data'!$H$18='GA55 Check &amp; Edit'!$AO$5,SUM(C9:L9),SUM(C9:K9)))</f>
        <v>63500</v>
      </c>
      <c r="N9" s="259">
        <f>IF(AND('GA55 Check &amp; Edit'!P10=""),"",'GA55 Check &amp; Edit'!P10)</f>
        <v>7000</v>
      </c>
      <c r="O9" s="259">
        <f>IF(AND('GA55 Check &amp; Edit'!Q10=""),"",'GA55 Check &amp; Edit'!Q10)</f>
        <v>5944</v>
      </c>
      <c r="P9" s="259">
        <f>IF(AND('GA55 Check &amp; Edit'!R10=""),"",'GA55 Check &amp; Edit'!R10)</f>
        <v>1880</v>
      </c>
      <c r="Q9" s="259">
        <f>IF(AND('GA55 Check &amp; Edit'!S10=""),"",'GA55 Check &amp; Edit'!S10)</f>
        <v>0</v>
      </c>
      <c r="R9" s="259">
        <f>IF(AND('GA55 Check &amp; Edit'!T10=""),"",'GA55 Check &amp; Edit'!T10)</f>
        <v>0</v>
      </c>
      <c r="S9" s="259">
        <f>IF(AND('GA55 Check &amp; Edit'!U10=""),"",'GA55 Check &amp; Edit'!U10)</f>
        <v>0</v>
      </c>
      <c r="T9" s="259">
        <f>IF(AND('GA55 Check &amp; Edit'!V10=""),"",'GA55 Check &amp; Edit'!V10)</f>
        <v>0</v>
      </c>
      <c r="U9" s="259">
        <f>IF(AND('GA55 Check &amp; Edit'!W10=""),"",'GA55 Check &amp; Edit'!W10)</f>
        <v>0</v>
      </c>
      <c r="V9" s="259" t="str">
        <f>IF(AND('GA55 Check &amp; Edit'!X10=""),"",'GA55 Check &amp; Edit'!X10)</f>
        <v/>
      </c>
      <c r="W9" s="259">
        <f>IF(AND('GA55 Check &amp; Edit'!Y10=""),"",'GA55 Check &amp; Edit'!Y10)</f>
        <v>0</v>
      </c>
      <c r="X9" s="259">
        <f>IF(AND('GA55 Check &amp; Edit'!Z10=""),"",'GA55 Check &amp; Edit'!Z10)</f>
        <v>1500</v>
      </c>
      <c r="Y9" s="259" t="str">
        <f>IF(AND('GA55 Check &amp; Edit'!AA10=""),"",'GA55 Check &amp; Edit'!AA10)</f>
        <v/>
      </c>
      <c r="Z9" s="259">
        <f>IFERROR(IF(B9="","",IF(L9="",SUM(N9:Y9),IF('Master Data'!$H$18='GA55 Check &amp; Edit'!$AO$5,SUM(N9:Y9)+L9,SUM(N9:Y9)))),0)</f>
        <v>16324</v>
      </c>
      <c r="AA9" s="259">
        <f t="shared" si="0"/>
        <v>47176</v>
      </c>
      <c r="AB9" s="259"/>
      <c r="AC9" s="262"/>
    </row>
    <row r="10" spans="1:33" ht="21.95" customHeight="1">
      <c r="A10" s="59">
        <v>4</v>
      </c>
      <c r="B10" s="258">
        <f>IF(AND('GA55 Check &amp; Edit'!D11=""),"",'GA55 Check &amp; Edit'!D11)</f>
        <v>44348</v>
      </c>
      <c r="C10" s="259">
        <f>IF(AND('GA55 Check &amp; Edit'!E11=""),"",'GA55 Check &amp; Edit'!E11)</f>
        <v>50800</v>
      </c>
      <c r="D10" s="259">
        <f>IF(AND('GA55 Check &amp; Edit'!F11=""),"",'GA55 Check &amp; Edit'!F11)</f>
        <v>8636</v>
      </c>
      <c r="E10" s="259">
        <f>IF(AND('GA55 Check &amp; Edit'!G11=""),"",'GA55 Check &amp; Edit'!G11)</f>
        <v>4064</v>
      </c>
      <c r="F10" s="259">
        <f>IF(AND('GA55 Check &amp; Edit'!H11=""),"",'GA55 Check &amp; Edit'!H11)</f>
        <v>0</v>
      </c>
      <c r="G10" s="259" t="str">
        <f>IF(AND('GA55 Check &amp; Edit'!I11=""),"",'GA55 Check &amp; Edit'!I11)</f>
        <v>0</v>
      </c>
      <c r="H10" s="259" t="str">
        <f>IF(AND('GA55 Check &amp; Edit'!J11=""),"",'GA55 Check &amp; Edit'!J11)</f>
        <v/>
      </c>
      <c r="I10" s="259">
        <f>IF(AND('GA55 Check &amp; Edit'!K11=""),"",'GA55 Check &amp; Edit'!K11)</f>
        <v>0</v>
      </c>
      <c r="J10" s="259">
        <f>IF(AND('GA55 Check &amp; Edit'!L11=""),"",'GA55 Check &amp; Edit'!L11)</f>
        <v>0</v>
      </c>
      <c r="K10" s="259" t="str">
        <f>IF(AND('GA55 Check &amp; Edit'!M11=""),"",'GA55 Check &amp; Edit'!M11)</f>
        <v/>
      </c>
      <c r="L10" s="259">
        <f>IF(AND('GA55 Check &amp; Edit'!N11=""),"",'GA55 Check &amp; Edit'!N11)</f>
        <v>5944</v>
      </c>
      <c r="M10" s="259">
        <f>IF(B10="","",IF('Master Data'!$H$18='GA55 Check &amp; Edit'!$AO$5,SUM(C10:L10),SUM(C10:K10)))</f>
        <v>63500</v>
      </c>
      <c r="N10" s="259">
        <f>IF(AND('GA55 Check &amp; Edit'!P11=""),"",'GA55 Check &amp; Edit'!P11)</f>
        <v>7000</v>
      </c>
      <c r="O10" s="259">
        <f>IF(AND('GA55 Check &amp; Edit'!Q11=""),"",'GA55 Check &amp; Edit'!Q11)</f>
        <v>5944</v>
      </c>
      <c r="P10" s="259">
        <f>IF(AND('GA55 Check &amp; Edit'!R11=""),"",'GA55 Check &amp; Edit'!R11)</f>
        <v>1880</v>
      </c>
      <c r="Q10" s="259">
        <f>IF(AND('GA55 Check &amp; Edit'!S11=""),"",'GA55 Check &amp; Edit'!S11)</f>
        <v>0</v>
      </c>
      <c r="R10" s="259">
        <f>IF(AND('GA55 Check &amp; Edit'!T11=""),"",'GA55 Check &amp; Edit'!T11)</f>
        <v>0</v>
      </c>
      <c r="S10" s="259">
        <f>IF(AND('GA55 Check &amp; Edit'!U11=""),"",'GA55 Check &amp; Edit'!U11)</f>
        <v>0</v>
      </c>
      <c r="T10" s="259">
        <f>IF(AND('GA55 Check &amp; Edit'!V11=""),"",'GA55 Check &amp; Edit'!V11)</f>
        <v>0</v>
      </c>
      <c r="U10" s="259">
        <f>IF(AND('GA55 Check &amp; Edit'!W11=""),"",'GA55 Check &amp; Edit'!W11)</f>
        <v>0</v>
      </c>
      <c r="V10" s="259" t="str">
        <f>IF(AND('GA55 Check &amp; Edit'!X11=""),"",'GA55 Check &amp; Edit'!X11)</f>
        <v/>
      </c>
      <c r="W10" s="259">
        <f>IF(AND('GA55 Check &amp; Edit'!Y11=""),"",'GA55 Check &amp; Edit'!Y11)</f>
        <v>0</v>
      </c>
      <c r="X10" s="259">
        <f>IF(AND('GA55 Check &amp; Edit'!Z11=""),"",'GA55 Check &amp; Edit'!Z11)</f>
        <v>1500</v>
      </c>
      <c r="Y10" s="259" t="str">
        <f>IF(AND('GA55 Check &amp; Edit'!AA11=""),"",'GA55 Check &amp; Edit'!AA11)</f>
        <v/>
      </c>
      <c r="Z10" s="259">
        <f>IFERROR(IF(B10="","",IF(L10="",SUM(N10:Y10),IF('Master Data'!$H$18='GA55 Check &amp; Edit'!$AO$5,SUM(N10:Y10)+L10,SUM(N10:Y10)))),0)</f>
        <v>16324</v>
      </c>
      <c r="AA10" s="259">
        <f t="shared" si="0"/>
        <v>47176</v>
      </c>
      <c r="AB10" s="259"/>
      <c r="AC10" s="262"/>
    </row>
    <row r="11" spans="1:33" ht="21.95" customHeight="1">
      <c r="A11" s="59">
        <v>5</v>
      </c>
      <c r="B11" s="258">
        <f>IF(AND('GA55 Check &amp; Edit'!D12=""),"",'GA55 Check &amp; Edit'!D12)</f>
        <v>44378</v>
      </c>
      <c r="C11" s="259">
        <f>IF(AND('GA55 Check &amp; Edit'!E12=""),"",'GA55 Check &amp; Edit'!E12)</f>
        <v>52300</v>
      </c>
      <c r="D11" s="259">
        <f>IF(AND('GA55 Check &amp; Edit'!F12=""),"",'GA55 Check &amp; Edit'!F12)</f>
        <v>14644</v>
      </c>
      <c r="E11" s="259">
        <f>IF(AND('GA55 Check &amp; Edit'!G12=""),"",'GA55 Check &amp; Edit'!G12)</f>
        <v>4184</v>
      </c>
      <c r="F11" s="259">
        <f>IF(AND('GA55 Check &amp; Edit'!H12=""),"",'GA55 Check &amp; Edit'!H12)</f>
        <v>0</v>
      </c>
      <c r="G11" s="259" t="str">
        <f>IF(AND('GA55 Check &amp; Edit'!I12=""),"",'GA55 Check &amp; Edit'!I12)</f>
        <v>0</v>
      </c>
      <c r="H11" s="259" t="str">
        <f>IF(AND('GA55 Check &amp; Edit'!J12=""),"",'GA55 Check &amp; Edit'!J12)</f>
        <v/>
      </c>
      <c r="I11" s="259">
        <f>IF(AND('GA55 Check &amp; Edit'!K12=""),"",'GA55 Check &amp; Edit'!K12)</f>
        <v>0</v>
      </c>
      <c r="J11" s="259">
        <f>IF(AND('GA55 Check &amp; Edit'!L12=""),"",'GA55 Check &amp; Edit'!L12)</f>
        <v>0</v>
      </c>
      <c r="K11" s="259" t="str">
        <f>IF(AND('GA55 Check &amp; Edit'!M12=""),"",'GA55 Check &amp; Edit'!M12)</f>
        <v/>
      </c>
      <c r="L11" s="259">
        <f>IF(AND('GA55 Check &amp; Edit'!N12=""),"",'GA55 Check &amp; Edit'!N12)</f>
        <v>6694</v>
      </c>
      <c r="M11" s="259">
        <f>IF(B11="","",IF('Master Data'!$H$18='GA55 Check &amp; Edit'!$AO$5,SUM(C11:L11),SUM(C11:K11)))</f>
        <v>71128</v>
      </c>
      <c r="N11" s="259">
        <f>IF(AND('GA55 Check &amp; Edit'!P12=""),"",'GA55 Check &amp; Edit'!P12)</f>
        <v>7000</v>
      </c>
      <c r="O11" s="259">
        <f>IF(AND('GA55 Check &amp; Edit'!Q12=""),"",'GA55 Check &amp; Edit'!Q12)</f>
        <v>6694</v>
      </c>
      <c r="P11" s="259">
        <f>IF(AND('GA55 Check &amp; Edit'!R12=""),"",'GA55 Check &amp; Edit'!R12)</f>
        <v>1880</v>
      </c>
      <c r="Q11" s="259">
        <f>IF(AND('GA55 Check &amp; Edit'!S12=""),"",'GA55 Check &amp; Edit'!S12)</f>
        <v>0</v>
      </c>
      <c r="R11" s="259">
        <f>IF(AND('GA55 Check &amp; Edit'!T12=""),"",'GA55 Check &amp; Edit'!T12)</f>
        <v>0</v>
      </c>
      <c r="S11" s="259">
        <f>IF(AND('GA55 Check &amp; Edit'!U12=""),"",'GA55 Check &amp; Edit'!U12)</f>
        <v>0</v>
      </c>
      <c r="T11" s="259">
        <f>IF(AND('GA55 Check &amp; Edit'!V12=""),"",'GA55 Check &amp; Edit'!V12)</f>
        <v>0</v>
      </c>
      <c r="U11" s="259">
        <f>IF(AND('GA55 Check &amp; Edit'!W12=""),"",'GA55 Check &amp; Edit'!W12)</f>
        <v>0</v>
      </c>
      <c r="V11" s="259" t="str">
        <f>IF(AND('GA55 Check &amp; Edit'!X12=""),"",'GA55 Check &amp; Edit'!X12)</f>
        <v/>
      </c>
      <c r="W11" s="259">
        <f>IF(AND('GA55 Check &amp; Edit'!Y12=""),"",'GA55 Check &amp; Edit'!Y12)</f>
        <v>0</v>
      </c>
      <c r="X11" s="259">
        <f>IF(AND('GA55 Check &amp; Edit'!Z12=""),"",'GA55 Check &amp; Edit'!Z12)</f>
        <v>1500</v>
      </c>
      <c r="Y11" s="259" t="str">
        <f>IF(AND('GA55 Check &amp; Edit'!AA12=""),"",'GA55 Check &amp; Edit'!AA12)</f>
        <v/>
      </c>
      <c r="Z11" s="259">
        <f>IFERROR(IF(B11="","",IF(L11="",SUM(N11:Y11),IF('Master Data'!$H$18='GA55 Check &amp; Edit'!$AO$5,SUM(N11:Y11)+L11,SUM(N11:Y11)))),0)</f>
        <v>17074</v>
      </c>
      <c r="AA11" s="259">
        <f t="shared" si="0"/>
        <v>54054</v>
      </c>
      <c r="AB11" s="259"/>
      <c r="AC11" s="262"/>
    </row>
    <row r="12" spans="1:33" ht="21.95" customHeight="1">
      <c r="A12" s="59">
        <v>6</v>
      </c>
      <c r="B12" s="258">
        <f>IF(AND('GA55 Check &amp; Edit'!D13=""),"",'GA55 Check &amp; Edit'!D13)</f>
        <v>44409</v>
      </c>
      <c r="C12" s="259">
        <f>IF(AND('GA55 Check &amp; Edit'!E13=""),"",'GA55 Check &amp; Edit'!E13)</f>
        <v>52300</v>
      </c>
      <c r="D12" s="259">
        <f>IF(AND('GA55 Check &amp; Edit'!F13=""),"",'GA55 Check &amp; Edit'!F13)</f>
        <v>14644</v>
      </c>
      <c r="E12" s="259">
        <f>IF(AND('GA55 Check &amp; Edit'!G13=""),"",'GA55 Check &amp; Edit'!G13)</f>
        <v>4707</v>
      </c>
      <c r="F12" s="259">
        <f>IF(AND('GA55 Check &amp; Edit'!H13=""),"",'GA55 Check &amp; Edit'!H13)</f>
        <v>0</v>
      </c>
      <c r="G12" s="259" t="str">
        <f>IF(AND('GA55 Check &amp; Edit'!I13=""),"",'GA55 Check &amp; Edit'!I13)</f>
        <v>0</v>
      </c>
      <c r="H12" s="259" t="str">
        <f>IF(AND('GA55 Check &amp; Edit'!J13=""),"",'GA55 Check &amp; Edit'!J13)</f>
        <v/>
      </c>
      <c r="I12" s="259">
        <f>IF(AND('GA55 Check &amp; Edit'!K13=""),"",'GA55 Check &amp; Edit'!K13)</f>
        <v>0</v>
      </c>
      <c r="J12" s="259">
        <f>IF(AND('GA55 Check &amp; Edit'!L13=""),"",'GA55 Check &amp; Edit'!L13)</f>
        <v>0</v>
      </c>
      <c r="K12" s="259" t="str">
        <f>IF(AND('GA55 Check &amp; Edit'!M13=""),"",'GA55 Check &amp; Edit'!M13)</f>
        <v/>
      </c>
      <c r="L12" s="259">
        <f>IF(AND('GA55 Check &amp; Edit'!N13=""),"",'GA55 Check &amp; Edit'!N13)</f>
        <v>6694</v>
      </c>
      <c r="M12" s="259">
        <f>IF(B12="","",IF('Master Data'!$H$18='GA55 Check &amp; Edit'!$AO$5,SUM(C12:L12),SUM(C12:K12)))</f>
        <v>71651</v>
      </c>
      <c r="N12" s="259">
        <f>IF(AND('GA55 Check &amp; Edit'!P13=""),"",'GA55 Check &amp; Edit'!P13)</f>
        <v>7000</v>
      </c>
      <c r="O12" s="259">
        <f>IF(AND('GA55 Check &amp; Edit'!Q13=""),"",'GA55 Check &amp; Edit'!Q13)</f>
        <v>6694</v>
      </c>
      <c r="P12" s="259">
        <f>IF(AND('GA55 Check &amp; Edit'!R13=""),"",'GA55 Check &amp; Edit'!R13)</f>
        <v>1880</v>
      </c>
      <c r="Q12" s="259">
        <f>IF(AND('GA55 Check &amp; Edit'!S13=""),"",'GA55 Check &amp; Edit'!S13)</f>
        <v>0</v>
      </c>
      <c r="R12" s="259">
        <f>IF(AND('GA55 Check &amp; Edit'!T13=""),"",'GA55 Check &amp; Edit'!T13)</f>
        <v>0</v>
      </c>
      <c r="S12" s="259">
        <f>IF(AND('GA55 Check &amp; Edit'!U13=""),"",'GA55 Check &amp; Edit'!U13)</f>
        <v>0</v>
      </c>
      <c r="T12" s="259">
        <f>IF(AND('GA55 Check &amp; Edit'!V13=""),"",'GA55 Check &amp; Edit'!V13)</f>
        <v>0</v>
      </c>
      <c r="U12" s="259">
        <f>IF(AND('GA55 Check &amp; Edit'!W13=""),"",'GA55 Check &amp; Edit'!W13)</f>
        <v>0</v>
      </c>
      <c r="V12" s="259" t="str">
        <f>IF(AND('GA55 Check &amp; Edit'!X13=""),"",'GA55 Check &amp; Edit'!X13)</f>
        <v/>
      </c>
      <c r="W12" s="259">
        <f>IF(AND('GA55 Check &amp; Edit'!Y13=""),"",'GA55 Check &amp; Edit'!Y13)</f>
        <v>0</v>
      </c>
      <c r="X12" s="259">
        <f>IF(AND('GA55 Check &amp; Edit'!Z13=""),"",'GA55 Check &amp; Edit'!Z13)</f>
        <v>1500</v>
      </c>
      <c r="Y12" s="259" t="str">
        <f>IF(AND('GA55 Check &amp; Edit'!AA13=""),"",'GA55 Check &amp; Edit'!AA13)</f>
        <v/>
      </c>
      <c r="Z12" s="259">
        <f>IFERROR(IF(B12="","",IF(L12="",SUM(N12:Y12),IF('Master Data'!$H$18='GA55 Check &amp; Edit'!$AO$5,SUM(N12:Y12)+L12,SUM(N12:Y12)))),0)</f>
        <v>17074</v>
      </c>
      <c r="AA12" s="259">
        <f t="shared" si="0"/>
        <v>54577</v>
      </c>
      <c r="AB12" s="259"/>
      <c r="AC12" s="262"/>
    </row>
    <row r="13" spans="1:33" ht="21.95" customHeight="1">
      <c r="A13" s="59">
        <v>7</v>
      </c>
      <c r="B13" s="258">
        <f>IF(AND('GA55 Check &amp; Edit'!D14=""),"",'GA55 Check &amp; Edit'!D14)</f>
        <v>44440</v>
      </c>
      <c r="C13" s="259">
        <f>IF(AND('GA55 Check &amp; Edit'!E14=""),"",'GA55 Check &amp; Edit'!E14)</f>
        <v>52300</v>
      </c>
      <c r="D13" s="259">
        <f>IF(AND('GA55 Check &amp; Edit'!F14=""),"",'GA55 Check &amp; Edit'!F14)</f>
        <v>14644</v>
      </c>
      <c r="E13" s="259">
        <f>IF(AND('GA55 Check &amp; Edit'!G14=""),"",'GA55 Check &amp; Edit'!G14)</f>
        <v>4707</v>
      </c>
      <c r="F13" s="259">
        <f>IF(AND('GA55 Check &amp; Edit'!H14=""),"",'GA55 Check &amp; Edit'!H14)</f>
        <v>0</v>
      </c>
      <c r="G13" s="259" t="str">
        <f>IF(AND('GA55 Check &amp; Edit'!I14=""),"",'GA55 Check &amp; Edit'!I14)</f>
        <v>0</v>
      </c>
      <c r="H13" s="259" t="str">
        <f>IF(AND('GA55 Check &amp; Edit'!J14=""),"",'GA55 Check &amp; Edit'!J14)</f>
        <v/>
      </c>
      <c r="I13" s="259">
        <f>IF(AND('GA55 Check &amp; Edit'!K14=""),"",'GA55 Check &amp; Edit'!K14)</f>
        <v>0</v>
      </c>
      <c r="J13" s="259">
        <f>IF(AND('GA55 Check &amp; Edit'!L14=""),"",'GA55 Check &amp; Edit'!L14)</f>
        <v>0</v>
      </c>
      <c r="K13" s="259" t="str">
        <f>IF(AND('GA55 Check &amp; Edit'!M14=""),"",'GA55 Check &amp; Edit'!M14)</f>
        <v/>
      </c>
      <c r="L13" s="259">
        <f>IF(AND('GA55 Check &amp; Edit'!N14=""),"",'GA55 Check &amp; Edit'!N14)</f>
        <v>6694</v>
      </c>
      <c r="M13" s="259">
        <f>IF(B13="","",IF('Master Data'!$H$18='GA55 Check &amp; Edit'!$AO$5,SUM(C13:L13),SUM(C13:K13)))</f>
        <v>71651</v>
      </c>
      <c r="N13" s="259">
        <f>IF(AND('GA55 Check &amp; Edit'!P14=""),"",'GA55 Check &amp; Edit'!P14)</f>
        <v>7000</v>
      </c>
      <c r="O13" s="259">
        <f>IF(AND('GA55 Check &amp; Edit'!Q14=""),"",'GA55 Check &amp; Edit'!Q14)</f>
        <v>6694</v>
      </c>
      <c r="P13" s="259">
        <f>IF(AND('GA55 Check &amp; Edit'!R14=""),"",'GA55 Check &amp; Edit'!R14)</f>
        <v>1880</v>
      </c>
      <c r="Q13" s="259">
        <f>IF(AND('GA55 Check &amp; Edit'!S14=""),"",'GA55 Check &amp; Edit'!S14)</f>
        <v>0</v>
      </c>
      <c r="R13" s="259">
        <f>IF(AND('GA55 Check &amp; Edit'!T14=""),"",'GA55 Check &amp; Edit'!T14)</f>
        <v>0</v>
      </c>
      <c r="S13" s="259">
        <f>IF(AND('GA55 Check &amp; Edit'!U14=""),"",'GA55 Check &amp; Edit'!U14)</f>
        <v>0</v>
      </c>
      <c r="T13" s="259">
        <f>IF(AND('GA55 Check &amp; Edit'!V14=""),"",'GA55 Check &amp; Edit'!V14)</f>
        <v>0</v>
      </c>
      <c r="U13" s="259">
        <f>IF(AND('GA55 Check &amp; Edit'!W14=""),"",'GA55 Check &amp; Edit'!W14)</f>
        <v>0</v>
      </c>
      <c r="V13" s="259" t="str">
        <f>IF(AND('GA55 Check &amp; Edit'!X14=""),"",'GA55 Check &amp; Edit'!X14)</f>
        <v/>
      </c>
      <c r="W13" s="259">
        <f>IF(AND('GA55 Check &amp; Edit'!Y14=""),"",'GA55 Check &amp; Edit'!Y14)</f>
        <v>0</v>
      </c>
      <c r="X13" s="259">
        <f>IF(AND('GA55 Check &amp; Edit'!Z14=""),"",'GA55 Check &amp; Edit'!Z14)</f>
        <v>1500</v>
      </c>
      <c r="Y13" s="259" t="str">
        <f>IF(AND('GA55 Check &amp; Edit'!AA14=""),"",'GA55 Check &amp; Edit'!AA14)</f>
        <v/>
      </c>
      <c r="Z13" s="259">
        <f>IFERROR(IF(B13="","",IF(L13="",SUM(N13:Y13),IF('Master Data'!$H$18='GA55 Check &amp; Edit'!$AO$5,SUM(N13:Y13)+L13,SUM(N13:Y13)))),0)</f>
        <v>17074</v>
      </c>
      <c r="AA13" s="259">
        <f t="shared" si="0"/>
        <v>54577</v>
      </c>
      <c r="AB13" s="259"/>
      <c r="AC13" s="262"/>
    </row>
    <row r="14" spans="1:33" ht="21.95" customHeight="1">
      <c r="A14" s="59">
        <v>8</v>
      </c>
      <c r="B14" s="258">
        <f>IF(AND('GA55 Check &amp; Edit'!D15=""),"",'GA55 Check &amp; Edit'!D15)</f>
        <v>44470</v>
      </c>
      <c r="C14" s="259">
        <f>IF(AND('GA55 Check &amp; Edit'!E15=""),"",'GA55 Check &amp; Edit'!E15)</f>
        <v>52300</v>
      </c>
      <c r="D14" s="259">
        <f>IF(AND('GA55 Check &amp; Edit'!F15=""),"",'GA55 Check &amp; Edit'!F15)</f>
        <v>16213</v>
      </c>
      <c r="E14" s="259">
        <f>IF(AND('GA55 Check &amp; Edit'!G15=""),"",'GA55 Check &amp; Edit'!G15)</f>
        <v>4707</v>
      </c>
      <c r="F14" s="259">
        <f>IF(AND('GA55 Check &amp; Edit'!H15=""),"",'GA55 Check &amp; Edit'!H15)</f>
        <v>0</v>
      </c>
      <c r="G14" s="259" t="str">
        <f>IF(AND('GA55 Check &amp; Edit'!I15=""),"",'GA55 Check &amp; Edit'!I15)</f>
        <v>0</v>
      </c>
      <c r="H14" s="259" t="str">
        <f>IF(AND('GA55 Check &amp; Edit'!J15=""),"",'GA55 Check &amp; Edit'!J15)</f>
        <v/>
      </c>
      <c r="I14" s="259">
        <f>IF(AND('GA55 Check &amp; Edit'!K15=""),"",'GA55 Check &amp; Edit'!K15)</f>
        <v>0</v>
      </c>
      <c r="J14" s="259">
        <f>IF(AND('GA55 Check &amp; Edit'!L15=""),"",'GA55 Check &amp; Edit'!L15)</f>
        <v>0</v>
      </c>
      <c r="K14" s="259" t="str">
        <f>IF(AND('GA55 Check &amp; Edit'!M15=""),"",'GA55 Check &amp; Edit'!M15)</f>
        <v/>
      </c>
      <c r="L14" s="259">
        <f>IF(AND('GA55 Check &amp; Edit'!N15=""),"",'GA55 Check &amp; Edit'!N15)</f>
        <v>6851</v>
      </c>
      <c r="M14" s="259">
        <f>IF(B14="","",IF('Master Data'!$H$18='GA55 Check &amp; Edit'!$AO$5,SUM(C14:L14),SUM(C14:K14)))</f>
        <v>73220</v>
      </c>
      <c r="N14" s="259">
        <f>IF(AND('GA55 Check &amp; Edit'!P15=""),"",'GA55 Check &amp; Edit'!P15)</f>
        <v>7000</v>
      </c>
      <c r="O14" s="259">
        <f>IF(AND('GA55 Check &amp; Edit'!Q15=""),"",'GA55 Check &amp; Edit'!Q15)</f>
        <v>6851</v>
      </c>
      <c r="P14" s="259">
        <f>IF(AND('GA55 Check &amp; Edit'!R15=""),"",'GA55 Check &amp; Edit'!R15)</f>
        <v>1880</v>
      </c>
      <c r="Q14" s="259">
        <f>IF(AND('GA55 Check &amp; Edit'!S15=""),"",'GA55 Check &amp; Edit'!S15)</f>
        <v>0</v>
      </c>
      <c r="R14" s="259">
        <f>IF(AND('GA55 Check &amp; Edit'!T15=""),"",'GA55 Check &amp; Edit'!T15)</f>
        <v>0</v>
      </c>
      <c r="S14" s="259">
        <f>IF(AND('GA55 Check &amp; Edit'!U15=""),"",'GA55 Check &amp; Edit'!U15)</f>
        <v>0</v>
      </c>
      <c r="T14" s="259">
        <f>IF(AND('GA55 Check &amp; Edit'!V15=""),"",'GA55 Check &amp; Edit'!V15)</f>
        <v>0</v>
      </c>
      <c r="U14" s="259">
        <f>IF(AND('GA55 Check &amp; Edit'!W15=""),"",'GA55 Check &amp; Edit'!W15)</f>
        <v>0</v>
      </c>
      <c r="V14" s="259" t="str">
        <f>IF(AND('GA55 Check &amp; Edit'!X15=""),"",'GA55 Check &amp; Edit'!X15)</f>
        <v/>
      </c>
      <c r="W14" s="259">
        <f>IF(AND('GA55 Check &amp; Edit'!Y15=""),"",'GA55 Check &amp; Edit'!Y15)</f>
        <v>0</v>
      </c>
      <c r="X14" s="259">
        <f>IF(AND('GA55 Check &amp; Edit'!Z15=""),"",'GA55 Check &amp; Edit'!Z15)</f>
        <v>1500</v>
      </c>
      <c r="Y14" s="259" t="str">
        <f>IF(AND('GA55 Check &amp; Edit'!AA15=""),"",'GA55 Check &amp; Edit'!AA15)</f>
        <v/>
      </c>
      <c r="Z14" s="259">
        <f>IFERROR(IF(B14="","",IF(L14="",SUM(N14:Y14),IF('Master Data'!$H$18='GA55 Check &amp; Edit'!$AO$5,SUM(N14:Y14)+L14,SUM(N14:Y14)))),0)</f>
        <v>17231</v>
      </c>
      <c r="AA14" s="259">
        <f t="shared" si="0"/>
        <v>55989</v>
      </c>
      <c r="AB14" s="259"/>
      <c r="AC14" s="262"/>
    </row>
    <row r="15" spans="1:33" ht="21.95" customHeight="1">
      <c r="A15" s="59">
        <v>9</v>
      </c>
      <c r="B15" s="258">
        <f>IF(AND('GA55 Check &amp; Edit'!D16=""),"",'GA55 Check &amp; Edit'!D16)</f>
        <v>44501</v>
      </c>
      <c r="C15" s="259">
        <f>IF(AND('GA55 Check &amp; Edit'!E16=""),"",'GA55 Check &amp; Edit'!E16)</f>
        <v>52300</v>
      </c>
      <c r="D15" s="259">
        <f>IF(AND('GA55 Check &amp; Edit'!F16=""),"",'GA55 Check &amp; Edit'!F16)</f>
        <v>16213</v>
      </c>
      <c r="E15" s="259">
        <f>IF(AND('GA55 Check &amp; Edit'!G16=""),"",'GA55 Check &amp; Edit'!G16)</f>
        <v>4707</v>
      </c>
      <c r="F15" s="259">
        <f>IF(AND('GA55 Check &amp; Edit'!H16=""),"",'GA55 Check &amp; Edit'!H16)</f>
        <v>0</v>
      </c>
      <c r="G15" s="259" t="str">
        <f>IF(AND('GA55 Check &amp; Edit'!I16=""),"",'GA55 Check &amp; Edit'!I16)</f>
        <v>0</v>
      </c>
      <c r="H15" s="259" t="str">
        <f>IF(AND('GA55 Check &amp; Edit'!J16=""),"",'GA55 Check &amp; Edit'!J16)</f>
        <v/>
      </c>
      <c r="I15" s="259">
        <f>IF(AND('GA55 Check &amp; Edit'!K16=""),"",'GA55 Check &amp; Edit'!K16)</f>
        <v>0</v>
      </c>
      <c r="J15" s="259">
        <f>IF(AND('GA55 Check &amp; Edit'!L16=""),"",'GA55 Check &amp; Edit'!L16)</f>
        <v>0</v>
      </c>
      <c r="K15" s="259" t="str">
        <f>IF(AND('GA55 Check &amp; Edit'!M16=""),"",'GA55 Check &amp; Edit'!M16)</f>
        <v/>
      </c>
      <c r="L15" s="259">
        <f>IF(AND('GA55 Check &amp; Edit'!N16=""),"",'GA55 Check &amp; Edit'!N16)</f>
        <v>6851</v>
      </c>
      <c r="M15" s="259">
        <f>IF(B15="","",IF('Master Data'!$H$18='GA55 Check &amp; Edit'!$AO$5,SUM(C15:L15),SUM(C15:K15)))</f>
        <v>73220</v>
      </c>
      <c r="N15" s="259">
        <f>IF(AND('GA55 Check &amp; Edit'!P16=""),"",'GA55 Check &amp; Edit'!P16)</f>
        <v>7000</v>
      </c>
      <c r="O15" s="259">
        <f>IF(AND('GA55 Check &amp; Edit'!Q16=""),"",'GA55 Check &amp; Edit'!Q16)</f>
        <v>6851</v>
      </c>
      <c r="P15" s="259">
        <f>IF(AND('GA55 Check &amp; Edit'!R16=""),"",'GA55 Check &amp; Edit'!R16)</f>
        <v>1880</v>
      </c>
      <c r="Q15" s="259">
        <f>IF(AND('GA55 Check &amp; Edit'!S16=""),"",'GA55 Check &amp; Edit'!S16)</f>
        <v>0</v>
      </c>
      <c r="R15" s="259">
        <f>IF(AND('GA55 Check &amp; Edit'!T16=""),"",'GA55 Check &amp; Edit'!T16)</f>
        <v>0</v>
      </c>
      <c r="S15" s="259">
        <f>IF(AND('GA55 Check &amp; Edit'!U16=""),"",'GA55 Check &amp; Edit'!U16)</f>
        <v>0</v>
      </c>
      <c r="T15" s="259">
        <f>IF(AND('GA55 Check &amp; Edit'!V16=""),"",'GA55 Check &amp; Edit'!V16)</f>
        <v>0</v>
      </c>
      <c r="U15" s="259">
        <f>IF(AND('GA55 Check &amp; Edit'!W16=""),"",'GA55 Check &amp; Edit'!W16)</f>
        <v>0</v>
      </c>
      <c r="V15" s="259" t="str">
        <f>IF(AND('GA55 Check &amp; Edit'!X16=""),"",'GA55 Check &amp; Edit'!X16)</f>
        <v/>
      </c>
      <c r="W15" s="259">
        <f>IF(AND('GA55 Check &amp; Edit'!Y16=""),"",'GA55 Check &amp; Edit'!Y16)</f>
        <v>0</v>
      </c>
      <c r="X15" s="259">
        <f>IF(AND('GA55 Check &amp; Edit'!Z16=""),"",'GA55 Check &amp; Edit'!Z16)</f>
        <v>1500</v>
      </c>
      <c r="Y15" s="259" t="str">
        <f>IF(AND('GA55 Check &amp; Edit'!AA16=""),"",'GA55 Check &amp; Edit'!AA16)</f>
        <v/>
      </c>
      <c r="Z15" s="259">
        <f>IFERROR(IF(B15="","",IF(L15="",SUM(N15:Y15),IF('Master Data'!$H$18='GA55 Check &amp; Edit'!$AO$5,SUM(N15:Y15)+L15,SUM(N15:Y15)))),0)</f>
        <v>17231</v>
      </c>
      <c r="AA15" s="259">
        <f t="shared" si="0"/>
        <v>55989</v>
      </c>
      <c r="AB15" s="259"/>
      <c r="AC15" s="262"/>
      <c r="AF15" s="60"/>
    </row>
    <row r="16" spans="1:33" ht="21.95" customHeight="1">
      <c r="A16" s="59">
        <v>10</v>
      </c>
      <c r="B16" s="258">
        <f>IF(AND('GA55 Check &amp; Edit'!D17=""),"",'GA55 Check &amp; Edit'!D17)</f>
        <v>44531</v>
      </c>
      <c r="C16" s="259">
        <f>IF(AND('GA55 Check &amp; Edit'!E17=""),"",'GA55 Check &amp; Edit'!E17)</f>
        <v>52300</v>
      </c>
      <c r="D16" s="259">
        <f>IF(AND('GA55 Check &amp; Edit'!F17=""),"",'GA55 Check &amp; Edit'!F17)</f>
        <v>16213</v>
      </c>
      <c r="E16" s="259">
        <f>IF(AND('GA55 Check &amp; Edit'!G17=""),"",'GA55 Check &amp; Edit'!G17)</f>
        <v>4707</v>
      </c>
      <c r="F16" s="259">
        <f>IF(AND('GA55 Check &amp; Edit'!H17=""),"",'GA55 Check &amp; Edit'!H17)</f>
        <v>0</v>
      </c>
      <c r="G16" s="259" t="str">
        <f>IF(AND('GA55 Check &amp; Edit'!I17=""),"",'GA55 Check &amp; Edit'!I17)</f>
        <v>0</v>
      </c>
      <c r="H16" s="259" t="str">
        <f>IF(AND('GA55 Check &amp; Edit'!J17=""),"",'GA55 Check &amp; Edit'!J17)</f>
        <v/>
      </c>
      <c r="I16" s="259">
        <f>IF(AND('GA55 Check &amp; Edit'!K17=""),"",'GA55 Check &amp; Edit'!K17)</f>
        <v>0</v>
      </c>
      <c r="J16" s="259">
        <f>IF(AND('GA55 Check &amp; Edit'!L17=""),"",'GA55 Check &amp; Edit'!L17)</f>
        <v>0</v>
      </c>
      <c r="K16" s="259" t="str">
        <f>IF(AND('GA55 Check &amp; Edit'!M17=""),"",'GA55 Check &amp; Edit'!M17)</f>
        <v/>
      </c>
      <c r="L16" s="259">
        <f>IF(AND('GA55 Check &amp; Edit'!N17=""),"",'GA55 Check &amp; Edit'!N17)</f>
        <v>6851</v>
      </c>
      <c r="M16" s="259">
        <f>IF(B16="","",IF('Master Data'!$H$18='GA55 Check &amp; Edit'!$AO$5,SUM(C16:L16),SUM(C16:K16)))</f>
        <v>73220</v>
      </c>
      <c r="N16" s="259">
        <f>IF(AND('GA55 Check &amp; Edit'!P17=""),"",'GA55 Check &amp; Edit'!P17)</f>
        <v>7000</v>
      </c>
      <c r="O16" s="259">
        <f>IF(AND('GA55 Check &amp; Edit'!Q17=""),"",'GA55 Check &amp; Edit'!Q17)</f>
        <v>6851</v>
      </c>
      <c r="P16" s="259">
        <f>IF(AND('GA55 Check &amp; Edit'!R17=""),"",'GA55 Check &amp; Edit'!R17)</f>
        <v>1880</v>
      </c>
      <c r="Q16" s="259">
        <f>IF(AND('GA55 Check &amp; Edit'!S17=""),"",'GA55 Check &amp; Edit'!S17)</f>
        <v>0</v>
      </c>
      <c r="R16" s="259">
        <f>IF(AND('GA55 Check &amp; Edit'!T17=""),"",'GA55 Check &amp; Edit'!T17)</f>
        <v>0</v>
      </c>
      <c r="S16" s="259">
        <f>IF(AND('GA55 Check &amp; Edit'!U17=""),"",'GA55 Check &amp; Edit'!U17)</f>
        <v>0</v>
      </c>
      <c r="T16" s="259">
        <f>IF(AND('GA55 Check &amp; Edit'!V17=""),"",'GA55 Check &amp; Edit'!V17)</f>
        <v>0</v>
      </c>
      <c r="U16" s="259">
        <f>IF(AND('GA55 Check &amp; Edit'!W17=""),"",'GA55 Check &amp; Edit'!W17)</f>
        <v>0</v>
      </c>
      <c r="V16" s="259">
        <f>IF(AND('GA55 Check &amp; Edit'!X17=""),"",'GA55 Check &amp; Edit'!X17)</f>
        <v>250</v>
      </c>
      <c r="W16" s="259">
        <f>IF(AND('GA55 Check &amp; Edit'!Y17=""),"",'GA55 Check &amp; Edit'!Y17)</f>
        <v>0</v>
      </c>
      <c r="X16" s="259">
        <f>IF(AND('GA55 Check &amp; Edit'!Z17=""),"",'GA55 Check &amp; Edit'!Z17)</f>
        <v>1500</v>
      </c>
      <c r="Y16" s="259" t="str">
        <f>IF(AND('GA55 Check &amp; Edit'!AA17=""),"",'GA55 Check &amp; Edit'!AA17)</f>
        <v/>
      </c>
      <c r="Z16" s="259">
        <f>IFERROR(IF(B16="","",IF(L16="",SUM(N16:Y16),IF('Master Data'!$H$18='GA55 Check &amp; Edit'!$AO$5,SUM(N16:Y16)+L16,SUM(N16:Y16)))),0)</f>
        <v>17481</v>
      </c>
      <c r="AA16" s="259">
        <f t="shared" si="0"/>
        <v>55739</v>
      </c>
      <c r="AB16" s="259"/>
      <c r="AC16" s="262"/>
    </row>
    <row r="17" spans="1:29" ht="21.95" customHeight="1">
      <c r="A17" s="59">
        <v>11</v>
      </c>
      <c r="B17" s="258">
        <f>IF(AND('GA55 Check &amp; Edit'!D18=""),"",'GA55 Check &amp; Edit'!D18)</f>
        <v>44562</v>
      </c>
      <c r="C17" s="259">
        <f>IF(AND('GA55 Check &amp; Edit'!E18=""),"",'GA55 Check &amp; Edit'!E18)</f>
        <v>52300</v>
      </c>
      <c r="D17" s="259">
        <f>IF(AND('GA55 Check &amp; Edit'!F18=""),"",'GA55 Check &amp; Edit'!F18)</f>
        <v>16213</v>
      </c>
      <c r="E17" s="259">
        <f>IF(AND('GA55 Check &amp; Edit'!G18=""),"",'GA55 Check &amp; Edit'!G18)</f>
        <v>4707</v>
      </c>
      <c r="F17" s="259">
        <f>IF(AND('GA55 Check &amp; Edit'!H18=""),"",'GA55 Check &amp; Edit'!H18)</f>
        <v>0</v>
      </c>
      <c r="G17" s="259" t="str">
        <f>IF(AND('GA55 Check &amp; Edit'!I18=""),"",'GA55 Check &amp; Edit'!I18)</f>
        <v>0</v>
      </c>
      <c r="H17" s="259" t="str">
        <f>IF(AND('GA55 Check &amp; Edit'!J18=""),"",'GA55 Check &amp; Edit'!J18)</f>
        <v/>
      </c>
      <c r="I17" s="259">
        <f>IF(AND('GA55 Check &amp; Edit'!K18=""),"",'GA55 Check &amp; Edit'!K18)</f>
        <v>0</v>
      </c>
      <c r="J17" s="259">
        <f>IF(AND('GA55 Check &amp; Edit'!L18=""),"",'GA55 Check &amp; Edit'!L18)</f>
        <v>0</v>
      </c>
      <c r="K17" s="259" t="str">
        <f>IF(AND('GA55 Check &amp; Edit'!M18=""),"",'GA55 Check &amp; Edit'!M18)</f>
        <v/>
      </c>
      <c r="L17" s="259">
        <f>IF(AND('GA55 Check &amp; Edit'!N18=""),"",'GA55 Check &amp; Edit'!N18)</f>
        <v>6851</v>
      </c>
      <c r="M17" s="259">
        <f>IF(B17="","",IF('Master Data'!$H$18='GA55 Check &amp; Edit'!$AO$5,SUM(C17:L17),SUM(C17:K17)))</f>
        <v>73220</v>
      </c>
      <c r="N17" s="259">
        <f>IF(AND('GA55 Check &amp; Edit'!P18=""),"",'GA55 Check &amp; Edit'!P18)</f>
        <v>7000</v>
      </c>
      <c r="O17" s="259">
        <f>IF(AND('GA55 Check &amp; Edit'!Q18=""),"",'GA55 Check &amp; Edit'!Q18)</f>
        <v>6851</v>
      </c>
      <c r="P17" s="259">
        <f>IF(AND('GA55 Check &amp; Edit'!R18=""),"",'GA55 Check &amp; Edit'!R18)</f>
        <v>1880</v>
      </c>
      <c r="Q17" s="259">
        <f>IF(AND('GA55 Check &amp; Edit'!S18=""),"",'GA55 Check &amp; Edit'!S18)</f>
        <v>0</v>
      </c>
      <c r="R17" s="259">
        <f>IF(AND('GA55 Check &amp; Edit'!T18=""),"",'GA55 Check &amp; Edit'!T18)</f>
        <v>0</v>
      </c>
      <c r="S17" s="259">
        <f>IF(AND('GA55 Check &amp; Edit'!U18=""),"",'GA55 Check &amp; Edit'!U18)</f>
        <v>0</v>
      </c>
      <c r="T17" s="259">
        <f>IF(AND('GA55 Check &amp; Edit'!V18=""),"",'GA55 Check &amp; Edit'!V18)</f>
        <v>0</v>
      </c>
      <c r="U17" s="259">
        <f>IF(AND('GA55 Check &amp; Edit'!W18=""),"",'GA55 Check &amp; Edit'!W18)</f>
        <v>0</v>
      </c>
      <c r="V17" s="259" t="str">
        <f>IF(AND('GA55 Check &amp; Edit'!X18=""),"",'GA55 Check &amp; Edit'!X18)</f>
        <v/>
      </c>
      <c r="W17" s="259">
        <f>IF(AND('GA55 Check &amp; Edit'!Y18=""),"",'GA55 Check &amp; Edit'!Y18)</f>
        <v>0</v>
      </c>
      <c r="X17" s="259">
        <f>IF(AND('GA55 Check &amp; Edit'!Z18=""),"",'GA55 Check &amp; Edit'!Z18)</f>
        <v>1500</v>
      </c>
      <c r="Y17" s="259" t="str">
        <f>IF(AND('GA55 Check &amp; Edit'!AA18=""),"",'GA55 Check &amp; Edit'!AA18)</f>
        <v/>
      </c>
      <c r="Z17" s="259">
        <f>IFERROR(IF(B17="","",IF(L17="",SUM(N17:Y17),IF('Master Data'!$H$18='GA55 Check &amp; Edit'!$AO$5,SUM(N17:Y17)+L17,SUM(N17:Y17)))),0)</f>
        <v>17231</v>
      </c>
      <c r="AA17" s="259">
        <f t="shared" si="0"/>
        <v>55989</v>
      </c>
      <c r="AB17" s="259"/>
      <c r="AC17" s="262"/>
    </row>
    <row r="18" spans="1:29" ht="21.95" customHeight="1">
      <c r="A18" s="59">
        <v>12</v>
      </c>
      <c r="B18" s="258">
        <f>IF(AND('GA55 Check &amp; Edit'!D19=""),"",'GA55 Check &amp; Edit'!D19)</f>
        <v>44593</v>
      </c>
      <c r="C18" s="259">
        <f>IF(AND('GA55 Check &amp; Edit'!E19=""),"",'GA55 Check &amp; Edit'!E19)</f>
        <v>52300</v>
      </c>
      <c r="D18" s="259">
        <f>IF(AND('GA55 Check &amp; Edit'!F19=""),"",'GA55 Check &amp; Edit'!F19)</f>
        <v>16213</v>
      </c>
      <c r="E18" s="259">
        <f>IF(AND('GA55 Check &amp; Edit'!G19=""),"",'GA55 Check &amp; Edit'!G19)</f>
        <v>4707</v>
      </c>
      <c r="F18" s="259">
        <f>IF(AND('GA55 Check &amp; Edit'!H19=""),"",'GA55 Check &amp; Edit'!H19)</f>
        <v>0</v>
      </c>
      <c r="G18" s="259" t="str">
        <f>IF(AND('GA55 Check &amp; Edit'!I19=""),"",'GA55 Check &amp; Edit'!I19)</f>
        <v>0</v>
      </c>
      <c r="H18" s="259" t="str">
        <f>IF(AND('GA55 Check &amp; Edit'!J19=""),"",'GA55 Check &amp; Edit'!J19)</f>
        <v/>
      </c>
      <c r="I18" s="259">
        <f>IF(AND('GA55 Check &amp; Edit'!K19=""),"",'GA55 Check &amp; Edit'!K19)</f>
        <v>0</v>
      </c>
      <c r="J18" s="259">
        <f>IF(AND('GA55 Check &amp; Edit'!L19=""),"",'GA55 Check &amp; Edit'!L19)</f>
        <v>0</v>
      </c>
      <c r="K18" s="259" t="str">
        <f>IF(AND('GA55 Check &amp; Edit'!M19=""),"",'GA55 Check &amp; Edit'!M19)</f>
        <v/>
      </c>
      <c r="L18" s="259">
        <f>IF(AND('GA55 Check &amp; Edit'!N19=""),"",'GA55 Check &amp; Edit'!N19)</f>
        <v>6851</v>
      </c>
      <c r="M18" s="259">
        <f>IF(B18="","",IF('Master Data'!$H$18='GA55 Check &amp; Edit'!$AO$5,SUM(C18:L18),SUM(C18:K18)))</f>
        <v>73220</v>
      </c>
      <c r="N18" s="259">
        <f>IF(AND('GA55 Check &amp; Edit'!P19=""),"",'GA55 Check &amp; Edit'!P19)</f>
        <v>7000</v>
      </c>
      <c r="O18" s="259">
        <f>IF(AND('GA55 Check &amp; Edit'!Q19=""),"",'GA55 Check &amp; Edit'!Q19)</f>
        <v>6851</v>
      </c>
      <c r="P18" s="259">
        <f>IF(AND('GA55 Check &amp; Edit'!R19=""),"",'GA55 Check &amp; Edit'!R19)</f>
        <v>1880</v>
      </c>
      <c r="Q18" s="259">
        <f>IF(AND('GA55 Check &amp; Edit'!S19=""),"",'GA55 Check &amp; Edit'!S19)</f>
        <v>0</v>
      </c>
      <c r="R18" s="259">
        <f>IF(AND('GA55 Check &amp; Edit'!T19=""),"",'GA55 Check &amp; Edit'!T19)</f>
        <v>0</v>
      </c>
      <c r="S18" s="259">
        <f>IF(AND('GA55 Check &amp; Edit'!U19=""),"",'GA55 Check &amp; Edit'!U19)</f>
        <v>0</v>
      </c>
      <c r="T18" s="259">
        <f>IF(AND('GA55 Check &amp; Edit'!V19=""),"",'GA55 Check &amp; Edit'!V19)</f>
        <v>0</v>
      </c>
      <c r="U18" s="259">
        <f>IF(AND('GA55 Check &amp; Edit'!W19=""),"",'GA55 Check &amp; Edit'!W19)</f>
        <v>0</v>
      </c>
      <c r="V18" s="259" t="str">
        <f>IF(AND('GA55 Check &amp; Edit'!X19=""),"",'GA55 Check &amp; Edit'!X19)</f>
        <v/>
      </c>
      <c r="W18" s="259">
        <f>IF(AND('GA55 Check &amp; Edit'!Y19=""),"",'GA55 Check &amp; Edit'!Y19)</f>
        <v>0</v>
      </c>
      <c r="X18" s="259">
        <f>IF(AND('GA55 Check &amp; Edit'!Z19=""),"",'GA55 Check &amp; Edit'!Z19)</f>
        <v>0</v>
      </c>
      <c r="Y18" s="259" t="str">
        <f>IF(AND('GA55 Check &amp; Edit'!AA19=""),"",'GA55 Check &amp; Edit'!AA19)</f>
        <v/>
      </c>
      <c r="Z18" s="259">
        <f>IFERROR(IF(B18="","",IF(L18="",SUM(N18:Y18),IF('Master Data'!$H$18='GA55 Check &amp; Edit'!$AO$5,SUM(N18:Y18)+L18,SUM(N18:Y18)))),0)</f>
        <v>15731</v>
      </c>
      <c r="AA18" s="259">
        <f t="shared" si="0"/>
        <v>57489</v>
      </c>
      <c r="AB18" s="259"/>
      <c r="AC18" s="262"/>
    </row>
    <row r="19" spans="1:29" ht="21.95" customHeight="1">
      <c r="A19" s="59">
        <v>13</v>
      </c>
      <c r="B19" s="258" t="str">
        <f>IF(AND('GA55 Check &amp; Edit'!D20=""),"",'GA55 Check &amp; Edit'!D20)</f>
        <v>Bonus</v>
      </c>
      <c r="C19" s="259" t="str">
        <f>IF(AND('GA55 Check &amp; Edit'!E20=""),"",'GA55 Check &amp; Edit'!E20)</f>
        <v/>
      </c>
      <c r="D19" s="259" t="str">
        <f>IF(AND('GA55 Check &amp; Edit'!F20=""),"",'GA55 Check &amp; Edit'!F20)</f>
        <v/>
      </c>
      <c r="E19" s="259" t="str">
        <f>IF(AND('GA55 Check &amp; Edit'!G20=""),"",'GA55 Check &amp; Edit'!G20)</f>
        <v/>
      </c>
      <c r="F19" s="259" t="str">
        <f>IF(AND('GA55 Check &amp; Edit'!H20=""),"",'GA55 Check &amp; Edit'!H20)</f>
        <v/>
      </c>
      <c r="G19" s="259" t="str">
        <f>IF(AND('GA55 Check &amp; Edit'!I20=""),"",'GA55 Check &amp; Edit'!I20)</f>
        <v/>
      </c>
      <c r="H19" s="259" t="str">
        <f>IF(AND('GA55 Check &amp; Edit'!J20=""),"",'GA55 Check &amp; Edit'!J20)</f>
        <v/>
      </c>
      <c r="I19" s="259" t="str">
        <f>IF(AND('GA55 Check &amp; Edit'!K20=""),"",'GA55 Check &amp; Edit'!K20)</f>
        <v/>
      </c>
      <c r="J19" s="259" t="str">
        <f>IF(AND('GA55 Check &amp; Edit'!L20=""),"",'GA55 Check &amp; Edit'!L20)</f>
        <v/>
      </c>
      <c r="K19" s="259">
        <f>IF(AND('GA55 Check &amp; Edit'!M20=""),"",'GA55 Check &amp; Edit'!M20)</f>
        <v>6774</v>
      </c>
      <c r="L19" s="259" t="str">
        <f>IF(AND('GA55 Check &amp; Edit'!N20=""),"",'GA55 Check &amp; Edit'!N20)</f>
        <v/>
      </c>
      <c r="M19" s="259">
        <f>IF(B19="","",IF('Master Data'!$H$18='GA55 Check &amp; Edit'!$AO$5,SUM(C19:L19),SUM(C19:K19)))</f>
        <v>6774</v>
      </c>
      <c r="N19" s="259" t="str">
        <f>IF(AND('GA55 Check &amp; Edit'!P20=""),"",'GA55 Check &amp; Edit'!P20)</f>
        <v/>
      </c>
      <c r="O19" s="259" t="str">
        <f>IF(AND('GA55 Check &amp; Edit'!Q20=""),"",'GA55 Check &amp; Edit'!Q20)</f>
        <v/>
      </c>
      <c r="P19" s="259" t="str">
        <f>IF(AND('GA55 Check &amp; Edit'!R20=""),"",'GA55 Check &amp; Edit'!R20)</f>
        <v/>
      </c>
      <c r="Q19" s="259" t="str">
        <f>IF(AND('GA55 Check &amp; Edit'!S20=""),"",'GA55 Check &amp; Edit'!S20)</f>
        <v/>
      </c>
      <c r="R19" s="259" t="str">
        <f>IF(AND('GA55 Check &amp; Edit'!T20=""),"",'GA55 Check &amp; Edit'!T20)</f>
        <v/>
      </c>
      <c r="S19" s="259" t="str">
        <f>IF(AND('GA55 Check &amp; Edit'!U20=""),"",'GA55 Check &amp; Edit'!U20)</f>
        <v/>
      </c>
      <c r="T19" s="259">
        <f>IF(AND('GA55 Check &amp; Edit'!V20=""),"",'GA55 Check &amp; Edit'!V20)</f>
        <v>3387</v>
      </c>
      <c r="U19" s="259" t="str">
        <f>IF(AND('GA55 Check &amp; Edit'!W20=""),"",'GA55 Check &amp; Edit'!W20)</f>
        <v/>
      </c>
      <c r="V19" s="259" t="str">
        <f>IF(AND('GA55 Check &amp; Edit'!X20=""),"",'GA55 Check &amp; Edit'!X20)</f>
        <v/>
      </c>
      <c r="W19" s="259" t="str">
        <f>IF(AND('GA55 Check &amp; Edit'!Y20=""),"",'GA55 Check &amp; Edit'!Y20)</f>
        <v/>
      </c>
      <c r="X19" s="259" t="str">
        <f>IF(AND('GA55 Check &amp; Edit'!Z20=""),"",'GA55 Check &amp; Edit'!Z20)</f>
        <v/>
      </c>
      <c r="Y19" s="259" t="str">
        <f>IF(AND('GA55 Check &amp; Edit'!AA20=""),"",'GA55 Check &amp; Edit'!AA20)</f>
        <v/>
      </c>
      <c r="Z19" s="259">
        <f>IFERROR(IF(B19="","",IF(L19="",SUM(N19:Y19),IF('Master Data'!$H$18='GA55 Check &amp; Edit'!$AO$5,SUM(N19:Y19)+L19,SUM(N19:Y19)))),0)</f>
        <v>3387</v>
      </c>
      <c r="AA19" s="259">
        <f t="shared" si="0"/>
        <v>3387</v>
      </c>
      <c r="AB19" s="259"/>
      <c r="AC19" s="262"/>
    </row>
    <row r="20" spans="1:29" ht="21.95" customHeight="1">
      <c r="A20" s="59">
        <v>14</v>
      </c>
      <c r="B20" s="258" t="str">
        <f>IF(AND('GA55 Check &amp; Edit'!D21=""),"",'GA55 Check &amp; Edit'!D21)</f>
        <v>PL Surrender</v>
      </c>
      <c r="C20" s="259">
        <f>IF(AND('GA55 Check &amp; Edit'!E21=""),"",'GA55 Check &amp; Edit'!E21)</f>
        <v>0</v>
      </c>
      <c r="D20" s="259">
        <f>IF(AND('GA55 Check &amp; Edit'!F21=""),"",'GA55 Check &amp; Edit'!F21)</f>
        <v>0</v>
      </c>
      <c r="E20" s="259" t="str">
        <f>IF(AND('GA55 Check &amp; Edit'!G21=""),"",'GA55 Check &amp; Edit'!G21)</f>
        <v/>
      </c>
      <c r="F20" s="259" t="str">
        <f>IF(AND('GA55 Check &amp; Edit'!H21=""),"",'GA55 Check &amp; Edit'!H21)</f>
        <v/>
      </c>
      <c r="G20" s="259" t="str">
        <f>IF(AND('GA55 Check &amp; Edit'!I21=""),"",'GA55 Check &amp; Edit'!I21)</f>
        <v/>
      </c>
      <c r="H20" s="259" t="str">
        <f>IF(AND('GA55 Check &amp; Edit'!J21=""),"",'GA55 Check &amp; Edit'!J21)</f>
        <v/>
      </c>
      <c r="I20" s="259" t="str">
        <f>IF(AND('GA55 Check &amp; Edit'!K21=""),"",'GA55 Check &amp; Edit'!K21)</f>
        <v/>
      </c>
      <c r="J20" s="259" t="str">
        <f>IF(AND('GA55 Check &amp; Edit'!L21=""),"",'GA55 Check &amp; Edit'!L21)</f>
        <v/>
      </c>
      <c r="K20" s="259" t="str">
        <f>IF(AND('GA55 Check &amp; Edit'!M21=""),"",'GA55 Check &amp; Edit'!M21)</f>
        <v/>
      </c>
      <c r="L20" s="259">
        <f>IF(AND('GA55 Check &amp; Edit'!N21=""),"",'GA55 Check &amp; Edit'!N21)</f>
        <v>0</v>
      </c>
      <c r="M20" s="259">
        <f>IF(B20="","",IF('Master Data'!$H$18='GA55 Check &amp; Edit'!$AO$5,SUM(C20:L20),SUM(C20:K20)))</f>
        <v>0</v>
      </c>
      <c r="N20" s="259" t="str">
        <f>IF(AND('GA55 Check &amp; Edit'!P21=""),"",'GA55 Check &amp; Edit'!P21)</f>
        <v/>
      </c>
      <c r="O20" s="259">
        <f>IF(AND('GA55 Check &amp; Edit'!Q21=""),"",'GA55 Check &amp; Edit'!Q21)</f>
        <v>0</v>
      </c>
      <c r="P20" s="259" t="str">
        <f>IF(AND('GA55 Check &amp; Edit'!R21=""),"",'GA55 Check &amp; Edit'!R21)</f>
        <v/>
      </c>
      <c r="Q20" s="259" t="str">
        <f>IF(AND('GA55 Check &amp; Edit'!S21=""),"",'GA55 Check &amp; Edit'!S21)</f>
        <v/>
      </c>
      <c r="R20" s="259" t="str">
        <f>IF(AND('GA55 Check &amp; Edit'!T21=""),"",'GA55 Check &amp; Edit'!T21)</f>
        <v/>
      </c>
      <c r="S20" s="259" t="str">
        <f>IF(AND('GA55 Check &amp; Edit'!U21=""),"",'GA55 Check &amp; Edit'!U21)</f>
        <v/>
      </c>
      <c r="T20" s="259" t="str">
        <f>IF(AND('GA55 Check &amp; Edit'!V21=""),"",'GA55 Check &amp; Edit'!V21)</f>
        <v/>
      </c>
      <c r="U20" s="259" t="str">
        <f>IF(AND('GA55 Check &amp; Edit'!W21=""),"",'GA55 Check &amp; Edit'!W21)</f>
        <v/>
      </c>
      <c r="V20" s="259" t="str">
        <f>IF(AND('GA55 Check &amp; Edit'!X21=""),"",'GA55 Check &amp; Edit'!X21)</f>
        <v/>
      </c>
      <c r="W20" s="259" t="str">
        <f>IF(AND('GA55 Check &amp; Edit'!Y21=""),"",'GA55 Check &amp; Edit'!Y21)</f>
        <v/>
      </c>
      <c r="X20" s="259" t="str">
        <f>IF(AND('GA55 Check &amp; Edit'!Z21=""),"",'GA55 Check &amp; Edit'!Z21)</f>
        <v/>
      </c>
      <c r="Y20" s="259" t="str">
        <f>IF(AND('GA55 Check &amp; Edit'!AA21=""),"",'GA55 Check &amp; Edit'!AA21)</f>
        <v/>
      </c>
      <c r="Z20" s="259">
        <f>IFERROR(IF(B20="","",IF(L20="",SUM(N20:Y20),IF('Master Data'!$H$18='GA55 Check &amp; Edit'!$AO$5,SUM(N20:Y20)+L20,SUM(N20:Y20)))),0)</f>
        <v>0</v>
      </c>
      <c r="AA20" s="259">
        <f t="shared" si="0"/>
        <v>0</v>
      </c>
      <c r="AB20" s="259"/>
      <c r="AC20" s="262"/>
    </row>
    <row r="21" spans="1:29" ht="21.95" customHeight="1">
      <c r="A21" s="59">
        <v>15</v>
      </c>
      <c r="B21" s="258" t="str">
        <f>IF(AND('GA55 Check &amp; Edit'!D22=""),"",'GA55 Check &amp; Edit'!D22)</f>
        <v xml:space="preserve">DA Arrear </v>
      </c>
      <c r="C21" s="259" t="str">
        <f>IF(AND('GA55 Check &amp; Edit'!E22=""),"",'GA55 Check &amp; Edit'!E22)</f>
        <v/>
      </c>
      <c r="D21" s="259">
        <f>IF(AND('GA55 Check &amp; Edit'!F22=""),"",'GA55 Check &amp; Edit'!F22)</f>
        <v>4707</v>
      </c>
      <c r="E21" s="259" t="str">
        <f>IF(AND('GA55 Check &amp; Edit'!G22=""),"",'GA55 Check &amp; Edit'!G22)</f>
        <v/>
      </c>
      <c r="F21" s="259" t="str">
        <f>IF(AND('GA55 Check &amp; Edit'!H22=""),"",'GA55 Check &amp; Edit'!H22)</f>
        <v/>
      </c>
      <c r="G21" s="259" t="str">
        <f>IF(AND('GA55 Check &amp; Edit'!I22=""),"",'GA55 Check &amp; Edit'!I22)</f>
        <v/>
      </c>
      <c r="H21" s="259" t="str">
        <f>IF(AND('GA55 Check &amp; Edit'!J22=""),"",'GA55 Check &amp; Edit'!J22)</f>
        <v/>
      </c>
      <c r="I21" s="259" t="str">
        <f>IF(AND('GA55 Check &amp; Edit'!K22=""),"",'GA55 Check &amp; Edit'!K22)</f>
        <v/>
      </c>
      <c r="J21" s="259" t="str">
        <f>IF(AND('GA55 Check &amp; Edit'!L22=""),"",'GA55 Check &amp; Edit'!L22)</f>
        <v/>
      </c>
      <c r="K21" s="259" t="str">
        <f>IF(AND('GA55 Check &amp; Edit'!M22=""),"",'GA55 Check &amp; Edit'!M22)</f>
        <v/>
      </c>
      <c r="L21" s="259">
        <f>IF(AND('GA55 Check &amp; Edit'!N22=""),"",'GA55 Check &amp; Edit'!N22)</f>
        <v>471</v>
      </c>
      <c r="M21" s="259">
        <f>IF(B21="","",IF('Master Data'!$H$18='GA55 Check &amp; Edit'!$AO$5,SUM(C21:L21),SUM(C21:K21)))</f>
        <v>4707</v>
      </c>
      <c r="N21" s="259" t="str">
        <f>IF(AND('GA55 Check &amp; Edit'!P22=""),"",'GA55 Check &amp; Edit'!P22)</f>
        <v/>
      </c>
      <c r="O21" s="259">
        <f>IF(AND('GA55 Check &amp; Edit'!Q22=""),"",'GA55 Check &amp; Edit'!Q22)</f>
        <v>471</v>
      </c>
      <c r="P21" s="259" t="str">
        <f>IF(AND('GA55 Check &amp; Edit'!R22=""),"",'GA55 Check &amp; Edit'!R22)</f>
        <v/>
      </c>
      <c r="Q21" s="259" t="str">
        <f>IF(AND('GA55 Check &amp; Edit'!S22=""),"",'GA55 Check &amp; Edit'!S22)</f>
        <v/>
      </c>
      <c r="R21" s="259" t="str">
        <f>IF(AND('GA55 Check &amp; Edit'!T22=""),"",'GA55 Check &amp; Edit'!T22)</f>
        <v/>
      </c>
      <c r="S21" s="259" t="str">
        <f>IF(AND('GA55 Check &amp; Edit'!U22=""),"",'GA55 Check &amp; Edit'!U22)</f>
        <v/>
      </c>
      <c r="T21" s="259">
        <f>IF(AND('GA55 Check &amp; Edit'!V22=""),"",'GA55 Check &amp; Edit'!V22)</f>
        <v>4236</v>
      </c>
      <c r="U21" s="259" t="str">
        <f>IF(AND('GA55 Check &amp; Edit'!W22=""),"",'GA55 Check &amp; Edit'!W22)</f>
        <v/>
      </c>
      <c r="V21" s="259" t="str">
        <f>IF(AND('GA55 Check &amp; Edit'!X22=""),"",'GA55 Check &amp; Edit'!X22)</f>
        <v/>
      </c>
      <c r="W21" s="259" t="str">
        <f>IF(AND('GA55 Check &amp; Edit'!Y22=""),"",'GA55 Check &amp; Edit'!Y22)</f>
        <v/>
      </c>
      <c r="X21" s="259" t="str">
        <f>IF(AND('GA55 Check &amp; Edit'!Z22=""),"",'GA55 Check &amp; Edit'!Z22)</f>
        <v/>
      </c>
      <c r="Y21" s="259" t="str">
        <f>IF(AND('GA55 Check &amp; Edit'!AA22=""),"",'GA55 Check &amp; Edit'!AA22)</f>
        <v/>
      </c>
      <c r="Z21" s="259">
        <f>IFERROR(IF(B21="","",IF(L21="",SUM(N21:Y21),IF('Master Data'!$H$18='GA55 Check &amp; Edit'!$AO$5,SUM(N21:Y21)+L21,SUM(N21:Y21)))),0)</f>
        <v>4707</v>
      </c>
      <c r="AA21" s="259">
        <f t="shared" si="0"/>
        <v>0</v>
      </c>
      <c r="AB21" s="259"/>
      <c r="AC21" s="262"/>
    </row>
    <row r="22" spans="1:29" ht="21.95" customHeight="1">
      <c r="A22" s="59">
        <v>16</v>
      </c>
      <c r="B22" s="258" t="str">
        <f>IF(AND('GA55 Check &amp; Edit'!D23=""),"",'GA55 Check &amp; Edit'!D23)</f>
        <v>Fixation arear</v>
      </c>
      <c r="C22" s="259" t="str">
        <f>IF(AND('GA55 Check &amp; Edit'!E23=""),"",'GA55 Check &amp; Edit'!E23)</f>
        <v/>
      </c>
      <c r="D22" s="259" t="str">
        <f>IF(AND('GA55 Check &amp; Edit'!F23=""),"",'GA55 Check &amp; Edit'!F23)</f>
        <v/>
      </c>
      <c r="E22" s="259" t="str">
        <f>IF(AND('GA55 Check &amp; Edit'!G23=""),"",'GA55 Check &amp; Edit'!G23)</f>
        <v/>
      </c>
      <c r="F22" s="259" t="str">
        <f>IF(AND('GA55 Check &amp; Edit'!H23=""),"",'GA55 Check &amp; Edit'!H23)</f>
        <v/>
      </c>
      <c r="G22" s="259" t="str">
        <f>IF(AND('GA55 Check &amp; Edit'!I23=""),"",'GA55 Check &amp; Edit'!I23)</f>
        <v/>
      </c>
      <c r="H22" s="259" t="str">
        <f>IF(AND('GA55 Check &amp; Edit'!J23=""),"",'GA55 Check &amp; Edit'!J23)</f>
        <v/>
      </c>
      <c r="I22" s="259" t="str">
        <f>IF(AND('GA55 Check &amp; Edit'!K23=""),"",'GA55 Check &amp; Edit'!K23)</f>
        <v/>
      </c>
      <c r="J22" s="259" t="str">
        <f>IF(AND('GA55 Check &amp; Edit'!L23=""),"",'GA55 Check &amp; Edit'!L23)</f>
        <v/>
      </c>
      <c r="K22" s="259" t="str">
        <f>IF(AND('GA55 Check &amp; Edit'!M23=""),"",'GA55 Check &amp; Edit'!M23)</f>
        <v/>
      </c>
      <c r="L22" s="259" t="str">
        <f>IF(AND('GA55 Check &amp; Edit'!N23=""),"",'GA55 Check &amp; Edit'!N23)</f>
        <v/>
      </c>
      <c r="M22" s="259">
        <f>IF(B22="","",IF('Master Data'!$H$18='GA55 Check &amp; Edit'!$AO$5,SUM(C22:L22),SUM(C22:K22)))</f>
        <v>0</v>
      </c>
      <c r="N22" s="259" t="str">
        <f>IF(AND('GA55 Check &amp; Edit'!P23=""),"",'GA55 Check &amp; Edit'!P23)</f>
        <v/>
      </c>
      <c r="O22" s="259" t="str">
        <f>IF(AND('GA55 Check &amp; Edit'!Q23=""),"",'GA55 Check &amp; Edit'!Q23)</f>
        <v/>
      </c>
      <c r="P22" s="259" t="str">
        <f>IF(AND('GA55 Check &amp; Edit'!R23=""),"",'GA55 Check &amp; Edit'!R23)</f>
        <v/>
      </c>
      <c r="Q22" s="259" t="str">
        <f>IF(AND('GA55 Check &amp; Edit'!S23=""),"",'GA55 Check &amp; Edit'!S23)</f>
        <v/>
      </c>
      <c r="R22" s="259" t="str">
        <f>IF(AND('GA55 Check &amp; Edit'!T23=""),"",'GA55 Check &amp; Edit'!T23)</f>
        <v/>
      </c>
      <c r="S22" s="259" t="str">
        <f>IF(AND('GA55 Check &amp; Edit'!U23=""),"",'GA55 Check &amp; Edit'!U23)</f>
        <v/>
      </c>
      <c r="T22" s="259" t="str">
        <f>IF(AND('GA55 Check &amp; Edit'!V23=""),"",'GA55 Check &amp; Edit'!V23)</f>
        <v/>
      </c>
      <c r="U22" s="259" t="str">
        <f>IF(AND('GA55 Check &amp; Edit'!W23=""),"",'GA55 Check &amp; Edit'!W23)</f>
        <v/>
      </c>
      <c r="V22" s="259" t="str">
        <f>IF(AND('GA55 Check &amp; Edit'!X23=""),"",'GA55 Check &amp; Edit'!X23)</f>
        <v/>
      </c>
      <c r="W22" s="259" t="str">
        <f>IF(AND('GA55 Check &amp; Edit'!Y23=""),"",'GA55 Check &amp; Edit'!Y23)</f>
        <v/>
      </c>
      <c r="X22" s="259" t="str">
        <f>IF(AND('GA55 Check &amp; Edit'!Z23=""),"",'GA55 Check &amp; Edit'!Z23)</f>
        <v/>
      </c>
      <c r="Y22" s="259" t="str">
        <f>IF(AND('GA55 Check &amp; Edit'!AA23=""),"",'GA55 Check &amp; Edit'!AA23)</f>
        <v/>
      </c>
      <c r="Z22" s="259">
        <f>IFERROR(IF(B22="","",IF(L22="",SUM(N22:Y22),IF('Master Data'!$H$18='GA55 Check &amp; Edit'!$AO$5,SUM(N22:Y22)+L22,SUM(N22:Y22)))),0)</f>
        <v>0</v>
      </c>
      <c r="AA22" s="259">
        <f t="shared" si="0"/>
        <v>0</v>
      </c>
      <c r="AB22" s="259"/>
      <c r="AC22" s="262"/>
    </row>
    <row r="23" spans="1:29" ht="21.95" customHeight="1">
      <c r="A23" s="59">
        <v>17</v>
      </c>
      <c r="B23" s="258" t="str">
        <f>IF(AND('GA55 Check &amp; Edit'!D24=""),"",'GA55 Check &amp; Edit'!D24)</f>
        <v>HRA Arrear</v>
      </c>
      <c r="C23" s="259" t="str">
        <f>IF(AND('GA55 Check &amp; Edit'!E24=""),"",'GA55 Check &amp; Edit'!E24)</f>
        <v/>
      </c>
      <c r="D23" s="259" t="str">
        <f>IF(AND('GA55 Check &amp; Edit'!F24=""),"",'GA55 Check &amp; Edit'!F24)</f>
        <v/>
      </c>
      <c r="E23" s="259">
        <f>IF(AND('GA55 Check &amp; Edit'!G24=""),"",'GA55 Check &amp; Edit'!G24)</f>
        <v>523</v>
      </c>
      <c r="F23" s="259" t="str">
        <f>IF(AND('GA55 Check &amp; Edit'!H24=""),"",'GA55 Check &amp; Edit'!H24)</f>
        <v/>
      </c>
      <c r="G23" s="259" t="str">
        <f>IF(AND('GA55 Check &amp; Edit'!I24=""),"",'GA55 Check &amp; Edit'!I24)</f>
        <v/>
      </c>
      <c r="H23" s="259" t="str">
        <f>IF(AND('GA55 Check &amp; Edit'!J24=""),"",'GA55 Check &amp; Edit'!J24)</f>
        <v/>
      </c>
      <c r="I23" s="259" t="str">
        <f>IF(AND('GA55 Check &amp; Edit'!K24=""),"",'GA55 Check &amp; Edit'!K24)</f>
        <v/>
      </c>
      <c r="J23" s="259" t="str">
        <f>IF(AND('GA55 Check &amp; Edit'!L24=""),"",'GA55 Check &amp; Edit'!L24)</f>
        <v/>
      </c>
      <c r="K23" s="259" t="str">
        <f>IF(AND('GA55 Check &amp; Edit'!M24=""),"",'GA55 Check &amp; Edit'!M24)</f>
        <v/>
      </c>
      <c r="L23" s="259" t="str">
        <f>IF(AND('GA55 Check &amp; Edit'!N24=""),"",'GA55 Check &amp; Edit'!N24)</f>
        <v/>
      </c>
      <c r="M23" s="259">
        <f>IF(B23="","",IF('Master Data'!$H$18='GA55 Check &amp; Edit'!$AO$5,SUM(C23:L23),SUM(C23:K23)))</f>
        <v>523</v>
      </c>
      <c r="N23" s="259" t="str">
        <f>IF(AND('GA55 Check &amp; Edit'!P24=""),"",'GA55 Check &amp; Edit'!P24)</f>
        <v/>
      </c>
      <c r="O23" s="259" t="str">
        <f>IF(AND('GA55 Check &amp; Edit'!Q24=""),"",'GA55 Check &amp; Edit'!Q24)</f>
        <v/>
      </c>
      <c r="P23" s="259" t="str">
        <f>IF(AND('GA55 Check &amp; Edit'!R24=""),"",'GA55 Check &amp; Edit'!R24)</f>
        <v/>
      </c>
      <c r="Q23" s="259" t="str">
        <f>IF(AND('GA55 Check &amp; Edit'!S24=""),"",'GA55 Check &amp; Edit'!S24)</f>
        <v/>
      </c>
      <c r="R23" s="259" t="str">
        <f>IF(AND('GA55 Check &amp; Edit'!T24=""),"",'GA55 Check &amp; Edit'!T24)</f>
        <v/>
      </c>
      <c r="S23" s="259" t="str">
        <f>IF(AND('GA55 Check &amp; Edit'!U24=""),"",'GA55 Check &amp; Edit'!U24)</f>
        <v/>
      </c>
      <c r="T23" s="259" t="str">
        <f>IF(AND('GA55 Check &amp; Edit'!V24=""),"",'GA55 Check &amp; Edit'!V24)</f>
        <v/>
      </c>
      <c r="U23" s="259" t="str">
        <f>IF(AND('GA55 Check &amp; Edit'!W24=""),"",'GA55 Check &amp; Edit'!W24)</f>
        <v/>
      </c>
      <c r="V23" s="259" t="str">
        <f>IF(AND('GA55 Check &amp; Edit'!X24=""),"",'GA55 Check &amp; Edit'!X24)</f>
        <v/>
      </c>
      <c r="W23" s="259" t="str">
        <f>IF(AND('GA55 Check &amp; Edit'!Y24=""),"",'GA55 Check &amp; Edit'!Y24)</f>
        <v/>
      </c>
      <c r="X23" s="259" t="str">
        <f>IF(AND('GA55 Check &amp; Edit'!Z24=""),"",'GA55 Check &amp; Edit'!Z24)</f>
        <v/>
      </c>
      <c r="Y23" s="259" t="str">
        <f>IF(AND('GA55 Check &amp; Edit'!AA24=""),"",'GA55 Check &amp; Edit'!AA24)</f>
        <v/>
      </c>
      <c r="Z23" s="259">
        <f>IFERROR(IF(B23="","",IF(L23="",SUM(N23:Y23),IF('Master Data'!$H$18='GA55 Check &amp; Edit'!$AO$5,SUM(N23:Y23)+L23,SUM(N23:Y23)))),0)</f>
        <v>0</v>
      </c>
      <c r="AA23" s="259">
        <f t="shared" si="0"/>
        <v>523</v>
      </c>
      <c r="AB23" s="259"/>
      <c r="AC23" s="262"/>
    </row>
    <row r="24" spans="1:29" ht="21.95" customHeight="1">
      <c r="A24" s="59">
        <v>18</v>
      </c>
      <c r="B24" s="258" t="str">
        <f>IF(AND('GA55 Check &amp; Edit'!D25=""),"",'GA55 Check &amp; Edit'!D25)</f>
        <v>PL Surrender Arrear</v>
      </c>
      <c r="C24" s="259" t="str">
        <f>IF(AND('GA55 Check &amp; Edit'!E25=""),"",'GA55 Check &amp; Edit'!E25)</f>
        <v/>
      </c>
      <c r="D24" s="259">
        <f>IF(AND('GA55 Check &amp; Edit'!F25=""),"",'GA55 Check &amp; Edit'!F25)</f>
        <v>0</v>
      </c>
      <c r="E24" s="259" t="str">
        <f>IF(AND('GA55 Check &amp; Edit'!G25=""),"",'GA55 Check &amp; Edit'!G25)</f>
        <v/>
      </c>
      <c r="F24" s="259" t="str">
        <f>IF(AND('GA55 Check &amp; Edit'!H25=""),"",'GA55 Check &amp; Edit'!H25)</f>
        <v/>
      </c>
      <c r="G24" s="259" t="str">
        <f>IF(AND('GA55 Check &amp; Edit'!I25=""),"",'GA55 Check &amp; Edit'!I25)</f>
        <v/>
      </c>
      <c r="H24" s="259" t="str">
        <f>IF(AND('GA55 Check &amp; Edit'!J25=""),"",'GA55 Check &amp; Edit'!J25)</f>
        <v/>
      </c>
      <c r="I24" s="259" t="str">
        <f>IF(AND('GA55 Check &amp; Edit'!K25=""),"",'GA55 Check &amp; Edit'!K25)</f>
        <v/>
      </c>
      <c r="J24" s="259" t="str">
        <f>IF(AND('GA55 Check &amp; Edit'!L25=""),"",'GA55 Check &amp; Edit'!L25)</f>
        <v/>
      </c>
      <c r="K24" s="259" t="str">
        <f>IF(AND('GA55 Check &amp; Edit'!M25=""),"",'GA55 Check &amp; Edit'!M25)</f>
        <v/>
      </c>
      <c r="L24" s="259">
        <f>IF(AND('GA55 Check &amp; Edit'!N25=""),"",'GA55 Check &amp; Edit'!N25)</f>
        <v>0</v>
      </c>
      <c r="M24" s="259">
        <f>IF(B24="","",IF('Master Data'!$H$18='GA55 Check &amp; Edit'!$AO$5,SUM(C24:L24),SUM(C24:K24)))</f>
        <v>0</v>
      </c>
      <c r="N24" s="259" t="str">
        <f>IF(AND('GA55 Check &amp; Edit'!P25=""),"",'GA55 Check &amp; Edit'!P25)</f>
        <v/>
      </c>
      <c r="O24" s="259">
        <f>IF(AND('GA55 Check &amp; Edit'!Q25=""),"",'GA55 Check &amp; Edit'!Q25)</f>
        <v>0</v>
      </c>
      <c r="P24" s="259" t="str">
        <f>IF(AND('GA55 Check &amp; Edit'!R25=""),"",'GA55 Check &amp; Edit'!R25)</f>
        <v/>
      </c>
      <c r="Q24" s="259" t="str">
        <f>IF(AND('GA55 Check &amp; Edit'!S25=""),"",'GA55 Check &amp; Edit'!S25)</f>
        <v/>
      </c>
      <c r="R24" s="259" t="str">
        <f>IF(AND('GA55 Check &amp; Edit'!T25=""),"",'GA55 Check &amp; Edit'!T25)</f>
        <v/>
      </c>
      <c r="S24" s="259" t="str">
        <f>IF(AND('GA55 Check &amp; Edit'!U25=""),"",'GA55 Check &amp; Edit'!U25)</f>
        <v/>
      </c>
      <c r="T24" s="259">
        <f>IF(AND('GA55 Check &amp; Edit'!V25=""),"",'GA55 Check &amp; Edit'!V25)</f>
        <v>0</v>
      </c>
      <c r="U24" s="259" t="str">
        <f>IF(AND('GA55 Check &amp; Edit'!W25=""),"",'GA55 Check &amp; Edit'!W25)</f>
        <v/>
      </c>
      <c r="V24" s="259" t="str">
        <f>IF(AND('GA55 Check &amp; Edit'!X25=""),"",'GA55 Check &amp; Edit'!X25)</f>
        <v/>
      </c>
      <c r="W24" s="259" t="str">
        <f>IF(AND('GA55 Check &amp; Edit'!Y25=""),"",'GA55 Check &amp; Edit'!Y25)</f>
        <v/>
      </c>
      <c r="X24" s="259" t="str">
        <f>IF(AND('GA55 Check &amp; Edit'!Z25=""),"",'GA55 Check &amp; Edit'!Z25)</f>
        <v/>
      </c>
      <c r="Y24" s="259" t="str">
        <f>IF(AND('GA55 Check &amp; Edit'!AA25=""),"",'GA55 Check &amp; Edit'!AA25)</f>
        <v/>
      </c>
      <c r="Z24" s="259">
        <f>IFERROR(IF(B24="","",IF(L24="",SUM(N24:Y24),IF('Master Data'!$H$18='GA55 Check &amp; Edit'!$AO$5,SUM(N24:Y24)+L24,SUM(N24:Y24)))),0)</f>
        <v>0</v>
      </c>
      <c r="AA24" s="259">
        <f t="shared" si="0"/>
        <v>0</v>
      </c>
      <c r="AB24" s="259"/>
      <c r="AC24" s="262"/>
    </row>
    <row r="25" spans="1:29" ht="21.95" customHeight="1">
      <c r="A25" s="59">
        <v>19</v>
      </c>
      <c r="B25" s="258" t="str">
        <f>IF(AND('GA55 Check &amp; Edit'!D26=""),"",'GA55 Check &amp; Edit'!D26)</f>
        <v/>
      </c>
      <c r="C25" s="259" t="str">
        <f>IF(AND('GA55 Check &amp; Edit'!E26=""),"",'GA55 Check &amp; Edit'!E26)</f>
        <v/>
      </c>
      <c r="D25" s="259" t="str">
        <f>IF(AND('GA55 Check &amp; Edit'!F26=""),"",'GA55 Check &amp; Edit'!F26)</f>
        <v/>
      </c>
      <c r="E25" s="259" t="str">
        <f>IF(AND('GA55 Check &amp; Edit'!G26=""),"",'GA55 Check &amp; Edit'!G26)</f>
        <v/>
      </c>
      <c r="F25" s="259" t="str">
        <f>IF(AND('GA55 Check &amp; Edit'!H26=""),"",'GA55 Check &amp; Edit'!H26)</f>
        <v/>
      </c>
      <c r="G25" s="259" t="str">
        <f>IF(AND('GA55 Check &amp; Edit'!I26=""),"",'GA55 Check &amp; Edit'!I26)</f>
        <v/>
      </c>
      <c r="H25" s="259" t="str">
        <f>IF(AND('GA55 Check &amp; Edit'!J26=""),"",'GA55 Check &amp; Edit'!J26)</f>
        <v/>
      </c>
      <c r="I25" s="259" t="str">
        <f>IF(AND('GA55 Check &amp; Edit'!K26=""),"",'GA55 Check &amp; Edit'!K26)</f>
        <v/>
      </c>
      <c r="J25" s="259" t="str">
        <f>IF(AND('GA55 Check &amp; Edit'!L26=""),"",'GA55 Check &amp; Edit'!L26)</f>
        <v/>
      </c>
      <c r="K25" s="259" t="str">
        <f>IF(AND('GA55 Check &amp; Edit'!M26=""),"",'GA55 Check &amp; Edit'!M26)</f>
        <v/>
      </c>
      <c r="L25" s="259" t="str">
        <f>IF(AND('GA55 Check &amp; Edit'!N26=""),"",'GA55 Check &amp; Edit'!N26)</f>
        <v/>
      </c>
      <c r="M25" s="259" t="str">
        <f>IF(B25="","",IF('Master Data'!$H$18='GA55 Check &amp; Edit'!$AO$5,SUM(C25:L25),SUM(C25:K25)))</f>
        <v/>
      </c>
      <c r="N25" s="259" t="str">
        <f>IF(AND('GA55 Check &amp; Edit'!P26=""),"",'GA55 Check &amp; Edit'!P26)</f>
        <v/>
      </c>
      <c r="O25" s="259" t="str">
        <f>IF(AND('GA55 Check &amp; Edit'!Q26=""),"",'GA55 Check &amp; Edit'!Q26)</f>
        <v/>
      </c>
      <c r="P25" s="259" t="str">
        <f>IF(AND('GA55 Check &amp; Edit'!R26=""),"",'GA55 Check &amp; Edit'!R26)</f>
        <v/>
      </c>
      <c r="Q25" s="259" t="str">
        <f>IF(AND('GA55 Check &amp; Edit'!S26=""),"",'GA55 Check &amp; Edit'!S26)</f>
        <v/>
      </c>
      <c r="R25" s="259" t="str">
        <f>IF(AND('GA55 Check &amp; Edit'!T26=""),"",'GA55 Check &amp; Edit'!T26)</f>
        <v/>
      </c>
      <c r="S25" s="259" t="str">
        <f>IF(AND('GA55 Check &amp; Edit'!U26=""),"",'GA55 Check &amp; Edit'!U26)</f>
        <v/>
      </c>
      <c r="T25" s="259" t="str">
        <f>IF(AND('GA55 Check &amp; Edit'!V26=""),"",'GA55 Check &amp; Edit'!V26)</f>
        <v/>
      </c>
      <c r="U25" s="259" t="str">
        <f>IF(AND('GA55 Check &amp; Edit'!W26=""),"",'GA55 Check &amp; Edit'!W26)</f>
        <v/>
      </c>
      <c r="V25" s="259" t="str">
        <f>IF(AND('GA55 Check &amp; Edit'!X26=""),"",'GA55 Check &amp; Edit'!X26)</f>
        <v/>
      </c>
      <c r="W25" s="259" t="str">
        <f>IF(AND('GA55 Check &amp; Edit'!Y26=""),"",'GA55 Check &amp; Edit'!Y26)</f>
        <v/>
      </c>
      <c r="X25" s="259" t="str">
        <f>IF(AND('GA55 Check &amp; Edit'!Z26=""),"",'GA55 Check &amp; Edit'!Z26)</f>
        <v/>
      </c>
      <c r="Y25" s="259" t="str">
        <f>IF(AND('GA55 Check &amp; Edit'!AA26=""),"",'GA55 Check &amp; Edit'!AA26)</f>
        <v/>
      </c>
      <c r="Z25" s="259" t="str">
        <f>IFERROR(IF(B25="","",IF(L25="",SUM(N25:Y25),IF('Master Data'!$H$18='GA55 Check &amp; Edit'!$AO$5,SUM(N25:Y25)+L25,SUM(N25:Y25)))),0)</f>
        <v/>
      </c>
      <c r="AA25" s="259" t="str">
        <f t="shared" si="0"/>
        <v/>
      </c>
      <c r="AB25" s="259"/>
      <c r="AC25" s="262"/>
    </row>
    <row r="26" spans="1:29" ht="21.95" customHeight="1">
      <c r="A26" s="59">
        <v>20</v>
      </c>
      <c r="B26" s="258" t="str">
        <f>IF(AND('GA55 Check &amp; Edit'!D27=""),"",'GA55 Check &amp; Edit'!D27)</f>
        <v/>
      </c>
      <c r="C26" s="259" t="str">
        <f>IF(AND('GA55 Check &amp; Edit'!E27=""),"",'GA55 Check &amp; Edit'!E27)</f>
        <v/>
      </c>
      <c r="D26" s="259" t="str">
        <f>IF(AND('GA55 Check &amp; Edit'!F27=""),"",'GA55 Check &amp; Edit'!F27)</f>
        <v/>
      </c>
      <c r="E26" s="259" t="str">
        <f>IF(AND('GA55 Check &amp; Edit'!G27=""),"",'GA55 Check &amp; Edit'!G27)</f>
        <v/>
      </c>
      <c r="F26" s="259" t="str">
        <f>IF(AND('GA55 Check &amp; Edit'!H27=""),"",'GA55 Check &amp; Edit'!H27)</f>
        <v/>
      </c>
      <c r="G26" s="259" t="str">
        <f>IF(AND('GA55 Check &amp; Edit'!I27=""),"",'GA55 Check &amp; Edit'!I27)</f>
        <v/>
      </c>
      <c r="H26" s="259" t="str">
        <f>IF(AND('GA55 Check &amp; Edit'!J27=""),"",'GA55 Check &amp; Edit'!J27)</f>
        <v/>
      </c>
      <c r="I26" s="259" t="str">
        <f>IF(AND('GA55 Check &amp; Edit'!K27=""),"",'GA55 Check &amp; Edit'!K27)</f>
        <v/>
      </c>
      <c r="J26" s="259" t="str">
        <f>IF(AND('GA55 Check &amp; Edit'!L27=""),"",'GA55 Check &amp; Edit'!L27)</f>
        <v/>
      </c>
      <c r="K26" s="259" t="str">
        <f>IF(AND('GA55 Check &amp; Edit'!M27=""),"",'GA55 Check &amp; Edit'!M27)</f>
        <v/>
      </c>
      <c r="L26" s="259" t="str">
        <f>IF(AND('GA55 Check &amp; Edit'!N27=""),"",'GA55 Check &amp; Edit'!N27)</f>
        <v/>
      </c>
      <c r="M26" s="259" t="str">
        <f>IF(B26="","",IF('Master Data'!$H$18='GA55 Check &amp; Edit'!$AO$5,SUM(C26:L26),SUM(C26:K26)))</f>
        <v/>
      </c>
      <c r="N26" s="259" t="str">
        <f>IF(AND('GA55 Check &amp; Edit'!P27=""),"",'GA55 Check &amp; Edit'!P27)</f>
        <v/>
      </c>
      <c r="O26" s="259" t="str">
        <f>IF(AND('GA55 Check &amp; Edit'!Q27=""),"",'GA55 Check &amp; Edit'!Q27)</f>
        <v/>
      </c>
      <c r="P26" s="259" t="str">
        <f>IF(AND('GA55 Check &amp; Edit'!R27=""),"",'GA55 Check &amp; Edit'!R27)</f>
        <v/>
      </c>
      <c r="Q26" s="259" t="str">
        <f>IF(AND('GA55 Check &amp; Edit'!S27=""),"",'GA55 Check &amp; Edit'!S27)</f>
        <v/>
      </c>
      <c r="R26" s="259" t="str">
        <f>IF(AND('GA55 Check &amp; Edit'!T27=""),"",'GA55 Check &amp; Edit'!T27)</f>
        <v/>
      </c>
      <c r="S26" s="259" t="str">
        <f>IF(AND('GA55 Check &amp; Edit'!U27=""),"",'GA55 Check &amp; Edit'!U27)</f>
        <v/>
      </c>
      <c r="T26" s="259" t="str">
        <f>IF(AND('GA55 Check &amp; Edit'!V27=""),"",'GA55 Check &amp; Edit'!V27)</f>
        <v/>
      </c>
      <c r="U26" s="259" t="str">
        <f>IF(AND('GA55 Check &amp; Edit'!W27=""),"",'GA55 Check &amp; Edit'!W27)</f>
        <v/>
      </c>
      <c r="V26" s="259" t="str">
        <f>IF(AND('GA55 Check &amp; Edit'!X27=""),"",'GA55 Check &amp; Edit'!X27)</f>
        <v/>
      </c>
      <c r="W26" s="259" t="str">
        <f>IF(AND('GA55 Check &amp; Edit'!Y27=""),"",'GA55 Check &amp; Edit'!Y27)</f>
        <v/>
      </c>
      <c r="X26" s="259" t="str">
        <f>IF(AND('GA55 Check &amp; Edit'!Z27=""),"",'GA55 Check &amp; Edit'!Z27)</f>
        <v/>
      </c>
      <c r="Y26" s="259" t="str">
        <f>IF(AND('GA55 Check &amp; Edit'!AA27=""),"",'GA55 Check &amp; Edit'!AA27)</f>
        <v/>
      </c>
      <c r="Z26" s="259" t="str">
        <f>IFERROR(IF(B26="","",IF(L26="",SUM(N26:Y26),IF('Master Data'!$H$18='GA55 Check &amp; Edit'!$AO$5,SUM(N26:Y26)+L26,SUM(N26:Y26)))),0)</f>
        <v/>
      </c>
      <c r="AA26" s="259" t="str">
        <f t="shared" si="0"/>
        <v/>
      </c>
      <c r="AB26" s="259"/>
      <c r="AC26" s="262"/>
    </row>
    <row r="27" spans="1:29" ht="21.95" customHeight="1">
      <c r="A27" s="59">
        <v>21</v>
      </c>
      <c r="B27" s="258" t="str">
        <f>IF(AND('GA55 Check &amp; Edit'!D28=""),"",'GA55 Check &amp; Edit'!D28)</f>
        <v/>
      </c>
      <c r="C27" s="259" t="str">
        <f>IF(AND('GA55 Check &amp; Edit'!E28=""),"",'GA55 Check &amp; Edit'!E28)</f>
        <v/>
      </c>
      <c r="D27" s="259" t="str">
        <f>IF(AND('GA55 Check &amp; Edit'!F28=""),"",'GA55 Check &amp; Edit'!F28)</f>
        <v/>
      </c>
      <c r="E27" s="259" t="str">
        <f>IF(AND('GA55 Check &amp; Edit'!G28=""),"",'GA55 Check &amp; Edit'!G28)</f>
        <v/>
      </c>
      <c r="F27" s="259" t="str">
        <f>IF(AND('GA55 Check &amp; Edit'!H28=""),"",'GA55 Check &amp; Edit'!H28)</f>
        <v/>
      </c>
      <c r="G27" s="259" t="str">
        <f>IF(AND('GA55 Check &amp; Edit'!I28=""),"",'GA55 Check &amp; Edit'!I28)</f>
        <v/>
      </c>
      <c r="H27" s="259" t="str">
        <f>IF(AND('GA55 Check &amp; Edit'!J28=""),"",'GA55 Check &amp; Edit'!J28)</f>
        <v/>
      </c>
      <c r="I27" s="259" t="str">
        <f>IF(AND('GA55 Check &amp; Edit'!K28=""),"",'GA55 Check &amp; Edit'!K28)</f>
        <v/>
      </c>
      <c r="J27" s="259" t="str">
        <f>IF(AND('GA55 Check &amp; Edit'!L28=""),"",'GA55 Check &amp; Edit'!L28)</f>
        <v/>
      </c>
      <c r="K27" s="259" t="str">
        <f>IF(AND('GA55 Check &amp; Edit'!M28=""),"",'GA55 Check &amp; Edit'!M28)</f>
        <v/>
      </c>
      <c r="L27" s="259" t="str">
        <f>IF(AND('GA55 Check &amp; Edit'!N28=""),"",'GA55 Check &amp; Edit'!N28)</f>
        <v/>
      </c>
      <c r="M27" s="259" t="str">
        <f>IF(B27="","",IF('Master Data'!$H$18='GA55 Check &amp; Edit'!$AO$5,SUM(C27:L27),SUM(C27:K27)))</f>
        <v/>
      </c>
      <c r="N27" s="259" t="str">
        <f>IF(AND('GA55 Check &amp; Edit'!P28=""),"",'GA55 Check &amp; Edit'!P28)</f>
        <v/>
      </c>
      <c r="O27" s="259" t="str">
        <f>IF(AND('GA55 Check &amp; Edit'!Q28=""),"",'GA55 Check &amp; Edit'!Q28)</f>
        <v/>
      </c>
      <c r="P27" s="259" t="str">
        <f>IF(AND('GA55 Check &amp; Edit'!R28=""),"",'GA55 Check &amp; Edit'!R28)</f>
        <v/>
      </c>
      <c r="Q27" s="259" t="str">
        <f>IF(AND('GA55 Check &amp; Edit'!S28=""),"",'GA55 Check &amp; Edit'!S28)</f>
        <v/>
      </c>
      <c r="R27" s="259" t="str">
        <f>IF(AND('GA55 Check &amp; Edit'!T28=""),"",'GA55 Check &amp; Edit'!T28)</f>
        <v/>
      </c>
      <c r="S27" s="259" t="str">
        <f>IF(AND('GA55 Check &amp; Edit'!U28=""),"",'GA55 Check &amp; Edit'!U28)</f>
        <v/>
      </c>
      <c r="T27" s="259" t="str">
        <f>IF(AND('GA55 Check &amp; Edit'!V28=""),"",'GA55 Check &amp; Edit'!V28)</f>
        <v/>
      </c>
      <c r="U27" s="259" t="str">
        <f>IF(AND('GA55 Check &amp; Edit'!W28=""),"",'GA55 Check &amp; Edit'!W28)</f>
        <v/>
      </c>
      <c r="V27" s="259" t="str">
        <f>IF(AND('GA55 Check &amp; Edit'!X28=""),"",'GA55 Check &amp; Edit'!X28)</f>
        <v/>
      </c>
      <c r="W27" s="259" t="str">
        <f>IF(AND('GA55 Check &amp; Edit'!Y28=""),"",'GA55 Check &amp; Edit'!Y28)</f>
        <v/>
      </c>
      <c r="X27" s="259" t="str">
        <f>IF(AND('GA55 Check &amp; Edit'!Z28=""),"",'GA55 Check &amp; Edit'!Z28)</f>
        <v/>
      </c>
      <c r="Y27" s="259" t="str">
        <f>IF(AND('GA55 Check &amp; Edit'!AA28=""),"",'GA55 Check &amp; Edit'!AA28)</f>
        <v/>
      </c>
      <c r="Z27" s="259" t="str">
        <f>IFERROR(IF(B27="","",IF(L27="",SUM(N27:Y27),IF('Master Data'!$H$18='GA55 Check &amp; Edit'!$AO$5,SUM(N27:Y27)+L27,SUM(N27:Y27)))),0)</f>
        <v/>
      </c>
      <c r="AA27" s="259" t="str">
        <f t="shared" si="0"/>
        <v/>
      </c>
      <c r="AB27" s="259"/>
      <c r="AC27" s="262"/>
    </row>
    <row r="28" spans="1:29" ht="28.5" customHeight="1">
      <c r="A28" s="61"/>
      <c r="B28" s="260" t="s">
        <v>128</v>
      </c>
      <c r="C28" s="261">
        <f>IF(AND($D$3="",$M$3="",$U$3="",$C$4=""),"",SUM(C7:C27))</f>
        <v>621600</v>
      </c>
      <c r="D28" s="261">
        <f t="shared" ref="D28:AA28" si="1">IF(AND($D$3="",$M$3="",$U$3="",$C$4=""),"",SUM(D7:D27))</f>
        <v>164248</v>
      </c>
      <c r="E28" s="261">
        <f t="shared" si="1"/>
        <v>53912</v>
      </c>
      <c r="F28" s="261">
        <f t="shared" si="1"/>
        <v>0</v>
      </c>
      <c r="G28" s="261">
        <f t="shared" si="1"/>
        <v>0</v>
      </c>
      <c r="H28" s="261">
        <f t="shared" si="1"/>
        <v>0</v>
      </c>
      <c r="I28" s="261">
        <f t="shared" si="1"/>
        <v>0</v>
      </c>
      <c r="J28" s="261">
        <f t="shared" si="1"/>
        <v>0</v>
      </c>
      <c r="K28" s="261">
        <f t="shared" si="1"/>
        <v>6774</v>
      </c>
      <c r="L28" s="261">
        <f t="shared" si="1"/>
        <v>78584</v>
      </c>
      <c r="M28" s="261">
        <f t="shared" si="1"/>
        <v>846534</v>
      </c>
      <c r="N28" s="261">
        <f t="shared" si="1"/>
        <v>84000</v>
      </c>
      <c r="O28" s="261">
        <f t="shared" si="1"/>
        <v>78584</v>
      </c>
      <c r="P28" s="261">
        <f t="shared" si="1"/>
        <v>22560</v>
      </c>
      <c r="Q28" s="261">
        <f t="shared" si="1"/>
        <v>0</v>
      </c>
      <c r="R28" s="261">
        <f t="shared" si="1"/>
        <v>0</v>
      </c>
      <c r="S28" s="261">
        <f t="shared" si="1"/>
        <v>0</v>
      </c>
      <c r="T28" s="261">
        <f t="shared" si="1"/>
        <v>7623</v>
      </c>
      <c r="U28" s="261">
        <f t="shared" si="1"/>
        <v>0</v>
      </c>
      <c r="V28" s="261">
        <f t="shared" si="1"/>
        <v>250</v>
      </c>
      <c r="W28" s="261">
        <f t="shared" si="1"/>
        <v>0</v>
      </c>
      <c r="X28" s="261">
        <f t="shared" si="1"/>
        <v>15000</v>
      </c>
      <c r="Y28" s="261">
        <f t="shared" si="1"/>
        <v>220</v>
      </c>
      <c r="Z28" s="261">
        <f t="shared" si="1"/>
        <v>208237</v>
      </c>
      <c r="AA28" s="261">
        <f t="shared" si="1"/>
        <v>638297</v>
      </c>
      <c r="AB28" s="263"/>
      <c r="AC28" s="264"/>
    </row>
    <row r="29" spans="1:29" ht="34.5" customHeight="1">
      <c r="A29" s="62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4"/>
    </row>
    <row r="30" spans="1:29" ht="20.25" customHeight="1">
      <c r="A30" s="62"/>
      <c r="B30" s="269"/>
      <c r="C30" s="497" t="str">
        <f>IF(AND('Master Data'!D6=""),"",'Master Data'!D6)</f>
        <v>Heeralal jat</v>
      </c>
      <c r="D30" s="497"/>
      <c r="E30" s="497"/>
      <c r="F30" s="497"/>
      <c r="G30" s="497"/>
      <c r="H30" s="497"/>
      <c r="I30" s="269"/>
      <c r="J30" s="269"/>
      <c r="K30" s="269"/>
      <c r="L30" s="269"/>
      <c r="M30" s="269"/>
      <c r="N30" s="269"/>
      <c r="O30" s="269"/>
      <c r="P30" s="269"/>
      <c r="Q30" s="270"/>
      <c r="R30" s="270"/>
      <c r="S30" s="498" t="str">
        <f>IF(AND('Master Data'!H8=""),"",'Master Data'!H8)</f>
        <v>Usha Paliya</v>
      </c>
      <c r="T30" s="498"/>
      <c r="U30" s="498"/>
      <c r="V30" s="498"/>
      <c r="W30" s="498"/>
      <c r="X30" s="498"/>
      <c r="Y30" s="498"/>
      <c r="Z30" s="498"/>
      <c r="AA30" s="498"/>
      <c r="AB30" s="65"/>
      <c r="AC30" s="64"/>
    </row>
    <row r="31" spans="1:29" ht="21" customHeight="1" thickBot="1">
      <c r="A31" s="66"/>
      <c r="B31" s="67"/>
      <c r="C31" s="493" t="s">
        <v>129</v>
      </c>
      <c r="D31" s="493"/>
      <c r="E31" s="493"/>
      <c r="F31" s="493"/>
      <c r="G31" s="493"/>
      <c r="H31" s="493"/>
      <c r="I31" s="68"/>
      <c r="J31" s="68"/>
      <c r="K31" s="67"/>
      <c r="L31" s="67"/>
      <c r="M31" s="67"/>
      <c r="N31" s="67"/>
      <c r="O31" s="67"/>
      <c r="P31" s="67"/>
      <c r="Q31" s="69"/>
      <c r="R31" s="69"/>
      <c r="S31" s="494" t="s">
        <v>130</v>
      </c>
      <c r="T31" s="494"/>
      <c r="U31" s="494"/>
      <c r="V31" s="494"/>
      <c r="W31" s="494"/>
      <c r="X31" s="494"/>
      <c r="Y31" s="494"/>
      <c r="Z31" s="494"/>
      <c r="AA31" s="494"/>
      <c r="AB31" s="70"/>
      <c r="AC31" s="71"/>
    </row>
    <row r="32" spans="1:29" ht="15">
      <c r="AA32" s="53"/>
      <c r="AB32" s="53"/>
    </row>
    <row r="33" spans="27:28" ht="15">
      <c r="AA33" s="53"/>
      <c r="AB33" s="53"/>
    </row>
  </sheetData>
  <sheetProtection password="C1FB" sheet="1" objects="1" scenarios="1" formatCells="0" formatColumns="0" formatRows="0"/>
  <mergeCells count="25">
    <mergeCell ref="B2:Z2"/>
    <mergeCell ref="W4:Z4"/>
    <mergeCell ref="AA4:AC4"/>
    <mergeCell ref="A5:M5"/>
    <mergeCell ref="N5:Z5"/>
    <mergeCell ref="AA5:AA6"/>
    <mergeCell ref="AB5:AB6"/>
    <mergeCell ref="AC5:AC6"/>
    <mergeCell ref="A4:B4"/>
    <mergeCell ref="C4:E4"/>
    <mergeCell ref="G4:I4"/>
    <mergeCell ref="K4:N4"/>
    <mergeCell ref="M3:P3"/>
    <mergeCell ref="Q3:T3"/>
    <mergeCell ref="U3:AA3"/>
    <mergeCell ref="AB3:AC3"/>
    <mergeCell ref="I3:L3"/>
    <mergeCell ref="A3:C3"/>
    <mergeCell ref="D3:H3"/>
    <mergeCell ref="C31:H31"/>
    <mergeCell ref="S31:AA31"/>
    <mergeCell ref="O4:Q4"/>
    <mergeCell ref="R4:V4"/>
    <mergeCell ref="C30:H30"/>
    <mergeCell ref="S30:AA30"/>
  </mergeCells>
  <pageMargins left="0.49" right="0.27" top="0.37" bottom="0.12000000000000001" header="0.19" footer="0.3"/>
  <pageSetup paperSize="9" scale="76" orientation="landscape" blackAndWhite="1" r:id="rId1"/>
  <headerFooter>
    <firstFooter>&amp;Rheeralaljatchandawal@gmail.com</first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tabColor rgb="FFCC0099"/>
    <pageSetUpPr fitToPage="1"/>
  </sheetPr>
  <dimension ref="A1:AK89"/>
  <sheetViews>
    <sheetView showGridLines="0" view="pageBreakPreview" topLeftCell="B1" zoomScaleSheetLayoutView="100" workbookViewId="0">
      <selection activeCell="O34" sqref="O34"/>
    </sheetView>
  </sheetViews>
  <sheetFormatPr defaultColWidth="9.125" defaultRowHeight="15"/>
  <cols>
    <col min="1" max="1" width="4" style="34" customWidth="1"/>
    <col min="2" max="2" width="4.375" style="34" customWidth="1"/>
    <col min="3" max="3" width="10.125" style="34" customWidth="1"/>
    <col min="4" max="4" width="11.125" style="34" customWidth="1"/>
    <col min="5" max="5" width="8.625" style="34" customWidth="1"/>
    <col min="6" max="6" width="3.125" style="34" customWidth="1"/>
    <col min="7" max="7" width="12.375" style="34" customWidth="1"/>
    <col min="8" max="8" width="4.625" style="34" customWidth="1"/>
    <col min="9" max="9" width="12.125" style="34" customWidth="1"/>
    <col min="10" max="10" width="11.125" style="34" customWidth="1"/>
    <col min="11" max="11" width="9.25" style="34" customWidth="1"/>
    <col min="12" max="12" width="3.25" style="34" customWidth="1"/>
    <col min="13" max="13" width="10.25" style="34" customWidth="1"/>
    <col min="14" max="14" width="3" style="34" customWidth="1"/>
    <col min="15" max="15" width="15.625" style="34" customWidth="1"/>
    <col min="16" max="16" width="9.125" style="34"/>
    <col min="17" max="17" width="5.125" style="34" customWidth="1"/>
    <col min="18" max="18" width="10.5" style="34" customWidth="1"/>
    <col min="19" max="19" width="10.625" style="34" customWidth="1"/>
    <col min="20" max="20" width="8.875" style="34" hidden="1" customWidth="1"/>
    <col min="21" max="21" width="11.625" style="34" customWidth="1"/>
    <col min="22" max="23" width="7.375" style="34" customWidth="1"/>
    <col min="24" max="33" width="9.125" style="34" hidden="1" customWidth="1"/>
    <col min="34" max="34" width="10.875" style="34" customWidth="1"/>
    <col min="35" max="35" width="11" style="34" customWidth="1"/>
    <col min="36" max="36" width="12" style="34" customWidth="1"/>
    <col min="37" max="37" width="10.625" style="34" customWidth="1"/>
    <col min="38" max="16384" width="9.125" style="34"/>
  </cols>
  <sheetData>
    <row r="1" spans="1:34" ht="18.75">
      <c r="A1" s="629" t="str">
        <f>IF(AND('Master Data'!D4=""),"",CONCATENATE("Office Name :- ",PROPER('Master Data'!D4)))</f>
        <v>Office Name :- Mahatma Gandhi Govt. School (English Medium) Bar, Pali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T1" s="195">
        <v>2</v>
      </c>
    </row>
    <row r="2" spans="1:34" ht="19.5" customHeight="1" thickBot="1">
      <c r="A2" s="73"/>
      <c r="B2" s="73"/>
      <c r="C2" s="635" t="s">
        <v>225</v>
      </c>
      <c r="D2" s="635"/>
      <c r="E2" s="635"/>
      <c r="F2" s="636" t="s">
        <v>474</v>
      </c>
      <c r="G2" s="636"/>
      <c r="H2" s="637" t="s">
        <v>226</v>
      </c>
      <c r="I2" s="637"/>
      <c r="J2" s="640" t="s">
        <v>475</v>
      </c>
      <c r="K2" s="640"/>
      <c r="L2" s="638" t="str">
        <f>IF(T14=T2,"Old Tax Regime","New Tax Regime")</f>
        <v>Old Tax Regime</v>
      </c>
      <c r="M2" s="639"/>
      <c r="N2" s="639"/>
      <c r="O2" s="639"/>
      <c r="T2" s="195">
        <v>1</v>
      </c>
    </row>
    <row r="3" spans="1:34" ht="17.25" thickTop="1" thickBot="1">
      <c r="A3" s="157">
        <v>1</v>
      </c>
      <c r="B3" s="630" t="s">
        <v>135</v>
      </c>
      <c r="C3" s="630"/>
      <c r="D3" s="631" t="str">
        <f>UPPER('Master Data'!D6)</f>
        <v>HEERALAL JAT</v>
      </c>
      <c r="E3" s="631"/>
      <c r="F3" s="631"/>
      <c r="G3" s="631"/>
      <c r="H3" s="631"/>
      <c r="I3" s="158" t="s">
        <v>136</v>
      </c>
      <c r="J3" s="632" t="str">
        <f>UPPER('Master Data'!H6)</f>
        <v>SR TEACHER</v>
      </c>
      <c r="K3" s="632"/>
      <c r="L3" s="632"/>
      <c r="M3" s="159" t="s">
        <v>137</v>
      </c>
      <c r="N3" s="633" t="str">
        <f>UPPER('Master Data'!D12)</f>
        <v>ABCDE1234H</v>
      </c>
      <c r="O3" s="634"/>
      <c r="P3" s="160"/>
      <c r="Q3" s="160"/>
      <c r="T3" s="196"/>
    </row>
    <row r="4" spans="1:34" ht="18.75" customHeight="1">
      <c r="A4" s="612">
        <v>2</v>
      </c>
      <c r="B4" s="614" t="s">
        <v>476</v>
      </c>
      <c r="C4" s="615"/>
      <c r="D4" s="615"/>
      <c r="E4" s="615"/>
      <c r="F4" s="615"/>
      <c r="G4" s="615"/>
      <c r="H4" s="615"/>
      <c r="I4" s="615"/>
      <c r="J4" s="610" t="str">
        <f>IF('Master Data'!H18="Yes","सरकार द्वारा देय NPS की राशि सहित कुल वेतन -","")</f>
        <v/>
      </c>
      <c r="K4" s="610"/>
      <c r="L4" s="610"/>
      <c r="M4" s="611"/>
      <c r="N4" s="161" t="s">
        <v>138</v>
      </c>
      <c r="O4" s="162">
        <f>'GA 55 '!M28</f>
        <v>846534</v>
      </c>
      <c r="P4" s="163"/>
      <c r="Q4" s="74"/>
      <c r="R4" s="643" t="s">
        <v>251</v>
      </c>
      <c r="S4" s="644"/>
      <c r="T4" s="644"/>
      <c r="U4" s="644"/>
      <c r="V4" s="645"/>
      <c r="W4" s="119"/>
    </row>
    <row r="5" spans="1:34" ht="15.75" customHeight="1">
      <c r="A5" s="613"/>
      <c r="B5" s="609" t="str">
        <f>IF('Master Data'!H18="Yes","","सरकार द्वारा देय NPS की राशि -")</f>
        <v>सरकार द्वारा देय NPS की राशि -</v>
      </c>
      <c r="C5" s="610"/>
      <c r="D5" s="610"/>
      <c r="E5" s="610"/>
      <c r="F5" s="610"/>
      <c r="G5" s="610"/>
      <c r="H5" s="610"/>
      <c r="I5" s="610"/>
      <c r="J5" s="610"/>
      <c r="K5" s="610"/>
      <c r="L5" s="610"/>
      <c r="M5" s="611"/>
      <c r="N5" s="161" t="s">
        <v>138</v>
      </c>
      <c r="O5" s="162">
        <f>IF('Master Data'!H18="Yes",0,IF('Master Data'!I30='GA55 Check &amp; Edit'!AN6,'GA 55 '!O28,0))</f>
        <v>78584</v>
      </c>
      <c r="P5" s="163"/>
      <c r="Q5" s="74"/>
      <c r="R5" s="646"/>
      <c r="S5" s="647"/>
      <c r="T5" s="647"/>
      <c r="U5" s="647"/>
      <c r="V5" s="648"/>
      <c r="W5" s="119"/>
    </row>
    <row r="6" spans="1:34" ht="15.75" customHeight="1">
      <c r="A6" s="164">
        <v>3</v>
      </c>
      <c r="B6" s="521" t="s">
        <v>140</v>
      </c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161" t="s">
        <v>138</v>
      </c>
      <c r="O6" s="162">
        <f>IF(T14=T2,SUM('Extra Ded '!I7+'Extra Ded '!E6+'GA 55 '!G28),"0")</f>
        <v>0</v>
      </c>
      <c r="P6" s="165"/>
      <c r="Q6" s="74" t="s">
        <v>139</v>
      </c>
      <c r="R6" s="646"/>
      <c r="S6" s="647"/>
      <c r="T6" s="647"/>
      <c r="U6" s="647"/>
      <c r="V6" s="648"/>
      <c r="W6" s="119"/>
    </row>
    <row r="7" spans="1:34" ht="18.75">
      <c r="A7" s="164">
        <v>4</v>
      </c>
      <c r="B7" s="568" t="s">
        <v>141</v>
      </c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161" t="s">
        <v>138</v>
      </c>
      <c r="O7" s="162">
        <f>(O4+O5)-O6</f>
        <v>925118</v>
      </c>
      <c r="P7" s="165"/>
      <c r="Q7" s="165"/>
      <c r="R7" s="646"/>
      <c r="S7" s="647"/>
      <c r="T7" s="647"/>
      <c r="U7" s="647"/>
      <c r="V7" s="648"/>
      <c r="W7" s="119"/>
    </row>
    <row r="8" spans="1:34" ht="19.5" thickBot="1">
      <c r="A8" s="515">
        <v>5</v>
      </c>
      <c r="B8" s="587" t="s">
        <v>142</v>
      </c>
      <c r="C8" s="587"/>
      <c r="D8" s="587"/>
      <c r="E8" s="587"/>
      <c r="F8" s="587"/>
      <c r="G8" s="587"/>
      <c r="H8" s="587"/>
      <c r="I8" s="587"/>
      <c r="J8" s="587"/>
      <c r="K8" s="595">
        <f>IF(T14=T2,'Extra Ded '!E8,"0")</f>
        <v>0</v>
      </c>
      <c r="L8" s="595"/>
      <c r="M8" s="595"/>
      <c r="N8" s="607"/>
      <c r="O8" s="608"/>
      <c r="P8" s="166"/>
      <c r="Q8" s="166"/>
      <c r="R8" s="649"/>
      <c r="S8" s="650"/>
      <c r="T8" s="650"/>
      <c r="U8" s="650"/>
      <c r="V8" s="651"/>
      <c r="W8" s="119"/>
    </row>
    <row r="9" spans="1:34" ht="18.75">
      <c r="A9" s="515"/>
      <c r="B9" s="587" t="s">
        <v>143</v>
      </c>
      <c r="C9" s="587"/>
      <c r="D9" s="587"/>
      <c r="E9" s="587"/>
      <c r="F9" s="587"/>
      <c r="G9" s="587"/>
      <c r="H9" s="587"/>
      <c r="I9" s="587"/>
      <c r="J9" s="587"/>
      <c r="K9" s="595">
        <f>IF(T14=T2,'Extra Ded '!E9,"0")</f>
        <v>0</v>
      </c>
      <c r="L9" s="595"/>
      <c r="M9" s="595"/>
      <c r="N9" s="607"/>
      <c r="O9" s="608"/>
      <c r="P9" s="166"/>
      <c r="Q9" s="166"/>
      <c r="R9" s="75"/>
      <c r="S9" s="75"/>
      <c r="T9" s="75"/>
      <c r="U9" s="75"/>
      <c r="V9" s="75"/>
      <c r="W9" s="75"/>
    </row>
    <row r="10" spans="1:34" ht="20.25">
      <c r="A10" s="515"/>
      <c r="B10" s="587" t="s">
        <v>144</v>
      </c>
      <c r="C10" s="587"/>
      <c r="D10" s="587"/>
      <c r="E10" s="587"/>
      <c r="F10" s="587"/>
      <c r="G10" s="587"/>
      <c r="H10" s="587"/>
      <c r="I10" s="587"/>
      <c r="J10" s="587"/>
      <c r="K10" s="641">
        <f>IF(T14=T2,'Extra Ded '!E7,"0")</f>
        <v>50000</v>
      </c>
      <c r="L10" s="641"/>
      <c r="M10" s="641"/>
      <c r="N10" s="161" t="s">
        <v>138</v>
      </c>
      <c r="O10" s="162">
        <f>SUM(K8:M10)</f>
        <v>50000</v>
      </c>
      <c r="P10" s="165"/>
      <c r="Q10" s="165"/>
      <c r="R10" s="108"/>
      <c r="S10" s="108"/>
      <c r="T10" s="108"/>
      <c r="U10" s="108"/>
      <c r="V10" s="108"/>
      <c r="W10" s="108"/>
    </row>
    <row r="11" spans="1:34" ht="17.25" customHeight="1">
      <c r="A11" s="164">
        <v>6</v>
      </c>
      <c r="B11" s="642" t="s">
        <v>145</v>
      </c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161" t="s">
        <v>138</v>
      </c>
      <c r="O11" s="162">
        <f>O7-O10</f>
        <v>875118</v>
      </c>
      <c r="P11" s="165"/>
      <c r="Q11" s="165"/>
      <c r="R11" s="109"/>
      <c r="S11" s="109"/>
      <c r="T11" s="197"/>
      <c r="U11" s="109"/>
      <c r="V11" s="109"/>
      <c r="W11" s="109"/>
    </row>
    <row r="12" spans="1:34" ht="15.75">
      <c r="A12" s="515">
        <v>7</v>
      </c>
      <c r="B12" s="587" t="s">
        <v>146</v>
      </c>
      <c r="C12" s="587"/>
      <c r="D12" s="587"/>
      <c r="E12" s="587"/>
      <c r="F12" s="587"/>
      <c r="G12" s="587"/>
      <c r="H12" s="587"/>
      <c r="I12" s="594" t="s">
        <v>147</v>
      </c>
      <c r="J12" s="594"/>
      <c r="K12" s="595">
        <f>'Extra Ded '!E10</f>
        <v>0</v>
      </c>
      <c r="L12" s="595"/>
      <c r="M12" s="595"/>
      <c r="N12" s="591"/>
      <c r="O12" s="592"/>
      <c r="P12" s="167"/>
      <c r="Q12" s="167"/>
      <c r="T12" s="196"/>
    </row>
    <row r="13" spans="1:34" ht="15.75" customHeight="1">
      <c r="A13" s="515"/>
      <c r="B13" s="593" t="s">
        <v>148</v>
      </c>
      <c r="C13" s="593"/>
      <c r="D13" s="534" t="s">
        <v>149</v>
      </c>
      <c r="E13" s="534"/>
      <c r="F13" s="534" t="s">
        <v>150</v>
      </c>
      <c r="G13" s="534"/>
      <c r="H13" s="534"/>
      <c r="I13" s="534" t="s">
        <v>151</v>
      </c>
      <c r="J13" s="534"/>
      <c r="K13" s="594" t="s">
        <v>152</v>
      </c>
      <c r="L13" s="594"/>
      <c r="M13" s="594"/>
      <c r="N13" s="591"/>
      <c r="O13" s="592"/>
      <c r="P13" s="167"/>
      <c r="Q13" s="167"/>
      <c r="T13" s="196"/>
    </row>
    <row r="14" spans="1:34" ht="15.75">
      <c r="A14" s="515"/>
      <c r="B14" s="593"/>
      <c r="C14" s="593"/>
      <c r="D14" s="595">
        <f>IF(T14=T2,ROUND(K12*0.3,0),"0")</f>
        <v>0</v>
      </c>
      <c r="E14" s="595"/>
      <c r="F14" s="595">
        <f>IF(T14=T2,'Extra Ded '!E13,"0")</f>
        <v>0</v>
      </c>
      <c r="G14" s="595"/>
      <c r="H14" s="595"/>
      <c r="I14" s="595">
        <f>IF(T14=T2,'Extra Ded '!E11,"0")</f>
        <v>0</v>
      </c>
      <c r="J14" s="595"/>
      <c r="K14" s="595">
        <f>D14+F14+I14</f>
        <v>0</v>
      </c>
      <c r="L14" s="595"/>
      <c r="M14" s="595"/>
      <c r="N14" s="591"/>
      <c r="O14" s="592"/>
      <c r="P14" s="167"/>
      <c r="Q14" s="167"/>
      <c r="T14" s="195">
        <v>1</v>
      </c>
    </row>
    <row r="15" spans="1:34" ht="15.75">
      <c r="A15" s="164"/>
      <c r="B15" s="568" t="s">
        <v>153</v>
      </c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161" t="s">
        <v>138</v>
      </c>
      <c r="O15" s="162">
        <f>K12-K14</f>
        <v>0</v>
      </c>
      <c r="P15" s="165"/>
      <c r="Q15" s="165"/>
      <c r="T15" s="196"/>
    </row>
    <row r="16" spans="1:34" ht="15.75">
      <c r="A16" s="164">
        <v>8</v>
      </c>
      <c r="B16" s="587" t="s">
        <v>154</v>
      </c>
      <c r="C16" s="587"/>
      <c r="D16" s="587"/>
      <c r="E16" s="596">
        <f>'Extra Ded '!I21</f>
        <v>1500</v>
      </c>
      <c r="F16" s="596"/>
      <c r="G16" s="594" t="s">
        <v>156</v>
      </c>
      <c r="H16" s="594"/>
      <c r="I16" s="288">
        <f>'Extra Ded '!E24</f>
        <v>0</v>
      </c>
      <c r="J16" s="568" t="s">
        <v>155</v>
      </c>
      <c r="K16" s="568"/>
      <c r="L16" s="568"/>
      <c r="M16" s="568"/>
      <c r="N16" s="161" t="s">
        <v>138</v>
      </c>
      <c r="O16" s="162">
        <f>O11+O15</f>
        <v>875118</v>
      </c>
      <c r="P16" s="165"/>
      <c r="Q16" s="165"/>
      <c r="T16" s="196"/>
      <c r="AH16" s="34">
        <f>IF(AM24=AM12,SUM('Extra Ded '!AB17+'Extra Ded '!X16+'GA 55 '!Z38),"0")</f>
        <v>0</v>
      </c>
    </row>
    <row r="17" spans="1:37" ht="15.75">
      <c r="A17" s="164">
        <v>9</v>
      </c>
      <c r="B17" s="588" t="s">
        <v>265</v>
      </c>
      <c r="C17" s="589"/>
      <c r="D17" s="590"/>
      <c r="E17" s="597">
        <f>'Extra Ded '!I23</f>
        <v>0</v>
      </c>
      <c r="F17" s="598"/>
      <c r="G17" s="599" t="s">
        <v>224</v>
      </c>
      <c r="H17" s="600"/>
      <c r="I17" s="291">
        <f>'Extra Ded '!E23</f>
        <v>0</v>
      </c>
      <c r="J17" s="601" t="s">
        <v>157</v>
      </c>
      <c r="K17" s="602"/>
      <c r="L17" s="602"/>
      <c r="M17" s="603"/>
      <c r="N17" s="161" t="s">
        <v>138</v>
      </c>
      <c r="O17" s="162">
        <f>E16+E17+I16+I17</f>
        <v>1500</v>
      </c>
      <c r="P17" s="165"/>
      <c r="Q17" s="165"/>
      <c r="T17" s="196"/>
    </row>
    <row r="18" spans="1:37" ht="15.75">
      <c r="A18" s="164">
        <v>10</v>
      </c>
      <c r="B18" s="604" t="s">
        <v>158</v>
      </c>
      <c r="C18" s="605"/>
      <c r="D18" s="605"/>
      <c r="E18" s="605"/>
      <c r="F18" s="605"/>
      <c r="G18" s="605"/>
      <c r="H18" s="605"/>
      <c r="I18" s="605"/>
      <c r="J18" s="605"/>
      <c r="K18" s="605"/>
      <c r="L18" s="605"/>
      <c r="M18" s="606"/>
      <c r="N18" s="161" t="s">
        <v>138</v>
      </c>
      <c r="O18" s="162">
        <f>O16+O17</f>
        <v>876618</v>
      </c>
      <c r="P18" s="163"/>
      <c r="Q18" s="163"/>
      <c r="T18" s="196"/>
    </row>
    <row r="19" spans="1:37" ht="15.75">
      <c r="A19" s="515">
        <v>11</v>
      </c>
      <c r="B19" s="526" t="s">
        <v>159</v>
      </c>
      <c r="C19" s="526"/>
      <c r="D19" s="526"/>
      <c r="E19" s="526"/>
      <c r="F19" s="526"/>
      <c r="G19" s="526"/>
      <c r="H19" s="526"/>
      <c r="I19" s="526"/>
      <c r="J19" s="526"/>
      <c r="K19" s="526"/>
      <c r="L19" s="526"/>
      <c r="M19" s="526"/>
      <c r="N19" s="526"/>
      <c r="O19" s="527"/>
      <c r="P19" s="168"/>
      <c r="Q19" s="168"/>
      <c r="R19" s="553" t="s">
        <v>430</v>
      </c>
      <c r="S19" s="553"/>
      <c r="T19" s="196"/>
    </row>
    <row r="20" spans="1:37" ht="15" customHeight="1">
      <c r="A20" s="515"/>
      <c r="B20" s="528" t="s">
        <v>160</v>
      </c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9"/>
      <c r="P20" s="169"/>
      <c r="Q20" s="169"/>
      <c r="T20" s="196"/>
    </row>
    <row r="21" spans="1:37" ht="15.75" customHeight="1">
      <c r="A21" s="515"/>
      <c r="B21" s="170" t="s">
        <v>161</v>
      </c>
      <c r="C21" s="530" t="s">
        <v>162</v>
      </c>
      <c r="D21" s="530"/>
      <c r="E21" s="530"/>
      <c r="F21" s="171" t="s">
        <v>138</v>
      </c>
      <c r="G21" s="172">
        <f>IF(T14=T2,SUM('GA 55 '!N28),"0")</f>
        <v>84000</v>
      </c>
      <c r="H21" s="173" t="s">
        <v>163</v>
      </c>
      <c r="I21" s="531" t="s">
        <v>164</v>
      </c>
      <c r="J21" s="532"/>
      <c r="K21" s="533"/>
      <c r="L21" s="171" t="s">
        <v>138</v>
      </c>
      <c r="M21" s="172">
        <f>IF('Master Data'!I30='GA55 Check &amp; Edit'!AN5,0,IF(T14=T1,0,IF(T34=T36,AA27,AB23)))</f>
        <v>78584</v>
      </c>
      <c r="N21" s="534"/>
      <c r="O21" s="535"/>
      <c r="P21" s="174"/>
      <c r="Q21" s="174"/>
      <c r="R21" s="248"/>
      <c r="S21" s="248"/>
      <c r="T21" s="249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</row>
    <row r="22" spans="1:37" ht="15.75" customHeight="1">
      <c r="A22" s="515"/>
      <c r="B22" s="170" t="s">
        <v>165</v>
      </c>
      <c r="C22" s="530" t="s">
        <v>166</v>
      </c>
      <c r="D22" s="530"/>
      <c r="E22" s="530"/>
      <c r="F22" s="171" t="s">
        <v>138</v>
      </c>
      <c r="G22" s="172">
        <f>IF(T14=T2,'GA 55 '!P28,"0")</f>
        <v>22560</v>
      </c>
      <c r="H22" s="173" t="s">
        <v>167</v>
      </c>
      <c r="I22" s="536" t="s">
        <v>168</v>
      </c>
      <c r="J22" s="536"/>
      <c r="K22" s="536"/>
      <c r="L22" s="171" t="s">
        <v>138</v>
      </c>
      <c r="M22" s="172">
        <f>IF(T14=T2,'Extra Ded '!I12,"0")</f>
        <v>0</v>
      </c>
      <c r="N22" s="534"/>
      <c r="O22" s="535"/>
      <c r="P22" s="174"/>
      <c r="Q22" s="618" t="s">
        <v>438</v>
      </c>
      <c r="R22" s="618"/>
      <c r="S22" s="618"/>
      <c r="T22" s="618"/>
      <c r="U22" s="61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</row>
    <row r="23" spans="1:37" ht="15.75" customHeight="1">
      <c r="A23" s="515"/>
      <c r="B23" s="170" t="s">
        <v>169</v>
      </c>
      <c r="C23" s="530" t="s">
        <v>170</v>
      </c>
      <c r="D23" s="530"/>
      <c r="E23" s="530"/>
      <c r="F23" s="171" t="s">
        <v>138</v>
      </c>
      <c r="G23" s="172">
        <f>IF(T14=T2,'Extra Ded '!E18,"0")</f>
        <v>0</v>
      </c>
      <c r="H23" s="173" t="s">
        <v>171</v>
      </c>
      <c r="I23" s="536" t="s">
        <v>172</v>
      </c>
      <c r="J23" s="536"/>
      <c r="K23" s="536"/>
      <c r="L23" s="171" t="s">
        <v>138</v>
      </c>
      <c r="M23" s="175">
        <f>IF(T14=T2,'Extra Ded '!E19,"0")</f>
        <v>0</v>
      </c>
      <c r="N23" s="534"/>
      <c r="O23" s="535"/>
      <c r="P23" s="174"/>
      <c r="Q23" s="618"/>
      <c r="R23" s="618"/>
      <c r="S23" s="618"/>
      <c r="T23" s="618"/>
      <c r="U23" s="618"/>
      <c r="V23" s="248"/>
      <c r="W23" s="248"/>
      <c r="X23" s="248"/>
      <c r="Y23" s="248"/>
      <c r="Z23" s="248">
        <f>IF(AA23&gt;AB23,AB23,AA23)</f>
        <v>78584</v>
      </c>
      <c r="AA23" s="248">
        <f>IF('Master Data'!I30='GA55 Check &amp; Edit'!AN5,0,ROUND(10%*'GA 55 '!M28,0))</f>
        <v>84653</v>
      </c>
      <c r="AB23" s="248">
        <f>IF('Master Data'!I30='GA55 Check &amp; Edit'!AN6,'GA 55 '!O28,0)</f>
        <v>78584</v>
      </c>
      <c r="AC23" s="248"/>
      <c r="AD23" s="248"/>
      <c r="AE23" s="248"/>
      <c r="AF23" s="248"/>
      <c r="AG23" s="248"/>
      <c r="AH23" s="619" t="s">
        <v>439</v>
      </c>
      <c r="AI23" s="619"/>
      <c r="AJ23" s="619"/>
      <c r="AK23" s="619"/>
    </row>
    <row r="24" spans="1:37" ht="15.75">
      <c r="A24" s="515"/>
      <c r="B24" s="170" t="s">
        <v>173</v>
      </c>
      <c r="C24" s="530" t="s">
        <v>174</v>
      </c>
      <c r="D24" s="530"/>
      <c r="E24" s="530"/>
      <c r="F24" s="171" t="s">
        <v>138</v>
      </c>
      <c r="G24" s="172">
        <f>IF(T14=T2,'Extra Ded '!E20,"0")</f>
        <v>0</v>
      </c>
      <c r="H24" s="173" t="s">
        <v>175</v>
      </c>
      <c r="I24" s="536" t="s">
        <v>176</v>
      </c>
      <c r="J24" s="536"/>
      <c r="K24" s="536"/>
      <c r="L24" s="171" t="s">
        <v>138</v>
      </c>
      <c r="M24" s="175">
        <f>IF(T14=T2,'Extra Ded '!E16,"0")</f>
        <v>0</v>
      </c>
      <c r="N24" s="534"/>
      <c r="O24" s="535"/>
      <c r="P24" s="174"/>
      <c r="Q24" s="618"/>
      <c r="R24" s="618"/>
      <c r="S24" s="618"/>
      <c r="T24" s="618"/>
      <c r="U24" s="618"/>
      <c r="V24" s="248"/>
      <c r="W24" s="248"/>
      <c r="X24" s="248"/>
      <c r="Y24" s="248"/>
      <c r="Z24" s="250" t="e">
        <f>SUM(G21:G31)+SUM(M22:M30)+O33</f>
        <v>#VALUE!</v>
      </c>
      <c r="AA24" s="248">
        <f>IF('Extra Ded '!I14&gt;50000,50000,'Extra Ded '!I14)</f>
        <v>0</v>
      </c>
      <c r="AB24" s="248" t="e">
        <f>IF(Z24&gt;150000,Z24-150000,0)</f>
        <v>#VALUE!</v>
      </c>
      <c r="AC24" s="248"/>
      <c r="AD24" s="248"/>
      <c r="AE24" s="248"/>
      <c r="AF24" s="248"/>
      <c r="AG24" s="248"/>
      <c r="AH24" s="619"/>
      <c r="AI24" s="619"/>
      <c r="AJ24" s="619"/>
      <c r="AK24" s="619"/>
    </row>
    <row r="25" spans="1:37" ht="16.5" thickBot="1">
      <c r="A25" s="515"/>
      <c r="B25" s="170" t="s">
        <v>177</v>
      </c>
      <c r="C25" s="530" t="s">
        <v>178</v>
      </c>
      <c r="D25" s="530"/>
      <c r="E25" s="530"/>
      <c r="F25" s="171" t="s">
        <v>138</v>
      </c>
      <c r="G25" s="172">
        <f>IF(T14=T2,'Extra Ded '!E21,"0")</f>
        <v>0</v>
      </c>
      <c r="H25" s="173" t="s">
        <v>179</v>
      </c>
      <c r="I25" s="536" t="s">
        <v>180</v>
      </c>
      <c r="J25" s="536"/>
      <c r="K25" s="536"/>
      <c r="L25" s="171" t="s">
        <v>138</v>
      </c>
      <c r="M25" s="172">
        <f>IF(T14=T2,'Extra Ded '!I6,"0")</f>
        <v>0</v>
      </c>
      <c r="N25" s="534"/>
      <c r="O25" s="535"/>
      <c r="P25" s="166"/>
      <c r="Q25" s="166"/>
      <c r="S25" s="112"/>
    </row>
    <row r="26" spans="1:37" ht="15.75">
      <c r="A26" s="515"/>
      <c r="B26" s="170" t="s">
        <v>181</v>
      </c>
      <c r="C26" s="530" t="s">
        <v>182</v>
      </c>
      <c r="D26" s="530"/>
      <c r="E26" s="530"/>
      <c r="F26" s="171" t="s">
        <v>138</v>
      </c>
      <c r="G26" s="172" t="str">
        <f>IF(AND(T14=T2,'Master Data'!I30='GA55 Check &amp; Edit'!AN5),'GA 55 '!O28,"0")</f>
        <v>0</v>
      </c>
      <c r="H26" s="173" t="s">
        <v>183</v>
      </c>
      <c r="I26" s="536" t="s">
        <v>184</v>
      </c>
      <c r="J26" s="536"/>
      <c r="K26" s="536"/>
      <c r="L26" s="171" t="s">
        <v>138</v>
      </c>
      <c r="M26" s="172">
        <f>IF(T14=T2,'Extra Ded '!I8,"0")</f>
        <v>0</v>
      </c>
      <c r="N26" s="534"/>
      <c r="O26" s="535"/>
      <c r="P26" s="166"/>
      <c r="Q26" s="620" t="s">
        <v>270</v>
      </c>
      <c r="R26" s="621"/>
      <c r="S26" s="622"/>
    </row>
    <row r="27" spans="1:37" ht="15.75" customHeight="1">
      <c r="A27" s="515"/>
      <c r="B27" s="170" t="s">
        <v>185</v>
      </c>
      <c r="C27" s="530" t="s">
        <v>186</v>
      </c>
      <c r="D27" s="530"/>
      <c r="E27" s="530"/>
      <c r="F27" s="171" t="s">
        <v>138</v>
      </c>
      <c r="G27" s="175">
        <f>IF(T14=T2,'GA 55 '!Y28,"0")</f>
        <v>220</v>
      </c>
      <c r="H27" s="173" t="s">
        <v>187</v>
      </c>
      <c r="I27" s="579" t="s">
        <v>188</v>
      </c>
      <c r="J27" s="579"/>
      <c r="K27" s="579"/>
      <c r="L27" s="171" t="s">
        <v>138</v>
      </c>
      <c r="M27" s="172">
        <f>IF(T14=T2,'Extra Ded '!E15,"0")</f>
        <v>0</v>
      </c>
      <c r="N27" s="534"/>
      <c r="O27" s="535"/>
      <c r="P27" s="166"/>
      <c r="Q27" s="623"/>
      <c r="R27" s="624"/>
      <c r="S27" s="625"/>
      <c r="AA27" s="34">
        <f>IFERROR(SUM(Z23)-MIN(AA24,AB24),0)</f>
        <v>0</v>
      </c>
      <c r="AC27" s="34" t="e">
        <f>MIN(AA24,AB24)</f>
        <v>#VALUE!</v>
      </c>
    </row>
    <row r="28" spans="1:37" ht="15.75" customHeight="1">
      <c r="A28" s="515"/>
      <c r="B28" s="170" t="s">
        <v>189</v>
      </c>
      <c r="C28" s="530" t="s">
        <v>190</v>
      </c>
      <c r="D28" s="530"/>
      <c r="E28" s="530"/>
      <c r="F28" s="171" t="s">
        <v>138</v>
      </c>
      <c r="G28" s="175">
        <f>IF(T14=T2,'Extra Ded '!E17,"0")</f>
        <v>0</v>
      </c>
      <c r="H28" s="173" t="s">
        <v>191</v>
      </c>
      <c r="I28" s="583" t="s">
        <v>421</v>
      </c>
      <c r="J28" s="583"/>
      <c r="K28" s="583"/>
      <c r="L28" s="171" t="s">
        <v>138</v>
      </c>
      <c r="M28" s="172">
        <f>IF(T14=T2,'Extra Ded '!I13,"0")</f>
        <v>0</v>
      </c>
      <c r="N28" s="534"/>
      <c r="O28" s="535"/>
      <c r="P28" s="166"/>
      <c r="Q28" s="623"/>
      <c r="R28" s="624"/>
      <c r="S28" s="625"/>
    </row>
    <row r="29" spans="1:37" ht="15.75">
      <c r="A29" s="515"/>
      <c r="B29" s="170" t="s">
        <v>192</v>
      </c>
      <c r="C29" s="530" t="s">
        <v>193</v>
      </c>
      <c r="D29" s="530"/>
      <c r="E29" s="530"/>
      <c r="F29" s="171" t="s">
        <v>138</v>
      </c>
      <c r="G29" s="175">
        <f>IF(T14=T2,'Extra Ded '!E12,"0")</f>
        <v>0</v>
      </c>
      <c r="H29" s="173" t="s">
        <v>194</v>
      </c>
      <c r="I29" s="586" t="s">
        <v>195</v>
      </c>
      <c r="J29" s="586"/>
      <c r="K29" s="586"/>
      <c r="L29" s="171" t="s">
        <v>138</v>
      </c>
      <c r="M29" s="172">
        <f>IF(T14=T2,'Extra Ded '!E22,"0")</f>
        <v>0</v>
      </c>
      <c r="N29" s="534"/>
      <c r="O29" s="535"/>
      <c r="P29" s="166"/>
      <c r="Q29" s="623"/>
      <c r="R29" s="624"/>
      <c r="S29" s="625"/>
      <c r="AA29" s="34" t="e">
        <f>IF(Z24&gt;=200000,50000,AC27)</f>
        <v>#VALUE!</v>
      </c>
    </row>
    <row r="30" spans="1:37" ht="15.75">
      <c r="A30" s="515"/>
      <c r="B30" s="170" t="s">
        <v>196</v>
      </c>
      <c r="C30" s="578" t="s">
        <v>197</v>
      </c>
      <c r="D30" s="578"/>
      <c r="E30" s="578"/>
      <c r="F30" s="171" t="s">
        <v>138</v>
      </c>
      <c r="G30" s="172">
        <f>IF(T14=T2,'Extra Ded '!E14,"0")</f>
        <v>0</v>
      </c>
      <c r="H30" s="173" t="s">
        <v>198</v>
      </c>
      <c r="I30" s="579" t="s">
        <v>423</v>
      </c>
      <c r="J30" s="579"/>
      <c r="K30" s="579"/>
      <c r="L30" s="171" t="s">
        <v>138</v>
      </c>
      <c r="M30" s="172">
        <f>IF(T14=T2,'Extra Ded '!I10,"0")</f>
        <v>0</v>
      </c>
      <c r="N30" s="534"/>
      <c r="O30" s="535"/>
      <c r="P30" s="166"/>
      <c r="Q30" s="623"/>
      <c r="R30" s="624"/>
      <c r="S30" s="625"/>
    </row>
    <row r="31" spans="1:37" ht="16.5" thickBot="1">
      <c r="A31" s="515"/>
      <c r="B31" s="170" t="s">
        <v>441</v>
      </c>
      <c r="C31" s="580" t="str">
        <f>IF('Master Data'!N43="Yes","thih,Q&amp;2004 esa dVksrh","")</f>
        <v/>
      </c>
      <c r="D31" s="581"/>
      <c r="E31" s="582"/>
      <c r="F31" s="171" t="s">
        <v>138</v>
      </c>
      <c r="G31" s="278">
        <f>IF(AND('Master Data'!N43="Yes",T14=T2),'GA 55 '!T28,0)</f>
        <v>0</v>
      </c>
      <c r="H31" s="518" t="s">
        <v>199</v>
      </c>
      <c r="I31" s="519"/>
      <c r="J31" s="519"/>
      <c r="K31" s="520"/>
      <c r="L31" s="171" t="s">
        <v>138</v>
      </c>
      <c r="M31" s="176">
        <f>SUM(G21:G31)+SUM(M21:M30)</f>
        <v>185364</v>
      </c>
      <c r="N31" s="534"/>
      <c r="O31" s="535"/>
      <c r="P31" s="166"/>
      <c r="Q31" s="626"/>
      <c r="R31" s="627"/>
      <c r="S31" s="628"/>
      <c r="AA31" s="34">
        <f>('Extra Ded '!I23+'Extra Ded '!I21)</f>
        <v>1500</v>
      </c>
    </row>
    <row r="32" spans="1:37" ht="15.75" customHeight="1">
      <c r="A32" s="515"/>
      <c r="B32" s="568" t="s">
        <v>200</v>
      </c>
      <c r="C32" s="568"/>
      <c r="D32" s="568"/>
      <c r="E32" s="568"/>
      <c r="F32" s="568"/>
      <c r="G32" s="568"/>
      <c r="H32" s="568"/>
      <c r="I32" s="568"/>
      <c r="J32" s="568"/>
      <c r="K32" s="568"/>
      <c r="L32" s="568"/>
      <c r="M32" s="568"/>
      <c r="N32" s="287" t="s">
        <v>138</v>
      </c>
      <c r="O32" s="162">
        <f>IF(M31&lt;150001,ROUND(M31,0),150000)</f>
        <v>150000</v>
      </c>
      <c r="P32" s="163"/>
      <c r="Q32" s="74"/>
      <c r="R32" s="121" t="s">
        <v>269</v>
      </c>
      <c r="S32" s="554" t="s">
        <v>432</v>
      </c>
      <c r="T32" s="198"/>
      <c r="U32" s="115"/>
      <c r="V32" s="115"/>
      <c r="W32" s="115"/>
      <c r="AA32" s="34">
        <f>IF(AA31&gt;10000,10000,AA31)</f>
        <v>1500</v>
      </c>
      <c r="AB32" s="34">
        <f>IF(AA31&gt;50000,50000,AA31)</f>
        <v>1500</v>
      </c>
    </row>
    <row r="33" spans="1:28" ht="15.75" customHeight="1">
      <c r="A33" s="515"/>
      <c r="B33" s="525" t="s">
        <v>201</v>
      </c>
      <c r="C33" s="525"/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287"/>
      <c r="O33" s="162" t="str">
        <f>IF('Master Data'!I30='GA55 Check &amp; Edit'!AN6,'GA 55 '!O27,0)</f>
        <v/>
      </c>
      <c r="P33" s="165"/>
      <c r="Q33" s="74"/>
      <c r="R33" s="115"/>
      <c r="S33" s="555"/>
      <c r="T33" s="198"/>
      <c r="U33" s="115"/>
      <c r="V33" s="115"/>
      <c r="W33" s="115"/>
      <c r="AA33" s="34">
        <f>IF('Master Data'!E24="Under 60",AA32,IF('Master Data'!E24="Above 60",AB32,IF('Master Data'!E24="Above 80",AB32,0)))</f>
        <v>1500</v>
      </c>
    </row>
    <row r="34" spans="1:28" ht="15.75" customHeight="1">
      <c r="A34" s="515"/>
      <c r="B34" s="584" t="s">
        <v>202</v>
      </c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287" t="s">
        <v>138</v>
      </c>
      <c r="O34" s="352">
        <f>IF(T14=T1,0,IF(T34=T36,AB35,0))</f>
        <v>0</v>
      </c>
      <c r="P34" s="165"/>
      <c r="Q34" s="165"/>
      <c r="R34" s="115"/>
      <c r="S34" s="555"/>
      <c r="T34" s="199" t="b">
        <v>0</v>
      </c>
      <c r="U34" s="115"/>
      <c r="V34" s="115"/>
      <c r="W34" s="115"/>
    </row>
    <row r="35" spans="1:28" ht="17.25" customHeight="1">
      <c r="A35" s="515"/>
      <c r="B35" s="585" t="s">
        <v>203</v>
      </c>
      <c r="C35" s="585"/>
      <c r="D35" s="585"/>
      <c r="E35" s="585"/>
      <c r="F35" s="585"/>
      <c r="G35" s="585"/>
      <c r="H35" s="585"/>
      <c r="I35" s="585"/>
      <c r="J35" s="585"/>
      <c r="K35" s="585"/>
      <c r="L35" s="585"/>
      <c r="M35" s="585"/>
      <c r="N35" s="287" t="s">
        <v>138</v>
      </c>
      <c r="O35" s="162">
        <f>SUM(O32:O34)</f>
        <v>150000</v>
      </c>
      <c r="P35" s="163"/>
      <c r="Q35" s="163"/>
      <c r="R35" s="115"/>
      <c r="S35" s="115"/>
      <c r="T35" s="198"/>
      <c r="U35" s="115"/>
      <c r="V35" s="115"/>
      <c r="W35" s="115"/>
      <c r="AB35" s="34" t="e">
        <f>IF('Master Data'!I30='GA55 Check &amp; Edit'!AN6,AA29,0)</f>
        <v>#VALUE!</v>
      </c>
    </row>
    <row r="36" spans="1:28" ht="15.75" customHeight="1">
      <c r="A36" s="515">
        <v>12</v>
      </c>
      <c r="B36" s="523" t="s">
        <v>204</v>
      </c>
      <c r="C36" s="523"/>
      <c r="D36" s="523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4"/>
      <c r="P36" s="168"/>
      <c r="Q36" s="168"/>
      <c r="R36" s="115"/>
      <c r="S36" s="115"/>
      <c r="T36" s="199" t="b">
        <v>1</v>
      </c>
      <c r="U36" s="115"/>
      <c r="V36" s="115"/>
      <c r="W36" s="115"/>
    </row>
    <row r="37" spans="1:28" s="76" customFormat="1" ht="15.75" customHeight="1">
      <c r="A37" s="515"/>
      <c r="B37" s="521" t="s">
        <v>477</v>
      </c>
      <c r="C37" s="521"/>
      <c r="D37" s="521"/>
      <c r="E37" s="521"/>
      <c r="F37" s="521"/>
      <c r="G37" s="521"/>
      <c r="H37" s="521"/>
      <c r="I37" s="521"/>
      <c r="J37" s="521"/>
      <c r="K37" s="521"/>
      <c r="L37" s="521"/>
      <c r="M37" s="521"/>
      <c r="N37" s="287" t="s">
        <v>138</v>
      </c>
      <c r="O37" s="177">
        <f>IF(T14=T2,'Extra Ded '!I15,"0")</f>
        <v>0</v>
      </c>
      <c r="P37" s="165"/>
      <c r="Q37" s="165"/>
      <c r="R37" s="115"/>
      <c r="S37" s="115"/>
      <c r="T37" s="115"/>
      <c r="U37" s="115"/>
      <c r="V37" s="115"/>
      <c r="W37" s="115"/>
    </row>
    <row r="38" spans="1:28" s="76" customFormat="1" ht="15.75">
      <c r="A38" s="515"/>
      <c r="B38" s="521" t="s">
        <v>478</v>
      </c>
      <c r="C38" s="521"/>
      <c r="D38" s="521"/>
      <c r="E38" s="521"/>
      <c r="F38" s="521"/>
      <c r="G38" s="521"/>
      <c r="H38" s="521"/>
      <c r="I38" s="521"/>
      <c r="J38" s="521"/>
      <c r="K38" s="521"/>
      <c r="L38" s="521"/>
      <c r="M38" s="521"/>
      <c r="N38" s="287" t="s">
        <v>138</v>
      </c>
      <c r="O38" s="177">
        <f>IF(T14=T2,'Extra Ded '!I16,"0")</f>
        <v>0</v>
      </c>
      <c r="P38" s="165"/>
      <c r="Q38" s="165"/>
      <c r="AB38" s="113">
        <f>'GA 55 '!N28+'GA 55 '!P28+'Extra Ded '!E18+'Extra Ded '!E20+'Extra Ded '!E21+'GA 55 '!O28+'GA 55 '!Y28+'Extra Ded '!E17+'Extra Ded '!E12+'Extra Ded '!E14+'Extra Ded '!I12+'Extra Ded '!E19+'Extra Ded '!E16+'Extra Ded '!I6+'Extra Ded '!I8+'Extra Ded '!E15+'Extra Ded '!I10+'Extra Ded '!E22+'Extra Ded '!E24</f>
        <v>185364</v>
      </c>
    </row>
    <row r="39" spans="1:28" s="76" customFormat="1" ht="15.75">
      <c r="A39" s="515"/>
      <c r="B39" s="521" t="s">
        <v>479</v>
      </c>
      <c r="C39" s="521"/>
      <c r="D39" s="521"/>
      <c r="E39" s="521"/>
      <c r="F39" s="521"/>
      <c r="G39" s="521"/>
      <c r="H39" s="521"/>
      <c r="I39" s="521"/>
      <c r="J39" s="521"/>
      <c r="K39" s="521"/>
      <c r="L39" s="521"/>
      <c r="M39" s="521"/>
      <c r="N39" s="287" t="s">
        <v>138</v>
      </c>
      <c r="O39" s="177">
        <f>IF(T14=T2,'Extra Ded '!I17,"0")</f>
        <v>0</v>
      </c>
      <c r="P39" s="165"/>
      <c r="Q39" s="165"/>
    </row>
    <row r="40" spans="1:28" s="76" customFormat="1" ht="16.5" thickBot="1">
      <c r="A40" s="515"/>
      <c r="B40" s="521" t="s">
        <v>205</v>
      </c>
      <c r="C40" s="521"/>
      <c r="D40" s="521"/>
      <c r="E40" s="521"/>
      <c r="F40" s="521"/>
      <c r="G40" s="521"/>
      <c r="H40" s="521"/>
      <c r="I40" s="521"/>
      <c r="J40" s="521"/>
      <c r="K40" s="521"/>
      <c r="L40" s="521"/>
      <c r="M40" s="521"/>
      <c r="N40" s="287" t="s">
        <v>138</v>
      </c>
      <c r="O40" s="177">
        <f>IF(T14=T2,'Extra Ded '!I18,"0")</f>
        <v>0</v>
      </c>
      <c r="P40" s="165"/>
      <c r="Q40" s="165"/>
      <c r="AB40" s="114">
        <f>'Extra Ded '!I15+'Extra Ded '!I16+'Extra Ded '!I17+'Extra Ded '!I18+('Extra Ded '!I19+'GA 55 '!U28)+'Extra Ded '!I20+AA33+'Extra Ded '!I22</f>
        <v>1500</v>
      </c>
    </row>
    <row r="41" spans="1:28" s="76" customFormat="1" ht="16.5" thickTop="1">
      <c r="A41" s="515"/>
      <c r="B41" s="521" t="s">
        <v>263</v>
      </c>
      <c r="C41" s="521"/>
      <c r="D41" s="521"/>
      <c r="E41" s="521"/>
      <c r="F41" s="521"/>
      <c r="G41" s="521"/>
      <c r="H41" s="521"/>
      <c r="I41" s="521"/>
      <c r="J41" s="521"/>
      <c r="K41" s="521"/>
      <c r="L41" s="521"/>
      <c r="M41" s="521"/>
      <c r="N41" s="287" t="s">
        <v>138</v>
      </c>
      <c r="O41" s="177">
        <f>IF(T14=T2,('Extra Ded '!I19),"0")</f>
        <v>0</v>
      </c>
      <c r="P41" s="165"/>
      <c r="Q41" s="165"/>
      <c r="R41" s="556" t="s">
        <v>437</v>
      </c>
      <c r="S41" s="557"/>
      <c r="T41" s="557"/>
      <c r="U41" s="557"/>
      <c r="V41" s="558"/>
    </row>
    <row r="42" spans="1:28" s="76" customFormat="1" ht="15.75">
      <c r="A42" s="515"/>
      <c r="B42" s="521" t="s">
        <v>480</v>
      </c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287" t="s">
        <v>138</v>
      </c>
      <c r="O42" s="177">
        <f>IF(T14=T2,'Extra Ded '!I20,"0")</f>
        <v>0</v>
      </c>
      <c r="P42" s="165"/>
      <c r="Q42" s="165"/>
      <c r="R42" s="559"/>
      <c r="S42" s="560"/>
      <c r="T42" s="560"/>
      <c r="U42" s="560"/>
      <c r="V42" s="561"/>
    </row>
    <row r="43" spans="1:28" s="76" customFormat="1" ht="16.5" thickBot="1">
      <c r="A43" s="515"/>
      <c r="B43" s="521" t="s">
        <v>481</v>
      </c>
      <c r="C43" s="521"/>
      <c r="D43" s="521"/>
      <c r="E43" s="521"/>
      <c r="F43" s="521"/>
      <c r="G43" s="521"/>
      <c r="H43" s="521"/>
      <c r="I43" s="521"/>
      <c r="J43" s="521"/>
      <c r="K43" s="521"/>
      <c r="L43" s="521"/>
      <c r="M43" s="521"/>
      <c r="N43" s="287" t="s">
        <v>138</v>
      </c>
      <c r="O43" s="177">
        <f>IF(T14=T2,AA33,"0")</f>
        <v>1500</v>
      </c>
      <c r="P43" s="165"/>
      <c r="Q43" s="165"/>
      <c r="R43" s="559"/>
      <c r="S43" s="560"/>
      <c r="T43" s="560"/>
      <c r="U43" s="562"/>
      <c r="V43" s="563"/>
    </row>
    <row r="44" spans="1:28" ht="16.5" thickTop="1">
      <c r="A44" s="515"/>
      <c r="B44" s="521" t="s">
        <v>482</v>
      </c>
      <c r="C44" s="521"/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287" t="s">
        <v>138</v>
      </c>
      <c r="O44" s="177">
        <f>IF(T14=T2,'Extra Ded '!I22,"0")</f>
        <v>0</v>
      </c>
      <c r="P44" s="165"/>
      <c r="Q44" s="165"/>
      <c r="R44" s="564" t="s">
        <v>430</v>
      </c>
      <c r="S44" s="565"/>
      <c r="T44" s="238"/>
    </row>
    <row r="45" spans="1:28" ht="16.5" thickBot="1">
      <c r="A45" s="515"/>
      <c r="B45" s="568" t="s">
        <v>206</v>
      </c>
      <c r="C45" s="568"/>
      <c r="D45" s="568"/>
      <c r="E45" s="568"/>
      <c r="F45" s="568"/>
      <c r="G45" s="568"/>
      <c r="H45" s="568"/>
      <c r="I45" s="568"/>
      <c r="J45" s="568"/>
      <c r="K45" s="568"/>
      <c r="L45" s="568"/>
      <c r="M45" s="568"/>
      <c r="N45" s="287" t="s">
        <v>138</v>
      </c>
      <c r="O45" s="178">
        <f>SUM(O37:O44)</f>
        <v>1500</v>
      </c>
      <c r="P45" s="179"/>
      <c r="Q45" s="179"/>
      <c r="R45" s="566"/>
      <c r="S45" s="567"/>
      <c r="T45" s="239"/>
    </row>
    <row r="46" spans="1:28" ht="16.5" thickTop="1">
      <c r="A46" s="164">
        <v>13</v>
      </c>
      <c r="B46" s="522" t="s">
        <v>207</v>
      </c>
      <c r="C46" s="522"/>
      <c r="D46" s="522"/>
      <c r="E46" s="522"/>
      <c r="F46" s="522"/>
      <c r="G46" s="522"/>
      <c r="H46" s="522"/>
      <c r="I46" s="522"/>
      <c r="J46" s="522"/>
      <c r="K46" s="522"/>
      <c r="L46" s="522"/>
      <c r="M46" s="522"/>
      <c r="N46" s="287" t="s">
        <v>138</v>
      </c>
      <c r="O46" s="162">
        <f>O35+O45</f>
        <v>151500</v>
      </c>
      <c r="P46" s="165"/>
      <c r="Q46" s="165"/>
    </row>
    <row r="47" spans="1:28" ht="15.75">
      <c r="A47" s="164">
        <v>14</v>
      </c>
      <c r="B47" s="521" t="s">
        <v>208</v>
      </c>
      <c r="C47" s="521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287" t="s">
        <v>138</v>
      </c>
      <c r="O47" s="162">
        <f>(O18-O46)</f>
        <v>725118</v>
      </c>
      <c r="P47" s="165"/>
      <c r="Q47" s="165"/>
    </row>
    <row r="48" spans="1:28" s="76" customFormat="1" ht="15.75">
      <c r="A48" s="164">
        <v>15</v>
      </c>
      <c r="B48" s="522" t="s">
        <v>209</v>
      </c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287" t="s">
        <v>138</v>
      </c>
      <c r="O48" s="162">
        <f>ROUND(O47,-1)</f>
        <v>725120</v>
      </c>
      <c r="P48" s="163"/>
      <c r="Q48" s="163"/>
    </row>
    <row r="49" spans="1:31" s="76" customFormat="1" ht="15.75">
      <c r="A49" s="515">
        <v>16</v>
      </c>
      <c r="B49" s="521" t="s">
        <v>210</v>
      </c>
      <c r="C49" s="521"/>
      <c r="D49" s="521"/>
      <c r="E49" s="521"/>
      <c r="F49" s="521"/>
      <c r="G49" s="521"/>
      <c r="H49" s="521"/>
      <c r="I49" s="521"/>
      <c r="J49" s="521"/>
      <c r="K49" s="521"/>
      <c r="L49" s="521"/>
      <c r="M49" s="521"/>
      <c r="N49" s="521"/>
      <c r="O49" s="574"/>
      <c r="P49" s="180"/>
      <c r="Q49" s="180"/>
      <c r="R49" s="616" t="s">
        <v>504</v>
      </c>
      <c r="S49" s="616"/>
      <c r="T49" s="616"/>
      <c r="U49" s="616"/>
      <c r="X49" s="373" t="s">
        <v>267</v>
      </c>
      <c r="Y49" s="373"/>
      <c r="Z49" s="373"/>
      <c r="AB49" s="373" t="s">
        <v>268</v>
      </c>
      <c r="AC49" s="373"/>
      <c r="AD49" s="373"/>
    </row>
    <row r="50" spans="1:31" s="76" customFormat="1" ht="15.75">
      <c r="A50" s="515"/>
      <c r="B50" s="575" t="s">
        <v>211</v>
      </c>
      <c r="C50" s="575"/>
      <c r="D50" s="575"/>
      <c r="E50" s="575"/>
      <c r="F50" s="575" t="s">
        <v>212</v>
      </c>
      <c r="G50" s="575"/>
      <c r="H50" s="575"/>
      <c r="I50" s="575"/>
      <c r="J50" s="575" t="s">
        <v>213</v>
      </c>
      <c r="K50" s="575"/>
      <c r="L50" s="575"/>
      <c r="M50" s="575"/>
      <c r="N50" s="181"/>
      <c r="O50" s="182"/>
      <c r="P50" s="183"/>
      <c r="Q50" s="183"/>
      <c r="R50" s="617" t="s">
        <v>503</v>
      </c>
      <c r="S50" s="617"/>
      <c r="T50" s="617"/>
      <c r="U50" s="617"/>
      <c r="X50" s="76">
        <v>0</v>
      </c>
      <c r="Y50" s="76">
        <v>0</v>
      </c>
      <c r="Z50" s="76">
        <v>0</v>
      </c>
      <c r="AA50" s="110">
        <v>0</v>
      </c>
      <c r="AB50" s="76">
        <v>0</v>
      </c>
      <c r="AC50" s="76">
        <v>0</v>
      </c>
      <c r="AD50" s="76">
        <v>0</v>
      </c>
      <c r="AE50" s="111">
        <v>0</v>
      </c>
    </row>
    <row r="51" spans="1:31" s="76" customFormat="1" ht="15.75">
      <c r="A51" s="515"/>
      <c r="B51" s="516" t="s">
        <v>250</v>
      </c>
      <c r="C51" s="516"/>
      <c r="D51" s="516"/>
      <c r="E51" s="184">
        <v>0</v>
      </c>
      <c r="F51" s="516" t="str">
        <f>IF(T14=T2,"Up to Rs. 3,00,000","Up to Rs. 2,50,000")</f>
        <v>Up to Rs. 3,00,000</v>
      </c>
      <c r="G51" s="516"/>
      <c r="H51" s="516"/>
      <c r="I51" s="184">
        <v>0</v>
      </c>
      <c r="J51" s="516" t="str">
        <f>IF(T14=T2,"","Up to Rs. 2,50,000")</f>
        <v/>
      </c>
      <c r="K51" s="516"/>
      <c r="L51" s="516"/>
      <c r="M51" s="184">
        <v>0</v>
      </c>
      <c r="N51" s="287" t="s">
        <v>138</v>
      </c>
      <c r="O51" s="185">
        <v>0</v>
      </c>
      <c r="P51" s="186"/>
      <c r="Q51" s="186"/>
      <c r="X51" s="76">
        <f>ROUND(IF(O48&lt;=250000,0,IF(O48&gt;=500000,12500,IF(O48&lt;=500000,0+(O48-250000)*0.05))),0)</f>
        <v>12500</v>
      </c>
      <c r="Y51" s="76">
        <f>ROUND(IF(O48&lt;=300000,0,IF(O48&gt;=500000,10000,IF(O48&lt;=500000,(O48-300000)*0.05))),0)</f>
        <v>10000</v>
      </c>
      <c r="Z51" s="76">
        <v>0</v>
      </c>
      <c r="AA51" s="110">
        <f>IF('Master Data'!$E$24="Under 60",X51,IF('Master Data'!$E$24="Above 60",Y51,Z51))</f>
        <v>12500</v>
      </c>
      <c r="AB51" s="76">
        <f>ROUND(IF(O48&lt;250001,0,IF(O48&gt;500000,12500,((O48-250000)*0.05))),0)</f>
        <v>12500</v>
      </c>
      <c r="AC51" s="76">
        <f>ROUND(IF(O48&lt;250001,0,IF(O48&gt;500000,12500,((O48-250000)*0.05))),0)</f>
        <v>12500</v>
      </c>
      <c r="AD51" s="76">
        <f>ROUND(IF(O48&lt;250001,0,IF(O48&gt;500000,12500,((O48-250000)*0.05))),0)</f>
        <v>12500</v>
      </c>
      <c r="AE51" s="111">
        <f>IF('Master Data'!$E$24="Under 60",AB51,IF('Master Data'!$E$24="Above 60",AC51,AD51))</f>
        <v>12500</v>
      </c>
    </row>
    <row r="52" spans="1:31" s="76" customFormat="1" ht="15.75">
      <c r="A52" s="515"/>
      <c r="B52" s="516" t="s">
        <v>266</v>
      </c>
      <c r="C52" s="516"/>
      <c r="D52" s="516"/>
      <c r="E52" s="184">
        <v>0.05</v>
      </c>
      <c r="F52" s="516" t="str">
        <f>IF(T14=T2,"3,00,001 to 5,00,000"," 2,50,001 to  5,00,000")</f>
        <v>3,00,001 to 5,00,000</v>
      </c>
      <c r="G52" s="516"/>
      <c r="H52" s="516"/>
      <c r="I52" s="184">
        <v>0.05</v>
      </c>
      <c r="J52" s="516" t="str">
        <f>IF(T14=T2,"Up to Rs. 5,00,000","2,50,001 to  5,00,000")</f>
        <v>Up to Rs. 5,00,000</v>
      </c>
      <c r="K52" s="516"/>
      <c r="L52" s="516"/>
      <c r="M52" s="187" t="str">
        <f>IF(T14=T2,"0%","5%")</f>
        <v>0%</v>
      </c>
      <c r="N52" s="287" t="s">
        <v>138</v>
      </c>
      <c r="O52" s="185">
        <f>IF($T$14=$T$2,AA51,AE51)</f>
        <v>12500</v>
      </c>
      <c r="P52" s="186"/>
      <c r="Q52" s="186"/>
      <c r="X52" s="76">
        <f>ROUND(IF(O48&lt;=500000,0,IF(O48&gt;=1000000,100000,IF(O48&lt;=1000000,(O48-500000)*0.2,"0"))),0)</f>
        <v>45024</v>
      </c>
      <c r="Y52" s="76">
        <f>ROUND(IF(O48&lt;=500000,0,IF(O48&gt;=1000000,100000,IF(O48&lt;=1000000,(O48-500000)*0.2,"0"))),0)</f>
        <v>45024</v>
      </c>
      <c r="Z52" s="76">
        <f>ROUND(IF(O48&lt;=500000,0,IF(O48&gt;=1000000,100000,IF(O48&lt;=1000000,(O48-500000)*0.2,"0"))),0)</f>
        <v>45024</v>
      </c>
      <c r="AA52" s="110">
        <f>IF('Master Data'!$E$24="Under 60",X52,IF('Master Data'!$E$24="Above 60",Y52,Z52))</f>
        <v>45024</v>
      </c>
      <c r="AB52" s="76">
        <f>ROUND(IF(O48&lt;500001,0,IF(O48&gt;750000,25000,((O48-500000)*0.1))),0)</f>
        <v>22512</v>
      </c>
      <c r="AC52" s="76">
        <f>ROUND(IF(O48&lt;500001,0,IF(O48&gt;750000,25000,((O48-500000)*0.1))),0)</f>
        <v>22512</v>
      </c>
      <c r="AD52" s="76">
        <f>ROUND(IF(O48&lt;500001,0,IF(O48&gt;750000,25000,((O48-500000)*0.1))),0)</f>
        <v>22512</v>
      </c>
      <c r="AE52" s="111">
        <f>IF('Master Data'!$E$24="Under 60",AB52,IF('Master Data'!$E$24="Above 60",AC52,AD52))</f>
        <v>22512</v>
      </c>
    </row>
    <row r="53" spans="1:31" s="76" customFormat="1" ht="15.75">
      <c r="A53" s="515"/>
      <c r="B53" s="516" t="str">
        <f>IF(T14=T2,"5,00,001 to 10,00,000","5,00,001  to  7,50,000")</f>
        <v>5,00,001 to 10,00,000</v>
      </c>
      <c r="C53" s="516"/>
      <c r="D53" s="516"/>
      <c r="E53" s="184" t="str">
        <f>IF(T14=T2,"20%","10%")</f>
        <v>20%</v>
      </c>
      <c r="F53" s="516" t="str">
        <f>IF(T14=T2,"5,00,001 to 10,00,000","5,00,001  to  7,50,000")</f>
        <v>5,00,001 to 10,00,000</v>
      </c>
      <c r="G53" s="516"/>
      <c r="H53" s="516"/>
      <c r="I53" s="184" t="str">
        <f>IF(T14=T2,"20%","10%")</f>
        <v>20%</v>
      </c>
      <c r="J53" s="516" t="str">
        <f>IF(T14=T2,"5,00,001 to 10,00,000","5,00,001  to  7,50,000")</f>
        <v>5,00,001 to 10,00,000</v>
      </c>
      <c r="K53" s="516"/>
      <c r="L53" s="516"/>
      <c r="M53" s="184" t="str">
        <f>IF(T14=T2,"20%","10%")</f>
        <v>20%</v>
      </c>
      <c r="N53" s="287" t="s">
        <v>138</v>
      </c>
      <c r="O53" s="185">
        <f t="shared" ref="O53:O56" si="0">IF($T$14=$T$2,AA52,AE52)</f>
        <v>45024</v>
      </c>
      <c r="P53" s="186"/>
      <c r="Q53" s="186"/>
      <c r="X53" s="76">
        <f>ROUND(IF(O48&gt;1000000,(O48-1000000)*0.3,"0"),0)</f>
        <v>0</v>
      </c>
      <c r="Y53" s="76">
        <f>ROUND(IF(O48&gt;1000000,(O48-1000000)*0.3,"0"),0)</f>
        <v>0</v>
      </c>
      <c r="Z53" s="76">
        <f>ROUND(IF(O48&gt;1000000,(O48-1000000)*0.3,"0"),0)</f>
        <v>0</v>
      </c>
      <c r="AA53" s="110">
        <f>IF('Master Data'!$E$24="Under 60",X53,IF('Master Data'!$E$24="Above 60",Y53,Z53))</f>
        <v>0</v>
      </c>
      <c r="AB53" s="76">
        <f>ROUND(IF(O48&lt;750001,0,IF(O48&gt;1000000,37500,((O48-750000)*0.15))),0)</f>
        <v>0</v>
      </c>
      <c r="AC53" s="76">
        <f>ROUND(IF(O48&lt;750001,0,IF(O48&gt;1000000,37500,((O48-750000)*0.15))),0)</f>
        <v>0</v>
      </c>
      <c r="AD53" s="76">
        <f>ROUND(IF(O48&lt;750001,0,IF(O48&gt;1000000,37500,((O48-750000)*0.15))),0)</f>
        <v>0</v>
      </c>
      <c r="AE53" s="111">
        <f>IF('Master Data'!$E$24="Under 60",AB53,IF('Master Data'!$E$24="Above 60",AC53,AD53))</f>
        <v>0</v>
      </c>
    </row>
    <row r="54" spans="1:31" s="76" customFormat="1" ht="16.5" thickBot="1">
      <c r="A54" s="515"/>
      <c r="B54" s="516" t="str">
        <f>IF(T14=T2,"Above  10,00,000"," 7,50,001 to  10,00,000")</f>
        <v>Above  10,00,000</v>
      </c>
      <c r="C54" s="552"/>
      <c r="D54" s="552"/>
      <c r="E54" s="184" t="str">
        <f>IF(T14=T2,"30%","15%")</f>
        <v>30%</v>
      </c>
      <c r="F54" s="516" t="str">
        <f>IF(T14=T2,"Above  10,00,000"," 7,50,001 to  10,00,000")</f>
        <v>Above  10,00,000</v>
      </c>
      <c r="G54" s="516"/>
      <c r="H54" s="516"/>
      <c r="I54" s="184" t="str">
        <f>IF(T14=T2,"30%","15%")</f>
        <v>30%</v>
      </c>
      <c r="J54" s="516" t="str">
        <f>IF(T14=T2,"Above  10,00,000"," 7,50,001 to  10,00,000")</f>
        <v>Above  10,00,000</v>
      </c>
      <c r="K54" s="516"/>
      <c r="L54" s="516"/>
      <c r="M54" s="184" t="str">
        <f>IF(T14=T2,"30%","15%")</f>
        <v>30%</v>
      </c>
      <c r="N54" s="287" t="s">
        <v>138</v>
      </c>
      <c r="O54" s="185">
        <f t="shared" si="0"/>
        <v>0</v>
      </c>
      <c r="P54" s="186"/>
      <c r="Q54" s="186"/>
      <c r="AA54" s="110">
        <f>IF('Master Data'!$E$24="Under 60",X54,IF('Master Data'!$E$24="Above 60",Y54,Z54))</f>
        <v>0</v>
      </c>
      <c r="AB54" s="76">
        <f>ROUND(IF(O48&lt;1000001,0,IF(O48&gt;1250000,50000,((O48-1000000)*0.2))),0)</f>
        <v>0</v>
      </c>
      <c r="AC54" s="76">
        <f>ROUND(IF(O48&lt;1000001,0,IF(O48&gt;1250000,50000,((O48-1000000)*0.2))),0)</f>
        <v>0</v>
      </c>
      <c r="AD54" s="76">
        <f>ROUND(IF(O48&lt;1000001,0,IF(O48&gt;1250000,50000,((O48-1000000)*0.2))),0)</f>
        <v>0</v>
      </c>
      <c r="AE54" s="111">
        <f>IF('Master Data'!$E$24="Under 60",AB54,IF('Master Data'!$E$24="Above 60",AC54,AD54))</f>
        <v>0</v>
      </c>
    </row>
    <row r="55" spans="1:31" s="76" customFormat="1" ht="16.5" thickTop="1">
      <c r="A55" s="515"/>
      <c r="B55" s="576" t="str">
        <f>IF(T14=T2," ","10,00,001 to  12,50,000")</f>
        <v xml:space="preserve"> </v>
      </c>
      <c r="C55" s="577"/>
      <c r="D55" s="577"/>
      <c r="E55" s="184" t="str">
        <f>IF(T14=T2," ","20%")</f>
        <v xml:space="preserve"> </v>
      </c>
      <c r="F55" s="516" t="str">
        <f>IF(T14=T2," ","10,00,001 to  12,50,000")</f>
        <v xml:space="preserve"> </v>
      </c>
      <c r="G55" s="516"/>
      <c r="H55" s="516"/>
      <c r="I55" s="184" t="str">
        <f>IF(T14=T2," ","20%")</f>
        <v xml:space="preserve"> </v>
      </c>
      <c r="J55" s="516" t="str">
        <f>IF(T14=T2," ","10,00,001 to  12,50,000")</f>
        <v xml:space="preserve"> </v>
      </c>
      <c r="K55" s="516"/>
      <c r="L55" s="516"/>
      <c r="M55" s="184" t="str">
        <f>IF(T14=T2," ","20%")</f>
        <v xml:space="preserve"> </v>
      </c>
      <c r="N55" s="287" t="str">
        <f>IF(T14=T2," ","#-")</f>
        <v xml:space="preserve"> </v>
      </c>
      <c r="O55" s="185">
        <f>IF($T$14=$T$2,AA54,AE54)</f>
        <v>0</v>
      </c>
      <c r="P55" s="186"/>
      <c r="Q55" s="186"/>
      <c r="R55" s="542" t="s">
        <v>431</v>
      </c>
      <c r="S55" s="543"/>
      <c r="T55" s="543"/>
      <c r="U55" s="543"/>
      <c r="V55" s="544"/>
      <c r="AA55" s="110">
        <f>IF('Master Data'!$E$24="Under 60",X55,IF('Master Data'!$E$24="Above 60",Y55,Z55))</f>
        <v>0</v>
      </c>
      <c r="AB55" s="76">
        <f>ROUND(IF(O48&lt;1250001,0,IF(O48&gt;1500000,62500,((O48-1250000)*0.25))),0)</f>
        <v>0</v>
      </c>
      <c r="AC55" s="76">
        <f>ROUND(IF(O48&lt;1250001,0,IF(O48&gt;1500000,62500,((O48-1250000)*0.25))),0)</f>
        <v>0</v>
      </c>
      <c r="AD55" s="76">
        <f>ROUND(IF(O48&lt;1250001,0,IF(O48&gt;1500000,62500,((O48-1250000)*0.25))),0)</f>
        <v>0</v>
      </c>
      <c r="AE55" s="111">
        <f>IF('Master Data'!$E$24="Under 60",AB55,IF('Master Data'!$E$24="Above 60",AC55,AD55))</f>
        <v>0</v>
      </c>
    </row>
    <row r="56" spans="1:31" s="76" customFormat="1" ht="16.5" customHeight="1">
      <c r="A56" s="515"/>
      <c r="B56" s="576" t="str">
        <f>IF(T14=T2," ","12,50,001 to  15,00,000")</f>
        <v xml:space="preserve"> </v>
      </c>
      <c r="C56" s="577"/>
      <c r="D56" s="577"/>
      <c r="E56" s="184" t="str">
        <f>IF(T14=T2," ","25%")</f>
        <v xml:space="preserve"> </v>
      </c>
      <c r="F56" s="516" t="str">
        <f>IF(T14=T2," ","12,50,001 to  15,00,000")</f>
        <v xml:space="preserve"> </v>
      </c>
      <c r="G56" s="516"/>
      <c r="H56" s="516"/>
      <c r="I56" s="184" t="str">
        <f>IF(T14=T2," ","25%")</f>
        <v xml:space="preserve"> </v>
      </c>
      <c r="J56" s="516" t="str">
        <f>IF(T14=T2," ","12,50,001 to  15,00,000")</f>
        <v xml:space="preserve"> </v>
      </c>
      <c r="K56" s="516"/>
      <c r="L56" s="516"/>
      <c r="M56" s="184" t="str">
        <f>IF(T14=T2," ","25%")</f>
        <v xml:space="preserve"> </v>
      </c>
      <c r="N56" s="287" t="str">
        <f>IF(T14=T2," ","#-")</f>
        <v xml:space="preserve"> </v>
      </c>
      <c r="O56" s="185">
        <f t="shared" si="0"/>
        <v>0</v>
      </c>
      <c r="P56" s="186"/>
      <c r="Q56" s="186"/>
      <c r="R56" s="545"/>
      <c r="S56" s="546"/>
      <c r="T56" s="546"/>
      <c r="U56" s="546"/>
      <c r="V56" s="547"/>
      <c r="AA56" s="110">
        <f>IF('Master Data'!$E$24="Under 60",X56,IF('Master Data'!$E$24="Above 60",Y56,Z56))</f>
        <v>0</v>
      </c>
      <c r="AB56" s="76">
        <f>ROUND(IF(O48&lt;1500001,0,(O48-1500000)*0.3),0)</f>
        <v>0</v>
      </c>
      <c r="AC56" s="76">
        <f>ROUND(IF(O48&lt;1500001,0,(O48-1500000)*0.3),0)</f>
        <v>0</v>
      </c>
      <c r="AD56" s="76">
        <f>ROUND(IF(O48&lt;1500001,0,(O48-1500000)*0.3),0)</f>
        <v>0</v>
      </c>
      <c r="AE56" s="111">
        <f>IF('Master Data'!$E$24="Under 60",AB56,IF('Master Data'!$E$24="Above 60",AC56,AD56))</f>
        <v>0</v>
      </c>
    </row>
    <row r="57" spans="1:31" s="76" customFormat="1" ht="16.5" thickBot="1">
      <c r="A57" s="515"/>
      <c r="B57" s="576" t="str">
        <f>IF(T14=T2," ","Above Rs. 15,00,000")</f>
        <v xml:space="preserve"> </v>
      </c>
      <c r="C57" s="577"/>
      <c r="D57" s="577"/>
      <c r="E57" s="184" t="str">
        <f>IF(T14=T2," ","30%")</f>
        <v xml:space="preserve"> </v>
      </c>
      <c r="F57" s="516" t="str">
        <f>IF(T14=T2," ","Above Rs. 15,00,000")</f>
        <v xml:space="preserve"> </v>
      </c>
      <c r="G57" s="516"/>
      <c r="H57" s="516"/>
      <c r="I57" s="184" t="str">
        <f>IF(T14=T2," ","30%")</f>
        <v xml:space="preserve"> </v>
      </c>
      <c r="J57" s="516" t="str">
        <f>IF(T14=T2," ","Above Rs. 15,00,000")</f>
        <v xml:space="preserve"> </v>
      </c>
      <c r="K57" s="516"/>
      <c r="L57" s="516"/>
      <c r="M57" s="184" t="str">
        <f>IF(T14=T2," ","30%")</f>
        <v xml:space="preserve"> </v>
      </c>
      <c r="N57" s="287" t="str">
        <f>IF(T14=T2," ","#-")</f>
        <v xml:space="preserve"> </v>
      </c>
      <c r="O57" s="185">
        <f>IF($T$14=$T$2,AA56,AE56)</f>
        <v>0</v>
      </c>
      <c r="P57" s="186"/>
      <c r="Q57" s="186"/>
      <c r="R57" s="548"/>
      <c r="S57" s="549"/>
      <c r="T57" s="549"/>
      <c r="U57" s="549"/>
      <c r="V57" s="550"/>
      <c r="X57" s="76">
        <f>SUM(X50:X53)</f>
        <v>57524</v>
      </c>
      <c r="Y57" s="76">
        <f t="shared" ref="Y57:Z57" si="1">SUM(Y50:Y53)</f>
        <v>55024</v>
      </c>
      <c r="Z57" s="76">
        <f t="shared" si="1"/>
        <v>45024</v>
      </c>
      <c r="AA57" s="110">
        <f>IF('Master Data'!$E$24="Under 60",X57,IF('Master Data'!$E$24="Above 60",Y57,Z57))</f>
        <v>57524</v>
      </c>
      <c r="AB57" s="76">
        <f>SUM(AB50:AB56)</f>
        <v>35012</v>
      </c>
      <c r="AC57" s="76">
        <f t="shared" ref="AC57:AD57" si="2">SUM(AC50:AC56)</f>
        <v>35012</v>
      </c>
      <c r="AD57" s="76">
        <f t="shared" si="2"/>
        <v>35012</v>
      </c>
      <c r="AE57" s="111">
        <f>IF('Master Data'!$E$24="Under 60",AB57,IF('Master Data'!$E$24="Above 60",AC57,AD57))</f>
        <v>35012</v>
      </c>
    </row>
    <row r="58" spans="1:31" s="76" customFormat="1" ht="16.5" thickTop="1">
      <c r="A58" s="515"/>
      <c r="B58" s="517" t="s">
        <v>214</v>
      </c>
      <c r="C58" s="517"/>
      <c r="D58" s="517"/>
      <c r="E58" s="517"/>
      <c r="F58" s="517"/>
      <c r="G58" s="517"/>
      <c r="H58" s="517"/>
      <c r="I58" s="517"/>
      <c r="J58" s="517"/>
      <c r="K58" s="517"/>
      <c r="L58" s="517"/>
      <c r="M58" s="517"/>
      <c r="N58" s="287" t="s">
        <v>138</v>
      </c>
      <c r="O58" s="162">
        <f>SUM(O51:O57)</f>
        <v>57524</v>
      </c>
      <c r="P58" s="163"/>
      <c r="Q58" s="163"/>
    </row>
    <row r="59" spans="1:31" s="76" customFormat="1" ht="15.75">
      <c r="A59" s="515"/>
      <c r="B59" s="551" t="s">
        <v>425</v>
      </c>
      <c r="C59" s="551"/>
      <c r="D59" s="551"/>
      <c r="E59" s="551"/>
      <c r="F59" s="551"/>
      <c r="G59" s="551"/>
      <c r="H59" s="551"/>
      <c r="I59" s="551"/>
      <c r="J59" s="551"/>
      <c r="K59" s="551"/>
      <c r="L59" s="551"/>
      <c r="M59" s="551"/>
      <c r="N59" s="287" t="s">
        <v>138</v>
      </c>
      <c r="O59" s="162">
        <f>IF(O48&gt;500000,0,IF(O58&lt;12500,O58,12500))</f>
        <v>0</v>
      </c>
      <c r="P59" s="165"/>
      <c r="Q59" s="541"/>
      <c r="R59" s="541"/>
      <c r="S59" s="541"/>
      <c r="X59" s="76">
        <f>ROUND(IF(O48&lt;=250000,0,IF(O48&lt;=500000,(O48-250000)*0.05,IF(O48&lt;=1000000,12500+(O48-500000)*0.2,IF(O48&gt;1000000,112500+(O48-1000000)*0.3,"0")))),0)</f>
        <v>57524</v>
      </c>
      <c r="Y59" s="76">
        <f>ROUND(IF(O48&lt;=300000,0,IF(O48&lt;=500000,(O48-300000)*0.05,IF(O48&lt;=1000000,10000+(O48-500000)*0.2,IF(O48&gt;1000000,110000+(O48-1000000)*0.3,"0")))),0)</f>
        <v>55024</v>
      </c>
      <c r="Z59" s="76">
        <f>ROUND(IF(O48&lt;=250000,0,IF(O48&lt;=500000,(O48-250000)*0.05,IF(O48&lt;=1000000,0+(O48-500000)*0.2,IF(O48&gt;1000000,100000+(O48-1000000)*0.3,"0")))),0)</f>
        <v>45024</v>
      </c>
    </row>
    <row r="60" spans="1:31" s="76" customFormat="1" ht="15.75">
      <c r="A60" s="515"/>
      <c r="B60" s="517" t="s">
        <v>215</v>
      </c>
      <c r="C60" s="517"/>
      <c r="D60" s="517"/>
      <c r="E60" s="517"/>
      <c r="F60" s="517"/>
      <c r="G60" s="517"/>
      <c r="H60" s="517"/>
      <c r="I60" s="517"/>
      <c r="J60" s="517"/>
      <c r="K60" s="517"/>
      <c r="L60" s="517"/>
      <c r="M60" s="517"/>
      <c r="N60" s="287" t="s">
        <v>138</v>
      </c>
      <c r="O60" s="162">
        <f>O58-O59</f>
        <v>57524</v>
      </c>
      <c r="P60" s="163"/>
      <c r="Q60" s="541"/>
      <c r="R60" s="541"/>
      <c r="S60" s="541"/>
      <c r="Y60" s="76">
        <f>IF(T63&gt;350000,0,IF(T63&lt;2501,T63,2500))</f>
        <v>0</v>
      </c>
    </row>
    <row r="61" spans="1:31" ht="15.75">
      <c r="A61" s="515"/>
      <c r="B61" s="107" t="s">
        <v>216</v>
      </c>
      <c r="C61" s="551" t="s">
        <v>217</v>
      </c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287" t="s">
        <v>138</v>
      </c>
      <c r="O61" s="162">
        <f>ROUND((O60*0.04),0)</f>
        <v>2301</v>
      </c>
      <c r="P61" s="165"/>
      <c r="Q61" s="165"/>
    </row>
    <row r="62" spans="1:31" ht="15.75">
      <c r="A62" s="515"/>
      <c r="B62" s="570" t="s">
        <v>218</v>
      </c>
      <c r="C62" s="570"/>
      <c r="D62" s="570"/>
      <c r="E62" s="570"/>
      <c r="F62" s="570"/>
      <c r="G62" s="570"/>
      <c r="H62" s="570"/>
      <c r="I62" s="570"/>
      <c r="J62" s="570"/>
      <c r="K62" s="570"/>
      <c r="L62" s="570"/>
      <c r="M62" s="570"/>
      <c r="N62" s="287" t="s">
        <v>138</v>
      </c>
      <c r="O62" s="162">
        <f>SUM(O60:O61)</f>
        <v>59825</v>
      </c>
      <c r="P62" s="163"/>
      <c r="Q62" s="163"/>
    </row>
    <row r="63" spans="1:31" ht="16.5">
      <c r="A63" s="164">
        <v>17</v>
      </c>
      <c r="B63" s="571" t="s">
        <v>219</v>
      </c>
      <c r="C63" s="571"/>
      <c r="D63" s="571"/>
      <c r="E63" s="571"/>
      <c r="F63" s="571"/>
      <c r="G63" s="571"/>
      <c r="H63" s="571"/>
      <c r="I63" s="571"/>
      <c r="J63" s="571"/>
      <c r="K63" s="571"/>
      <c r="L63" s="571"/>
      <c r="M63" s="571"/>
      <c r="N63" s="287" t="s">
        <v>138</v>
      </c>
      <c r="O63" s="162">
        <f>'Extra Ded '!I24</f>
        <v>0</v>
      </c>
      <c r="P63" s="165"/>
      <c r="Q63" s="165"/>
    </row>
    <row r="64" spans="1:31" ht="15.75">
      <c r="A64" s="164">
        <v>18</v>
      </c>
      <c r="B64" s="523" t="s">
        <v>220</v>
      </c>
      <c r="C64" s="523"/>
      <c r="D64" s="523"/>
      <c r="E64" s="523"/>
      <c r="F64" s="523"/>
      <c r="G64" s="523"/>
      <c r="H64" s="523"/>
      <c r="I64" s="523"/>
      <c r="J64" s="523"/>
      <c r="K64" s="523"/>
      <c r="L64" s="523"/>
      <c r="M64" s="523"/>
      <c r="N64" s="287" t="s">
        <v>138</v>
      </c>
      <c r="O64" s="162">
        <f>O62-O63</f>
        <v>59825</v>
      </c>
      <c r="P64" s="163"/>
      <c r="Q64" s="163"/>
    </row>
    <row r="65" spans="1:26" ht="29.25" customHeight="1">
      <c r="A65" s="515">
        <v>19</v>
      </c>
      <c r="B65" s="537" t="s">
        <v>221</v>
      </c>
      <c r="C65" s="537"/>
      <c r="D65" s="537"/>
      <c r="E65" s="538" t="s">
        <v>483</v>
      </c>
      <c r="F65" s="538"/>
      <c r="G65" s="538"/>
      <c r="H65" s="538" t="s">
        <v>484</v>
      </c>
      <c r="I65" s="538"/>
      <c r="J65" s="289" t="s">
        <v>485</v>
      </c>
      <c r="K65" s="538" t="s">
        <v>486</v>
      </c>
      <c r="L65" s="538"/>
      <c r="M65" s="539" t="s">
        <v>487</v>
      </c>
      <c r="N65" s="539"/>
      <c r="O65" s="188" t="s">
        <v>222</v>
      </c>
      <c r="P65" s="189"/>
      <c r="Q65" s="189"/>
    </row>
    <row r="66" spans="1:26" ht="15.75">
      <c r="A66" s="515"/>
      <c r="B66" s="537"/>
      <c r="C66" s="537"/>
      <c r="D66" s="537"/>
      <c r="E66" s="540">
        <f>SUM('GA55 Check &amp; Edit'!BX12:BX18)</f>
        <v>9000</v>
      </c>
      <c r="F66" s="540"/>
      <c r="G66" s="540"/>
      <c r="H66" s="540">
        <f>SUM('GA55 Check &amp; Edit'!BX19:BX21)</f>
        <v>4500</v>
      </c>
      <c r="I66" s="540"/>
      <c r="J66" s="290">
        <f>'GA55 Check &amp; Edit'!BX22</f>
        <v>1500</v>
      </c>
      <c r="K66" s="540">
        <f>'GA55 Check &amp; Edit'!BX23</f>
        <v>0</v>
      </c>
      <c r="L66" s="540"/>
      <c r="M66" s="540">
        <f>SUM('GA 55 '!X28-(E66+H66+J66+K66))+'Extra Ded '!I9</f>
        <v>0</v>
      </c>
      <c r="N66" s="540"/>
      <c r="O66" s="190">
        <f>SUM(E66,H66,J66,K66,M66)</f>
        <v>15000</v>
      </c>
      <c r="P66" s="191"/>
      <c r="Q66" s="191"/>
    </row>
    <row r="67" spans="1:26" ht="19.5" thickBot="1">
      <c r="A67" s="572" t="str">
        <f>IF(O64&gt;O66,"Income Tax Payable",IF(O64&lt;O66,"Income Tax Refundable","Income Tax Payble/Refundable"))</f>
        <v>Income Tax Payable</v>
      </c>
      <c r="B67" s="573"/>
      <c r="C67" s="573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192" t="s">
        <v>138</v>
      </c>
      <c r="O67" s="353">
        <f>IF(O64&gt;O66,O64-O66,O66-O64)</f>
        <v>44825</v>
      </c>
      <c r="P67" s="165"/>
      <c r="Q67" s="165"/>
    </row>
    <row r="68" spans="1:26" ht="16.5" thickTop="1">
      <c r="A68" s="193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4"/>
      <c r="O68" s="165"/>
      <c r="P68" s="165"/>
      <c r="Q68" s="165"/>
    </row>
    <row r="69" spans="1:26" ht="16.5">
      <c r="A69" s="77"/>
      <c r="B69" s="78"/>
      <c r="C69" s="78"/>
      <c r="D69" s="79"/>
      <c r="E69" s="78"/>
      <c r="F69" s="78"/>
      <c r="G69" s="78"/>
      <c r="H69" s="78"/>
      <c r="I69" s="78"/>
      <c r="J69" s="78"/>
      <c r="K69" s="78"/>
      <c r="L69" s="569" t="s">
        <v>223</v>
      </c>
      <c r="M69" s="569"/>
      <c r="N69" s="569"/>
      <c r="O69" s="80"/>
      <c r="P69" s="80"/>
      <c r="Q69" s="80"/>
    </row>
    <row r="70" spans="1:26" ht="16.5">
      <c r="A70" s="77"/>
      <c r="B70" s="78"/>
      <c r="C70" s="78"/>
      <c r="D70" s="79"/>
      <c r="E70" s="78"/>
      <c r="F70" s="78"/>
      <c r="G70" s="78"/>
      <c r="H70" s="78"/>
      <c r="I70" s="78"/>
      <c r="J70" s="78"/>
      <c r="K70" s="78"/>
      <c r="L70" s="81"/>
      <c r="M70" s="82"/>
      <c r="N70" s="83"/>
      <c r="O70" s="80"/>
      <c r="P70" s="80"/>
      <c r="Q70" s="80"/>
    </row>
    <row r="71" spans="1:26" ht="15.75">
      <c r="A71" s="84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6"/>
      <c r="P71" s="86"/>
      <c r="Q71" s="8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5.75">
      <c r="A72" s="87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6"/>
      <c r="P72" s="86"/>
      <c r="Q72" s="8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5.75">
      <c r="A73" s="84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6"/>
      <c r="P73" s="86"/>
      <c r="Q73" s="8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5.75">
      <c r="A74" s="84"/>
      <c r="B74" s="88"/>
      <c r="C74" s="88"/>
      <c r="D74" s="88"/>
      <c r="E74" s="88"/>
      <c r="F74" s="88"/>
      <c r="G74" s="88"/>
      <c r="H74" s="88"/>
      <c r="I74" s="89"/>
      <c r="J74" s="89"/>
      <c r="K74" s="89"/>
      <c r="L74" s="89"/>
      <c r="M74" s="89"/>
      <c r="N74" s="89"/>
      <c r="O74" s="86"/>
      <c r="P74" s="86"/>
      <c r="Q74" s="8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5.75">
      <c r="A75" s="84"/>
      <c r="B75" s="88"/>
      <c r="C75" s="88"/>
      <c r="D75" s="88"/>
      <c r="E75" s="88"/>
      <c r="F75" s="88"/>
      <c r="G75" s="88"/>
      <c r="H75" s="88"/>
      <c r="I75" s="89"/>
      <c r="J75" s="89"/>
      <c r="K75" s="89"/>
      <c r="L75" s="89"/>
      <c r="M75" s="89"/>
      <c r="N75" s="89"/>
      <c r="O75" s="86"/>
      <c r="P75" s="86"/>
      <c r="Q75" s="8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5.75">
      <c r="A76" s="84"/>
      <c r="B76" s="88"/>
      <c r="C76" s="88"/>
      <c r="D76" s="88"/>
      <c r="E76" s="88"/>
      <c r="F76" s="88"/>
      <c r="G76" s="88"/>
      <c r="H76" s="88"/>
      <c r="I76" s="89"/>
      <c r="J76" s="89"/>
      <c r="K76" s="89"/>
      <c r="L76" s="89"/>
      <c r="M76" s="89"/>
      <c r="N76" s="89"/>
      <c r="O76" s="86"/>
      <c r="P76" s="86"/>
      <c r="Q76" s="8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5.75">
      <c r="A77" s="84"/>
      <c r="B77" s="88"/>
      <c r="C77" s="88"/>
      <c r="D77" s="88"/>
      <c r="E77" s="88"/>
      <c r="F77" s="88"/>
      <c r="G77" s="88"/>
      <c r="H77" s="88"/>
      <c r="I77" s="89"/>
      <c r="J77" s="89"/>
      <c r="K77" s="89"/>
      <c r="L77" s="89"/>
      <c r="M77" s="89"/>
      <c r="N77" s="89"/>
      <c r="O77" s="86"/>
      <c r="P77" s="86"/>
      <c r="Q77" s="8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5.75">
      <c r="A78" s="84"/>
      <c r="B78" s="88"/>
      <c r="C78" s="88"/>
      <c r="D78" s="88"/>
      <c r="E78" s="88"/>
      <c r="F78" s="88"/>
      <c r="G78" s="88"/>
      <c r="H78" s="88"/>
      <c r="I78" s="89"/>
      <c r="J78" s="89"/>
      <c r="K78" s="89"/>
      <c r="L78" s="89"/>
      <c r="M78" s="89"/>
      <c r="N78" s="89"/>
      <c r="O78" s="86"/>
      <c r="P78" s="86"/>
      <c r="Q78" s="8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5.75">
      <c r="A79" s="87"/>
      <c r="B79" s="90"/>
      <c r="C79" s="91"/>
      <c r="D79" s="91"/>
      <c r="E79" s="91"/>
      <c r="F79" s="91"/>
      <c r="G79" s="91"/>
      <c r="H79" s="90"/>
      <c r="I79" s="89"/>
      <c r="J79" s="89"/>
      <c r="K79" s="89"/>
      <c r="L79" s="89"/>
      <c r="M79" s="89"/>
      <c r="N79" s="89"/>
      <c r="O79" s="86"/>
      <c r="P79" s="86"/>
      <c r="Q79" s="86"/>
      <c r="R79" s="76"/>
      <c r="S79" s="76"/>
      <c r="T79" s="76"/>
      <c r="U79" s="76"/>
      <c r="V79" s="76"/>
      <c r="W79" s="76"/>
      <c r="X79" s="76"/>
      <c r="Y79" s="76"/>
      <c r="Z79" s="76"/>
    </row>
    <row r="80" spans="1:26" s="96" customFormat="1" ht="15.75">
      <c r="A80" s="92"/>
      <c r="B80" s="93"/>
      <c r="C80" s="93"/>
      <c r="D80" s="93"/>
      <c r="E80" s="93"/>
      <c r="F80" s="93"/>
      <c r="G80" s="93"/>
      <c r="H80" s="93"/>
      <c r="I80" s="89"/>
      <c r="J80" s="89"/>
      <c r="K80" s="89"/>
      <c r="L80" s="89"/>
      <c r="M80" s="89"/>
      <c r="N80" s="89"/>
      <c r="O80" s="94"/>
      <c r="P80" s="94"/>
      <c r="Q80" s="94"/>
      <c r="R80" s="95"/>
      <c r="S80" s="95"/>
      <c r="T80" s="95"/>
      <c r="U80" s="95"/>
      <c r="V80" s="95"/>
      <c r="W80" s="95"/>
      <c r="X80" s="95"/>
      <c r="Y80" s="95"/>
      <c r="Z80" s="95"/>
    </row>
    <row r="81" spans="1:26" s="96" customFormat="1" ht="15.75">
      <c r="A81" s="92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7"/>
      <c r="N81" s="98"/>
      <c r="O81" s="94"/>
      <c r="P81" s="94"/>
      <c r="Q81" s="94"/>
      <c r="R81" s="95"/>
      <c r="S81" s="95"/>
      <c r="T81" s="95"/>
      <c r="U81" s="95"/>
      <c r="V81" s="95"/>
      <c r="W81" s="95"/>
      <c r="X81" s="95"/>
      <c r="Y81" s="95"/>
      <c r="Z81" s="95"/>
    </row>
    <row r="82" spans="1:26" s="96" customFormat="1" ht="15.75">
      <c r="A82" s="92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7"/>
      <c r="N82" s="98"/>
      <c r="O82" s="94"/>
      <c r="P82" s="94"/>
      <c r="Q82" s="94"/>
      <c r="R82" s="95"/>
      <c r="S82" s="95"/>
      <c r="T82" s="95"/>
      <c r="U82" s="95"/>
      <c r="V82" s="95"/>
      <c r="W82" s="95"/>
      <c r="X82" s="95"/>
      <c r="Y82" s="95"/>
      <c r="Z82" s="95"/>
    </row>
    <row r="83" spans="1:26" s="96" customFormat="1" ht="15.75">
      <c r="A83" s="92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7"/>
      <c r="N83" s="98"/>
      <c r="O83" s="94"/>
      <c r="P83" s="94"/>
      <c r="Q83" s="94"/>
      <c r="R83" s="95"/>
      <c r="S83" s="95"/>
      <c r="T83" s="95"/>
      <c r="U83" s="95"/>
      <c r="V83" s="95"/>
      <c r="W83" s="95"/>
      <c r="X83" s="95"/>
      <c r="Y83" s="95"/>
      <c r="Z83" s="95"/>
    </row>
    <row r="84" spans="1:26" s="96" customFormat="1" ht="15.75">
      <c r="A84" s="92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9"/>
      <c r="M84" s="97"/>
      <c r="N84" s="100"/>
      <c r="O84" s="94"/>
      <c r="P84" s="94"/>
      <c r="Q84" s="94"/>
      <c r="R84" s="95"/>
      <c r="S84" s="95"/>
      <c r="T84" s="95"/>
      <c r="U84" s="95"/>
      <c r="V84" s="95"/>
      <c r="W84" s="95"/>
      <c r="X84" s="95"/>
      <c r="Y84" s="95"/>
      <c r="Z84" s="95"/>
    </row>
    <row r="85" spans="1:26" ht="15.75">
      <c r="A85" s="101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3"/>
      <c r="N85" s="104"/>
      <c r="O85" s="80"/>
      <c r="P85" s="80"/>
      <c r="Q85" s="80"/>
      <c r="R85" s="76"/>
      <c r="S85" s="76"/>
      <c r="T85" s="76"/>
      <c r="U85" s="76"/>
      <c r="V85" s="76"/>
      <c r="W85" s="76"/>
      <c r="X85" s="76"/>
      <c r="Y85" s="76"/>
      <c r="Z85" s="76"/>
    </row>
    <row r="86" spans="1:26">
      <c r="A86" s="105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76"/>
      <c r="S86" s="76"/>
      <c r="T86" s="76"/>
      <c r="U86" s="76"/>
      <c r="V86" s="76"/>
      <c r="W86" s="76"/>
      <c r="X86" s="76"/>
      <c r="Y86" s="76"/>
      <c r="Z86" s="76"/>
    </row>
    <row r="87" spans="1:26">
      <c r="A87" s="105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76"/>
      <c r="S87" s="76"/>
      <c r="T87" s="76"/>
      <c r="U87" s="76"/>
      <c r="V87" s="76"/>
      <c r="W87" s="76"/>
      <c r="X87" s="76"/>
      <c r="Y87" s="76"/>
      <c r="Z87" s="76"/>
    </row>
    <row r="88" spans="1:26">
      <c r="A88" s="105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76"/>
      <c r="S88" s="76"/>
      <c r="T88" s="76"/>
      <c r="U88" s="76"/>
      <c r="V88" s="76"/>
      <c r="W88" s="76"/>
      <c r="X88" s="76"/>
      <c r="Y88" s="76"/>
      <c r="Z88" s="76"/>
    </row>
    <row r="89" spans="1:26"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</sheetData>
  <sheetProtection password="BD6D" sheet="1" objects="1" scenarios="1" formatCells="0" formatColumns="0" formatRows="0"/>
  <mergeCells count="152">
    <mergeCell ref="R49:U49"/>
    <mergeCell ref="R50:U50"/>
    <mergeCell ref="Q22:U24"/>
    <mergeCell ref="AH23:AK24"/>
    <mergeCell ref="Q26:S31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B10:J10"/>
    <mergeCell ref="K10:M10"/>
    <mergeCell ref="B11:M11"/>
    <mergeCell ref="A12:A14"/>
    <mergeCell ref="B12:H12"/>
    <mergeCell ref="I12:J12"/>
    <mergeCell ref="K12:M12"/>
    <mergeCell ref="R4:V8"/>
    <mergeCell ref="B6:M6"/>
    <mergeCell ref="B7:M7"/>
    <mergeCell ref="A8:A10"/>
    <mergeCell ref="B8:J8"/>
    <mergeCell ref="K8:M8"/>
    <mergeCell ref="N8:O9"/>
    <mergeCell ref="B9:J9"/>
    <mergeCell ref="K9:M9"/>
    <mergeCell ref="B5:M5"/>
    <mergeCell ref="A4:A5"/>
    <mergeCell ref="B4:I4"/>
    <mergeCell ref="J4:M4"/>
    <mergeCell ref="B34:M34"/>
    <mergeCell ref="B35:M35"/>
    <mergeCell ref="I29:K29"/>
    <mergeCell ref="I24:K24"/>
    <mergeCell ref="B15:M15"/>
    <mergeCell ref="B16:D16"/>
    <mergeCell ref="J16:M16"/>
    <mergeCell ref="B17:D17"/>
    <mergeCell ref="N12:O14"/>
    <mergeCell ref="B13:C14"/>
    <mergeCell ref="D13:E13"/>
    <mergeCell ref="F13:H13"/>
    <mergeCell ref="I13:J13"/>
    <mergeCell ref="K13:M13"/>
    <mergeCell ref="D14:E14"/>
    <mergeCell ref="F14:H14"/>
    <mergeCell ref="I14:J14"/>
    <mergeCell ref="K14:M14"/>
    <mergeCell ref="E16:F16"/>
    <mergeCell ref="E17:F17"/>
    <mergeCell ref="G16:H16"/>
    <mergeCell ref="G17:H17"/>
    <mergeCell ref="J17:M17"/>
    <mergeCell ref="B18:M18"/>
    <mergeCell ref="C23:E23"/>
    <mergeCell ref="C30:E30"/>
    <mergeCell ref="I30:K30"/>
    <mergeCell ref="C31:E31"/>
    <mergeCell ref="B32:M32"/>
    <mergeCell ref="C27:E27"/>
    <mergeCell ref="I27:K27"/>
    <mergeCell ref="C28:E28"/>
    <mergeCell ref="I28:K28"/>
    <mergeCell ref="C29:E29"/>
    <mergeCell ref="I23:K23"/>
    <mergeCell ref="L69:N69"/>
    <mergeCell ref="C61:M61"/>
    <mergeCell ref="B62:M62"/>
    <mergeCell ref="B63:M63"/>
    <mergeCell ref="B64:M64"/>
    <mergeCell ref="A67:M67"/>
    <mergeCell ref="A49:A62"/>
    <mergeCell ref="B49:O49"/>
    <mergeCell ref="B50:E50"/>
    <mergeCell ref="F50:I50"/>
    <mergeCell ref="J50:M50"/>
    <mergeCell ref="B51:D51"/>
    <mergeCell ref="B55:D55"/>
    <mergeCell ref="F55:H55"/>
    <mergeCell ref="J55:L55"/>
    <mergeCell ref="B56:D56"/>
    <mergeCell ref="F56:H56"/>
    <mergeCell ref="J56:L56"/>
    <mergeCell ref="B57:D57"/>
    <mergeCell ref="B52:D52"/>
    <mergeCell ref="F52:H52"/>
    <mergeCell ref="J52:L52"/>
    <mergeCell ref="J51:L51"/>
    <mergeCell ref="F51:H51"/>
    <mergeCell ref="Q59:S60"/>
    <mergeCell ref="R55:V57"/>
    <mergeCell ref="F57:H57"/>
    <mergeCell ref="J57:L57"/>
    <mergeCell ref="B59:M59"/>
    <mergeCell ref="B60:M60"/>
    <mergeCell ref="B54:D54"/>
    <mergeCell ref="R19:S19"/>
    <mergeCell ref="S32:S34"/>
    <mergeCell ref="R41:V43"/>
    <mergeCell ref="R44:S45"/>
    <mergeCell ref="B46:M46"/>
    <mergeCell ref="B47:M47"/>
    <mergeCell ref="B53:D53"/>
    <mergeCell ref="F53:H53"/>
    <mergeCell ref="J53:L53"/>
    <mergeCell ref="B40:M40"/>
    <mergeCell ref="B41:M41"/>
    <mergeCell ref="C24:E24"/>
    <mergeCell ref="C25:E25"/>
    <mergeCell ref="I25:K25"/>
    <mergeCell ref="C26:E26"/>
    <mergeCell ref="I26:K26"/>
    <mergeCell ref="B45:M45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A36:A45"/>
    <mergeCell ref="F54:H54"/>
    <mergeCell ref="J54:L54"/>
    <mergeCell ref="B58:M58"/>
    <mergeCell ref="H31:K31"/>
    <mergeCell ref="X49:Z49"/>
    <mergeCell ref="AB49:AD49"/>
    <mergeCell ref="B42:M42"/>
    <mergeCell ref="B43:M43"/>
    <mergeCell ref="B44:M44"/>
    <mergeCell ref="B48:M48"/>
    <mergeCell ref="B36:O36"/>
    <mergeCell ref="B33:M33"/>
    <mergeCell ref="B37:M37"/>
    <mergeCell ref="B38:M38"/>
    <mergeCell ref="B39:M39"/>
    <mergeCell ref="A19:A35"/>
    <mergeCell ref="B19:O19"/>
    <mergeCell ref="B20:O20"/>
    <mergeCell ref="C21:E21"/>
    <mergeCell ref="I21:K21"/>
    <mergeCell ref="N21:O31"/>
    <mergeCell ref="C22:E22"/>
    <mergeCell ref="I22:K22"/>
  </mergeCells>
  <conditionalFormatting sqref="J70"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3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</conditionalFormatting>
  <hyperlinks>
    <hyperlink ref="Q22" r:id="rId1"/>
  </hyperlinks>
  <printOptions horizontalCentered="1" verticalCentered="1"/>
  <pageMargins left="0.55000000000000004" right="0.4" top="0.25" bottom="0.25" header="0.3" footer="0.3"/>
  <pageSetup paperSize="9" scale="72" orientation="portrait" blackAndWhite="1" horizontalDpi="720" r:id="rId2"/>
  <headerFooter>
    <oddFooter>&amp;Lheeralaljatchandawal@gmail.com</oddFooter>
  </headerFooter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1">
    <tabColor rgb="FF00FFFF"/>
  </sheetPr>
  <dimension ref="B1:M144"/>
  <sheetViews>
    <sheetView showGridLines="0" view="pageBreakPreview" zoomScale="120" zoomScaleSheetLayoutView="120" workbookViewId="0">
      <selection activeCell="A2" sqref="A2"/>
    </sheetView>
  </sheetViews>
  <sheetFormatPr defaultRowHeight="15"/>
  <cols>
    <col min="1" max="1" width="9" style="34"/>
    <col min="2" max="2" width="8.5" style="34" customWidth="1"/>
    <col min="3" max="3" width="8" style="34" customWidth="1"/>
    <col min="4" max="4" width="5.5" style="34" customWidth="1"/>
    <col min="5" max="5" width="11.5" style="34" customWidth="1"/>
    <col min="6" max="6" width="17.375" style="34" customWidth="1"/>
    <col min="7" max="7" width="7" style="34" customWidth="1"/>
    <col min="8" max="8" width="6.625" style="34" customWidth="1"/>
    <col min="9" max="9" width="7.875" style="34" customWidth="1"/>
    <col min="10" max="10" width="6.625" style="34" customWidth="1"/>
    <col min="11" max="11" width="8.375" style="34" customWidth="1"/>
    <col min="12" max="12" width="6.75" style="34" customWidth="1"/>
    <col min="13" max="16384" width="9" style="34"/>
  </cols>
  <sheetData>
    <row r="1" spans="2:12" ht="13.5" customHeight="1">
      <c r="B1" s="814" t="s">
        <v>289</v>
      </c>
      <c r="C1" s="814"/>
      <c r="D1" s="814"/>
      <c r="E1" s="814"/>
      <c r="F1" s="814"/>
      <c r="G1" s="814"/>
      <c r="H1" s="814"/>
      <c r="I1" s="814"/>
      <c r="J1" s="814"/>
      <c r="K1" s="814"/>
      <c r="L1" s="814"/>
    </row>
    <row r="2" spans="2:12" ht="11.25" customHeight="1">
      <c r="B2" s="815" t="s">
        <v>290</v>
      </c>
      <c r="C2" s="815"/>
      <c r="D2" s="815"/>
      <c r="E2" s="815"/>
      <c r="F2" s="815"/>
      <c r="G2" s="815"/>
      <c r="H2" s="815"/>
      <c r="I2" s="815"/>
      <c r="J2" s="815"/>
      <c r="K2" s="815"/>
      <c r="L2" s="815"/>
    </row>
    <row r="3" spans="2:12" ht="11.25" customHeight="1">
      <c r="B3" s="816" t="s">
        <v>291</v>
      </c>
      <c r="C3" s="816"/>
      <c r="D3" s="816"/>
      <c r="E3" s="816"/>
      <c r="F3" s="816"/>
      <c r="G3" s="816"/>
      <c r="H3" s="816"/>
      <c r="I3" s="816"/>
      <c r="J3" s="816"/>
      <c r="K3" s="816"/>
      <c r="L3" s="816"/>
    </row>
    <row r="4" spans="2:12" ht="18" customHeight="1" thickBot="1">
      <c r="B4" s="816" t="s">
        <v>292</v>
      </c>
      <c r="C4" s="816"/>
      <c r="D4" s="816"/>
      <c r="E4" s="816"/>
      <c r="F4" s="816"/>
      <c r="G4" s="816"/>
      <c r="H4" s="816"/>
      <c r="I4" s="816"/>
      <c r="J4" s="816"/>
      <c r="K4" s="816"/>
      <c r="L4" s="816"/>
    </row>
    <row r="5" spans="2:12" ht="16.5" customHeight="1" thickTop="1" thickBot="1">
      <c r="B5" s="817" t="s">
        <v>293</v>
      </c>
      <c r="C5" s="817"/>
      <c r="D5" s="817"/>
      <c r="E5" s="817"/>
      <c r="F5" s="817"/>
      <c r="G5" s="817" t="s">
        <v>294</v>
      </c>
      <c r="H5" s="817"/>
      <c r="I5" s="817"/>
      <c r="J5" s="817"/>
      <c r="K5" s="817"/>
      <c r="L5" s="817"/>
    </row>
    <row r="6" spans="2:12" ht="14.25" customHeight="1" thickTop="1" thickBot="1">
      <c r="B6" s="830" t="str">
        <f>IF('Master Data'!H8="","",UPPER('Master Data'!H8))</f>
        <v>USHA PALIYA</v>
      </c>
      <c r="C6" s="831"/>
      <c r="D6" s="831"/>
      <c r="E6" s="831"/>
      <c r="F6" s="832"/>
      <c r="G6" s="833" t="str">
        <f>IF('Master Data'!D6="","",UPPER('Master Data'!D6))</f>
        <v>HEERALAL JAT</v>
      </c>
      <c r="H6" s="833"/>
      <c r="I6" s="833"/>
      <c r="J6" s="833"/>
      <c r="K6" s="833"/>
      <c r="L6" s="833"/>
    </row>
    <row r="7" spans="2:12" ht="14.25" customHeight="1" thickTop="1" thickBot="1">
      <c r="B7" s="834"/>
      <c r="C7" s="835"/>
      <c r="D7" s="835"/>
      <c r="E7" s="835"/>
      <c r="F7" s="836"/>
      <c r="G7" s="833" t="str">
        <f>IF('Master Data'!D8="","",UPPER('Master Data'!D8))</f>
        <v>M.G.G.S. BAR</v>
      </c>
      <c r="H7" s="833"/>
      <c r="I7" s="833"/>
      <c r="J7" s="833"/>
      <c r="K7" s="833"/>
      <c r="L7" s="833"/>
    </row>
    <row r="8" spans="2:12" ht="14.25" customHeight="1" thickTop="1" thickBot="1">
      <c r="B8" s="810" t="s">
        <v>295</v>
      </c>
      <c r="C8" s="810"/>
      <c r="D8" s="810"/>
      <c r="E8" s="810" t="s">
        <v>296</v>
      </c>
      <c r="F8" s="810"/>
      <c r="G8" s="810" t="s">
        <v>297</v>
      </c>
      <c r="H8" s="810"/>
      <c r="I8" s="810"/>
      <c r="J8" s="810" t="s">
        <v>298</v>
      </c>
      <c r="K8" s="810"/>
      <c r="L8" s="810"/>
    </row>
    <row r="9" spans="2:12" ht="13.5" customHeight="1" thickTop="1" thickBot="1">
      <c r="B9" s="827"/>
      <c r="C9" s="828"/>
      <c r="D9" s="828"/>
      <c r="E9" s="807">
        <f>'Master Data'!H12</f>
        <v>0</v>
      </c>
      <c r="F9" s="807"/>
      <c r="G9" s="807" t="str">
        <f>UPPER('Master Data'!D12)</f>
        <v>ABCDE1234H</v>
      </c>
      <c r="H9" s="807"/>
      <c r="I9" s="807"/>
      <c r="J9" s="807" t="str">
        <f>UPPER('Master Data'!D10)</f>
        <v>RJPAXXXXXXXX4272</v>
      </c>
      <c r="K9" s="807"/>
      <c r="L9" s="807"/>
    </row>
    <row r="10" spans="2:12" ht="13.5" customHeight="1" thickTop="1" thickBot="1">
      <c r="B10" s="829" t="s">
        <v>299</v>
      </c>
      <c r="C10" s="829"/>
      <c r="D10" s="829"/>
      <c r="E10" s="829"/>
      <c r="F10" s="829"/>
      <c r="G10" s="807" t="s">
        <v>300</v>
      </c>
      <c r="H10" s="807"/>
      <c r="I10" s="807" t="s">
        <v>301</v>
      </c>
      <c r="J10" s="807"/>
      <c r="K10" s="807"/>
      <c r="L10" s="807"/>
    </row>
    <row r="11" spans="2:12" ht="14.25" customHeight="1" thickTop="1" thickBot="1">
      <c r="B11" s="305" t="s">
        <v>302</v>
      </c>
      <c r="C11" s="811" t="s">
        <v>408</v>
      </c>
      <c r="D11" s="811"/>
      <c r="E11" s="811"/>
      <c r="F11" s="811"/>
      <c r="G11" s="812" t="s">
        <v>488</v>
      </c>
      <c r="H11" s="812"/>
      <c r="I11" s="665" t="s">
        <v>303</v>
      </c>
      <c r="J11" s="665"/>
      <c r="K11" s="807" t="s">
        <v>304</v>
      </c>
      <c r="L11" s="807"/>
    </row>
    <row r="12" spans="2:12" ht="14.25" customHeight="1" thickTop="1" thickBot="1">
      <c r="B12" s="305" t="s">
        <v>305</v>
      </c>
      <c r="C12" s="811" t="s">
        <v>409</v>
      </c>
      <c r="D12" s="811"/>
      <c r="E12" s="305" t="s">
        <v>306</v>
      </c>
      <c r="F12" s="304">
        <v>306401</v>
      </c>
      <c r="G12" s="812"/>
      <c r="H12" s="812"/>
      <c r="I12" s="813" t="s">
        <v>489</v>
      </c>
      <c r="J12" s="813"/>
      <c r="K12" s="813" t="s">
        <v>490</v>
      </c>
      <c r="L12" s="813"/>
    </row>
    <row r="13" spans="2:12" ht="17.25" customHeight="1" thickTop="1" thickBot="1">
      <c r="B13" s="837" t="s">
        <v>307</v>
      </c>
      <c r="C13" s="837"/>
      <c r="D13" s="837"/>
      <c r="E13" s="837"/>
      <c r="F13" s="837"/>
      <c r="G13" s="837"/>
      <c r="H13" s="837"/>
      <c r="I13" s="837"/>
      <c r="J13" s="837"/>
      <c r="K13" s="837"/>
      <c r="L13" s="837"/>
    </row>
    <row r="14" spans="2:12" ht="25.5" customHeight="1" thickTop="1" thickBot="1">
      <c r="B14" s="303" t="s">
        <v>308</v>
      </c>
      <c r="C14" s="809" t="s">
        <v>309</v>
      </c>
      <c r="D14" s="809"/>
      <c r="E14" s="809"/>
      <c r="F14" s="303" t="s">
        <v>310</v>
      </c>
      <c r="G14" s="665" t="s">
        <v>311</v>
      </c>
      <c r="H14" s="665"/>
      <c r="I14" s="665"/>
      <c r="J14" s="810" t="s">
        <v>312</v>
      </c>
      <c r="K14" s="810"/>
      <c r="L14" s="810"/>
    </row>
    <row r="15" spans="2:12" ht="16.5" customHeight="1" thickTop="1" thickBot="1">
      <c r="B15" s="215" t="s">
        <v>411</v>
      </c>
      <c r="C15" s="804"/>
      <c r="D15" s="804"/>
      <c r="E15" s="804"/>
      <c r="F15" s="214"/>
      <c r="G15" s="805">
        <f>SUM('GA55 Check &amp; Edit'!BX12:BX14)</f>
        <v>3000</v>
      </c>
      <c r="H15" s="805"/>
      <c r="I15" s="805"/>
      <c r="J15" s="806">
        <f>G15</f>
        <v>3000</v>
      </c>
      <c r="K15" s="806"/>
      <c r="L15" s="806"/>
    </row>
    <row r="16" spans="2:12" ht="20.25" customHeight="1" thickTop="1" thickBot="1">
      <c r="B16" s="215" t="s">
        <v>410</v>
      </c>
      <c r="C16" s="804"/>
      <c r="D16" s="804"/>
      <c r="E16" s="804"/>
      <c r="F16" s="214"/>
      <c r="G16" s="805">
        <f>SUM('GA55 Check &amp; Edit'!BX15:BX17)</f>
        <v>4500</v>
      </c>
      <c r="H16" s="805"/>
      <c r="I16" s="805"/>
      <c r="J16" s="806">
        <f>G16</f>
        <v>4500</v>
      </c>
      <c r="K16" s="806"/>
      <c r="L16" s="806"/>
    </row>
    <row r="17" spans="2:12" ht="15.75" customHeight="1" thickTop="1" thickBot="1">
      <c r="B17" s="216" t="s">
        <v>412</v>
      </c>
      <c r="C17" s="804"/>
      <c r="D17" s="804"/>
      <c r="E17" s="804"/>
      <c r="F17" s="214"/>
      <c r="G17" s="805">
        <f>SUM('GA55 Check &amp; Edit'!BX18:BX20)</f>
        <v>4500</v>
      </c>
      <c r="H17" s="805"/>
      <c r="I17" s="805"/>
      <c r="J17" s="806">
        <f>G17</f>
        <v>4500</v>
      </c>
      <c r="K17" s="806"/>
      <c r="L17" s="806"/>
    </row>
    <row r="18" spans="2:12" ht="15" customHeight="1" thickTop="1" thickBot="1">
      <c r="B18" s="216" t="s">
        <v>413</v>
      </c>
      <c r="C18" s="804"/>
      <c r="D18" s="804"/>
      <c r="E18" s="804"/>
      <c r="F18" s="214"/>
      <c r="G18" s="805">
        <f>SUM('GA55 Check &amp; Edit'!BX21:BX23)+SUM('GA 55 '!X19:'GA 55 '!X27)</f>
        <v>3000</v>
      </c>
      <c r="H18" s="805"/>
      <c r="I18" s="805"/>
      <c r="J18" s="806">
        <f>G18</f>
        <v>3000</v>
      </c>
      <c r="K18" s="806"/>
      <c r="L18" s="806"/>
    </row>
    <row r="19" spans="2:12" ht="16.5" customHeight="1" thickTop="1" thickBot="1">
      <c r="B19" s="807" t="s">
        <v>313</v>
      </c>
      <c r="C19" s="807"/>
      <c r="D19" s="807"/>
      <c r="E19" s="807"/>
      <c r="F19" s="302">
        <f>SUM(F15:F18)</f>
        <v>0</v>
      </c>
      <c r="G19" s="808">
        <f>SUM(G15:G18)</f>
        <v>15000</v>
      </c>
      <c r="H19" s="808"/>
      <c r="I19" s="808"/>
      <c r="J19" s="808">
        <f>SUM(J15:J18)</f>
        <v>15000</v>
      </c>
      <c r="K19" s="808"/>
      <c r="L19" s="808"/>
    </row>
    <row r="20" spans="2:12" ht="15.75" customHeight="1" thickTop="1">
      <c r="B20" s="796" t="s">
        <v>314</v>
      </c>
      <c r="C20" s="797"/>
      <c r="D20" s="797"/>
      <c r="E20" s="797"/>
      <c r="F20" s="797"/>
      <c r="G20" s="797"/>
      <c r="H20" s="797"/>
      <c r="I20" s="797"/>
      <c r="J20" s="797"/>
      <c r="K20" s="797"/>
      <c r="L20" s="798"/>
    </row>
    <row r="21" spans="2:12" ht="15.75" customHeight="1" thickBot="1">
      <c r="B21" s="799" t="s">
        <v>315</v>
      </c>
      <c r="C21" s="800"/>
      <c r="D21" s="800"/>
      <c r="E21" s="800"/>
      <c r="F21" s="800"/>
      <c r="G21" s="800"/>
      <c r="H21" s="800"/>
      <c r="I21" s="800"/>
      <c r="J21" s="800"/>
      <c r="K21" s="800"/>
      <c r="L21" s="801"/>
    </row>
    <row r="22" spans="2:12" ht="16.5" customHeight="1" thickTop="1" thickBot="1">
      <c r="B22" s="802" t="s">
        <v>75</v>
      </c>
      <c r="C22" s="803" t="s">
        <v>316</v>
      </c>
      <c r="D22" s="803"/>
      <c r="E22" s="803" t="s">
        <v>317</v>
      </c>
      <c r="F22" s="803"/>
      <c r="G22" s="803"/>
      <c r="H22" s="803"/>
      <c r="I22" s="803"/>
      <c r="J22" s="803"/>
      <c r="K22" s="803"/>
      <c r="L22" s="803"/>
    </row>
    <row r="23" spans="2:12" ht="38.25" customHeight="1" thickTop="1" thickBot="1">
      <c r="B23" s="802"/>
      <c r="C23" s="803"/>
      <c r="D23" s="803"/>
      <c r="E23" s="301" t="s">
        <v>318</v>
      </c>
      <c r="F23" s="301" t="s">
        <v>319</v>
      </c>
      <c r="G23" s="803" t="s">
        <v>320</v>
      </c>
      <c r="H23" s="803"/>
      <c r="I23" s="803"/>
      <c r="J23" s="803" t="s">
        <v>321</v>
      </c>
      <c r="K23" s="803"/>
      <c r="L23" s="803"/>
    </row>
    <row r="24" spans="2:12" ht="13.5" customHeight="1" thickTop="1" thickBot="1">
      <c r="B24" s="217">
        <v>1</v>
      </c>
      <c r="C24" s="792">
        <f>'GA 55 '!X7</f>
        <v>0</v>
      </c>
      <c r="D24" s="792"/>
      <c r="E24" s="299"/>
      <c r="F24" s="299"/>
      <c r="G24" s="793"/>
      <c r="H24" s="793"/>
      <c r="I24" s="793"/>
      <c r="J24" s="794" t="str">
        <f>IF(E24&gt;"0","Yes","-")</f>
        <v>-</v>
      </c>
      <c r="K24" s="794"/>
      <c r="L24" s="794"/>
    </row>
    <row r="25" spans="2:12" ht="13.5" customHeight="1" thickTop="1" thickBot="1">
      <c r="B25" s="217">
        <v>2</v>
      </c>
      <c r="C25" s="792">
        <f>'GA 55 '!X8</f>
        <v>1500</v>
      </c>
      <c r="D25" s="792"/>
      <c r="E25" s="299"/>
      <c r="F25" s="299"/>
      <c r="G25" s="793"/>
      <c r="H25" s="793"/>
      <c r="I25" s="793"/>
      <c r="J25" s="794" t="str">
        <f t="shared" ref="J25:J37" si="0">IF(E25&gt;"0","Yes","-")</f>
        <v>-</v>
      </c>
      <c r="K25" s="794"/>
      <c r="L25" s="794"/>
    </row>
    <row r="26" spans="2:12" ht="13.5" customHeight="1" thickTop="1" thickBot="1">
      <c r="B26" s="217">
        <v>3</v>
      </c>
      <c r="C26" s="792">
        <f>'GA 55 '!X9</f>
        <v>1500</v>
      </c>
      <c r="D26" s="792"/>
      <c r="E26" s="299"/>
      <c r="F26" s="299"/>
      <c r="G26" s="793"/>
      <c r="H26" s="793"/>
      <c r="I26" s="793"/>
      <c r="J26" s="794" t="str">
        <f t="shared" si="0"/>
        <v>-</v>
      </c>
      <c r="K26" s="794"/>
      <c r="L26" s="794"/>
    </row>
    <row r="27" spans="2:12" ht="13.5" customHeight="1" thickTop="1" thickBot="1">
      <c r="B27" s="217">
        <v>4</v>
      </c>
      <c r="C27" s="792">
        <f>'GA 55 '!X10</f>
        <v>1500</v>
      </c>
      <c r="D27" s="792"/>
      <c r="E27" s="299"/>
      <c r="F27" s="299"/>
      <c r="G27" s="793"/>
      <c r="H27" s="793"/>
      <c r="I27" s="793"/>
      <c r="J27" s="794" t="str">
        <f t="shared" si="0"/>
        <v>-</v>
      </c>
      <c r="K27" s="794"/>
      <c r="L27" s="794"/>
    </row>
    <row r="28" spans="2:12" ht="13.5" customHeight="1" thickTop="1" thickBot="1">
      <c r="B28" s="217">
        <v>5</v>
      </c>
      <c r="C28" s="792">
        <f>'GA 55 '!X11</f>
        <v>1500</v>
      </c>
      <c r="D28" s="792"/>
      <c r="E28" s="299"/>
      <c r="F28" s="299"/>
      <c r="G28" s="793"/>
      <c r="H28" s="793"/>
      <c r="I28" s="793"/>
      <c r="J28" s="794" t="str">
        <f t="shared" si="0"/>
        <v>-</v>
      </c>
      <c r="K28" s="794"/>
      <c r="L28" s="794"/>
    </row>
    <row r="29" spans="2:12" ht="13.5" customHeight="1" thickTop="1" thickBot="1">
      <c r="B29" s="217">
        <v>6</v>
      </c>
      <c r="C29" s="792">
        <f>'GA 55 '!X12</f>
        <v>1500</v>
      </c>
      <c r="D29" s="792"/>
      <c r="E29" s="299"/>
      <c r="F29" s="299"/>
      <c r="G29" s="793"/>
      <c r="H29" s="793"/>
      <c r="I29" s="793"/>
      <c r="J29" s="794" t="str">
        <f t="shared" si="0"/>
        <v>-</v>
      </c>
      <c r="K29" s="794"/>
      <c r="L29" s="794"/>
    </row>
    <row r="30" spans="2:12" ht="13.5" customHeight="1" thickTop="1" thickBot="1">
      <c r="B30" s="217">
        <v>7</v>
      </c>
      <c r="C30" s="792">
        <f>'GA 55 '!X13</f>
        <v>1500</v>
      </c>
      <c r="D30" s="792"/>
      <c r="E30" s="299"/>
      <c r="F30" s="299"/>
      <c r="G30" s="793"/>
      <c r="H30" s="793"/>
      <c r="I30" s="793"/>
      <c r="J30" s="794" t="str">
        <f t="shared" si="0"/>
        <v>-</v>
      </c>
      <c r="K30" s="794"/>
      <c r="L30" s="794"/>
    </row>
    <row r="31" spans="2:12" ht="13.5" customHeight="1" thickTop="1" thickBot="1">
      <c r="B31" s="217">
        <v>8</v>
      </c>
      <c r="C31" s="792">
        <f>'GA 55 '!X14</f>
        <v>1500</v>
      </c>
      <c r="D31" s="792"/>
      <c r="E31" s="299"/>
      <c r="F31" s="299"/>
      <c r="G31" s="793"/>
      <c r="H31" s="793"/>
      <c r="I31" s="793"/>
      <c r="J31" s="794" t="str">
        <f t="shared" si="0"/>
        <v>-</v>
      </c>
      <c r="K31" s="794"/>
      <c r="L31" s="794"/>
    </row>
    <row r="32" spans="2:12" ht="13.5" customHeight="1" thickTop="1" thickBot="1">
      <c r="B32" s="217">
        <v>9</v>
      </c>
      <c r="C32" s="792">
        <f>'GA 55 '!X15</f>
        <v>1500</v>
      </c>
      <c r="D32" s="792"/>
      <c r="E32" s="299"/>
      <c r="F32" s="299"/>
      <c r="G32" s="793"/>
      <c r="H32" s="793"/>
      <c r="I32" s="793"/>
      <c r="J32" s="794" t="str">
        <f t="shared" si="0"/>
        <v>-</v>
      </c>
      <c r="K32" s="794"/>
      <c r="L32" s="794"/>
    </row>
    <row r="33" spans="2:12" ht="13.5" customHeight="1" thickTop="1" thickBot="1">
      <c r="B33" s="217">
        <v>10</v>
      </c>
      <c r="C33" s="792">
        <f>'GA 55 '!X16</f>
        <v>1500</v>
      </c>
      <c r="D33" s="792"/>
      <c r="E33" s="299"/>
      <c r="F33" s="299"/>
      <c r="G33" s="793"/>
      <c r="H33" s="793"/>
      <c r="I33" s="793"/>
      <c r="J33" s="794" t="str">
        <f t="shared" si="0"/>
        <v>-</v>
      </c>
      <c r="K33" s="794"/>
      <c r="L33" s="794"/>
    </row>
    <row r="34" spans="2:12" ht="13.5" customHeight="1" thickTop="1" thickBot="1">
      <c r="B34" s="217">
        <v>11</v>
      </c>
      <c r="C34" s="792">
        <f>'GA 55 '!X17</f>
        <v>1500</v>
      </c>
      <c r="D34" s="792"/>
      <c r="E34" s="299"/>
      <c r="F34" s="299"/>
      <c r="G34" s="793"/>
      <c r="H34" s="793"/>
      <c r="I34" s="793"/>
      <c r="J34" s="794" t="str">
        <f t="shared" si="0"/>
        <v>-</v>
      </c>
      <c r="K34" s="794"/>
      <c r="L34" s="794"/>
    </row>
    <row r="35" spans="2:12" ht="13.5" customHeight="1" thickTop="1" thickBot="1">
      <c r="B35" s="217">
        <v>12</v>
      </c>
      <c r="C35" s="792">
        <f>'GA 55 '!X18</f>
        <v>0</v>
      </c>
      <c r="D35" s="792"/>
      <c r="E35" s="299"/>
      <c r="F35" s="299"/>
      <c r="G35" s="793"/>
      <c r="H35" s="793"/>
      <c r="I35" s="793"/>
      <c r="J35" s="794" t="str">
        <f t="shared" si="0"/>
        <v>-</v>
      </c>
      <c r="K35" s="794"/>
      <c r="L35" s="794"/>
    </row>
    <row r="36" spans="2:12" ht="13.5" customHeight="1" thickTop="1" thickBot="1">
      <c r="B36" s="217">
        <v>13</v>
      </c>
      <c r="C36" s="792">
        <f>'GA 55 '!X28-SUM(C24:D35)</f>
        <v>0</v>
      </c>
      <c r="D36" s="792"/>
      <c r="E36" s="299"/>
      <c r="F36" s="299"/>
      <c r="G36" s="793"/>
      <c r="H36" s="793"/>
      <c r="I36" s="793"/>
      <c r="J36" s="794" t="str">
        <f t="shared" si="0"/>
        <v>-</v>
      </c>
      <c r="K36" s="794"/>
      <c r="L36" s="794"/>
    </row>
    <row r="37" spans="2:12" ht="13.5" hidden="1" customHeight="1">
      <c r="B37" s="217">
        <v>14</v>
      </c>
      <c r="C37" s="792">
        <f>'[3]G.A. 55'!T24+'[3]G.A. 55'!T26</f>
        <v>0</v>
      </c>
      <c r="D37" s="792"/>
      <c r="E37" s="300"/>
      <c r="F37" s="300"/>
      <c r="G37" s="795"/>
      <c r="H37" s="795"/>
      <c r="I37" s="795"/>
      <c r="J37" s="794" t="str">
        <f t="shared" si="0"/>
        <v>-</v>
      </c>
      <c r="K37" s="794"/>
      <c r="L37" s="794"/>
    </row>
    <row r="38" spans="2:12" ht="14.25" customHeight="1" thickTop="1" thickBot="1">
      <c r="B38" s="218" t="s">
        <v>322</v>
      </c>
      <c r="C38" s="787">
        <f>SUM(C24:D37)</f>
        <v>15000</v>
      </c>
      <c r="D38" s="787"/>
      <c r="E38" s="788"/>
      <c r="F38" s="788"/>
      <c r="G38" s="788"/>
      <c r="H38" s="788"/>
      <c r="I38" s="788"/>
      <c r="J38" s="788"/>
      <c r="K38" s="788"/>
      <c r="L38" s="788"/>
    </row>
    <row r="39" spans="2:12" ht="12.75" customHeight="1" thickTop="1" thickBot="1">
      <c r="B39" s="789" t="s">
        <v>323</v>
      </c>
      <c r="C39" s="789"/>
      <c r="D39" s="789"/>
      <c r="E39" s="789"/>
      <c r="F39" s="789"/>
      <c r="G39" s="789"/>
      <c r="H39" s="789"/>
      <c r="I39" s="789"/>
      <c r="J39" s="789"/>
      <c r="K39" s="789"/>
      <c r="L39" s="789"/>
    </row>
    <row r="40" spans="2:12" ht="12.75" customHeight="1" thickTop="1" thickBot="1">
      <c r="B40" s="790" t="s">
        <v>324</v>
      </c>
      <c r="C40" s="790"/>
      <c r="D40" s="790"/>
      <c r="E40" s="790"/>
      <c r="F40" s="790"/>
      <c r="G40" s="790"/>
      <c r="H40" s="790"/>
      <c r="I40" s="790"/>
      <c r="J40" s="790"/>
      <c r="K40" s="790"/>
      <c r="L40" s="790"/>
    </row>
    <row r="41" spans="2:12" ht="12.75" customHeight="1" thickTop="1" thickBot="1">
      <c r="B41" s="786" t="s">
        <v>75</v>
      </c>
      <c r="C41" s="791" t="s">
        <v>325</v>
      </c>
      <c r="D41" s="791"/>
      <c r="E41" s="786" t="s">
        <v>326</v>
      </c>
      <c r="F41" s="786"/>
      <c r="G41" s="786"/>
      <c r="H41" s="786"/>
      <c r="I41" s="786"/>
      <c r="J41" s="786"/>
      <c r="K41" s="786"/>
      <c r="L41" s="786"/>
    </row>
    <row r="42" spans="2:12" ht="35.450000000000003" customHeight="1" thickTop="1" thickBot="1">
      <c r="B42" s="786"/>
      <c r="C42" s="791"/>
      <c r="D42" s="791"/>
      <c r="E42" s="786" t="s">
        <v>327</v>
      </c>
      <c r="F42" s="786"/>
      <c r="G42" s="786" t="s">
        <v>328</v>
      </c>
      <c r="H42" s="786"/>
      <c r="I42" s="786" t="s">
        <v>329</v>
      </c>
      <c r="J42" s="786"/>
      <c r="K42" s="786" t="s">
        <v>330</v>
      </c>
      <c r="L42" s="786"/>
    </row>
    <row r="43" spans="2:12" ht="13.5" customHeight="1" thickTop="1" thickBot="1">
      <c r="B43" s="297">
        <v>1</v>
      </c>
      <c r="C43" s="782"/>
      <c r="D43" s="782"/>
      <c r="E43" s="783"/>
      <c r="F43" s="783"/>
      <c r="G43" s="784"/>
      <c r="H43" s="784"/>
      <c r="I43" s="785"/>
      <c r="J43" s="785"/>
      <c r="K43" s="779" t="str">
        <f>IF(C43&gt;"0","Yes","-")</f>
        <v>-</v>
      </c>
      <c r="L43" s="779"/>
    </row>
    <row r="44" spans="2:12" ht="13.5" customHeight="1" thickTop="1" thickBot="1">
      <c r="B44" s="297">
        <v>2</v>
      </c>
      <c r="C44" s="782"/>
      <c r="D44" s="782"/>
      <c r="E44" s="783"/>
      <c r="F44" s="783"/>
      <c r="G44" s="784"/>
      <c r="H44" s="784"/>
      <c r="I44" s="785"/>
      <c r="J44" s="785"/>
      <c r="K44" s="779" t="str">
        <f t="shared" ref="K44:K54" si="1">IF(C44&gt;"0","Yes","-")</f>
        <v>-</v>
      </c>
      <c r="L44" s="779"/>
    </row>
    <row r="45" spans="2:12" ht="13.5" customHeight="1" thickTop="1" thickBot="1">
      <c r="B45" s="297">
        <v>3</v>
      </c>
      <c r="C45" s="782"/>
      <c r="D45" s="782"/>
      <c r="E45" s="783"/>
      <c r="F45" s="783"/>
      <c r="G45" s="784"/>
      <c r="H45" s="784"/>
      <c r="I45" s="785"/>
      <c r="J45" s="785"/>
      <c r="K45" s="779" t="str">
        <f t="shared" si="1"/>
        <v>-</v>
      </c>
      <c r="L45" s="779"/>
    </row>
    <row r="46" spans="2:12" ht="13.5" customHeight="1" thickTop="1" thickBot="1">
      <c r="B46" s="297">
        <v>4</v>
      </c>
      <c r="C46" s="782"/>
      <c r="D46" s="782"/>
      <c r="E46" s="783"/>
      <c r="F46" s="783"/>
      <c r="G46" s="784"/>
      <c r="H46" s="784"/>
      <c r="I46" s="785"/>
      <c r="J46" s="785"/>
      <c r="K46" s="779" t="str">
        <f t="shared" si="1"/>
        <v>-</v>
      </c>
      <c r="L46" s="779"/>
    </row>
    <row r="47" spans="2:12" ht="13.5" customHeight="1" thickTop="1" thickBot="1">
      <c r="B47" s="297">
        <v>5</v>
      </c>
      <c r="C47" s="782"/>
      <c r="D47" s="782"/>
      <c r="E47" s="783"/>
      <c r="F47" s="783"/>
      <c r="G47" s="784"/>
      <c r="H47" s="784"/>
      <c r="I47" s="785"/>
      <c r="J47" s="785"/>
      <c r="K47" s="779" t="str">
        <f t="shared" si="1"/>
        <v>-</v>
      </c>
      <c r="L47" s="779"/>
    </row>
    <row r="48" spans="2:12" ht="13.5" customHeight="1" thickTop="1" thickBot="1">
      <c r="B48" s="297">
        <v>6</v>
      </c>
      <c r="C48" s="782"/>
      <c r="D48" s="782"/>
      <c r="E48" s="783"/>
      <c r="F48" s="783"/>
      <c r="G48" s="784"/>
      <c r="H48" s="784"/>
      <c r="I48" s="785"/>
      <c r="J48" s="785"/>
      <c r="K48" s="779" t="str">
        <f t="shared" si="1"/>
        <v>-</v>
      </c>
      <c r="L48" s="779"/>
    </row>
    <row r="49" spans="2:12" ht="13.5" customHeight="1" thickTop="1" thickBot="1">
      <c r="B49" s="297">
        <v>7</v>
      </c>
      <c r="C49" s="782"/>
      <c r="D49" s="782"/>
      <c r="E49" s="783"/>
      <c r="F49" s="783"/>
      <c r="G49" s="784"/>
      <c r="H49" s="784"/>
      <c r="I49" s="785"/>
      <c r="J49" s="785"/>
      <c r="K49" s="779" t="str">
        <f t="shared" si="1"/>
        <v>-</v>
      </c>
      <c r="L49" s="779"/>
    </row>
    <row r="50" spans="2:12" ht="13.5" customHeight="1" thickTop="1" thickBot="1">
      <c r="B50" s="297">
        <v>8</v>
      </c>
      <c r="C50" s="782"/>
      <c r="D50" s="782"/>
      <c r="E50" s="783"/>
      <c r="F50" s="783"/>
      <c r="G50" s="784"/>
      <c r="H50" s="784"/>
      <c r="I50" s="785"/>
      <c r="J50" s="785"/>
      <c r="K50" s="779" t="str">
        <f t="shared" si="1"/>
        <v>-</v>
      </c>
      <c r="L50" s="779"/>
    </row>
    <row r="51" spans="2:12" ht="13.5" customHeight="1" thickTop="1" thickBot="1">
      <c r="B51" s="297">
        <v>9</v>
      </c>
      <c r="C51" s="782"/>
      <c r="D51" s="782"/>
      <c r="E51" s="783"/>
      <c r="F51" s="783"/>
      <c r="G51" s="784"/>
      <c r="H51" s="784"/>
      <c r="I51" s="785"/>
      <c r="J51" s="785"/>
      <c r="K51" s="779" t="str">
        <f t="shared" si="1"/>
        <v>-</v>
      </c>
      <c r="L51" s="779"/>
    </row>
    <row r="52" spans="2:12" ht="13.5" customHeight="1" thickTop="1" thickBot="1">
      <c r="B52" s="297">
        <v>10</v>
      </c>
      <c r="C52" s="782"/>
      <c r="D52" s="782"/>
      <c r="E52" s="783"/>
      <c r="F52" s="783"/>
      <c r="G52" s="784"/>
      <c r="H52" s="784"/>
      <c r="I52" s="785"/>
      <c r="J52" s="785"/>
      <c r="K52" s="779" t="str">
        <f t="shared" si="1"/>
        <v>-</v>
      </c>
      <c r="L52" s="779"/>
    </row>
    <row r="53" spans="2:12" ht="13.5" customHeight="1" thickTop="1" thickBot="1">
      <c r="B53" s="297">
        <v>11</v>
      </c>
      <c r="C53" s="782"/>
      <c r="D53" s="782"/>
      <c r="E53" s="783"/>
      <c r="F53" s="783"/>
      <c r="G53" s="784"/>
      <c r="H53" s="784"/>
      <c r="I53" s="785"/>
      <c r="J53" s="785"/>
      <c r="K53" s="779" t="str">
        <f t="shared" si="1"/>
        <v>-</v>
      </c>
      <c r="L53" s="779"/>
    </row>
    <row r="54" spans="2:12" ht="13.5" customHeight="1" thickTop="1" thickBot="1">
      <c r="B54" s="297">
        <v>12</v>
      </c>
      <c r="C54" s="782"/>
      <c r="D54" s="782"/>
      <c r="E54" s="783"/>
      <c r="F54" s="783"/>
      <c r="G54" s="784"/>
      <c r="H54" s="784"/>
      <c r="I54" s="785"/>
      <c r="J54" s="785"/>
      <c r="K54" s="779" t="str">
        <f t="shared" si="1"/>
        <v>-</v>
      </c>
      <c r="L54" s="779"/>
    </row>
    <row r="55" spans="2:12" ht="13.5" hidden="1" customHeight="1">
      <c r="B55" s="297">
        <v>13</v>
      </c>
      <c r="C55" s="777"/>
      <c r="D55" s="777"/>
      <c r="E55" s="778"/>
      <c r="F55" s="778"/>
      <c r="G55" s="779"/>
      <c r="H55" s="779"/>
      <c r="I55" s="780"/>
      <c r="J55" s="780"/>
      <c r="K55" s="779"/>
      <c r="L55" s="779"/>
    </row>
    <row r="56" spans="2:12" ht="13.5" hidden="1" customHeight="1">
      <c r="B56" s="297">
        <v>14</v>
      </c>
      <c r="C56" s="777"/>
      <c r="D56" s="777"/>
      <c r="E56" s="778"/>
      <c r="F56" s="778"/>
      <c r="G56" s="779"/>
      <c r="H56" s="779"/>
      <c r="I56" s="780"/>
      <c r="J56" s="780"/>
      <c r="K56" s="779"/>
      <c r="L56" s="779"/>
    </row>
    <row r="57" spans="2:12" ht="15.6" customHeight="1" thickTop="1" thickBot="1">
      <c r="B57" s="298" t="s">
        <v>322</v>
      </c>
      <c r="C57" s="781">
        <f>SUM(C43:C56)</f>
        <v>0</v>
      </c>
      <c r="D57" s="781"/>
      <c r="E57" s="781"/>
      <c r="F57" s="781"/>
      <c r="G57" s="781"/>
      <c r="H57" s="781"/>
      <c r="I57" s="781"/>
      <c r="J57" s="781"/>
      <c r="K57" s="781"/>
      <c r="L57" s="781"/>
    </row>
    <row r="58" spans="2:12" ht="12.75" customHeight="1" thickTop="1">
      <c r="B58" s="656" t="s">
        <v>331</v>
      </c>
      <c r="C58" s="656"/>
      <c r="D58" s="656"/>
      <c r="E58" s="656"/>
      <c r="F58" s="656"/>
      <c r="G58" s="656"/>
      <c r="H58" s="656"/>
      <c r="I58" s="656"/>
      <c r="J58" s="656"/>
      <c r="K58" s="656"/>
      <c r="L58" s="656"/>
    </row>
    <row r="59" spans="2:12" ht="18.75" customHeight="1">
      <c r="B59" s="772" t="s">
        <v>332</v>
      </c>
      <c r="C59" s="772"/>
      <c r="D59" s="772"/>
      <c r="E59" s="772"/>
      <c r="F59" s="772"/>
      <c r="G59" s="772"/>
      <c r="H59" s="772"/>
      <c r="I59" s="772"/>
      <c r="J59" s="772"/>
      <c r="K59" s="772"/>
      <c r="L59" s="772"/>
    </row>
    <row r="60" spans="2:12" ht="15" customHeight="1">
      <c r="B60" s="292" t="s">
        <v>333</v>
      </c>
      <c r="C60" s="652" t="str">
        <f>B6&amp;","</f>
        <v>USHA PALIYA,</v>
      </c>
      <c r="D60" s="652"/>
      <c r="E60" s="652"/>
      <c r="F60" s="296" t="s">
        <v>334</v>
      </c>
      <c r="G60" s="773"/>
      <c r="H60" s="773"/>
      <c r="I60" s="773"/>
      <c r="J60" s="773"/>
      <c r="K60" s="774" t="s">
        <v>335</v>
      </c>
      <c r="L60" s="774"/>
    </row>
    <row r="61" spans="2:12" ht="15" customHeight="1">
      <c r="B61" s="775" t="s">
        <v>336</v>
      </c>
      <c r="C61" s="775"/>
      <c r="D61" s="773" t="s">
        <v>414</v>
      </c>
      <c r="E61" s="773"/>
      <c r="F61" s="773"/>
      <c r="G61" s="776" t="s">
        <v>337</v>
      </c>
      <c r="H61" s="776"/>
      <c r="I61" s="776"/>
      <c r="J61" s="776"/>
      <c r="K61" s="776"/>
      <c r="L61" s="776"/>
    </row>
    <row r="62" spans="2:12" ht="15" customHeight="1">
      <c r="B62" s="219" t="s">
        <v>338</v>
      </c>
      <c r="C62" s="220">
        <f>J19</f>
        <v>15000</v>
      </c>
      <c r="D62" s="769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Fifteen Thousand  Rupees</v>
      </c>
      <c r="E62" s="769"/>
      <c r="F62" s="769"/>
      <c r="G62" s="769"/>
      <c r="H62" s="769"/>
      <c r="I62" s="770" t="s">
        <v>339</v>
      </c>
      <c r="J62" s="770"/>
      <c r="K62" s="770"/>
      <c r="L62" s="770"/>
    </row>
    <row r="63" spans="2:12" ht="15" customHeight="1">
      <c r="B63" s="663" t="s">
        <v>416</v>
      </c>
      <c r="C63" s="663"/>
      <c r="D63" s="663"/>
      <c r="E63" s="663"/>
      <c r="F63" s="663"/>
      <c r="G63" s="663"/>
      <c r="H63" s="663"/>
      <c r="I63" s="663"/>
      <c r="J63" s="663"/>
      <c r="K63" s="663"/>
      <c r="L63" s="663"/>
    </row>
    <row r="64" spans="2:12" ht="15" customHeight="1">
      <c r="B64" s="663" t="s">
        <v>415</v>
      </c>
      <c r="C64" s="663"/>
      <c r="D64" s="663"/>
      <c r="E64" s="663"/>
      <c r="F64" s="663"/>
      <c r="G64" s="663"/>
      <c r="H64" s="663"/>
      <c r="I64" s="663"/>
      <c r="J64" s="663"/>
      <c r="K64" s="663"/>
      <c r="L64" s="663"/>
    </row>
    <row r="65" spans="2:13" ht="21" customHeight="1">
      <c r="B65" s="765" t="s">
        <v>340</v>
      </c>
      <c r="C65" s="765"/>
      <c r="D65" s="771" t="str">
        <f>G7</f>
        <v>M.G.G.S. BAR</v>
      </c>
      <c r="E65" s="771"/>
      <c r="F65" s="652"/>
      <c r="G65" s="652"/>
      <c r="H65" s="652"/>
      <c r="I65" s="652"/>
      <c r="J65" s="652"/>
      <c r="K65" s="652"/>
      <c r="L65" s="652"/>
    </row>
    <row r="66" spans="2:13" ht="15.75" customHeight="1">
      <c r="B66" s="765" t="s">
        <v>341</v>
      </c>
      <c r="C66" s="765"/>
      <c r="D66" s="654">
        <f ca="1">TODAY()</f>
        <v>44555</v>
      </c>
      <c r="E66" s="654"/>
      <c r="F66" s="766" t="s">
        <v>342</v>
      </c>
      <c r="G66" s="766"/>
      <c r="H66" s="766"/>
      <c r="I66" s="766"/>
      <c r="J66" s="766"/>
      <c r="K66" s="766"/>
      <c r="L66" s="766"/>
    </row>
    <row r="67" spans="2:13" ht="15" customHeight="1">
      <c r="B67" s="765" t="s">
        <v>343</v>
      </c>
      <c r="C67" s="765"/>
      <c r="D67" s="767" t="str">
        <f>D61</f>
        <v>PRINCIPAL</v>
      </c>
      <c r="E67" s="767"/>
      <c r="F67" s="221" t="s">
        <v>417</v>
      </c>
      <c r="G67" s="768" t="str">
        <f>B6</f>
        <v>USHA PALIYA</v>
      </c>
      <c r="H67" s="768"/>
      <c r="I67" s="768"/>
      <c r="J67" s="768"/>
      <c r="K67" s="768"/>
      <c r="L67" s="768"/>
    </row>
    <row r="68" spans="2:13" ht="18" customHeight="1" thickBot="1">
      <c r="B68" s="759" t="s">
        <v>344</v>
      </c>
      <c r="C68" s="759"/>
      <c r="D68" s="759"/>
      <c r="E68" s="759"/>
      <c r="F68" s="759"/>
      <c r="G68" s="759"/>
      <c r="H68" s="759"/>
      <c r="I68" s="759"/>
      <c r="J68" s="759"/>
      <c r="K68" s="759"/>
      <c r="L68" s="759"/>
      <c r="M68" s="45"/>
    </row>
    <row r="69" spans="2:13" ht="16.5" customHeight="1" thickTop="1" thickBot="1">
      <c r="B69" s="760" t="s">
        <v>345</v>
      </c>
      <c r="C69" s="760"/>
      <c r="D69" s="760"/>
      <c r="E69" s="760"/>
      <c r="F69" s="760"/>
      <c r="G69" s="760"/>
      <c r="H69" s="760"/>
      <c r="I69" s="760"/>
      <c r="J69" s="760"/>
      <c r="K69" s="760"/>
      <c r="L69" s="760"/>
      <c r="M69" s="45"/>
    </row>
    <row r="70" spans="2:13" ht="16.5" customHeight="1" thickTop="1" thickBot="1">
      <c r="B70" s="723" t="s">
        <v>346</v>
      </c>
      <c r="C70" s="723"/>
      <c r="D70" s="723"/>
      <c r="E70" s="723"/>
      <c r="F70" s="723"/>
      <c r="G70" s="761"/>
      <c r="H70" s="761"/>
      <c r="I70" s="705"/>
      <c r="J70" s="705"/>
      <c r="K70" s="673"/>
      <c r="L70" s="673"/>
    </row>
    <row r="71" spans="2:13" ht="14.45" customHeight="1" thickTop="1" thickBot="1">
      <c r="B71" s="697" t="s">
        <v>347</v>
      </c>
      <c r="C71" s="697"/>
      <c r="D71" s="697"/>
      <c r="E71" s="697"/>
      <c r="F71" s="697"/>
      <c r="G71" s="714">
        <f>COMPUTATION!O4+COMPUTATION!O5</f>
        <v>925118</v>
      </c>
      <c r="H71" s="714"/>
      <c r="I71" s="705"/>
      <c r="J71" s="705"/>
      <c r="K71" s="673"/>
      <c r="L71" s="673"/>
    </row>
    <row r="72" spans="2:13" ht="14.45" customHeight="1" thickTop="1" thickBot="1">
      <c r="B72" s="762" t="s">
        <v>348</v>
      </c>
      <c r="C72" s="762"/>
      <c r="D72" s="762"/>
      <c r="E72" s="762"/>
      <c r="F72" s="762"/>
      <c r="G72" s="763"/>
      <c r="H72" s="763"/>
      <c r="I72" s="705"/>
      <c r="J72" s="705"/>
      <c r="K72" s="673"/>
      <c r="L72" s="673"/>
    </row>
    <row r="73" spans="2:13" ht="14.45" customHeight="1" thickTop="1" thickBot="1">
      <c r="B73" s="697" t="s">
        <v>349</v>
      </c>
      <c r="C73" s="697"/>
      <c r="D73" s="697"/>
      <c r="E73" s="697"/>
      <c r="F73" s="697"/>
      <c r="G73" s="764">
        <v>0</v>
      </c>
      <c r="H73" s="764"/>
      <c r="I73" s="705"/>
      <c r="J73" s="705"/>
      <c r="K73" s="673"/>
      <c r="L73" s="673"/>
    </row>
    <row r="74" spans="2:13" ht="14.45" customHeight="1" thickTop="1" thickBot="1">
      <c r="B74" s="723" t="s">
        <v>350</v>
      </c>
      <c r="C74" s="723"/>
      <c r="D74" s="723"/>
      <c r="E74" s="723"/>
      <c r="F74" s="723"/>
      <c r="G74" s="724"/>
      <c r="H74" s="724"/>
      <c r="I74" s="725">
        <f>G71+G72+G73</f>
        <v>925118</v>
      </c>
      <c r="J74" s="725"/>
      <c r="K74" s="673"/>
      <c r="L74" s="673"/>
    </row>
    <row r="75" spans="2:13" ht="14.45" customHeight="1" thickTop="1" thickBot="1">
      <c r="B75" s="697" t="s">
        <v>351</v>
      </c>
      <c r="C75" s="697"/>
      <c r="D75" s="697"/>
      <c r="E75" s="697"/>
      <c r="F75" s="697"/>
      <c r="G75" s="724"/>
      <c r="H75" s="724"/>
      <c r="I75" s="754"/>
      <c r="J75" s="754"/>
      <c r="K75" s="673"/>
      <c r="L75" s="673"/>
    </row>
    <row r="76" spans="2:13" ht="14.45" customHeight="1" thickTop="1" thickBot="1">
      <c r="B76" s="824" t="s">
        <v>352</v>
      </c>
      <c r="C76" s="825"/>
      <c r="D76" s="825"/>
      <c r="E76" s="825"/>
      <c r="F76" s="826"/>
      <c r="G76" s="724"/>
      <c r="H76" s="724"/>
      <c r="I76" s="754"/>
      <c r="J76" s="754"/>
      <c r="K76" s="673"/>
      <c r="L76" s="673"/>
    </row>
    <row r="77" spans="2:13" ht="14.45" customHeight="1" thickTop="1" thickBot="1">
      <c r="B77" s="755" t="s">
        <v>353</v>
      </c>
      <c r="C77" s="755"/>
      <c r="D77" s="755"/>
      <c r="E77" s="222">
        <f>COMPUTATION!O6</f>
        <v>0</v>
      </c>
      <c r="F77" s="222">
        <f>E77</f>
        <v>0</v>
      </c>
      <c r="G77" s="724"/>
      <c r="H77" s="724"/>
      <c r="I77" s="754"/>
      <c r="J77" s="754"/>
      <c r="K77" s="673"/>
      <c r="L77" s="673"/>
    </row>
    <row r="78" spans="2:13" ht="14.45" customHeight="1" thickTop="1" thickBot="1">
      <c r="B78" s="757" t="s">
        <v>354</v>
      </c>
      <c r="C78" s="757"/>
      <c r="D78" s="757"/>
      <c r="E78" s="223"/>
      <c r="F78" s="231">
        <v>0</v>
      </c>
      <c r="G78" s="714">
        <f>F77+F78</f>
        <v>0</v>
      </c>
      <c r="H78" s="714"/>
      <c r="I78" s="754"/>
      <c r="J78" s="754"/>
      <c r="K78" s="673"/>
      <c r="L78" s="673"/>
    </row>
    <row r="79" spans="2:13" ht="14.45" customHeight="1" thickTop="1" thickBot="1">
      <c r="B79" s="723" t="s">
        <v>355</v>
      </c>
      <c r="C79" s="723"/>
      <c r="D79" s="723"/>
      <c r="E79" s="723"/>
      <c r="F79" s="723"/>
      <c r="G79" s="754"/>
      <c r="H79" s="754"/>
      <c r="I79" s="725">
        <f>I74-G78</f>
        <v>925118</v>
      </c>
      <c r="J79" s="725"/>
      <c r="K79" s="673"/>
      <c r="L79" s="673"/>
    </row>
    <row r="80" spans="2:13" ht="14.45" customHeight="1" thickTop="1" thickBot="1">
      <c r="B80" s="701" t="s">
        <v>356</v>
      </c>
      <c r="C80" s="701"/>
      <c r="D80" s="701"/>
      <c r="E80" s="701"/>
      <c r="F80" s="701"/>
      <c r="G80" s="754"/>
      <c r="H80" s="754"/>
      <c r="I80" s="818"/>
      <c r="J80" s="819"/>
      <c r="K80" s="673"/>
      <c r="L80" s="673"/>
    </row>
    <row r="81" spans="2:12" ht="14.45" customHeight="1" thickTop="1" thickBot="1">
      <c r="B81" s="756" t="s">
        <v>357</v>
      </c>
      <c r="C81" s="756"/>
      <c r="D81" s="697" t="s">
        <v>358</v>
      </c>
      <c r="E81" s="697"/>
      <c r="F81" s="697"/>
      <c r="G81" s="715">
        <f>COMPUTATION!K10</f>
        <v>50000</v>
      </c>
      <c r="H81" s="715"/>
      <c r="I81" s="820"/>
      <c r="J81" s="821"/>
      <c r="K81" s="673"/>
      <c r="L81" s="673"/>
    </row>
    <row r="82" spans="2:12" ht="14.45" customHeight="1" thickTop="1" thickBot="1">
      <c r="B82" s="756" t="s">
        <v>359</v>
      </c>
      <c r="C82" s="756"/>
      <c r="D82" s="697" t="s">
        <v>360</v>
      </c>
      <c r="E82" s="697"/>
      <c r="F82" s="697"/>
      <c r="G82" s="754">
        <f>COMPUTATION!K8</f>
        <v>0</v>
      </c>
      <c r="H82" s="754"/>
      <c r="I82" s="820"/>
      <c r="J82" s="821"/>
      <c r="K82" s="673"/>
      <c r="L82" s="673"/>
    </row>
    <row r="83" spans="2:12" ht="14.45" customHeight="1" thickTop="1" thickBot="1">
      <c r="B83" s="756" t="s">
        <v>361</v>
      </c>
      <c r="C83" s="756"/>
      <c r="D83" s="697" t="s">
        <v>362</v>
      </c>
      <c r="E83" s="697"/>
      <c r="F83" s="697"/>
      <c r="G83" s="758">
        <f>COMPUTATION!K9</f>
        <v>0</v>
      </c>
      <c r="H83" s="758"/>
      <c r="I83" s="822"/>
      <c r="J83" s="823"/>
      <c r="K83" s="673"/>
      <c r="L83" s="673"/>
    </row>
    <row r="84" spans="2:12" ht="13.5" customHeight="1" thickTop="1" thickBot="1">
      <c r="B84" s="701" t="s">
        <v>363</v>
      </c>
      <c r="C84" s="701"/>
      <c r="D84" s="701"/>
      <c r="E84" s="701"/>
      <c r="F84" s="701"/>
      <c r="G84" s="354"/>
      <c r="H84" s="355"/>
      <c r="I84" s="714">
        <f>G82+G83+G81</f>
        <v>50000</v>
      </c>
      <c r="J84" s="714"/>
      <c r="K84" s="673"/>
      <c r="L84" s="673"/>
    </row>
    <row r="85" spans="2:12" ht="13.5" customHeight="1" thickTop="1" thickBot="1">
      <c r="B85" s="702" t="s">
        <v>491</v>
      </c>
      <c r="C85" s="703"/>
      <c r="D85" s="703"/>
      <c r="E85" s="703"/>
      <c r="F85" s="704"/>
      <c r="G85" s="356"/>
      <c r="H85" s="357"/>
      <c r="I85" s="705"/>
      <c r="J85" s="705"/>
      <c r="K85" s="672">
        <f>I79-I84</f>
        <v>875118</v>
      </c>
      <c r="L85" s="672"/>
    </row>
    <row r="86" spans="2:12" ht="13.5" customHeight="1" thickTop="1" thickBot="1">
      <c r="B86" s="701" t="s">
        <v>492</v>
      </c>
      <c r="C86" s="701"/>
      <c r="D86" s="701"/>
      <c r="E86" s="701"/>
      <c r="F86" s="701"/>
      <c r="G86" s="356"/>
      <c r="H86" s="357"/>
      <c r="I86" s="705"/>
      <c r="J86" s="705"/>
      <c r="K86" s="706"/>
      <c r="L86" s="707"/>
    </row>
    <row r="87" spans="2:12" ht="13.5" customHeight="1" thickTop="1" thickBot="1">
      <c r="B87" s="712" t="s">
        <v>493</v>
      </c>
      <c r="C87" s="713"/>
      <c r="D87" s="712" t="s">
        <v>494</v>
      </c>
      <c r="E87" s="713"/>
      <c r="F87" s="358" t="s">
        <v>495</v>
      </c>
      <c r="G87" s="356"/>
      <c r="H87" s="357"/>
      <c r="I87" s="705"/>
      <c r="J87" s="705"/>
      <c r="K87" s="708"/>
      <c r="L87" s="709"/>
    </row>
    <row r="88" spans="2:12" ht="13.5" customHeight="1" thickTop="1" thickBot="1">
      <c r="B88" s="714">
        <f>COMPUTATION!D14</f>
        <v>0</v>
      </c>
      <c r="C88" s="714"/>
      <c r="D88" s="714">
        <f>COMPUTATION!F14</f>
        <v>0</v>
      </c>
      <c r="E88" s="714"/>
      <c r="F88" s="231">
        <f>COMPUTATION!I14</f>
        <v>0</v>
      </c>
      <c r="G88" s="356"/>
      <c r="H88" s="357"/>
      <c r="I88" s="705"/>
      <c r="J88" s="705"/>
      <c r="K88" s="710"/>
      <c r="L88" s="711"/>
    </row>
    <row r="89" spans="2:12" ht="13.5" customHeight="1" thickTop="1" thickBot="1">
      <c r="B89" s="712" t="s">
        <v>496</v>
      </c>
      <c r="C89" s="713"/>
      <c r="D89" s="714">
        <f>COMPUTATION!K12</f>
        <v>0</v>
      </c>
      <c r="E89" s="714"/>
      <c r="F89" s="359" t="s">
        <v>497</v>
      </c>
      <c r="G89" s="715">
        <f>SUM(D89-(B88+D88+F88))</f>
        <v>0</v>
      </c>
      <c r="H89" s="715"/>
      <c r="I89" s="705"/>
      <c r="J89" s="705"/>
      <c r="K89" s="672">
        <f>K85+G89</f>
        <v>875118</v>
      </c>
      <c r="L89" s="672"/>
    </row>
    <row r="90" spans="2:12" ht="13.5" customHeight="1" thickTop="1" thickBot="1">
      <c r="B90" s="701" t="s">
        <v>364</v>
      </c>
      <c r="C90" s="701"/>
      <c r="D90" s="701"/>
      <c r="E90" s="701"/>
      <c r="F90" s="701"/>
      <c r="G90" s="716"/>
      <c r="H90" s="717"/>
      <c r="I90" s="705"/>
      <c r="J90" s="705"/>
      <c r="K90" s="360"/>
      <c r="L90" s="361"/>
    </row>
    <row r="91" spans="2:12" ht="13.5" customHeight="1" thickTop="1" thickBot="1">
      <c r="B91" s="722" t="s">
        <v>498</v>
      </c>
      <c r="C91" s="722"/>
      <c r="D91" s="722"/>
      <c r="E91" s="722"/>
      <c r="F91" s="224">
        <f>COMPUTATION!E17+COMPUTATION!I17</f>
        <v>0</v>
      </c>
      <c r="G91" s="718"/>
      <c r="H91" s="719"/>
      <c r="I91" s="705"/>
      <c r="J91" s="705"/>
      <c r="K91" s="360"/>
      <c r="L91" s="361"/>
    </row>
    <row r="92" spans="2:12" ht="14.25" customHeight="1" thickTop="1" thickBot="1">
      <c r="B92" s="722" t="s">
        <v>499</v>
      </c>
      <c r="C92" s="722"/>
      <c r="D92" s="722"/>
      <c r="E92" s="722"/>
      <c r="F92" s="225">
        <f>COMPUTATION!I16</f>
        <v>0</v>
      </c>
      <c r="G92" s="720"/>
      <c r="H92" s="721"/>
      <c r="I92" s="705"/>
      <c r="J92" s="705"/>
      <c r="K92" s="360"/>
      <c r="L92" s="361"/>
    </row>
    <row r="93" spans="2:12" ht="15" customHeight="1" thickTop="1" thickBot="1">
      <c r="B93" s="747" t="s">
        <v>365</v>
      </c>
      <c r="C93" s="747"/>
      <c r="D93" s="747"/>
      <c r="E93" s="747"/>
      <c r="F93" s="225">
        <f>COMPUTATION!E16</f>
        <v>1500</v>
      </c>
      <c r="G93" s="715">
        <f>F93</f>
        <v>1500</v>
      </c>
      <c r="H93" s="715"/>
      <c r="I93" s="714">
        <f>F91+F92+F93</f>
        <v>1500</v>
      </c>
      <c r="J93" s="714"/>
      <c r="K93" s="362"/>
      <c r="L93" s="363"/>
    </row>
    <row r="94" spans="2:12" ht="15" customHeight="1" thickTop="1" thickBot="1">
      <c r="B94" s="723" t="s">
        <v>366</v>
      </c>
      <c r="C94" s="723"/>
      <c r="D94" s="723"/>
      <c r="E94" s="723"/>
      <c r="F94" s="723"/>
      <c r="G94" s="356"/>
      <c r="H94" s="357"/>
      <c r="I94" s="705"/>
      <c r="J94" s="705"/>
      <c r="K94" s="672">
        <f>K89+I93</f>
        <v>876618</v>
      </c>
      <c r="L94" s="672"/>
    </row>
    <row r="95" spans="2:12" ht="16.5" customHeight="1" thickTop="1" thickBot="1">
      <c r="B95" s="723" t="s">
        <v>367</v>
      </c>
      <c r="C95" s="723"/>
      <c r="D95" s="723"/>
      <c r="E95" s="723"/>
      <c r="F95" s="723"/>
      <c r="G95" s="356"/>
      <c r="H95" s="357"/>
      <c r="I95" s="705"/>
      <c r="J95" s="705"/>
      <c r="K95" s="673"/>
      <c r="L95" s="673"/>
    </row>
    <row r="96" spans="2:12" ht="12.75" customHeight="1" thickTop="1" thickBot="1">
      <c r="B96" s="674" t="s">
        <v>368</v>
      </c>
      <c r="C96" s="674"/>
      <c r="D96" s="674"/>
      <c r="E96" s="674"/>
      <c r="F96" s="674"/>
      <c r="G96" s="364"/>
      <c r="H96" s="365"/>
      <c r="I96" s="705"/>
      <c r="J96" s="705"/>
      <c r="K96" s="673"/>
      <c r="L96" s="673"/>
    </row>
    <row r="97" spans="2:12" ht="15.75" customHeight="1" thickTop="1" thickBot="1">
      <c r="B97" s="752" t="s">
        <v>369</v>
      </c>
      <c r="C97" s="752"/>
      <c r="D97" s="752"/>
      <c r="E97" s="752"/>
      <c r="F97" s="752"/>
      <c r="G97" s="751"/>
      <c r="H97" s="751"/>
      <c r="I97" s="681" t="s">
        <v>370</v>
      </c>
      <c r="J97" s="681"/>
      <c r="K97" s="681" t="s">
        <v>371</v>
      </c>
      <c r="L97" s="681"/>
    </row>
    <row r="98" spans="2:12" ht="14.45" customHeight="1" thickTop="1" thickBot="1">
      <c r="B98" s="682" t="s">
        <v>372</v>
      </c>
      <c r="C98" s="295">
        <v>1</v>
      </c>
      <c r="D98" s="683" t="s">
        <v>373</v>
      </c>
      <c r="E98" s="696" t="s">
        <v>6</v>
      </c>
      <c r="F98" s="696"/>
      <c r="G98" s="746" t="str">
        <f>COMPUTATION!G26</f>
        <v>0</v>
      </c>
      <c r="H98" s="746"/>
      <c r="I98" s="684"/>
      <c r="J98" s="685"/>
      <c r="K98" s="690"/>
      <c r="L98" s="691"/>
    </row>
    <row r="99" spans="2:12" ht="14.45" customHeight="1" thickTop="1" thickBot="1">
      <c r="B99" s="682"/>
      <c r="C99" s="295">
        <v>2</v>
      </c>
      <c r="D99" s="683"/>
      <c r="E99" s="696" t="s">
        <v>374</v>
      </c>
      <c r="F99" s="696"/>
      <c r="G99" s="746">
        <f>COMPUTATION!G21</f>
        <v>84000</v>
      </c>
      <c r="H99" s="746"/>
      <c r="I99" s="686"/>
      <c r="J99" s="687"/>
      <c r="K99" s="692"/>
      <c r="L99" s="693"/>
    </row>
    <row r="100" spans="2:12" ht="14.45" customHeight="1" thickTop="1" thickBot="1">
      <c r="B100" s="682"/>
      <c r="C100" s="295">
        <v>3</v>
      </c>
      <c r="D100" s="683"/>
      <c r="E100" s="696" t="s">
        <v>375</v>
      </c>
      <c r="F100" s="696"/>
      <c r="G100" s="746">
        <f>COMPUTATION!G27</f>
        <v>220</v>
      </c>
      <c r="H100" s="746"/>
      <c r="I100" s="686"/>
      <c r="J100" s="687"/>
      <c r="K100" s="692"/>
      <c r="L100" s="693"/>
    </row>
    <row r="101" spans="2:12" ht="14.45" customHeight="1" thickTop="1" thickBot="1">
      <c r="B101" s="682"/>
      <c r="C101" s="295">
        <v>4</v>
      </c>
      <c r="D101" s="683"/>
      <c r="E101" s="696" t="s">
        <v>376</v>
      </c>
      <c r="F101" s="696"/>
      <c r="G101" s="746">
        <f>COMPUTATION!G22+COMPUTATION!G30+COMPUTATION!M27+COMPUTATION!G28</f>
        <v>22560</v>
      </c>
      <c r="H101" s="746"/>
      <c r="I101" s="686"/>
      <c r="J101" s="687"/>
      <c r="K101" s="692"/>
      <c r="L101" s="693"/>
    </row>
    <row r="102" spans="2:12" ht="14.45" customHeight="1" thickTop="1" thickBot="1">
      <c r="B102" s="682"/>
      <c r="C102" s="295">
        <v>5</v>
      </c>
      <c r="D102" s="683"/>
      <c r="E102" s="696" t="s">
        <v>377</v>
      </c>
      <c r="F102" s="696"/>
      <c r="G102" s="746">
        <f>COMPUTATION!G24</f>
        <v>0</v>
      </c>
      <c r="H102" s="746"/>
      <c r="I102" s="686"/>
      <c r="J102" s="687"/>
      <c r="K102" s="692"/>
      <c r="L102" s="693"/>
    </row>
    <row r="103" spans="2:12" ht="14.45" customHeight="1" thickTop="1" thickBot="1">
      <c r="B103" s="682"/>
      <c r="C103" s="295">
        <v>6</v>
      </c>
      <c r="D103" s="683"/>
      <c r="E103" s="696" t="s">
        <v>378</v>
      </c>
      <c r="F103" s="696"/>
      <c r="G103" s="746">
        <f>COMPUTATION!G29</f>
        <v>0</v>
      </c>
      <c r="H103" s="746"/>
      <c r="I103" s="686"/>
      <c r="J103" s="687"/>
      <c r="K103" s="692"/>
      <c r="L103" s="693"/>
    </row>
    <row r="104" spans="2:12" ht="14.45" customHeight="1" thickTop="1" thickBot="1">
      <c r="B104" s="682"/>
      <c r="C104" s="295">
        <v>7</v>
      </c>
      <c r="D104" s="683"/>
      <c r="E104" s="697" t="s">
        <v>501</v>
      </c>
      <c r="F104" s="697"/>
      <c r="G104" s="746">
        <f>COMPUTATION!G31</f>
        <v>0</v>
      </c>
      <c r="H104" s="746"/>
      <c r="I104" s="686"/>
      <c r="J104" s="687"/>
      <c r="K104" s="692"/>
      <c r="L104" s="693"/>
    </row>
    <row r="105" spans="2:12" ht="14.45" customHeight="1" thickTop="1" thickBot="1">
      <c r="B105" s="682"/>
      <c r="C105" s="295">
        <v>8</v>
      </c>
      <c r="D105" s="683"/>
      <c r="E105" s="753" t="s">
        <v>500</v>
      </c>
      <c r="F105" s="753"/>
      <c r="G105" s="746">
        <f>COMPUTATION!M21+COMPUTATION!M22</f>
        <v>78584</v>
      </c>
      <c r="H105" s="746"/>
      <c r="I105" s="686"/>
      <c r="J105" s="687"/>
      <c r="K105" s="692"/>
      <c r="L105" s="693"/>
    </row>
    <row r="106" spans="2:12" ht="14.45" customHeight="1" thickTop="1" thickBot="1">
      <c r="B106" s="682"/>
      <c r="C106" s="295">
        <v>9</v>
      </c>
      <c r="D106" s="683"/>
      <c r="E106" s="696" t="s">
        <v>379</v>
      </c>
      <c r="F106" s="696"/>
      <c r="G106" s="746">
        <f>COMPUTATION!M24</f>
        <v>0</v>
      </c>
      <c r="H106" s="746"/>
      <c r="I106" s="686"/>
      <c r="J106" s="687"/>
      <c r="K106" s="692"/>
      <c r="L106" s="693"/>
    </row>
    <row r="107" spans="2:12" ht="14.45" customHeight="1" thickTop="1" thickBot="1">
      <c r="B107" s="682"/>
      <c r="C107" s="295">
        <v>10</v>
      </c>
      <c r="D107" s="683"/>
      <c r="E107" s="696" t="s">
        <v>380</v>
      </c>
      <c r="F107" s="696"/>
      <c r="G107" s="746">
        <f>COMPUTATION!G25+COMPUTATION!M23</f>
        <v>0</v>
      </c>
      <c r="H107" s="746"/>
      <c r="I107" s="686"/>
      <c r="J107" s="687"/>
      <c r="K107" s="692"/>
      <c r="L107" s="693"/>
    </row>
    <row r="108" spans="2:12" ht="14.45" customHeight="1" thickTop="1" thickBot="1">
      <c r="B108" s="682"/>
      <c r="C108" s="295">
        <v>11</v>
      </c>
      <c r="D108" s="683"/>
      <c r="E108" s="697" t="s">
        <v>381</v>
      </c>
      <c r="F108" s="697"/>
      <c r="G108" s="746">
        <f>COMPUTATION!M29</f>
        <v>0</v>
      </c>
      <c r="H108" s="746"/>
      <c r="I108" s="686"/>
      <c r="J108" s="687"/>
      <c r="K108" s="692"/>
      <c r="L108" s="693"/>
    </row>
    <row r="109" spans="2:12" ht="14.45" customHeight="1" thickTop="1" thickBot="1">
      <c r="B109" s="682"/>
      <c r="C109" s="295">
        <v>12</v>
      </c>
      <c r="D109" s="683"/>
      <c r="E109" s="696" t="s">
        <v>382</v>
      </c>
      <c r="F109" s="696"/>
      <c r="G109" s="746">
        <f>COMPUTATION!M30</f>
        <v>0</v>
      </c>
      <c r="H109" s="746"/>
      <c r="I109" s="688"/>
      <c r="J109" s="689"/>
      <c r="K109" s="694"/>
      <c r="L109" s="695"/>
    </row>
    <row r="110" spans="2:12" ht="14.45" customHeight="1" thickTop="1" thickBot="1">
      <c r="B110" s="682"/>
      <c r="C110" s="295">
        <v>13</v>
      </c>
      <c r="D110" s="683"/>
      <c r="E110" s="697" t="s">
        <v>383</v>
      </c>
      <c r="F110" s="697"/>
      <c r="G110" s="746">
        <f>COMPUTATION!M28</f>
        <v>0</v>
      </c>
      <c r="H110" s="746"/>
      <c r="I110" s="750">
        <f>SUM(G98:H110)</f>
        <v>185364</v>
      </c>
      <c r="J110" s="750"/>
      <c r="K110" s="745">
        <f>IF(I110&lt;=150000, I110, 150000)</f>
        <v>150000</v>
      </c>
      <c r="L110" s="745"/>
    </row>
    <row r="111" spans="2:12" ht="14.45" customHeight="1" thickTop="1" thickBot="1">
      <c r="B111" s="682"/>
      <c r="C111" s="747" t="s">
        <v>384</v>
      </c>
      <c r="D111" s="747"/>
      <c r="E111" s="747"/>
      <c r="F111" s="747"/>
      <c r="G111" s="746" t="str">
        <f>COMPUTATION!O33</f>
        <v/>
      </c>
      <c r="H111" s="746"/>
      <c r="I111" s="748" t="str">
        <f>G111</f>
        <v/>
      </c>
      <c r="J111" s="748"/>
      <c r="K111" s="748" t="str">
        <f>I111</f>
        <v/>
      </c>
      <c r="L111" s="748"/>
    </row>
    <row r="112" spans="2:12" ht="14.45" customHeight="1" thickTop="1" thickBot="1">
      <c r="B112" s="682"/>
      <c r="C112" s="749" t="s">
        <v>385</v>
      </c>
      <c r="D112" s="749"/>
      <c r="E112" s="749"/>
      <c r="F112" s="749"/>
      <c r="G112" s="746">
        <f>COMPUTATION!O34</f>
        <v>0</v>
      </c>
      <c r="H112" s="746"/>
      <c r="I112" s="714">
        <f>SUM(K110,G111,G112)</f>
        <v>150000</v>
      </c>
      <c r="J112" s="714"/>
      <c r="K112" s="725">
        <f>I112</f>
        <v>150000</v>
      </c>
      <c r="L112" s="725"/>
    </row>
    <row r="113" spans="2:12" ht="18" customHeight="1" thickTop="1">
      <c r="B113" s="226"/>
      <c r="C113" s="226"/>
      <c r="D113" s="226"/>
      <c r="E113" s="226"/>
      <c r="F113" s="226"/>
      <c r="G113" s="226"/>
      <c r="H113" s="226"/>
      <c r="I113" s="675" t="s">
        <v>386</v>
      </c>
      <c r="J113" s="675"/>
      <c r="K113" s="675"/>
      <c r="L113" s="226"/>
    </row>
    <row r="114" spans="2:12" ht="15" customHeight="1" thickBot="1">
      <c r="B114" s="675" t="s">
        <v>387</v>
      </c>
      <c r="C114" s="675"/>
      <c r="D114" s="675"/>
      <c r="E114" s="675"/>
      <c r="F114" s="675"/>
      <c r="G114" s="675"/>
      <c r="H114" s="675"/>
      <c r="I114" s="675"/>
      <c r="J114" s="675"/>
      <c r="K114" s="675"/>
      <c r="L114" s="675"/>
    </row>
    <row r="115" spans="2:12" ht="15" customHeight="1" thickTop="1" thickBot="1">
      <c r="B115" s="676" t="s">
        <v>418</v>
      </c>
      <c r="C115" s="676"/>
      <c r="D115" s="676"/>
      <c r="E115" s="676"/>
      <c r="F115" s="676"/>
      <c r="G115" s="677" t="s">
        <v>370</v>
      </c>
      <c r="H115" s="677"/>
      <c r="I115" s="677" t="s">
        <v>388</v>
      </c>
      <c r="J115" s="677"/>
      <c r="K115" s="677" t="s">
        <v>371</v>
      </c>
      <c r="L115" s="677"/>
    </row>
    <row r="116" spans="2:12" ht="15" customHeight="1" thickTop="1" thickBot="1">
      <c r="B116" s="227">
        <v>1</v>
      </c>
      <c r="C116" s="669" t="s">
        <v>389</v>
      </c>
      <c r="D116" s="669"/>
      <c r="E116" s="669"/>
      <c r="F116" s="669"/>
      <c r="G116" s="666">
        <f>COMPUTATION!O37</f>
        <v>0</v>
      </c>
      <c r="H116" s="666"/>
      <c r="I116" s="667">
        <f t="shared" ref="I116:I124" si="2">G116</f>
        <v>0</v>
      </c>
      <c r="J116" s="667"/>
      <c r="K116" s="678"/>
      <c r="L116" s="678"/>
    </row>
    <row r="117" spans="2:12" ht="15" customHeight="1" thickTop="1" thickBot="1">
      <c r="B117" s="227">
        <v>2</v>
      </c>
      <c r="C117" s="669" t="s">
        <v>390</v>
      </c>
      <c r="D117" s="669"/>
      <c r="E117" s="669"/>
      <c r="F117" s="669"/>
      <c r="G117" s="666">
        <f>COMPUTATION!O38</f>
        <v>0</v>
      </c>
      <c r="H117" s="666"/>
      <c r="I117" s="667">
        <f t="shared" si="2"/>
        <v>0</v>
      </c>
      <c r="J117" s="667"/>
      <c r="K117" s="678"/>
      <c r="L117" s="678"/>
    </row>
    <row r="118" spans="2:12" ht="14.25" customHeight="1" thickTop="1" thickBot="1">
      <c r="B118" s="227">
        <v>3</v>
      </c>
      <c r="C118" s="669" t="s">
        <v>391</v>
      </c>
      <c r="D118" s="669"/>
      <c r="E118" s="669"/>
      <c r="F118" s="669"/>
      <c r="G118" s="666">
        <f>COMPUTATION!O39</f>
        <v>0</v>
      </c>
      <c r="H118" s="666"/>
      <c r="I118" s="667">
        <f t="shared" si="2"/>
        <v>0</v>
      </c>
      <c r="J118" s="667"/>
      <c r="K118" s="678"/>
      <c r="L118" s="678"/>
    </row>
    <row r="119" spans="2:12" ht="15" customHeight="1" thickTop="1" thickBot="1">
      <c r="B119" s="227">
        <v>4</v>
      </c>
      <c r="C119" s="669" t="s">
        <v>392</v>
      </c>
      <c r="D119" s="669"/>
      <c r="E119" s="669"/>
      <c r="F119" s="669"/>
      <c r="G119" s="666">
        <f>COMPUTATION!O40</f>
        <v>0</v>
      </c>
      <c r="H119" s="666"/>
      <c r="I119" s="667">
        <f t="shared" si="2"/>
        <v>0</v>
      </c>
      <c r="J119" s="667"/>
      <c r="K119" s="678"/>
      <c r="L119" s="678"/>
    </row>
    <row r="120" spans="2:12" ht="15" customHeight="1" thickTop="1" thickBot="1">
      <c r="B120" s="227">
        <v>5</v>
      </c>
      <c r="C120" s="669" t="s">
        <v>393</v>
      </c>
      <c r="D120" s="669"/>
      <c r="E120" s="669"/>
      <c r="F120" s="669"/>
      <c r="G120" s="679">
        <f>COMPUTATION!O41</f>
        <v>0</v>
      </c>
      <c r="H120" s="680"/>
      <c r="I120" s="667">
        <f t="shared" si="2"/>
        <v>0</v>
      </c>
      <c r="J120" s="667"/>
      <c r="K120" s="678"/>
      <c r="L120" s="678"/>
    </row>
    <row r="121" spans="2:12" ht="15" customHeight="1" thickTop="1" thickBot="1">
      <c r="B121" s="227">
        <v>6</v>
      </c>
      <c r="C121" s="669" t="s">
        <v>394</v>
      </c>
      <c r="D121" s="669"/>
      <c r="E121" s="669"/>
      <c r="F121" s="669"/>
      <c r="G121" s="671"/>
      <c r="H121" s="671"/>
      <c r="I121" s="667">
        <f t="shared" si="2"/>
        <v>0</v>
      </c>
      <c r="J121" s="667"/>
      <c r="K121" s="678"/>
      <c r="L121" s="678"/>
    </row>
    <row r="122" spans="2:12" ht="16.5" customHeight="1" thickTop="1" thickBot="1">
      <c r="B122" s="227">
        <v>7</v>
      </c>
      <c r="C122" s="669" t="s">
        <v>395</v>
      </c>
      <c r="D122" s="669"/>
      <c r="E122" s="669"/>
      <c r="F122" s="669"/>
      <c r="G122" s="670">
        <f>COMPUTATION!O44</f>
        <v>0</v>
      </c>
      <c r="H122" s="670"/>
      <c r="I122" s="667">
        <f t="shared" si="2"/>
        <v>0</v>
      </c>
      <c r="J122" s="667"/>
      <c r="K122" s="678"/>
      <c r="L122" s="678"/>
    </row>
    <row r="123" spans="2:12" ht="14.25" customHeight="1" thickTop="1" thickBot="1">
      <c r="B123" s="227">
        <v>8</v>
      </c>
      <c r="C123" s="669" t="s">
        <v>396</v>
      </c>
      <c r="D123" s="669"/>
      <c r="E123" s="669"/>
      <c r="F123" s="669"/>
      <c r="G123" s="666">
        <f>COMPUTATION!O42</f>
        <v>0</v>
      </c>
      <c r="H123" s="666"/>
      <c r="I123" s="667">
        <f t="shared" si="2"/>
        <v>0</v>
      </c>
      <c r="J123" s="667"/>
      <c r="K123" s="678"/>
      <c r="L123" s="678"/>
    </row>
    <row r="124" spans="2:12" ht="15" customHeight="1" thickTop="1" thickBot="1">
      <c r="B124" s="215">
        <v>9</v>
      </c>
      <c r="C124" s="665" t="s">
        <v>424</v>
      </c>
      <c r="D124" s="665"/>
      <c r="E124" s="665"/>
      <c r="F124" s="665"/>
      <c r="G124" s="666">
        <f>COMPUTATION!O43</f>
        <v>1500</v>
      </c>
      <c r="H124" s="666"/>
      <c r="I124" s="667">
        <f t="shared" si="2"/>
        <v>1500</v>
      </c>
      <c r="J124" s="667"/>
      <c r="K124" s="668">
        <f>ROUND(SUM(I116:J124),0)</f>
        <v>1500</v>
      </c>
      <c r="L124" s="668"/>
    </row>
    <row r="125" spans="2:12" ht="15" customHeight="1" thickTop="1" thickBot="1">
      <c r="B125" s="738" t="s">
        <v>397</v>
      </c>
      <c r="C125" s="739"/>
      <c r="D125" s="739"/>
      <c r="E125" s="739"/>
      <c r="F125" s="739"/>
      <c r="G125" s="739"/>
      <c r="H125" s="739"/>
      <c r="I125" s="739"/>
      <c r="J125" s="740"/>
      <c r="K125" s="667">
        <f>ROUND((K112+K124),0)</f>
        <v>151500</v>
      </c>
      <c r="L125" s="667"/>
    </row>
    <row r="126" spans="2:12" ht="15" customHeight="1" thickTop="1" thickBot="1">
      <c r="B126" s="731" t="s">
        <v>398</v>
      </c>
      <c r="C126" s="732"/>
      <c r="D126" s="732"/>
      <c r="E126" s="741" t="s">
        <v>399</v>
      </c>
      <c r="F126" s="741"/>
      <c r="G126" s="741"/>
      <c r="H126" s="741"/>
      <c r="I126" s="741"/>
      <c r="J126" s="742"/>
      <c r="K126" s="667">
        <f>ROUND((K94-K125),-1)</f>
        <v>725120</v>
      </c>
      <c r="L126" s="667"/>
    </row>
    <row r="127" spans="2:12" ht="15" customHeight="1" thickTop="1" thickBot="1">
      <c r="B127" s="733" t="s">
        <v>400</v>
      </c>
      <c r="C127" s="734"/>
      <c r="D127" s="734"/>
      <c r="E127" s="734"/>
      <c r="F127" s="734"/>
      <c r="G127" s="735"/>
      <c r="H127" s="735"/>
      <c r="I127" s="736"/>
      <c r="J127" s="737"/>
      <c r="K127" s="667">
        <f>ROUND(IF(K126&lt;=250000,0,IF(K126&lt;=500000,(K126-250000)*0.05,IF(K126&lt;=1000000,12500+(K126-500000)*0.2,IF(K126&gt;1000000,112500+(K126-1000000)*0.3,"0")))),0)</f>
        <v>57524</v>
      </c>
      <c r="L127" s="667"/>
    </row>
    <row r="128" spans="2:12" ht="15" customHeight="1" thickTop="1" thickBot="1">
      <c r="B128" s="727" t="s">
        <v>401</v>
      </c>
      <c r="C128" s="728"/>
      <c r="D128" s="728"/>
      <c r="E128" s="728"/>
      <c r="F128" s="728"/>
      <c r="G128" s="228"/>
      <c r="H128" s="229"/>
      <c r="I128" s="729">
        <f>COMPUTATION!O59</f>
        <v>0</v>
      </c>
      <c r="J128" s="730"/>
      <c r="K128" s="667"/>
      <c r="L128" s="667"/>
    </row>
    <row r="129" spans="2:12" ht="16.5" customHeight="1" thickTop="1" thickBot="1">
      <c r="B129" s="731" t="s">
        <v>402</v>
      </c>
      <c r="C129" s="736"/>
      <c r="D129" s="736"/>
      <c r="E129" s="736"/>
      <c r="F129" s="736"/>
      <c r="G129" s="736"/>
      <c r="H129" s="736"/>
      <c r="I129" s="736"/>
      <c r="J129" s="737"/>
      <c r="K129" s="667">
        <f>K127-I128</f>
        <v>57524</v>
      </c>
      <c r="L129" s="667"/>
    </row>
    <row r="130" spans="2:12" ht="15" customHeight="1" thickTop="1" thickBot="1">
      <c r="B130" s="731" t="s">
        <v>403</v>
      </c>
      <c r="C130" s="736"/>
      <c r="D130" s="736"/>
      <c r="E130" s="736"/>
      <c r="F130" s="736"/>
      <c r="G130" s="736"/>
      <c r="H130" s="736"/>
      <c r="I130" s="736"/>
      <c r="J130" s="737"/>
      <c r="K130" s="667">
        <f>ROUND((K129*0.04),0)</f>
        <v>2301</v>
      </c>
      <c r="L130" s="667"/>
    </row>
    <row r="131" spans="2:12" ht="15" customHeight="1" thickTop="1" thickBot="1">
      <c r="B131" s="731" t="s">
        <v>404</v>
      </c>
      <c r="C131" s="736"/>
      <c r="D131" s="736"/>
      <c r="E131" s="736"/>
      <c r="F131" s="736"/>
      <c r="G131" s="736"/>
      <c r="H131" s="736"/>
      <c r="I131" s="736"/>
      <c r="J131" s="737"/>
      <c r="K131" s="667">
        <f>K129+K130</f>
        <v>59825</v>
      </c>
      <c r="L131" s="667"/>
    </row>
    <row r="132" spans="2:12" ht="15" customHeight="1" thickTop="1" thickBot="1">
      <c r="B132" s="731" t="s">
        <v>405</v>
      </c>
      <c r="C132" s="736"/>
      <c r="D132" s="736"/>
      <c r="E132" s="736"/>
      <c r="F132" s="736"/>
      <c r="G132" s="736"/>
      <c r="H132" s="736"/>
      <c r="I132" s="736"/>
      <c r="J132" s="737"/>
      <c r="K132" s="667">
        <f>COMPUTATION!O63</f>
        <v>0</v>
      </c>
      <c r="L132" s="667"/>
    </row>
    <row r="133" spans="2:12" ht="15" customHeight="1" thickTop="1" thickBot="1">
      <c r="B133" s="731" t="s">
        <v>406</v>
      </c>
      <c r="C133" s="736"/>
      <c r="D133" s="736"/>
      <c r="E133" s="736"/>
      <c r="F133" s="736"/>
      <c r="G133" s="736"/>
      <c r="H133" s="736"/>
      <c r="I133" s="736"/>
      <c r="J133" s="737"/>
      <c r="K133" s="667">
        <f>K131-K132</f>
        <v>59825</v>
      </c>
      <c r="L133" s="667"/>
    </row>
    <row r="134" spans="2:12" ht="18" customHeight="1" thickTop="1" thickBot="1">
      <c r="B134" s="743" t="s">
        <v>407</v>
      </c>
      <c r="C134" s="743"/>
      <c r="D134" s="743"/>
      <c r="E134" s="743"/>
      <c r="F134" s="743"/>
      <c r="G134" s="743"/>
      <c r="H134" s="743"/>
      <c r="I134" s="743"/>
      <c r="J134" s="743"/>
      <c r="K134" s="667">
        <f>COMPUTATION!O66</f>
        <v>15000</v>
      </c>
      <c r="L134" s="744"/>
    </row>
    <row r="135" spans="2:12" ht="15.95" customHeight="1" thickTop="1" thickBot="1">
      <c r="B135" s="698" t="str">
        <f>IF(K133&gt;K134,"Income Tax Payable",IF(K133&lt;K134,"Income Tax Refundable","Income Tax Payble/Refundable"))</f>
        <v>Income Tax Payable</v>
      </c>
      <c r="C135" s="699"/>
      <c r="D135" s="699"/>
      <c r="E135" s="699"/>
      <c r="F135" s="699"/>
      <c r="G135" s="699"/>
      <c r="H135" s="699"/>
      <c r="I135" s="699"/>
      <c r="J135" s="700"/>
      <c r="K135" s="667">
        <f>IF(K133&gt;K134,K133-K134,K134-K133)</f>
        <v>44825</v>
      </c>
      <c r="L135" s="667"/>
    </row>
    <row r="136" spans="2:12" ht="15.95" customHeight="1" thickTop="1">
      <c r="B136" s="726" t="s">
        <v>332</v>
      </c>
      <c r="C136" s="726"/>
      <c r="D136" s="726"/>
      <c r="E136" s="726"/>
      <c r="F136" s="726"/>
      <c r="G136" s="726"/>
      <c r="H136" s="726"/>
      <c r="I136" s="726"/>
      <c r="J136" s="726"/>
      <c r="K136" s="726"/>
      <c r="L136" s="726"/>
    </row>
    <row r="137" spans="2:12" ht="15.95" customHeight="1">
      <c r="B137" s="294" t="s">
        <v>333</v>
      </c>
      <c r="C137" s="658" t="str">
        <f>B6&amp;","</f>
        <v>USHA PALIYA,</v>
      </c>
      <c r="D137" s="658"/>
      <c r="E137" s="658"/>
      <c r="F137" s="293" t="s">
        <v>334</v>
      </c>
      <c r="G137" s="659" t="str">
        <f>IF(G60="","",G60)</f>
        <v/>
      </c>
      <c r="H137" s="659"/>
      <c r="I137" s="659"/>
      <c r="J137" s="659"/>
      <c r="K137" s="660" t="s">
        <v>335</v>
      </c>
      <c r="L137" s="660"/>
    </row>
    <row r="138" spans="2:12" ht="32.1" customHeight="1">
      <c r="B138" s="661" t="s">
        <v>336</v>
      </c>
      <c r="C138" s="661"/>
      <c r="D138" s="658" t="str">
        <f>D61</f>
        <v>PRINCIPAL</v>
      </c>
      <c r="E138" s="658"/>
      <c r="F138" s="658"/>
      <c r="G138" s="662" t="s">
        <v>337</v>
      </c>
      <c r="H138" s="662"/>
      <c r="I138" s="662"/>
      <c r="J138" s="662"/>
      <c r="K138" s="662"/>
      <c r="L138" s="662"/>
    </row>
    <row r="139" spans="2:12" ht="24.75" customHeight="1">
      <c r="B139" s="294" t="s">
        <v>338</v>
      </c>
      <c r="C139" s="230">
        <f>K134</f>
        <v>15000</v>
      </c>
      <c r="D139" s="653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Fifteen Thousand  Rupees</v>
      </c>
      <c r="E139" s="653"/>
      <c r="F139" s="653"/>
      <c r="G139" s="653"/>
      <c r="H139" s="653"/>
      <c r="I139" s="662" t="s">
        <v>419</v>
      </c>
      <c r="J139" s="662"/>
      <c r="K139" s="662"/>
      <c r="L139" s="662"/>
    </row>
    <row r="140" spans="2:12" ht="17.25" customHeight="1">
      <c r="B140" s="663" t="s">
        <v>420</v>
      </c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</row>
    <row r="141" spans="2:12" ht="18.75" customHeight="1">
      <c r="B141" s="652" t="s">
        <v>340</v>
      </c>
      <c r="C141" s="652"/>
      <c r="D141" s="664" t="str">
        <f>D65</f>
        <v>M.G.G.S. BAR</v>
      </c>
      <c r="E141" s="664"/>
      <c r="F141" s="652"/>
      <c r="G141" s="652"/>
      <c r="H141" s="652"/>
      <c r="I141" s="652"/>
      <c r="J141" s="652"/>
      <c r="K141" s="652"/>
      <c r="L141" s="652"/>
    </row>
    <row r="142" spans="2:12">
      <c r="B142" s="653" t="s">
        <v>341</v>
      </c>
      <c r="C142" s="653"/>
      <c r="D142" s="654">
        <f ca="1">TODAY()</f>
        <v>44555</v>
      </c>
      <c r="E142" s="654"/>
      <c r="F142" s="655" t="s">
        <v>342</v>
      </c>
      <c r="G142" s="655"/>
      <c r="H142" s="655"/>
      <c r="I142" s="655"/>
      <c r="J142" s="655"/>
      <c r="K142" s="655"/>
      <c r="L142" s="655"/>
    </row>
    <row r="143" spans="2:12">
      <c r="B143" s="653" t="s">
        <v>343</v>
      </c>
      <c r="C143" s="653"/>
      <c r="D143" s="656" t="str">
        <f>D138</f>
        <v>PRINCIPAL</v>
      </c>
      <c r="E143" s="656"/>
      <c r="F143" s="221" t="s">
        <v>417</v>
      </c>
      <c r="G143" s="657" t="str">
        <f>B6</f>
        <v>USHA PALIYA</v>
      </c>
      <c r="H143" s="657"/>
      <c r="I143" s="657"/>
      <c r="J143" s="657"/>
      <c r="K143" s="657"/>
      <c r="L143" s="657"/>
    </row>
    <row r="144" spans="2:12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</row>
  </sheetData>
  <sheetProtection password="C1FB" sheet="1" objects="1" scenarios="1" formatCells="0" formatColumns="0" formatRows="0"/>
  <mergeCells count="385"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68:L68"/>
    <mergeCell ref="B69:L69"/>
    <mergeCell ref="B70:F70"/>
    <mergeCell ref="G70:H70"/>
    <mergeCell ref="I70:J73"/>
    <mergeCell ref="B71:F71"/>
    <mergeCell ref="G71:H71"/>
    <mergeCell ref="B72:F72"/>
    <mergeCell ref="G72:H72"/>
    <mergeCell ref="B73:F73"/>
    <mergeCell ref="G73:H73"/>
    <mergeCell ref="I79:J79"/>
    <mergeCell ref="B80:F80"/>
    <mergeCell ref="I75:J78"/>
    <mergeCell ref="B77:D77"/>
    <mergeCell ref="B81:C81"/>
    <mergeCell ref="D81:F81"/>
    <mergeCell ref="G81:H81"/>
    <mergeCell ref="B82:C82"/>
    <mergeCell ref="I94:J96"/>
    <mergeCell ref="B91:E91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95:F95"/>
    <mergeCell ref="B93:E93"/>
    <mergeCell ref="G93:H93"/>
    <mergeCell ref="I93:J93"/>
    <mergeCell ref="B86:F86"/>
    <mergeCell ref="B94:F94"/>
    <mergeCell ref="G97:H97"/>
    <mergeCell ref="E98:F98"/>
    <mergeCell ref="G98:H98"/>
    <mergeCell ref="E104:F104"/>
    <mergeCell ref="G104:H104"/>
    <mergeCell ref="B97:F97"/>
    <mergeCell ref="G118:H118"/>
    <mergeCell ref="I118:J118"/>
    <mergeCell ref="E99:F99"/>
    <mergeCell ref="G99:H99"/>
    <mergeCell ref="E100:F100"/>
    <mergeCell ref="G100:H100"/>
    <mergeCell ref="E106:F106"/>
    <mergeCell ref="G106:H106"/>
    <mergeCell ref="E102:F102"/>
    <mergeCell ref="G102:H102"/>
    <mergeCell ref="E103:F103"/>
    <mergeCell ref="G103:H103"/>
    <mergeCell ref="E101:F101"/>
    <mergeCell ref="G101:H101"/>
    <mergeCell ref="E105:F105"/>
    <mergeCell ref="G105:H105"/>
    <mergeCell ref="K110:L110"/>
    <mergeCell ref="E107:F107"/>
    <mergeCell ref="G107:H107"/>
    <mergeCell ref="E108:F108"/>
    <mergeCell ref="G108:H108"/>
    <mergeCell ref="I120:J120"/>
    <mergeCell ref="G115:H115"/>
    <mergeCell ref="I115:J115"/>
    <mergeCell ref="C116:F116"/>
    <mergeCell ref="G116:H116"/>
    <mergeCell ref="I116:J116"/>
    <mergeCell ref="C117:F117"/>
    <mergeCell ref="G109:H109"/>
    <mergeCell ref="C111:F111"/>
    <mergeCell ref="G111:H111"/>
    <mergeCell ref="I111:J111"/>
    <mergeCell ref="K111:L111"/>
    <mergeCell ref="C112:F112"/>
    <mergeCell ref="G112:H112"/>
    <mergeCell ref="I112:J112"/>
    <mergeCell ref="K112:L112"/>
    <mergeCell ref="G110:H110"/>
    <mergeCell ref="I110:J110"/>
    <mergeCell ref="B136:L136"/>
    <mergeCell ref="B128:F128"/>
    <mergeCell ref="I128:J128"/>
    <mergeCell ref="K128:L128"/>
    <mergeCell ref="K129:L129"/>
    <mergeCell ref="K125:L125"/>
    <mergeCell ref="K126:L126"/>
    <mergeCell ref="K127:L127"/>
    <mergeCell ref="B126:D126"/>
    <mergeCell ref="B127:J127"/>
    <mergeCell ref="B125:J125"/>
    <mergeCell ref="E126:J126"/>
    <mergeCell ref="B129:J129"/>
    <mergeCell ref="B130:J130"/>
    <mergeCell ref="B131:J131"/>
    <mergeCell ref="B132:J132"/>
    <mergeCell ref="B133:J133"/>
    <mergeCell ref="K132:L132"/>
    <mergeCell ref="K133:L133"/>
    <mergeCell ref="K135:L135"/>
    <mergeCell ref="K130:L130"/>
    <mergeCell ref="K131:L131"/>
    <mergeCell ref="B134:J134"/>
    <mergeCell ref="K134:L134"/>
    <mergeCell ref="B135:J135"/>
    <mergeCell ref="K70:L84"/>
    <mergeCell ref="B84:F84"/>
    <mergeCell ref="B85:F85"/>
    <mergeCell ref="I85:J92"/>
    <mergeCell ref="K85:L85"/>
    <mergeCell ref="K86:L88"/>
    <mergeCell ref="B87:C87"/>
    <mergeCell ref="D87:E87"/>
    <mergeCell ref="B88:C88"/>
    <mergeCell ref="D88:E88"/>
    <mergeCell ref="B89:C89"/>
    <mergeCell ref="D89:E89"/>
    <mergeCell ref="G89:H89"/>
    <mergeCell ref="K89:L89"/>
    <mergeCell ref="B90:F90"/>
    <mergeCell ref="G90:H92"/>
    <mergeCell ref="B92:E92"/>
    <mergeCell ref="I84:J84"/>
    <mergeCell ref="B74:F74"/>
    <mergeCell ref="G74:H77"/>
    <mergeCell ref="I74:J74"/>
    <mergeCell ref="B75:F75"/>
    <mergeCell ref="I97:J97"/>
    <mergeCell ref="K94:L94"/>
    <mergeCell ref="K95:L96"/>
    <mergeCell ref="B96:F96"/>
    <mergeCell ref="I113:K113"/>
    <mergeCell ref="B114:L114"/>
    <mergeCell ref="B115:F115"/>
    <mergeCell ref="K115:L115"/>
    <mergeCell ref="K116:L123"/>
    <mergeCell ref="C123:F123"/>
    <mergeCell ref="C119:F119"/>
    <mergeCell ref="G119:H119"/>
    <mergeCell ref="I119:J119"/>
    <mergeCell ref="C120:F120"/>
    <mergeCell ref="G120:H120"/>
    <mergeCell ref="G117:H117"/>
    <mergeCell ref="I117:J117"/>
    <mergeCell ref="C118:F118"/>
    <mergeCell ref="K97:L97"/>
    <mergeCell ref="B98:B112"/>
    <mergeCell ref="D98:D110"/>
    <mergeCell ref="I98:J109"/>
    <mergeCell ref="K98:L109"/>
    <mergeCell ref="E109:F109"/>
    <mergeCell ref="E110:F110"/>
    <mergeCell ref="C124:F124"/>
    <mergeCell ref="G123:H123"/>
    <mergeCell ref="I123:J123"/>
    <mergeCell ref="G124:H124"/>
    <mergeCell ref="I124:J124"/>
    <mergeCell ref="K124:L124"/>
    <mergeCell ref="I121:J121"/>
    <mergeCell ref="C122:F122"/>
    <mergeCell ref="G122:H122"/>
    <mergeCell ref="I122:J122"/>
    <mergeCell ref="C121:F121"/>
    <mergeCell ref="G121:H121"/>
    <mergeCell ref="F141:L141"/>
    <mergeCell ref="B142:C142"/>
    <mergeCell ref="D142:E142"/>
    <mergeCell ref="F142:L142"/>
    <mergeCell ref="B143:C143"/>
    <mergeCell ref="D143:E143"/>
    <mergeCell ref="G143:L143"/>
    <mergeCell ref="C137:E137"/>
    <mergeCell ref="G137:J137"/>
    <mergeCell ref="K137:L137"/>
    <mergeCell ref="B138:C138"/>
    <mergeCell ref="D138:F138"/>
    <mergeCell ref="G138:L138"/>
    <mergeCell ref="D139:H139"/>
    <mergeCell ref="I139:L139"/>
    <mergeCell ref="B140:L140"/>
    <mergeCell ref="B141:C141"/>
    <mergeCell ref="D141:E141"/>
  </mergeCells>
  <conditionalFormatting sqref="E96:E97">
    <cfRule type="containsBlanks" dxfId="1" priority="2">
      <formula>LEN(TRIM(E96))=0</formula>
    </cfRule>
  </conditionalFormatting>
  <conditionalFormatting sqref="E98:E99">
    <cfRule type="containsBlanks" dxfId="0" priority="1">
      <formula>LEN(TRIM(E98))=0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Instructions</vt:lpstr>
      <vt:lpstr>Master Data</vt:lpstr>
      <vt:lpstr>GA55 Check &amp; Edit</vt:lpstr>
      <vt:lpstr>Extra Ded </vt:lpstr>
      <vt:lpstr>GA 55 </vt:lpstr>
      <vt:lpstr>COMPUTATION</vt:lpstr>
      <vt:lpstr>Form No. 16</vt:lpstr>
      <vt:lpstr>CCA</vt:lpstr>
      <vt:lpstr>gp</vt:lpstr>
      <vt:lpstr>level</vt:lpstr>
      <vt:lpstr>Month</vt:lpstr>
      <vt:lpstr>Month1</vt:lpstr>
      <vt:lpstr>pay</vt:lpstr>
      <vt:lpstr>COMPUTATION!Print_Area</vt:lpstr>
      <vt:lpstr>'Form No. 16'!Print_Area</vt:lpstr>
      <vt:lpstr>'GA 55 '!Print_Area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2021-11-19T11:33:52Z</cp:lastPrinted>
  <dcterms:created xsi:type="dcterms:W3CDTF">2020-09-27T00:42:28Z</dcterms:created>
  <dcterms:modified xsi:type="dcterms:W3CDTF">2021-12-25T05:09:17Z</dcterms:modified>
</cp:coreProperties>
</file>