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 activeTab="2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_xlnm.Print_Area" localSheetId="6">COMPUTATION!$A$1:$O$69</definedName>
    <definedName name="_xlnm.Print_Area" localSheetId="9">'Form No. 16'!$B$1:$L$140</definedName>
    <definedName name="_xlnm.Print_Area" localSheetId="8">form10E!$B$1:$O$42</definedName>
    <definedName name="_xlnm.Print_Area" localSheetId="5" xml:space="preserve">                            'GA55 Only Print'!$A$1:$AC$30</definedName>
    <definedName name="ram">'GA55 Check &amp; Edit'!$AX$10:$BJ$30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BA30" i="3"/>
  <c r="BC30" s="1"/>
  <c r="BI30" l="1"/>
  <c r="G89" i="11" l="1"/>
  <c r="BX24" i="3"/>
  <c r="BX25"/>
  <c r="BX26"/>
  <c r="BX27"/>
  <c r="BX28"/>
  <c r="BX29"/>
  <c r="M30" i="6"/>
  <c r="M28"/>
  <c r="R27" i="3"/>
  <c r="R28"/>
  <c r="BC12"/>
  <c r="BB30"/>
  <c r="BD30" s="1"/>
  <c r="BA12"/>
  <c r="BA15"/>
  <c r="BA23"/>
  <c r="BC25"/>
  <c r="BD25" s="1"/>
  <c r="BC32"/>
  <c r="BB32"/>
  <c r="BA32"/>
  <c r="BN24"/>
  <c r="BN25"/>
  <c r="BN26"/>
  <c r="BN27"/>
  <c r="BN28"/>
  <c r="BN29"/>
  <c r="BN30"/>
  <c r="AX30"/>
  <c r="AM5"/>
  <c r="B5" i="6"/>
  <c r="J4"/>
  <c r="E31"/>
  <c r="C31"/>
  <c r="I19" i="4"/>
  <c r="BX30" i="3" l="1"/>
  <c r="AB27"/>
  <c r="AB28"/>
  <c r="AA31" i="6" l="1"/>
  <c r="E17"/>
  <c r="E27" i="3"/>
  <c r="F27"/>
  <c r="G27"/>
  <c r="H27"/>
  <c r="I27"/>
  <c r="J27"/>
  <c r="K27"/>
  <c r="L27"/>
  <c r="E28"/>
  <c r="F28"/>
  <c r="G28"/>
  <c r="H28"/>
  <c r="I28"/>
  <c r="J28"/>
  <c r="K28"/>
  <c r="L28"/>
  <c r="N27"/>
  <c r="O27"/>
  <c r="N28"/>
  <c r="O28"/>
  <c r="W27"/>
  <c r="X27"/>
  <c r="Y27"/>
  <c r="AA27"/>
  <c r="W28"/>
  <c r="X28"/>
  <c r="Y28"/>
  <c r="AA28"/>
  <c r="S27"/>
  <c r="T27"/>
  <c r="U27"/>
  <c r="S28"/>
  <c r="T28"/>
  <c r="U28"/>
  <c r="AR23"/>
  <c r="BU13"/>
  <c r="BU14" s="1"/>
  <c r="BU15" s="1"/>
  <c r="AZ15"/>
  <c r="AZ18" s="1"/>
  <c r="AZ20" s="1"/>
  <c r="AZ21" s="1"/>
  <c r="AS25"/>
  <c r="AS24"/>
  <c r="BA24"/>
  <c r="O34" i="6"/>
  <c r="AC28" i="3" l="1"/>
  <c r="AC27"/>
  <c r="BU16"/>
  <c r="BA14"/>
  <c r="BA13"/>
  <c r="BJ13" s="1"/>
  <c r="G30" i="6"/>
  <c r="V27" i="3"/>
  <c r="V28"/>
  <c r="Q27"/>
  <c r="Q28"/>
  <c r="AA24" i="6"/>
  <c r="BU17" i="3" l="1"/>
  <c r="BA16"/>
  <c r="BE23"/>
  <c r="BE22"/>
  <c r="BE21"/>
  <c r="BE20"/>
  <c r="BU18" l="1"/>
  <c r="BA17"/>
  <c r="BE12"/>
  <c r="BU19" l="1"/>
  <c r="BA18"/>
  <c r="BA27"/>
  <c r="BC27" s="1"/>
  <c r="BD27" s="1"/>
  <c r="AX24"/>
  <c r="J9"/>
  <c r="BU20" l="1"/>
  <c r="BA19"/>
  <c r="G133" i="11"/>
  <c r="K44"/>
  <c r="K45"/>
  <c r="K46"/>
  <c r="K47"/>
  <c r="K48"/>
  <c r="K49"/>
  <c r="K50"/>
  <c r="K51"/>
  <c r="K52"/>
  <c r="K53"/>
  <c r="K54"/>
  <c r="K43"/>
  <c r="J24"/>
  <c r="B6"/>
  <c r="G67" s="1"/>
  <c r="I24" i="4"/>
  <c r="D138" i="11"/>
  <c r="D67"/>
  <c r="G6"/>
  <c r="G7"/>
  <c r="D65" s="1"/>
  <c r="D137" s="1"/>
  <c r="J9"/>
  <c r="G9"/>
  <c r="E9"/>
  <c r="I117"/>
  <c r="G100"/>
  <c r="D66"/>
  <c r="D134"/>
  <c r="D139" s="1"/>
  <c r="C57"/>
  <c r="J37"/>
  <c r="C37"/>
  <c r="J36"/>
  <c r="J35"/>
  <c r="J34"/>
  <c r="J33"/>
  <c r="J32"/>
  <c r="J31"/>
  <c r="J30"/>
  <c r="J29"/>
  <c r="J28"/>
  <c r="J27"/>
  <c r="J26"/>
  <c r="J25"/>
  <c r="F19"/>
  <c r="BU21" i="3" l="1"/>
  <c r="BA20"/>
  <c r="C60" i="11"/>
  <c r="C133"/>
  <c r="G139"/>
  <c r="BU22" i="3" l="1"/>
  <c r="BA21"/>
  <c r="BH11"/>
  <c r="BH10"/>
  <c r="BH13"/>
  <c r="BG11"/>
  <c r="BG10"/>
  <c r="BG13"/>
  <c r="BA11"/>
  <c r="BC11" s="1"/>
  <c r="BA10"/>
  <c r="BC10" s="1"/>
  <c r="BC9"/>
  <c r="BF12"/>
  <c r="J26"/>
  <c r="Z5" i="5"/>
  <c r="AC4"/>
  <c r="AB4"/>
  <c r="AA4"/>
  <c r="AA3"/>
  <c r="O37" i="6"/>
  <c r="G112" i="11" s="1"/>
  <c r="I112" s="1"/>
  <c r="O63" i="6"/>
  <c r="K128" i="11" s="1"/>
  <c r="C13" i="8"/>
  <c r="D3" i="7"/>
  <c r="D3" i="8"/>
  <c r="K5"/>
  <c r="D5"/>
  <c r="D5" i="7"/>
  <c r="D4" i="8"/>
  <c r="M7"/>
  <c r="M22" s="1"/>
  <c r="AJ38"/>
  <c r="AI38"/>
  <c r="AJ37"/>
  <c r="AI37"/>
  <c r="D40"/>
  <c r="AI40" s="1"/>
  <c r="D39"/>
  <c r="D38"/>
  <c r="H38" s="1"/>
  <c r="D37"/>
  <c r="H37" s="1"/>
  <c r="D36"/>
  <c r="D35"/>
  <c r="AI35" s="1"/>
  <c r="D34"/>
  <c r="AI34" s="1"/>
  <c r="D33"/>
  <c r="F40"/>
  <c r="F39"/>
  <c r="F38"/>
  <c r="F36"/>
  <c r="F37"/>
  <c r="F35"/>
  <c r="H35" s="1"/>
  <c r="F33"/>
  <c r="F34"/>
  <c r="BU23" i="3" l="1"/>
  <c r="BA22"/>
  <c r="BC13"/>
  <c r="BJ11"/>
  <c r="BJ10"/>
  <c r="AN38" i="8"/>
  <c r="AO38" s="1"/>
  <c r="AK38"/>
  <c r="AL38" s="1"/>
  <c r="J38" s="1"/>
  <c r="AJ35"/>
  <c r="AJ40"/>
  <c r="AK37"/>
  <c r="AL37" s="1"/>
  <c r="J37" s="1"/>
  <c r="AN37"/>
  <c r="AO37" s="1"/>
  <c r="AN35"/>
  <c r="AO35" s="1"/>
  <c r="AP35" s="1"/>
  <c r="AQ35" s="1"/>
  <c r="L35" s="1"/>
  <c r="H40"/>
  <c r="H39"/>
  <c r="AI39"/>
  <c r="AJ39" s="1"/>
  <c r="AK39" s="1"/>
  <c r="AL39" s="1"/>
  <c r="J39" s="1"/>
  <c r="H36"/>
  <c r="AN36" s="1"/>
  <c r="AI36"/>
  <c r="AJ36" s="1"/>
  <c r="AJ34"/>
  <c r="H34"/>
  <c r="H33"/>
  <c r="L33" s="1"/>
  <c r="J33"/>
  <c r="AP38" l="1"/>
  <c r="AQ38" s="1"/>
  <c r="L38" s="1"/>
  <c r="N38" s="1"/>
  <c r="AK34"/>
  <c r="AL34" s="1"/>
  <c r="J34" s="1"/>
  <c r="AK35"/>
  <c r="AL35" s="1"/>
  <c r="J35" s="1"/>
  <c r="N35" s="1"/>
  <c r="AP37"/>
  <c r="AQ37" s="1"/>
  <c r="L37" s="1"/>
  <c r="N37" s="1"/>
  <c r="AN34"/>
  <c r="AO34"/>
  <c r="AK40"/>
  <c r="AL40" s="1"/>
  <c r="J40" s="1"/>
  <c r="AN40"/>
  <c r="AO40" s="1"/>
  <c r="AP40" s="1"/>
  <c r="AQ40" s="1"/>
  <c r="L40" s="1"/>
  <c r="AN39"/>
  <c r="AO39" s="1"/>
  <c r="AK36"/>
  <c r="AL36" s="1"/>
  <c r="J36" s="1"/>
  <c r="AO36"/>
  <c r="AP36" s="1"/>
  <c r="AQ36" s="1"/>
  <c r="L36" s="1"/>
  <c r="N40" l="1"/>
  <c r="N36"/>
  <c r="AP34"/>
  <c r="AQ34" s="1"/>
  <c r="L34" s="1"/>
  <c r="N34" s="1"/>
  <c r="AP39"/>
  <c r="AQ39" s="1"/>
  <c r="L39" s="1"/>
  <c r="N39" s="1"/>
  <c r="L2" i="6" l="1"/>
  <c r="M22"/>
  <c r="O44" l="1"/>
  <c r="G118" i="11" s="1"/>
  <c r="I118" s="1"/>
  <c r="O42" i="6"/>
  <c r="G119" i="11" s="1"/>
  <c r="I119" s="1"/>
  <c r="O40" i="6"/>
  <c r="G115" i="11" s="1"/>
  <c r="I115" s="1"/>
  <c r="O39" i="6"/>
  <c r="G114" i="11" s="1"/>
  <c r="I114" s="1"/>
  <c r="O38" i="6"/>
  <c r="G113" i="11" s="1"/>
  <c r="I113" s="1"/>
  <c r="G105"/>
  <c r="M29" i="6"/>
  <c r="G104" i="11" s="1"/>
  <c r="G106"/>
  <c r="M27" i="6"/>
  <c r="M26"/>
  <c r="M25"/>
  <c r="M24"/>
  <c r="M23"/>
  <c r="G29"/>
  <c r="G99" i="11" s="1"/>
  <c r="G28" i="6"/>
  <c r="G25"/>
  <c r="G103" i="11" s="1"/>
  <c r="G24" i="6"/>
  <c r="G98" i="11" s="1"/>
  <c r="G23" i="6"/>
  <c r="J51"/>
  <c r="AA54"/>
  <c r="AA55"/>
  <c r="AA56"/>
  <c r="Y60"/>
  <c r="M52"/>
  <c r="M53"/>
  <c r="N57"/>
  <c r="N56"/>
  <c r="N55"/>
  <c r="M57"/>
  <c r="I57"/>
  <c r="E57"/>
  <c r="M56"/>
  <c r="I56"/>
  <c r="E56"/>
  <c r="M55"/>
  <c r="I55"/>
  <c r="E55"/>
  <c r="M54"/>
  <c r="I54"/>
  <c r="E54"/>
  <c r="I53"/>
  <c r="E53"/>
  <c r="J57"/>
  <c r="F57"/>
  <c r="B57"/>
  <c r="J56"/>
  <c r="F56"/>
  <c r="B56"/>
  <c r="J55"/>
  <c r="F55"/>
  <c r="B55"/>
  <c r="J54"/>
  <c r="F54"/>
  <c r="B54"/>
  <c r="J53"/>
  <c r="F53"/>
  <c r="B53"/>
  <c r="J52"/>
  <c r="F52"/>
  <c r="F51"/>
  <c r="I16"/>
  <c r="I17"/>
  <c r="G87" i="11" l="1"/>
  <c r="I89" s="1"/>
  <c r="O17" i="6"/>
  <c r="G102" i="11"/>
  <c r="AA32" i="6"/>
  <c r="AA33" s="1"/>
  <c r="O43" s="1"/>
  <c r="G120" i="11" s="1"/>
  <c r="I120" s="1"/>
  <c r="AB32" i="6"/>
  <c r="I14" l="1"/>
  <c r="F14"/>
  <c r="K10"/>
  <c r="G81" i="11" s="1"/>
  <c r="K9" i="6"/>
  <c r="G83" i="11" s="1"/>
  <c r="K8" i="6"/>
  <c r="G82" i="11" s="1"/>
  <c r="I84" l="1"/>
  <c r="E16" i="6"/>
  <c r="F89" i="11" s="1"/>
  <c r="K12" i="6"/>
  <c r="A1"/>
  <c r="N3"/>
  <c r="J3"/>
  <c r="D3"/>
  <c r="I19" i="9"/>
  <c r="BI12" i="3"/>
  <c r="BH12"/>
  <c r="BJ12"/>
  <c r="BC31"/>
  <c r="AX25"/>
  <c r="AX26"/>
  <c r="AX27"/>
  <c r="AX28"/>
  <c r="AX29"/>
  <c r="D17" i="9"/>
  <c r="E15" i="8"/>
  <c r="S29" i="5"/>
  <c r="C29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K19"/>
  <c r="X19"/>
  <c r="AB19"/>
  <c r="AC19"/>
  <c r="K20"/>
  <c r="X20"/>
  <c r="AB20"/>
  <c r="AC20"/>
  <c r="K21"/>
  <c r="X21"/>
  <c r="AB21"/>
  <c r="AC21"/>
  <c r="K22"/>
  <c r="X22"/>
  <c r="AB22"/>
  <c r="AC22"/>
  <c r="K23"/>
  <c r="X23"/>
  <c r="AB23"/>
  <c r="AC23"/>
  <c r="H24"/>
  <c r="K24"/>
  <c r="X24"/>
  <c r="AB24"/>
  <c r="AC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C6"/>
  <c r="AB6"/>
  <c r="Q6" i="3"/>
  <c r="O5" i="5" s="1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B1"/>
  <c r="D14" i="6" l="1"/>
  <c r="K14" s="1"/>
  <c r="O15" s="1"/>
  <c r="F88" i="11"/>
  <c r="O10" i="6"/>
  <c r="N33" i="8" l="1"/>
  <c r="N41" s="1"/>
  <c r="M27" l="1"/>
  <c r="BD28" i="3" l="1"/>
  <c r="BD24"/>
  <c r="BH14" l="1"/>
  <c r="BH15"/>
  <c r="BH16"/>
  <c r="BH17"/>
  <c r="BH18"/>
  <c r="BH19"/>
  <c r="BH20"/>
  <c r="BH21"/>
  <c r="BH22"/>
  <c r="BH23"/>
  <c r="BF23" l="1"/>
  <c r="BF22"/>
  <c r="BF21"/>
  <c r="BF20"/>
  <c r="BF19"/>
  <c r="BF18"/>
  <c r="BF17"/>
  <c r="BF16"/>
  <c r="BF15"/>
  <c r="BF14"/>
  <c r="BF13"/>
  <c r="F3"/>
  <c r="AZ17" l="1"/>
  <c r="AZ16"/>
  <c r="BB12" s="1"/>
  <c r="V6"/>
  <c r="T5" i="5" s="1"/>
  <c r="R6" i="3"/>
  <c r="P5" i="5" s="1"/>
  <c r="S6" i="3"/>
  <c r="Q5" i="5" s="1"/>
  <c r="T6" i="3"/>
  <c r="R5" i="5" s="1"/>
  <c r="U6" i="3"/>
  <c r="S5" i="5" s="1"/>
  <c r="P6" i="3"/>
  <c r="N5" i="5" s="1"/>
  <c r="L6" i="3"/>
  <c r="J5" i="5" s="1"/>
  <c r="I6" i="3"/>
  <c r="G5" i="5" s="1"/>
  <c r="J6" i="3"/>
  <c r="H5" i="5" s="1"/>
  <c r="K6" i="3"/>
  <c r="I5" i="5" s="1"/>
  <c r="H6" i="3"/>
  <c r="F5" i="5" s="1"/>
  <c r="BX12" i="3" l="1"/>
  <c r="BD12"/>
  <c r="BB10"/>
  <c r="BD10" s="1"/>
  <c r="BB11"/>
  <c r="BD11" s="1"/>
  <c r="BB13"/>
  <c r="BC15"/>
  <c r="BJ15"/>
  <c r="BG12"/>
  <c r="BA31"/>
  <c r="BB31"/>
  <c r="BC14"/>
  <c r="BJ14"/>
  <c r="BG14"/>
  <c r="BG15"/>
  <c r="BL10"/>
  <c r="BL12"/>
  <c r="BM12"/>
  <c r="BN12" s="1"/>
  <c r="BB15"/>
  <c r="BX15" s="1"/>
  <c r="BB14"/>
  <c r="BD13" l="1"/>
  <c r="BX13"/>
  <c r="G15" i="11" s="1"/>
  <c r="BD14" i="3"/>
  <c r="BX14"/>
  <c r="BO12"/>
  <c r="BC26"/>
  <c r="BJ16"/>
  <c r="BJ17" s="1"/>
  <c r="BJ18" s="1"/>
  <c r="BJ19" s="1"/>
  <c r="BJ20" s="1"/>
  <c r="BJ21" s="1"/>
  <c r="BJ22" s="1"/>
  <c r="BJ23" s="1"/>
  <c r="BI25"/>
  <c r="E6" i="9"/>
  <c r="F6" s="1"/>
  <c r="E7"/>
  <c r="F7" s="1"/>
  <c r="E5"/>
  <c r="F5" s="1"/>
  <c r="BD15" i="3"/>
  <c r="E8" i="9"/>
  <c r="F8" s="1"/>
  <c r="BC23" i="3"/>
  <c r="BC21"/>
  <c r="BC16"/>
  <c r="BC19"/>
  <c r="BC20"/>
  <c r="BC17"/>
  <c r="BC22"/>
  <c r="BG19"/>
  <c r="BG23"/>
  <c r="BG18"/>
  <c r="BG22"/>
  <c r="BG17"/>
  <c r="BG21"/>
  <c r="BG20"/>
  <c r="BG16"/>
  <c r="BM13"/>
  <c r="BN13" s="1"/>
  <c r="BL13"/>
  <c r="BB20"/>
  <c r="BX20" s="1"/>
  <c r="J15" i="11" l="1"/>
  <c r="BD26" i="3"/>
  <c r="BI26" s="1"/>
  <c r="BO13"/>
  <c r="BE18"/>
  <c r="BE19"/>
  <c r="BB23"/>
  <c r="BX23" s="1"/>
  <c r="K66" i="6" s="1"/>
  <c r="BD20" i="3"/>
  <c r="E13" i="9"/>
  <c r="F13" s="1"/>
  <c r="BB16" i="3"/>
  <c r="BX16" s="1"/>
  <c r="BB22"/>
  <c r="BX22" s="1"/>
  <c r="J66" i="6" s="1"/>
  <c r="BB19" i="3"/>
  <c r="BX19" s="1"/>
  <c r="BB17"/>
  <c r="BX17" s="1"/>
  <c r="BB21"/>
  <c r="BX21" s="1"/>
  <c r="G18" i="11" s="1"/>
  <c r="J18" s="1"/>
  <c r="BC18" i="3"/>
  <c r="BB18"/>
  <c r="BX18" s="1"/>
  <c r="G17" i="11" s="1"/>
  <c r="J17" s="1"/>
  <c r="D8" i="3"/>
  <c r="BS10" s="1"/>
  <c r="BM14"/>
  <c r="BN14" s="1"/>
  <c r="BL14"/>
  <c r="G16" i="11" l="1"/>
  <c r="E66" i="6"/>
  <c r="BO14" i="3"/>
  <c r="H66" i="6"/>
  <c r="E16" i="9"/>
  <c r="F16" s="1"/>
  <c r="BD23" i="3"/>
  <c r="V8"/>
  <c r="M8"/>
  <c r="K6" i="5" s="1"/>
  <c r="E11" i="9"/>
  <c r="F11" s="1"/>
  <c r="BQ12" i="3"/>
  <c r="E8" s="1"/>
  <c r="R8" s="1"/>
  <c r="BD17"/>
  <c r="E10" i="9"/>
  <c r="F10" s="1"/>
  <c r="BD16" i="3"/>
  <c r="F8" s="1"/>
  <c r="E9" i="9"/>
  <c r="F9" s="1"/>
  <c r="BD21" i="3"/>
  <c r="E14" i="9"/>
  <c r="F14" s="1"/>
  <c r="BD22" i="3"/>
  <c r="E15" i="9"/>
  <c r="F15" s="1"/>
  <c r="BD19" i="3"/>
  <c r="E12" i="9"/>
  <c r="F12" s="1"/>
  <c r="B8" i="3"/>
  <c r="A8" s="1"/>
  <c r="B6" i="5"/>
  <c r="BD18" i="3"/>
  <c r="D9"/>
  <c r="M9" s="1"/>
  <c r="BM15"/>
  <c r="BN15" s="1"/>
  <c r="BL15"/>
  <c r="J16" i="11" l="1"/>
  <c r="J19" s="1"/>
  <c r="C62" s="1"/>
  <c r="G19"/>
  <c r="BO15" i="3"/>
  <c r="N8"/>
  <c r="L6" i="5" s="1"/>
  <c r="X8" i="3"/>
  <c r="V6" i="5" s="1"/>
  <c r="V9" i="3"/>
  <c r="K7" i="5"/>
  <c r="W8" i="3"/>
  <c r="U6" i="5" s="1"/>
  <c r="J8" i="3"/>
  <c r="H6" i="5" s="1"/>
  <c r="I8" i="3"/>
  <c r="G6" i="5" s="1"/>
  <c r="D6"/>
  <c r="G8" i="3"/>
  <c r="E6" i="5" s="1"/>
  <c r="K8" i="3"/>
  <c r="I6" i="5" s="1"/>
  <c r="U8" i="3"/>
  <c r="S6" i="5" s="1"/>
  <c r="L8" i="3"/>
  <c r="J6" i="5" s="1"/>
  <c r="T6"/>
  <c r="T8" i="3"/>
  <c r="R6" i="5" s="1"/>
  <c r="Y8" i="3"/>
  <c r="W6" i="5" s="1"/>
  <c r="P6"/>
  <c r="H8" i="3"/>
  <c r="F6" i="5" s="1"/>
  <c r="S8" i="3"/>
  <c r="Q6" i="5" s="1"/>
  <c r="P8" i="3"/>
  <c r="N6" i="5" s="1"/>
  <c r="B7"/>
  <c r="F9" i="3"/>
  <c r="BQ13"/>
  <c r="F17" i="9"/>
  <c r="C6" i="5"/>
  <c r="BS12" i="3"/>
  <c r="B9"/>
  <c r="A9" s="1"/>
  <c r="Z8"/>
  <c r="X6" i="5" s="1"/>
  <c r="C24" i="11" s="1"/>
  <c r="AA8" i="3"/>
  <c r="Y6" i="5" s="1"/>
  <c r="D10" i="3"/>
  <c r="M10" s="1"/>
  <c r="BM16"/>
  <c r="BN16" s="1"/>
  <c r="BL16"/>
  <c r="D62" i="11" l="1"/>
  <c r="D135"/>
  <c r="BO16" i="3"/>
  <c r="O8"/>
  <c r="E9"/>
  <c r="V10"/>
  <c r="K8" i="5"/>
  <c r="D7"/>
  <c r="B8"/>
  <c r="F10" i="3"/>
  <c r="D8" i="5" s="1"/>
  <c r="BQ14" i="3"/>
  <c r="E10" s="1"/>
  <c r="B10"/>
  <c r="A10" s="1"/>
  <c r="H7" i="5"/>
  <c r="D11" i="3"/>
  <c r="M11" s="1"/>
  <c r="BL17"/>
  <c r="BO17" s="1"/>
  <c r="BM17"/>
  <c r="BN17" s="1"/>
  <c r="X10" l="1"/>
  <c r="V8" i="5" s="1"/>
  <c r="R10" i="3"/>
  <c r="R9"/>
  <c r="W9"/>
  <c r="U7" i="5" s="1"/>
  <c r="BI13" i="3"/>
  <c r="M6" i="5"/>
  <c r="S9" i="3"/>
  <c r="Q7" i="5" s="1"/>
  <c r="BI11" i="3"/>
  <c r="L9"/>
  <c r="J7" i="5" s="1"/>
  <c r="T9" i="3"/>
  <c r="R7" i="5" s="1"/>
  <c r="Z9" i="3"/>
  <c r="X7" i="5" s="1"/>
  <c r="C25" i="11" s="1"/>
  <c r="U9" i="3"/>
  <c r="S7" i="5" s="1"/>
  <c r="K9" i="3"/>
  <c r="I7" i="5" s="1"/>
  <c r="C7"/>
  <c r="P7"/>
  <c r="H9" i="3"/>
  <c r="F7" i="5" s="1"/>
  <c r="Y9" i="3"/>
  <c r="W7" i="5" s="1"/>
  <c r="G9" i="3"/>
  <c r="E7" i="5" s="1"/>
  <c r="P9" i="3"/>
  <c r="N7" i="5" s="1"/>
  <c r="N9" i="3"/>
  <c r="L7" i="5" s="1"/>
  <c r="I9" i="3"/>
  <c r="G7" i="5" s="1"/>
  <c r="V11" i="3"/>
  <c r="K9" i="5"/>
  <c r="BI10" i="3"/>
  <c r="AA9"/>
  <c r="Y7" i="5" s="1"/>
  <c r="X9" i="3"/>
  <c r="V7" i="5" s="1"/>
  <c r="N10" i="3"/>
  <c r="L8" i="5" s="1"/>
  <c r="P8"/>
  <c r="W10" i="3"/>
  <c r="U8" i="5" s="1"/>
  <c r="J10" i="3"/>
  <c r="I10"/>
  <c r="G8" i="5" s="1"/>
  <c r="B9"/>
  <c r="F11" i="3"/>
  <c r="D9" i="5" s="1"/>
  <c r="BQ15" i="3"/>
  <c r="E11" s="1"/>
  <c r="BI14"/>
  <c r="T8" i="5"/>
  <c r="U10" i="3"/>
  <c r="S8" i="5" s="1"/>
  <c r="Y10" i="3"/>
  <c r="W8" i="5" s="1"/>
  <c r="L10" i="3"/>
  <c r="J8" i="5" s="1"/>
  <c r="P10" i="3"/>
  <c r="N8" i="5" s="1"/>
  <c r="T10" i="3"/>
  <c r="R8" i="5" s="1"/>
  <c r="H10" i="3"/>
  <c r="F8" i="5" s="1"/>
  <c r="K10" i="3"/>
  <c r="I8" i="5" s="1"/>
  <c r="S10" i="3"/>
  <c r="Q8" i="5" s="1"/>
  <c r="G10" i="3"/>
  <c r="E8" i="5" s="1"/>
  <c r="C8"/>
  <c r="C10" i="3"/>
  <c r="BS13"/>
  <c r="B11"/>
  <c r="A11" s="1"/>
  <c r="D12"/>
  <c r="M12" s="1"/>
  <c r="AA10"/>
  <c r="Y8" i="5" s="1"/>
  <c r="Z10" i="3"/>
  <c r="X8" i="5" s="1"/>
  <c r="C26" i="11" s="1"/>
  <c r="BL18" i="3"/>
  <c r="BM18"/>
  <c r="BN18" s="1"/>
  <c r="BO18" l="1"/>
  <c r="X11"/>
  <c r="V9" i="5" s="1"/>
  <c r="R11" i="3"/>
  <c r="P9" i="5" s="1"/>
  <c r="O9" i="3"/>
  <c r="V12"/>
  <c r="H8" i="5"/>
  <c r="N11" i="3"/>
  <c r="L9" i="5" s="1"/>
  <c r="W11" i="3"/>
  <c r="U9" i="5" s="1"/>
  <c r="J11" i="3"/>
  <c r="H9" i="5" s="1"/>
  <c r="I11" i="3"/>
  <c r="G9" i="5" s="1"/>
  <c r="B10"/>
  <c r="F12" i="3"/>
  <c r="D10" i="5" s="1"/>
  <c r="BQ16" i="3"/>
  <c r="E12" s="1"/>
  <c r="BI15"/>
  <c r="P11"/>
  <c r="N9" i="5" s="1"/>
  <c r="T11" i="3"/>
  <c r="R9" i="5" s="1"/>
  <c r="H11" i="3"/>
  <c r="F9" i="5" s="1"/>
  <c r="K11" i="3"/>
  <c r="I9" i="5" s="1"/>
  <c r="S11" i="3"/>
  <c r="Q9" i="5" s="1"/>
  <c r="T9"/>
  <c r="G11" i="3"/>
  <c r="E9" i="5" s="1"/>
  <c r="U11" i="3"/>
  <c r="S9" i="5" s="1"/>
  <c r="Y11" i="3"/>
  <c r="W9" i="5" s="1"/>
  <c r="L11" i="3"/>
  <c r="J9" i="5" s="1"/>
  <c r="BM19" i="3"/>
  <c r="BN19" s="1"/>
  <c r="C9" i="5"/>
  <c r="AA11" i="3"/>
  <c r="Y9" i="5" s="1"/>
  <c r="Z11" i="3"/>
  <c r="X9" i="5" s="1"/>
  <c r="C27" i="11" s="1"/>
  <c r="B12" i="3"/>
  <c r="A12" s="1"/>
  <c r="C11"/>
  <c r="K10" i="5"/>
  <c r="O10" i="3"/>
  <c r="D13"/>
  <c r="M13" s="1"/>
  <c r="BL19"/>
  <c r="BO19" l="1"/>
  <c r="X12"/>
  <c r="V10" i="5" s="1"/>
  <c r="R12" i="3"/>
  <c r="P10" i="5" s="1"/>
  <c r="M8"/>
  <c r="M7"/>
  <c r="V13" i="3"/>
  <c r="N12"/>
  <c r="L10" i="5" s="1"/>
  <c r="W12" i="3"/>
  <c r="U10" i="5" s="1"/>
  <c r="J12" i="3"/>
  <c r="H10" i="5" s="1"/>
  <c r="I12" i="3"/>
  <c r="G10" i="5" s="1"/>
  <c r="B11"/>
  <c r="F13" i="3"/>
  <c r="BQ17"/>
  <c r="E13" s="1"/>
  <c r="BI16"/>
  <c r="T10" i="5"/>
  <c r="U12" i="3"/>
  <c r="S10" i="5" s="1"/>
  <c r="Y12" i="3"/>
  <c r="W10" i="5" s="1"/>
  <c r="L12" i="3"/>
  <c r="J10" i="5" s="1"/>
  <c r="G12" i="3"/>
  <c r="E10" i="5" s="1"/>
  <c r="P12" i="3"/>
  <c r="N10" i="5" s="1"/>
  <c r="T12" i="3"/>
  <c r="R10" i="5" s="1"/>
  <c r="H12" i="3"/>
  <c r="F10" i="5" s="1"/>
  <c r="K12" i="3"/>
  <c r="I10" i="5" s="1"/>
  <c r="S12" i="3"/>
  <c r="Q10" i="5" s="1"/>
  <c r="BS14" i="3"/>
  <c r="C10" i="5"/>
  <c r="O11" i="3"/>
  <c r="C12"/>
  <c r="D14"/>
  <c r="M14" s="1"/>
  <c r="B13"/>
  <c r="A13" s="1"/>
  <c r="K11" i="5"/>
  <c r="Z12" i="3"/>
  <c r="X10" i="5" s="1"/>
  <c r="C28" i="11" s="1"/>
  <c r="AA12" i="3"/>
  <c r="Y10" i="5" s="1"/>
  <c r="BL20" i="3"/>
  <c r="BO20" s="1"/>
  <c r="BM20"/>
  <c r="BN20" s="1"/>
  <c r="X13" l="1"/>
  <c r="V11" i="5" s="1"/>
  <c r="R13" i="3"/>
  <c r="P11" i="5" s="1"/>
  <c r="M9"/>
  <c r="N13" i="3"/>
  <c r="L11" i="5" s="1"/>
  <c r="W13" i="3"/>
  <c r="U11" i="5" s="1"/>
  <c r="J13" i="3"/>
  <c r="H11" i="5" s="1"/>
  <c r="I13" i="3"/>
  <c r="G11" i="5" s="1"/>
  <c r="D11"/>
  <c r="B12"/>
  <c r="F14" i="3"/>
  <c r="D12" i="5" s="1"/>
  <c r="BQ18" i="3"/>
  <c r="E14" s="1"/>
  <c r="BI17"/>
  <c r="Q8" s="1"/>
  <c r="AB8" s="1"/>
  <c r="AC8" s="1"/>
  <c r="P13"/>
  <c r="N11" i="5" s="1"/>
  <c r="T13" i="3"/>
  <c r="R11" i="5" s="1"/>
  <c r="H13" i="3"/>
  <c r="F11" i="5" s="1"/>
  <c r="K13" i="3"/>
  <c r="I11" i="5" s="1"/>
  <c r="G13" i="3"/>
  <c r="E11" i="5" s="1"/>
  <c r="S13" i="3"/>
  <c r="Q11" i="5" s="1"/>
  <c r="T11"/>
  <c r="U13" i="3"/>
  <c r="S11" i="5" s="1"/>
  <c r="Y13" i="3"/>
  <c r="W11" i="5" s="1"/>
  <c r="L13" i="3"/>
  <c r="J11" i="5" s="1"/>
  <c r="C11"/>
  <c r="K12"/>
  <c r="AA13" i="3"/>
  <c r="Y11" i="5" s="1"/>
  <c r="Z13" i="3"/>
  <c r="X11" i="5" s="1"/>
  <c r="C29" i="11" s="1"/>
  <c r="B14" i="3"/>
  <c r="A14" s="1"/>
  <c r="C13"/>
  <c r="D15"/>
  <c r="M15" s="1"/>
  <c r="O12"/>
  <c r="BM21"/>
  <c r="BN21" s="1"/>
  <c r="BL21"/>
  <c r="BO21" s="1"/>
  <c r="X14" l="1"/>
  <c r="R14"/>
  <c r="P12" i="5" s="1"/>
  <c r="M10"/>
  <c r="V15" i="3"/>
  <c r="V14"/>
  <c r="T12" i="5" s="1"/>
  <c r="N14" i="3"/>
  <c r="L12" i="5" s="1"/>
  <c r="W14" i="3"/>
  <c r="U12" i="5" s="1"/>
  <c r="J14" i="3"/>
  <c r="H12" i="5" s="1"/>
  <c r="I14" i="3"/>
  <c r="G12" i="5" s="1"/>
  <c r="B13"/>
  <c r="F15" i="3"/>
  <c r="BQ19"/>
  <c r="E15" s="1"/>
  <c r="U14"/>
  <c r="S12" i="5" s="1"/>
  <c r="Y14" i="3"/>
  <c r="W12" i="5" s="1"/>
  <c r="L14" i="3"/>
  <c r="J12" i="5" s="1"/>
  <c r="P14" i="3"/>
  <c r="N12" i="5" s="1"/>
  <c r="T14" i="3"/>
  <c r="R12" i="5" s="1"/>
  <c r="V12"/>
  <c r="H14" i="3"/>
  <c r="F12" i="5" s="1"/>
  <c r="K14" i="3"/>
  <c r="I12" i="5" s="1"/>
  <c r="S14" i="3"/>
  <c r="Q12" i="5" s="1"/>
  <c r="G14" i="3"/>
  <c r="E12" i="5" s="1"/>
  <c r="D17" i="3"/>
  <c r="M17" s="1"/>
  <c r="C14"/>
  <c r="BI18"/>
  <c r="Q9" s="1"/>
  <c r="C12" i="5"/>
  <c r="K13"/>
  <c r="O13" i="3"/>
  <c r="BS15"/>
  <c r="Z14"/>
  <c r="X12" i="5" s="1"/>
  <c r="C30" i="11" s="1"/>
  <c r="AA14" i="3"/>
  <c r="Y12" i="5" s="1"/>
  <c r="B15" i="3"/>
  <c r="A15" s="1"/>
  <c r="D16"/>
  <c r="M16" s="1"/>
  <c r="BL22"/>
  <c r="BM22"/>
  <c r="BN22" l="1"/>
  <c r="BO22" s="1"/>
  <c r="BM23"/>
  <c r="X15"/>
  <c r="R15"/>
  <c r="P13" i="5" s="1"/>
  <c r="AB9" i="3"/>
  <c r="AC9" s="1"/>
  <c r="M11" i="5"/>
  <c r="V17" i="3"/>
  <c r="N15"/>
  <c r="L13" i="5" s="1"/>
  <c r="W15" i="3"/>
  <c r="U13" i="5" s="1"/>
  <c r="J15" i="3"/>
  <c r="H13" i="5" s="1"/>
  <c r="I15" i="3"/>
  <c r="G13" i="5" s="1"/>
  <c r="D13"/>
  <c r="B14"/>
  <c r="F16" i="3"/>
  <c r="D14" i="5" s="1"/>
  <c r="BQ20" i="3"/>
  <c r="E16" s="1"/>
  <c r="BI19"/>
  <c r="Q10" s="1"/>
  <c r="P15"/>
  <c r="N13" i="5" s="1"/>
  <c r="T15" i="3"/>
  <c r="R13" i="5" s="1"/>
  <c r="V13"/>
  <c r="H15" i="3"/>
  <c r="F13" i="5" s="1"/>
  <c r="K15" i="3"/>
  <c r="I13" i="5" s="1"/>
  <c r="S15" i="3"/>
  <c r="Q13" i="5" s="1"/>
  <c r="T13"/>
  <c r="G15" i="3"/>
  <c r="BD7" s="1"/>
  <c r="U15"/>
  <c r="S13" i="5" s="1"/>
  <c r="Y15" i="3"/>
  <c r="W13" i="5" s="1"/>
  <c r="L15" i="3"/>
  <c r="J13" i="5" s="1"/>
  <c r="C15" i="3"/>
  <c r="C13" i="5"/>
  <c r="B16" i="3"/>
  <c r="A16" s="1"/>
  <c r="K14" i="5"/>
  <c r="O14" i="3"/>
  <c r="AA15"/>
  <c r="Y13" i="5" s="1"/>
  <c r="Z15" i="3"/>
  <c r="X13" i="5" s="1"/>
  <c r="C31" i="11" s="1"/>
  <c r="BL23" i="3"/>
  <c r="BN23" l="1"/>
  <c r="BO23" s="1"/>
  <c r="X16"/>
  <c r="V14" i="5" s="1"/>
  <c r="R16" i="3"/>
  <c r="P14" i="5" s="1"/>
  <c r="AB10" i="3"/>
  <c r="AC10" s="1"/>
  <c r="M12" i="5"/>
  <c r="V16" i="3"/>
  <c r="T14" i="5" s="1"/>
  <c r="N16" i="3"/>
  <c r="L14" i="5" s="1"/>
  <c r="W16" i="3"/>
  <c r="U14" i="5" s="1"/>
  <c r="J16" i="3"/>
  <c r="H14" i="5" s="1"/>
  <c r="I16" i="3"/>
  <c r="G14" i="5" s="1"/>
  <c r="B15"/>
  <c r="F17" i="3"/>
  <c r="BQ21"/>
  <c r="E17" s="1"/>
  <c r="E13" i="5"/>
  <c r="U16" i="3"/>
  <c r="S14" i="5" s="1"/>
  <c r="Y16" i="3"/>
  <c r="W14" i="5" s="1"/>
  <c r="L16" i="3"/>
  <c r="J14" i="5" s="1"/>
  <c r="G16" i="3"/>
  <c r="E14" i="5" s="1"/>
  <c r="P16" i="3"/>
  <c r="N14" i="5" s="1"/>
  <c r="T16" i="3"/>
  <c r="R14" i="5" s="1"/>
  <c r="H16" i="3"/>
  <c r="F14" i="5" s="1"/>
  <c r="K16" i="3"/>
  <c r="I14" i="5" s="1"/>
  <c r="S16" i="3"/>
  <c r="Q14" i="5" s="1"/>
  <c r="BL24" i="3"/>
  <c r="BO24" s="1"/>
  <c r="BI20"/>
  <c r="Q11" s="1"/>
  <c r="C14" i="5"/>
  <c r="B17" i="3"/>
  <c r="A17" s="1"/>
  <c r="C16"/>
  <c r="K15" i="5"/>
  <c r="O15" i="3"/>
  <c r="BS16"/>
  <c r="Z16"/>
  <c r="X14" i="5" s="1"/>
  <c r="C32" i="11" s="1"/>
  <c r="AA16" i="3"/>
  <c r="Y14" i="5" s="1"/>
  <c r="D18" i="3"/>
  <c r="M18" s="1"/>
  <c r="X17" l="1"/>
  <c r="V15" i="5" s="1"/>
  <c r="R17" i="3"/>
  <c r="P15" i="5" s="1"/>
  <c r="AB11" i="3"/>
  <c r="AC11" s="1"/>
  <c r="M13" i="5"/>
  <c r="V18" i="3"/>
  <c r="Q16"/>
  <c r="N17"/>
  <c r="L15" i="5" s="1"/>
  <c r="W17" i="3"/>
  <c r="U15" i="5" s="1"/>
  <c r="J17" i="3"/>
  <c r="H15" i="5" s="1"/>
  <c r="I17" i="3"/>
  <c r="G15" i="5" s="1"/>
  <c r="D15"/>
  <c r="B16"/>
  <c r="F18" i="3"/>
  <c r="D16" i="5" s="1"/>
  <c r="BQ22" i="3"/>
  <c r="E18" s="1"/>
  <c r="BI21"/>
  <c r="Q12" s="1"/>
  <c r="C15" i="5"/>
  <c r="P17" i="3"/>
  <c r="N15" i="5" s="1"/>
  <c r="T17" i="3"/>
  <c r="R15" i="5" s="1"/>
  <c r="H17" i="3"/>
  <c r="F15" i="5" s="1"/>
  <c r="K17" i="3"/>
  <c r="I15" i="5" s="1"/>
  <c r="G17" i="3"/>
  <c r="E15" i="5" s="1"/>
  <c r="S17" i="3"/>
  <c r="Q15" i="5" s="1"/>
  <c r="T15"/>
  <c r="U17" i="3"/>
  <c r="S15" i="5" s="1"/>
  <c r="Y17" i="3"/>
  <c r="W15" i="5" s="1"/>
  <c r="L17" i="3"/>
  <c r="J15" i="5" s="1"/>
  <c r="BL25" i="3"/>
  <c r="BO25" s="1"/>
  <c r="C17"/>
  <c r="B18"/>
  <c r="A18" s="1"/>
  <c r="Z17"/>
  <c r="X15" i="5" s="1"/>
  <c r="C33" i="11" s="1"/>
  <c r="AA17" i="3"/>
  <c r="Y15" i="5" s="1"/>
  <c r="O16" i="3"/>
  <c r="K16" i="5"/>
  <c r="D19" i="3"/>
  <c r="AB16" l="1"/>
  <c r="AC16" s="1"/>
  <c r="M19"/>
  <c r="K17" i="5" s="1"/>
  <c r="BQ23" i="3"/>
  <c r="X18"/>
  <c r="V16" i="5" s="1"/>
  <c r="R18" i="3"/>
  <c r="P16" i="5" s="1"/>
  <c r="AB12" i="3"/>
  <c r="AC12" s="1"/>
  <c r="M14" i="5"/>
  <c r="V19" i="3"/>
  <c r="Q17"/>
  <c r="N18"/>
  <c r="L16" i="5" s="1"/>
  <c r="W18" i="3"/>
  <c r="U16" i="5" s="1"/>
  <c r="J18" i="3"/>
  <c r="H16" i="5" s="1"/>
  <c r="I18" i="3"/>
  <c r="G16" i="5" s="1"/>
  <c r="F19" i="3"/>
  <c r="D17" i="5" s="1"/>
  <c r="E19" i="3"/>
  <c r="BI22"/>
  <c r="Q13" s="1"/>
  <c r="T16" i="5"/>
  <c r="U18" i="3"/>
  <c r="S16" i="5" s="1"/>
  <c r="Y18" i="3"/>
  <c r="W16" i="5" s="1"/>
  <c r="L18" i="3"/>
  <c r="J16" i="5" s="1"/>
  <c r="P18" i="3"/>
  <c r="N16" i="5" s="1"/>
  <c r="T18" i="3"/>
  <c r="R16" i="5" s="1"/>
  <c r="H18" i="3"/>
  <c r="F16" i="5" s="1"/>
  <c r="K18" i="3"/>
  <c r="I16" i="5" s="1"/>
  <c r="S18" i="3"/>
  <c r="Q16" i="5" s="1"/>
  <c r="G18" i="3"/>
  <c r="E16" i="5" s="1"/>
  <c r="BL26" i="3"/>
  <c r="C18"/>
  <c r="B19"/>
  <c r="A19" s="1"/>
  <c r="B17" i="5"/>
  <c r="C16"/>
  <c r="O17" i="3"/>
  <c r="AB17" s="1"/>
  <c r="BS17"/>
  <c r="AA18"/>
  <c r="Y16" i="5" s="1"/>
  <c r="Z18" i="3"/>
  <c r="X16" i="5" s="1"/>
  <c r="C34" i="11" s="1"/>
  <c r="D20" i="3"/>
  <c r="BO26" l="1"/>
  <c r="BL27"/>
  <c r="M20"/>
  <c r="K18" i="5" s="1"/>
  <c r="K27" s="1"/>
  <c r="BQ24" i="3"/>
  <c r="X19"/>
  <c r="R19"/>
  <c r="P17" i="5" s="1"/>
  <c r="AB13" i="3"/>
  <c r="AC13" s="1"/>
  <c r="AC17"/>
  <c r="M15" i="5"/>
  <c r="V20" i="3"/>
  <c r="T7" i="5"/>
  <c r="Q18" i="3"/>
  <c r="N19"/>
  <c r="L17" i="5" s="1"/>
  <c r="W19" i="3"/>
  <c r="U17" i="5" s="1"/>
  <c r="J19" i="3"/>
  <c r="H17" i="5" s="1"/>
  <c r="I19" i="3"/>
  <c r="G17" i="5" s="1"/>
  <c r="B18"/>
  <c r="F20" i="3"/>
  <c r="D18" i="5" s="1"/>
  <c r="E20" i="3"/>
  <c r="BI23"/>
  <c r="Q14" s="1"/>
  <c r="P19"/>
  <c r="N17" i="5" s="1"/>
  <c r="T19" i="3"/>
  <c r="R17" i="5" s="1"/>
  <c r="V17"/>
  <c r="H19" i="3"/>
  <c r="F17" i="5" s="1"/>
  <c r="K19" i="3"/>
  <c r="I17" i="5" s="1"/>
  <c r="S19" i="3"/>
  <c r="Q17" i="5" s="1"/>
  <c r="T17"/>
  <c r="G19" i="3"/>
  <c r="E17" i="5" s="1"/>
  <c r="U19" i="3"/>
  <c r="S17" i="5" s="1"/>
  <c r="Y19" i="3"/>
  <c r="W17" i="5" s="1"/>
  <c r="L19" i="3"/>
  <c r="J17" i="5" s="1"/>
  <c r="C19" i="3"/>
  <c r="O6" i="5"/>
  <c r="C17"/>
  <c r="E17" i="9" s="1"/>
  <c r="O8" i="5"/>
  <c r="O18" i="3"/>
  <c r="AB18" s="1"/>
  <c r="AA19"/>
  <c r="Y17" i="5" s="1"/>
  <c r="Z19" i="3"/>
  <c r="X17" i="5" s="1"/>
  <c r="B20" i="3"/>
  <c r="A20" s="1"/>
  <c r="D21"/>
  <c r="BO27" l="1"/>
  <c r="BL28"/>
  <c r="V21"/>
  <c r="BQ25"/>
  <c r="X20"/>
  <c r="V18" i="5" s="1"/>
  <c r="R20" i="3"/>
  <c r="AB14"/>
  <c r="AC14" s="1"/>
  <c r="AC18"/>
  <c r="Q20"/>
  <c r="O18" i="5" s="1"/>
  <c r="Q19" i="3"/>
  <c r="O17" i="5" s="1"/>
  <c r="Q15" i="3"/>
  <c r="O10" i="5"/>
  <c r="O11"/>
  <c r="O16"/>
  <c r="N20" i="3"/>
  <c r="L18" i="5" s="1"/>
  <c r="X27"/>
  <c r="C35" i="11"/>
  <c r="P18" i="5"/>
  <c r="W20" i="3"/>
  <c r="U18" i="5" s="1"/>
  <c r="J20" i="3"/>
  <c r="H18" i="5" s="1"/>
  <c r="I20" i="3"/>
  <c r="G18" i="5" s="1"/>
  <c r="G20" i="3"/>
  <c r="E18" i="5" s="1"/>
  <c r="Y20" i="3"/>
  <c r="W18" i="5" s="1"/>
  <c r="T20" i="3"/>
  <c r="R18" i="5" s="1"/>
  <c r="T18"/>
  <c r="H20" i="3"/>
  <c r="F18" i="5" s="1"/>
  <c r="P20" i="3"/>
  <c r="N18" i="5" s="1"/>
  <c r="S20" i="3"/>
  <c r="Q18" i="5" s="1"/>
  <c r="K20" i="3"/>
  <c r="I18" i="5" s="1"/>
  <c r="L20" i="3"/>
  <c r="J18" i="5" s="1"/>
  <c r="U20" i="3"/>
  <c r="S18" i="5" s="1"/>
  <c r="C18"/>
  <c r="B19"/>
  <c r="F21" i="3"/>
  <c r="Q21" s="1"/>
  <c r="E21"/>
  <c r="R21" s="1"/>
  <c r="O14" i="5"/>
  <c r="M16"/>
  <c r="AA10"/>
  <c r="Z10"/>
  <c r="O12"/>
  <c r="O7"/>
  <c r="AA8"/>
  <c r="Z8"/>
  <c r="AA6"/>
  <c r="Z6"/>
  <c r="O9"/>
  <c r="O19" i="3"/>
  <c r="BS18"/>
  <c r="B21"/>
  <c r="A21" s="1"/>
  <c r="C20"/>
  <c r="AA20"/>
  <c r="Y18" i="5" s="1"/>
  <c r="D22" i="3"/>
  <c r="V22" l="1"/>
  <c r="BQ26"/>
  <c r="BL29"/>
  <c r="BO28"/>
  <c r="AB19"/>
  <c r="AC19" s="1"/>
  <c r="AB15"/>
  <c r="AC15" s="1"/>
  <c r="AB7" i="5"/>
  <c r="P19"/>
  <c r="X21" i="3"/>
  <c r="V19" i="5" s="1"/>
  <c r="M66" i="6"/>
  <c r="O66" s="1"/>
  <c r="K130" i="11" s="1"/>
  <c r="C135" s="1"/>
  <c r="C36"/>
  <c r="C38" s="1"/>
  <c r="N21" i="3"/>
  <c r="L19" i="5" s="1"/>
  <c r="O13"/>
  <c r="O19"/>
  <c r="D19"/>
  <c r="W21" i="3"/>
  <c r="U19" i="5" s="1"/>
  <c r="P21" i="3"/>
  <c r="N19" i="5" s="1"/>
  <c r="J21" i="3"/>
  <c r="H19" i="5" s="1"/>
  <c r="I21" i="3"/>
  <c r="G19" i="5" s="1"/>
  <c r="O15"/>
  <c r="E22" i="3"/>
  <c r="F22"/>
  <c r="Q22" s="1"/>
  <c r="T21"/>
  <c r="R19" i="5" s="1"/>
  <c r="H21" i="3"/>
  <c r="F19" i="5" s="1"/>
  <c r="K21" i="3"/>
  <c r="I19" i="5" s="1"/>
  <c r="G21" i="3"/>
  <c r="E19" i="5" s="1"/>
  <c r="S21" i="3"/>
  <c r="Q19" i="5" s="1"/>
  <c r="T19"/>
  <c r="U21" i="3"/>
  <c r="S19" i="5" s="1"/>
  <c r="Y21" i="3"/>
  <c r="W19" i="5" s="1"/>
  <c r="L21" i="3"/>
  <c r="J19" i="5" s="1"/>
  <c r="D24" i="3"/>
  <c r="C19" i="5"/>
  <c r="AA9"/>
  <c r="Z9"/>
  <c r="AA7"/>
  <c r="Z7"/>
  <c r="AA16"/>
  <c r="Z16"/>
  <c r="AA14"/>
  <c r="Z14"/>
  <c r="B22" i="3"/>
  <c r="A22" s="1"/>
  <c r="B20" i="5"/>
  <c r="AA12"/>
  <c r="Z12"/>
  <c r="M17"/>
  <c r="C21" i="3"/>
  <c r="O20"/>
  <c r="AB20" s="1"/>
  <c r="AA21"/>
  <c r="Y19" i="5" s="1"/>
  <c r="D23" i="3"/>
  <c r="BO29" l="1"/>
  <c r="D25" s="1"/>
  <c r="BL30"/>
  <c r="BO30" s="1"/>
  <c r="D26" s="1"/>
  <c r="V23"/>
  <c r="BQ27"/>
  <c r="R23"/>
  <c r="V24"/>
  <c r="BQ28"/>
  <c r="X22"/>
  <c r="R22"/>
  <c r="P20" i="5" s="1"/>
  <c r="AC20" i="3"/>
  <c r="Z11" i="5"/>
  <c r="AA11"/>
  <c r="D20"/>
  <c r="O20"/>
  <c r="N22" i="3"/>
  <c r="L20" i="5" s="1"/>
  <c r="Z13"/>
  <c r="AA13"/>
  <c r="W22" i="3"/>
  <c r="U20" i="5" s="1"/>
  <c r="J22" i="3"/>
  <c r="H20" i="5" s="1"/>
  <c r="I22" i="3"/>
  <c r="G20" i="5" s="1"/>
  <c r="AA15"/>
  <c r="Z15"/>
  <c r="B22"/>
  <c r="F24" i="3"/>
  <c r="Q24" s="1"/>
  <c r="E24"/>
  <c r="E23"/>
  <c r="X23" s="1"/>
  <c r="F23"/>
  <c r="D21" i="5" s="1"/>
  <c r="F25" i="3"/>
  <c r="D23" i="5" s="1"/>
  <c r="T20"/>
  <c r="U22" i="3"/>
  <c r="S20" i="5" s="1"/>
  <c r="Y22" i="3"/>
  <c r="W20" i="5" s="1"/>
  <c r="L22" i="3"/>
  <c r="J20" i="5" s="1"/>
  <c r="P22" i="3"/>
  <c r="N20" i="5" s="1"/>
  <c r="T22" i="3"/>
  <c r="R20" i="5" s="1"/>
  <c r="V20"/>
  <c r="H22" i="3"/>
  <c r="F20" i="5" s="1"/>
  <c r="K22" i="3"/>
  <c r="I20" i="5" s="1"/>
  <c r="S22" i="3"/>
  <c r="Q20" i="5" s="1"/>
  <c r="G22" i="3"/>
  <c r="E20" i="5" s="1"/>
  <c r="B23"/>
  <c r="C20"/>
  <c r="B21"/>
  <c r="M18"/>
  <c r="C22" i="3"/>
  <c r="AA17" i="5"/>
  <c r="Z17"/>
  <c r="O21" i="3"/>
  <c r="AB21" s="1"/>
  <c r="BS19"/>
  <c r="AA22"/>
  <c r="Y20" i="5" s="1"/>
  <c r="AX41" i="3"/>
  <c r="B23"/>
  <c r="A23" s="1"/>
  <c r="BQ29" l="1"/>
  <c r="E25" s="1"/>
  <c r="R25" s="1"/>
  <c r="V25"/>
  <c r="F26"/>
  <c r="D24" i="5" s="1"/>
  <c r="R26" i="3"/>
  <c r="P24" i="5" s="1"/>
  <c r="BQ30" i="3"/>
  <c r="E26" s="1"/>
  <c r="I26" s="1"/>
  <c r="G24" i="5" s="1"/>
  <c r="V26" i="3"/>
  <c r="T24" i="5" s="1"/>
  <c r="W26" i="3"/>
  <c r="U24" i="5" s="1"/>
  <c r="G26" i="3"/>
  <c r="E24" i="5" s="1"/>
  <c r="S26" i="3"/>
  <c r="Q24" i="5" s="1"/>
  <c r="B24"/>
  <c r="N26" i="3"/>
  <c r="L24" i="5" s="1"/>
  <c r="Q26" i="3"/>
  <c r="O24" i="5" s="1"/>
  <c r="X24" i="3"/>
  <c r="R24"/>
  <c r="P22" i="5" s="1"/>
  <c r="AC21" i="3"/>
  <c r="Q25"/>
  <c r="O23" i="5" s="1"/>
  <c r="X25" i="3"/>
  <c r="V23" i="5" s="1"/>
  <c r="Q23" i="3"/>
  <c r="O21" i="5" s="1"/>
  <c r="N24" i="3"/>
  <c r="L22" i="5" s="1"/>
  <c r="N23" i="3"/>
  <c r="L21" i="5" s="1"/>
  <c r="N25" i="3"/>
  <c r="L23" i="5" s="1"/>
  <c r="P21"/>
  <c r="W23" i="3"/>
  <c r="U21" i="5" s="1"/>
  <c r="T24" i="3"/>
  <c r="R22" i="5" s="1"/>
  <c r="D22"/>
  <c r="D27" s="1"/>
  <c r="W24" i="3"/>
  <c r="U22" i="5" s="1"/>
  <c r="J23" i="3"/>
  <c r="H21" i="5" s="1"/>
  <c r="W25" i="3"/>
  <c r="U23" i="5" s="1"/>
  <c r="J24" i="3"/>
  <c r="H22" i="5" s="1"/>
  <c r="J25" i="3"/>
  <c r="H23" i="5" s="1"/>
  <c r="I23" i="3"/>
  <c r="G21" i="5" s="1"/>
  <c r="I25" i="3"/>
  <c r="G23" i="5" s="1"/>
  <c r="I24" i="3"/>
  <c r="G22" i="5" s="1"/>
  <c r="T21"/>
  <c r="T23" i="3"/>
  <c r="R21" i="5" s="1"/>
  <c r="P23" i="3"/>
  <c r="N21" i="5" s="1"/>
  <c r="U23" i="3"/>
  <c r="S21" i="5" s="1"/>
  <c r="L23" i="3"/>
  <c r="J21" i="5" s="1"/>
  <c r="G23" i="3"/>
  <c r="E21" i="5" s="1"/>
  <c r="Y23" i="3"/>
  <c r="W21" i="5" s="1"/>
  <c r="H23" i="3"/>
  <c r="F21" i="5" s="1"/>
  <c r="S23" i="3"/>
  <c r="Q21" i="5" s="1"/>
  <c r="K23" i="3"/>
  <c r="I21" i="5" s="1"/>
  <c r="P25" i="3"/>
  <c r="N23" i="5" s="1"/>
  <c r="T25" i="3"/>
  <c r="R23" i="5" s="1"/>
  <c r="H25" i="3"/>
  <c r="F23" i="5" s="1"/>
  <c r="K25" i="3"/>
  <c r="I23" i="5" s="1"/>
  <c r="G25" i="3"/>
  <c r="E23" i="5" s="1"/>
  <c r="S25" i="3"/>
  <c r="Q23" i="5" s="1"/>
  <c r="P23"/>
  <c r="T23"/>
  <c r="U25" i="3"/>
  <c r="S23" i="5" s="1"/>
  <c r="Y25" i="3"/>
  <c r="W23" i="5" s="1"/>
  <c r="L25" i="3"/>
  <c r="J23" i="5" s="1"/>
  <c r="T22"/>
  <c r="U24" i="3"/>
  <c r="S22" i="5" s="1"/>
  <c r="Y24" i="3"/>
  <c r="W22" i="5" s="1"/>
  <c r="L24" i="3"/>
  <c r="J22" i="5" s="1"/>
  <c r="G24" i="3"/>
  <c r="E22" i="5" s="1"/>
  <c r="P24" i="3"/>
  <c r="N22" i="5" s="1"/>
  <c r="V22"/>
  <c r="H24" i="3"/>
  <c r="F22" i="5" s="1"/>
  <c r="K24" i="3"/>
  <c r="I22" i="5" s="1"/>
  <c r="S24" i="3"/>
  <c r="Q22" i="5" s="1"/>
  <c r="AA25" i="3"/>
  <c r="Y23" i="5" s="1"/>
  <c r="C23"/>
  <c r="C22"/>
  <c r="M19"/>
  <c r="C21"/>
  <c r="AA18"/>
  <c r="Z18"/>
  <c r="O22" i="3"/>
  <c r="AB22" s="1"/>
  <c r="V21" i="5"/>
  <c r="AA23" i="3"/>
  <c r="Y21" i="5" s="1"/>
  <c r="C23" i="3"/>
  <c r="BS20"/>
  <c r="O22" i="5"/>
  <c r="AA24" i="3"/>
  <c r="Y22" i="5" s="1"/>
  <c r="B24" i="3"/>
  <c r="A24" s="1"/>
  <c r="K26" l="1"/>
  <c r="I24" i="5" s="1"/>
  <c r="T26" i="3"/>
  <c r="R24" i="5" s="1"/>
  <c r="P26" i="3"/>
  <c r="N24" i="5" s="1"/>
  <c r="AA26" i="3"/>
  <c r="Y24" i="5" s="1"/>
  <c r="Y26" i="3"/>
  <c r="W24" i="5" s="1"/>
  <c r="U26" i="3"/>
  <c r="S24" i="5" s="1"/>
  <c r="X26" i="3"/>
  <c r="V24" i="5" s="1"/>
  <c r="L26" i="3"/>
  <c r="J24" i="5" s="1"/>
  <c r="H26" i="3"/>
  <c r="F24" i="5" s="1"/>
  <c r="C24"/>
  <c r="AC22" i="3"/>
  <c r="H27" i="5"/>
  <c r="W27"/>
  <c r="J27"/>
  <c r="O27"/>
  <c r="O5" i="6" s="1"/>
  <c r="G27" i="5"/>
  <c r="R27"/>
  <c r="P27"/>
  <c r="N27"/>
  <c r="V27"/>
  <c r="Y27"/>
  <c r="G27" i="6" s="1"/>
  <c r="G96" i="11" s="1"/>
  <c r="E27" i="5"/>
  <c r="F18" i="9" s="1"/>
  <c r="O25" i="3"/>
  <c r="AB25" s="1"/>
  <c r="B25"/>
  <c r="A25" s="1"/>
  <c r="I27" i="5"/>
  <c r="F27"/>
  <c r="L27"/>
  <c r="S27"/>
  <c r="U27"/>
  <c r="O41" i="6" s="1"/>
  <c r="AA19" i="5"/>
  <c r="Z19"/>
  <c r="M20"/>
  <c r="T27"/>
  <c r="G31" i="6" s="1"/>
  <c r="Q27" i="5"/>
  <c r="C27"/>
  <c r="E18" i="9" s="1"/>
  <c r="E19" s="1"/>
  <c r="J19" s="1"/>
  <c r="O23" i="3"/>
  <c r="AB23" s="1"/>
  <c r="O24"/>
  <c r="AB24" s="1"/>
  <c r="C24"/>
  <c r="B26"/>
  <c r="A26" s="1"/>
  <c r="O26" l="1"/>
  <c r="AC23"/>
  <c r="AC25"/>
  <c r="AC24"/>
  <c r="M23" i="5"/>
  <c r="O33" i="6"/>
  <c r="G107" i="11" s="1"/>
  <c r="I107" s="1"/>
  <c r="K107" s="1"/>
  <c r="AB23" i="6"/>
  <c r="G22"/>
  <c r="G97" i="11" s="1"/>
  <c r="G26" i="6"/>
  <c r="G94" i="11" s="1"/>
  <c r="G21" i="6"/>
  <c r="AB38"/>
  <c r="AB40"/>
  <c r="C25" i="3"/>
  <c r="M21" i="5"/>
  <c r="M22"/>
  <c r="AA20"/>
  <c r="Z20"/>
  <c r="C26" i="3"/>
  <c r="B27"/>
  <c r="A27" s="1"/>
  <c r="M24" i="5" l="1"/>
  <c r="AB26" i="3"/>
  <c r="Z24" i="5" s="1"/>
  <c r="Z23"/>
  <c r="AA23"/>
  <c r="M21" i="6"/>
  <c r="M31" s="1"/>
  <c r="Z24"/>
  <c r="AB24" s="1"/>
  <c r="AC27" s="1"/>
  <c r="AA29" s="1"/>
  <c r="AB35" s="1"/>
  <c r="G95" i="11"/>
  <c r="O45" i="6"/>
  <c r="G116" i="11"/>
  <c r="I116" s="1"/>
  <c r="K120" s="1"/>
  <c r="M27" i="5"/>
  <c r="O4" i="6" s="1"/>
  <c r="AA21" i="5"/>
  <c r="Z21"/>
  <c r="AA22"/>
  <c r="Z22"/>
  <c r="C27" i="3"/>
  <c r="B28"/>
  <c r="A28" s="1"/>
  <c r="AC26" l="1"/>
  <c r="AA24" i="5" s="1"/>
  <c r="AA27" s="1"/>
  <c r="G101" i="11"/>
  <c r="I106" s="1"/>
  <c r="K106" s="1"/>
  <c r="AA23" i="6"/>
  <c r="Z23" s="1"/>
  <c r="AA27" s="1"/>
  <c r="G108" i="11"/>
  <c r="Z27" i="5"/>
  <c r="C28" i="3"/>
  <c r="I108" i="11" l="1"/>
  <c r="G71"/>
  <c r="I74" s="1"/>
  <c r="O32" i="6"/>
  <c r="O35" s="1"/>
  <c r="K108" i="11" l="1"/>
  <c r="K121" s="1"/>
  <c r="O46" i="6"/>
  <c r="F19" i="9"/>
  <c r="J14" s="1"/>
  <c r="J16" s="1"/>
  <c r="J13" l="1"/>
  <c r="J10" s="1"/>
  <c r="I11" l="1"/>
  <c r="E6" i="4"/>
  <c r="O6" i="6" s="1"/>
  <c r="E77" i="11" l="1"/>
  <c r="F77" s="1"/>
  <c r="G78" s="1"/>
  <c r="I79" s="1"/>
  <c r="K85" s="1"/>
  <c r="K90" s="1"/>
  <c r="K122" s="1"/>
  <c r="K123" s="1"/>
  <c r="O7" i="6"/>
  <c r="O11" s="1"/>
  <c r="O16" s="1"/>
  <c r="O18" s="1"/>
  <c r="O47" l="1"/>
  <c r="O48" s="1"/>
  <c r="M32" i="7" l="1"/>
  <c r="M23" i="8" s="1"/>
  <c r="AB53" i="6"/>
  <c r="AE53" s="1"/>
  <c r="Z53"/>
  <c r="AB51"/>
  <c r="AB55"/>
  <c r="AE55" s="1"/>
  <c r="O56" s="1"/>
  <c r="AB52"/>
  <c r="AE52" s="1"/>
  <c r="AC54"/>
  <c r="X53"/>
  <c r="AA53" s="1"/>
  <c r="O54" s="1"/>
  <c r="Z52"/>
  <c r="AD52"/>
  <c r="Z59"/>
  <c r="X51"/>
  <c r="AA51" s="1"/>
  <c r="O52" s="1"/>
  <c r="AC55"/>
  <c r="X52"/>
  <c r="AA52" s="1"/>
  <c r="O53" s="1"/>
  <c r="Y53"/>
  <c r="X59"/>
  <c r="AD56"/>
  <c r="AC53"/>
  <c r="Y52"/>
  <c r="AD55"/>
  <c r="AC51"/>
  <c r="Y51"/>
  <c r="Y57" s="1"/>
  <c r="Y59"/>
  <c r="AD54"/>
  <c r="AC52"/>
  <c r="AB56"/>
  <c r="AE56" s="1"/>
  <c r="O57" s="1"/>
  <c r="AB54"/>
  <c r="AE54" s="1"/>
  <c r="O55" s="1"/>
  <c r="AD53"/>
  <c r="AD51"/>
  <c r="AC56"/>
  <c r="AC57" s="1"/>
  <c r="Z57"/>
  <c r="AE51"/>
  <c r="M21" i="8"/>
  <c r="AA24" s="1"/>
  <c r="AB24" s="1"/>
  <c r="AC24" s="1"/>
  <c r="AD24" s="1"/>
  <c r="M25" s="1"/>
  <c r="AA23"/>
  <c r="AB23" s="1"/>
  <c r="AC23" s="1"/>
  <c r="AD23" s="1"/>
  <c r="M24" s="1"/>
  <c r="X57" i="6" l="1"/>
  <c r="AA57" s="1"/>
  <c r="AB57"/>
  <c r="AE57" s="1"/>
  <c r="AD57"/>
  <c r="O58"/>
  <c r="O59" s="1"/>
  <c r="I124" i="11" s="1"/>
  <c r="K125" s="1"/>
  <c r="K126" s="1"/>
  <c r="K127" s="1"/>
  <c r="K129" s="1"/>
  <c r="B131" s="1"/>
  <c r="M26" i="8"/>
  <c r="M28" s="1"/>
  <c r="K131" i="11" l="1"/>
  <c r="O60" i="6"/>
  <c r="O61" s="1"/>
  <c r="O62" s="1"/>
  <c r="O64" s="1"/>
  <c r="A67" s="1"/>
  <c r="O67" l="1"/>
</calcChain>
</file>

<file path=xl/comments1.xml><?xml version="1.0" encoding="utf-8"?>
<comments xmlns="http://schemas.openxmlformats.org/spreadsheetml/2006/main">
  <authors>
    <author>Windows User</author>
  </authors>
  <commentList>
    <comment ref="B11" authorId="0">
      <text/>
    </comment>
    <comment ref="B15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2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N3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R1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S32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R44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<sst xmlns="http://schemas.openxmlformats.org/spreadsheetml/2006/main" count="781" uniqueCount="614">
  <si>
    <t>EMPLOYEE  PERSONAL  DETAIL</t>
  </si>
  <si>
    <t xml:space="preserve">              D;k vkius lefiZr osru fy;k gS \</t>
  </si>
  <si>
    <t>YES</t>
  </si>
  <si>
    <t>;fn gk¡ rks ekg dks lysDV djsaA</t>
  </si>
  <si>
    <t>OCT</t>
  </si>
  <si>
    <t>JAN</t>
  </si>
  <si>
    <t>GPF</t>
  </si>
  <si>
    <t>Jaipur (U.A.)</t>
  </si>
  <si>
    <t>Regular Pay</t>
  </si>
  <si>
    <t xml:space="preserve">         vki fdl vk;q oxZ dh Js.kh esa vkrs gS \</t>
  </si>
  <si>
    <t>Under 60</t>
  </si>
  <si>
    <t xml:space="preserve">           D;k vkidks cksul feyk gS \  %&amp;</t>
  </si>
  <si>
    <t>NO</t>
  </si>
  <si>
    <t>NPS</t>
  </si>
  <si>
    <t>Ajmer</t>
  </si>
  <si>
    <t>Fix Pay</t>
  </si>
  <si>
    <t>foadykax HkÙkk %&amp;</t>
  </si>
  <si>
    <t xml:space="preserve">  vkidks osru fey jgk gS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</si>
  <si>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</si>
  <si>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</si>
  <si>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</si>
  <si>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</si>
  <si>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</si>
  <si>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</si>
  <si>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</si>
  <si>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</si>
  <si>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</si>
  <si>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</si>
  <si>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</si>
  <si>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</si>
  <si>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</si>
  <si>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</si>
  <si>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</si>
  <si>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</si>
  <si>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</si>
  <si>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</si>
  <si>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</si>
  <si>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</si>
  <si>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</si>
  <si>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</si>
  <si>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</si>
  <si>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</si>
  <si>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 xml:space="preserve">Tax Calculate From Month  :-
</t>
  </si>
  <si>
    <t xml:space="preserve">To Month  :-
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</si>
  <si>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</si>
  <si>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</si>
  <si>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</si>
  <si>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</si>
  <si>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</si>
  <si>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</si>
  <si>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</si>
  <si>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</si>
  <si>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</si>
  <si>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</si>
  <si>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</si>
  <si>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</si>
  <si>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</si>
  <si>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</si>
  <si>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</si>
  <si>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</si>
  <si>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</si>
  <si>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</si>
  <si>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</si>
  <si>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</si>
  <si>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</si>
  <si>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</si>
  <si>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</si>
  <si>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</si>
  <si>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</si>
  <si>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r>
      <rPr>
        <b/>
        <sz val="16"/>
        <rFont val="Calibri"/>
        <family val="2"/>
        <scheme val="minor"/>
      </rPr>
      <t xml:space="preserve">    7th PAY  HRA </t>
    </r>
    <r>
      <rPr>
        <b/>
        <sz val="16"/>
        <rFont val="Kruti Dev 010"/>
      </rPr>
      <t>izfr'kr esa %&amp;</t>
    </r>
  </si>
  <si>
    <r>
      <t xml:space="preserve"> </t>
    </r>
    <r>
      <rPr>
        <b/>
        <sz val="16"/>
        <rFont val="Calibri"/>
        <family val="2"/>
        <scheme val="minor"/>
      </rPr>
      <t xml:space="preserve">CCA </t>
    </r>
    <r>
      <rPr>
        <b/>
        <sz val="16"/>
        <rFont val="Kruti Dev 010"/>
      </rPr>
      <t xml:space="preserve">ykxw gks rks </t>
    </r>
    <r>
      <rPr>
        <b/>
        <sz val="16"/>
        <rFont val="Calibri"/>
        <family val="2"/>
        <scheme val="minor"/>
      </rPr>
      <t>CITY</t>
    </r>
    <r>
      <rPr>
        <b/>
        <sz val="16"/>
        <rFont val="Kruti Dev 010"/>
      </rPr>
      <t xml:space="preserve"> lysDV djsa %&amp;</t>
    </r>
  </si>
  <si>
    <r>
      <rPr>
        <b/>
        <sz val="16"/>
        <rFont val="Calibri"/>
        <family val="2"/>
        <scheme val="minor"/>
      </rPr>
      <t>%</t>
    </r>
    <r>
      <rPr>
        <b/>
        <sz val="16"/>
        <rFont val="Kruti Dev 010"/>
      </rPr>
      <t xml:space="preserve">                            </t>
    </r>
    <r>
      <rPr>
        <b/>
        <sz val="16"/>
        <rFont val="Calibri"/>
        <family val="2"/>
        <scheme val="minor"/>
      </rPr>
      <t>GPF / NPS :-</t>
    </r>
    <r>
      <rPr>
        <b/>
        <sz val="16"/>
        <rFont val="Kruti Dev 010"/>
      </rPr>
      <t xml:space="preserve"> </t>
    </r>
  </si>
  <si>
    <r>
      <t xml:space="preserve">BASIC On 01 March 2020   </t>
    </r>
    <r>
      <rPr>
        <b/>
        <sz val="12"/>
        <color rgb="FFFF0000"/>
        <rFont val="Wingdings"/>
        <charset val="2"/>
      </rPr>
      <t>F</t>
    </r>
  </si>
  <si>
    <t>First Unlock Cell Entry Fill Up Then Click On Go to Next Sheet Button</t>
  </si>
  <si>
    <t>is esfVªDl ds vuqlkj is ysoy lysDV djsa  %&amp;</t>
  </si>
  <si>
    <t>S.N.</t>
  </si>
  <si>
    <t>Month</t>
  </si>
  <si>
    <t>Basic with Grade Pay</t>
  </si>
  <si>
    <t>DA</t>
  </si>
  <si>
    <t>HRA</t>
  </si>
  <si>
    <t>Bonus</t>
  </si>
  <si>
    <t>N.P.S. By Govt.</t>
  </si>
  <si>
    <t>TOTAL</t>
  </si>
  <si>
    <t>Corona CM Found</t>
  </si>
  <si>
    <t>Income Tax</t>
  </si>
  <si>
    <t>G.I. + S. Tax</t>
  </si>
  <si>
    <t>Other 1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</si>
  <si>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</si>
  <si>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</si>
  <si>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</si>
  <si>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</si>
  <si>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</si>
  <si>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</si>
  <si>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</si>
  <si>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</si>
  <si>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</si>
  <si>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</si>
  <si>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</si>
  <si>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</si>
  <si>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</si>
  <si>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</si>
  <si>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</si>
  <si>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</si>
  <si>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</si>
  <si>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</si>
  <si>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</si>
  <si>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</si>
  <si>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</si>
  <si>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</si>
  <si>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</si>
  <si>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</si>
  <si>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</si>
  <si>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</si>
  <si>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</si>
  <si>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</si>
  <si>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</si>
  <si>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</si>
  <si>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</si>
  <si>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 xml:space="preserve">Ministerial Staff  Yes/No :- </t>
  </si>
  <si>
    <t>Other Arrear</t>
  </si>
  <si>
    <t xml:space="preserve">Other </t>
  </si>
  <si>
    <t>Do You want to Freeze Your March Salary By Order</t>
  </si>
  <si>
    <t>RPMF</t>
  </si>
  <si>
    <t>GPF Loan</t>
  </si>
  <si>
    <t>SI Loan</t>
  </si>
  <si>
    <t>PD Head Select Yes/No :-</t>
  </si>
  <si>
    <r>
      <rPr>
        <b/>
        <sz val="16"/>
        <rFont val="Calibri"/>
        <family val="2"/>
        <scheme val="minor"/>
      </rPr>
      <t>CCA</t>
    </r>
    <r>
      <rPr>
        <sz val="12"/>
        <rFont val="Calibri"/>
        <family val="2"/>
      </rPr>
      <t xml:space="preserve"> </t>
    </r>
    <r>
      <rPr>
        <b/>
        <sz val="16"/>
        <rFont val="Kruti Dev 010"/>
      </rPr>
      <t xml:space="preserve">yxrk gSa rks </t>
    </r>
    <r>
      <rPr>
        <b/>
        <sz val="16"/>
        <rFont val="Calibri"/>
        <family val="2"/>
        <scheme val="minor"/>
      </rPr>
      <t xml:space="preserve">select Yes / No   </t>
    </r>
    <r>
      <rPr>
        <b/>
        <sz val="16"/>
        <rFont val="Kruti Dev 010"/>
      </rPr>
      <t>%&amp;</t>
    </r>
  </si>
  <si>
    <r>
      <t xml:space="preserve">jktif=d vf/kdkjh ds fy, </t>
    </r>
    <r>
      <rPr>
        <b/>
        <sz val="14"/>
        <rFont val="Calibri"/>
        <family val="2"/>
        <scheme val="minor"/>
      </rPr>
      <t xml:space="preserve"> select Yes / No </t>
    </r>
    <r>
      <rPr>
        <b/>
        <sz val="14"/>
        <rFont val="Kruti Dev 010"/>
      </rPr>
      <t xml:space="preserve">  %&amp;</t>
    </r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</si>
  <si>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</si>
  <si>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1- edku fdjk;k HkRrk ¼;fn jlhn ds ek/;e ls NwV ysuh gS rks½</t>
  </si>
  <si>
    <t>osru dVkSrh ds vfrfjDr dVkSfr;k ftlds rgr vki vk;dj esa NwV pkgrs gSa] rFkk vfrfjDr ¼vU;½ vk; dks ;gkW ij bUnzkt djsA</t>
  </si>
  <si>
    <t>osru Mªk ekufp=</t>
  </si>
  <si>
    <t>PAN No. :-</t>
  </si>
  <si>
    <t>SI No.</t>
  </si>
  <si>
    <t>Bank A/C.</t>
  </si>
  <si>
    <t>osru tks fn;k x;k</t>
  </si>
  <si>
    <t>dVkSfr;kWa tks dh xbZ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</si>
  <si>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</si>
  <si>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</si>
  <si>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</si>
  <si>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GPF / NPS</t>
  </si>
  <si>
    <t>Usha Paliya</t>
  </si>
  <si>
    <t>Mahatma Gandhi Govt. School (English Medium) Bar, PALI</t>
  </si>
  <si>
    <t>M.G.G.S. Bar</t>
  </si>
  <si>
    <t>uke deZpkjh %</t>
  </si>
  <si>
    <t xml:space="preserve"> in %</t>
  </si>
  <si>
    <t>PAN :</t>
  </si>
  <si>
    <t>#-</t>
  </si>
  <si>
    <t>E</t>
  </si>
  <si>
    <r>
      <t>x`g fdjk;k] /kkjk 10¼</t>
    </r>
    <r>
      <rPr>
        <sz val="12"/>
        <rFont val="Calibri"/>
        <family val="2"/>
        <scheme val="minor"/>
      </rPr>
      <t>13-</t>
    </r>
    <r>
      <rPr>
        <sz val="9"/>
        <rFont val="Calibri"/>
        <family val="2"/>
        <scheme val="minor"/>
      </rPr>
      <t>A</t>
    </r>
    <r>
      <rPr>
        <sz val="12"/>
        <rFont val="Kruti Dev 010"/>
      </rPr>
      <t xml:space="preserve">½ ds vUrxrZ ,oa /kkjk 10¼14½ds vUrxrZ vU; Hkrs tks dj eqDÙk gSA </t>
    </r>
  </si>
  <si>
    <t xml:space="preserve">                                                              'ks"k ¼2&amp;3½</t>
  </si>
  <si>
    <r>
      <t xml:space="preserve"> ¼</t>
    </r>
    <r>
      <rPr>
        <sz val="12"/>
        <rFont val="Calibri"/>
        <family val="2"/>
        <scheme val="minor"/>
      </rPr>
      <t>i</t>
    </r>
    <r>
      <rPr>
        <sz val="12"/>
        <rFont val="Kruti Dev 010"/>
      </rPr>
      <t>½euksjatu Hkrk /kkjk 16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</si>
  <si>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</t>
    </r>
    <r>
      <rPr>
        <sz val="12"/>
        <rFont val="Kruti Dev 010"/>
      </rPr>
      <t>½ O;o;k; dj /kkjk 16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 xml:space="preserve">½ ds vUrxrZ </t>
    </r>
  </si>
  <si>
    <r>
      <t xml:space="preserve"> ¼</t>
    </r>
    <r>
      <rPr>
        <sz val="12"/>
        <rFont val="Calibri"/>
        <family val="2"/>
        <scheme val="minor"/>
      </rPr>
      <t>iii</t>
    </r>
    <r>
      <rPr>
        <sz val="12"/>
        <rFont val="Kruti Dev 010"/>
      </rPr>
      <t>½ LVs.MMZ fMMsD'ku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(Standard Deduction)</t>
    </r>
    <r>
      <rPr>
        <sz val="10"/>
        <rFont val="Kruti Dev 010"/>
      </rPr>
      <t xml:space="preserve">  </t>
    </r>
    <r>
      <rPr>
        <sz val="12"/>
        <rFont val="Kruti Dev 010"/>
      </rPr>
      <t>50]000 ¼vf/kdre½</t>
    </r>
  </si>
  <si>
    <t xml:space="preserve">                                                           'ks"k ¼4&amp;5½</t>
  </si>
  <si>
    <t>¼v½x`g lEifr ls vk;%¼1½ Loa; ds mi;ksx esa &amp;'kwU;</t>
  </si>
  <si>
    <t>¼2½ izkIr fdjk;k #-</t>
  </si>
  <si>
    <t xml:space="preserve">¼c½ ?kVk;sa </t>
  </si>
  <si>
    <r>
      <t xml:space="preserve"> fdjk;s dk </t>
    </r>
    <r>
      <rPr>
        <sz val="10"/>
        <rFont val="Calibri"/>
        <family val="2"/>
        <scheme val="minor"/>
      </rPr>
      <t>30%</t>
    </r>
  </si>
  <si>
    <t xml:space="preserve"> x`g _.k ij C;kt</t>
  </si>
  <si>
    <t xml:space="preserve"> x`gdj </t>
  </si>
  <si>
    <t xml:space="preserve">  ;ksx 7¼c½</t>
  </si>
  <si>
    <t xml:space="preserve"> 'ks"k &amp;@$¼7¼v½ ,oa ;ksx 7¼c½ dk½  </t>
  </si>
  <si>
    <t>cpr [kkrs ij C;kt %</t>
  </si>
  <si>
    <t>dqy 'ks"k &amp;@$¼6,oa 7½</t>
  </si>
  <si>
    <t>vU; vk;  %</t>
  </si>
  <si>
    <t xml:space="preserve"> ;ksx ¼8$9½</t>
  </si>
  <si>
    <t xml:space="preserve">ldy vk;                                                                                     </t>
  </si>
  <si>
    <r>
      <rPr>
        <b/>
        <sz val="12"/>
        <rFont val="Kruti Dev 010"/>
      </rPr>
      <t xml:space="preserve">?kVkb;s dVkSSfr;k¡ %&amp; /kkjk </t>
    </r>
    <r>
      <rPr>
        <b/>
        <sz val="12"/>
        <rFont val="Calibri"/>
        <family val="2"/>
        <scheme val="minor"/>
      </rPr>
      <t xml:space="preserve">US </t>
    </r>
    <r>
      <rPr>
        <b/>
        <sz val="10"/>
        <rFont val="Arial"/>
        <family val="2"/>
      </rPr>
      <t>80C, 80CCC,80CCD (1)</t>
    </r>
  </si>
  <si>
    <r>
      <t xml:space="preserve">(A) </t>
    </r>
    <r>
      <rPr>
        <sz val="10"/>
        <rFont val="Kruti Dev 010"/>
      </rPr>
      <t xml:space="preserve">vf/kdre lhek </t>
    </r>
    <r>
      <rPr>
        <sz val="10"/>
        <rFont val="DevLys 010"/>
      </rPr>
      <t xml:space="preserve">1]50]000@&amp; </t>
    </r>
    <r>
      <rPr>
        <sz val="10"/>
        <rFont val="Kruti Dev 010"/>
      </rPr>
      <t>¼/kkjk</t>
    </r>
    <r>
      <rPr>
        <sz val="10"/>
        <rFont val="DevLys 010"/>
      </rPr>
      <t xml:space="preserve"> </t>
    </r>
    <r>
      <rPr>
        <sz val="10"/>
        <rFont val="Arial"/>
        <family val="2"/>
      </rPr>
      <t>80CCE</t>
    </r>
    <r>
      <rPr>
        <sz val="10"/>
        <rFont val="DevLys 010"/>
      </rPr>
      <t xml:space="preserve"> </t>
    </r>
    <r>
      <rPr>
        <sz val="10"/>
        <rFont val="Kruti Dev 010"/>
      </rPr>
      <t xml:space="preserve">½ ] ¼/kkjk </t>
    </r>
    <r>
      <rPr>
        <sz val="10"/>
        <rFont val="Arial"/>
        <family val="2"/>
      </rPr>
      <t xml:space="preserve">80CCD (2), </t>
    </r>
    <r>
      <rPr>
        <sz val="10"/>
        <rFont val="Kruti Dev 010"/>
      </rPr>
      <t>ds vykok</t>
    </r>
  </si>
  <si>
    <t>(i)</t>
  </si>
  <si>
    <r>
      <t>jkT; chek</t>
    </r>
    <r>
      <rPr>
        <sz val="11"/>
        <rFont val="Calibri"/>
        <family val="2"/>
        <scheme val="minor"/>
      </rPr>
      <t xml:space="preserve"> </t>
    </r>
    <r>
      <rPr>
        <sz val="11"/>
        <rFont val="Kruti Dev 010"/>
      </rPr>
      <t>¼</t>
    </r>
    <r>
      <rPr>
        <sz val="11"/>
        <rFont val="Calibri"/>
        <family val="2"/>
        <scheme val="minor"/>
      </rPr>
      <t>SI)</t>
    </r>
  </si>
  <si>
    <t>(xi)</t>
  </si>
  <si>
    <r>
      <t xml:space="preserve">isa'ku ;kstuk esa va'knku </t>
    </r>
    <r>
      <rPr>
        <b/>
        <sz val="10"/>
        <rFont val="Calibri"/>
        <family val="2"/>
        <scheme val="minor"/>
      </rPr>
      <t xml:space="preserve">ECPF </t>
    </r>
    <r>
      <rPr>
        <b/>
        <sz val="10"/>
        <rFont val="Kruti Dev 010"/>
      </rPr>
      <t xml:space="preserve">/kkjk </t>
    </r>
    <r>
      <rPr>
        <b/>
        <sz val="10"/>
        <rFont val="Calibri"/>
        <family val="2"/>
        <scheme val="minor"/>
      </rPr>
      <t>80ccd(1</t>
    </r>
    <r>
      <rPr>
        <b/>
        <sz val="10"/>
        <rFont val="Kruti Dev 010"/>
      </rPr>
      <t>½</t>
    </r>
    <r>
      <rPr>
        <sz val="10"/>
        <rFont val="Kruti Dev 010"/>
      </rPr>
      <t xml:space="preserve">
</t>
    </r>
  </si>
  <si>
    <t>(ii)</t>
  </si>
  <si>
    <r>
      <t>thou chek izhfe;e ¼</t>
    </r>
    <r>
      <rPr>
        <sz val="11"/>
        <rFont val="Calibri"/>
        <family val="2"/>
        <scheme val="minor"/>
      </rPr>
      <t>LIC)</t>
    </r>
  </si>
  <si>
    <t>(xii)</t>
  </si>
  <si>
    <r>
      <t xml:space="preserve">isa'ku Iyku gsrq va'knku ¼/kkjk </t>
    </r>
    <r>
      <rPr>
        <sz val="11"/>
        <rFont val="Calibri"/>
        <family val="2"/>
        <scheme val="minor"/>
      </rPr>
      <t>80ccc</t>
    </r>
    <r>
      <rPr>
        <sz val="11"/>
        <rFont val="Kruti Dev 010"/>
      </rPr>
      <t>½</t>
    </r>
  </si>
  <si>
    <t>(iii)</t>
  </si>
  <si>
    <r>
      <t>jk"Vªh; cpr i= ¼</t>
    </r>
    <r>
      <rPr>
        <sz val="11"/>
        <rFont val="Calibri"/>
        <family val="2"/>
        <scheme val="minor"/>
      </rPr>
      <t>NSC)</t>
    </r>
  </si>
  <si>
    <t>(xiii)</t>
  </si>
  <si>
    <t>jk"Vªh; cpr i= ij vnr C;kt</t>
  </si>
  <si>
    <t>(iv)</t>
  </si>
  <si>
    <r>
      <t>yksd Hkfo"; fuf/k ¼</t>
    </r>
    <r>
      <rPr>
        <sz val="11"/>
        <rFont val="Calibri"/>
        <family val="2"/>
        <scheme val="minor"/>
      </rPr>
      <t>PPF)</t>
    </r>
  </si>
  <si>
    <t>(xiv)</t>
  </si>
  <si>
    <t xml:space="preserve">V;w'ku Qhl </t>
  </si>
  <si>
    <t>(v)</t>
  </si>
  <si>
    <r>
      <t>jk"Vªh; cpr Ldhe ¼</t>
    </r>
    <r>
      <rPr>
        <sz val="11"/>
        <rFont val="Calibri"/>
        <family val="2"/>
        <scheme val="minor"/>
      </rPr>
      <t>NSS)</t>
    </r>
  </si>
  <si>
    <t>(xv)</t>
  </si>
  <si>
    <t>bfDoVh fyad lsfoax Ldhe</t>
  </si>
  <si>
    <t>(vi)</t>
  </si>
  <si>
    <r>
      <t>lkekU; izko/kk;h fuf/k ¼</t>
    </r>
    <r>
      <rPr>
        <sz val="11"/>
        <rFont val="Calibri"/>
        <family val="2"/>
        <scheme val="minor"/>
      </rPr>
      <t>GPF)</t>
    </r>
  </si>
  <si>
    <t>(xvi)</t>
  </si>
  <si>
    <r>
      <t>LFkfxr okf"kZdh ¼</t>
    </r>
    <r>
      <rPr>
        <sz val="11"/>
        <rFont val="Calibri"/>
        <family val="2"/>
        <scheme val="minor"/>
      </rPr>
      <t>Defferred Annuty)</t>
    </r>
  </si>
  <si>
    <t>(vii)</t>
  </si>
  <si>
    <r>
      <t>lkewfgd chek izhfe;e ¼</t>
    </r>
    <r>
      <rPr>
        <sz val="11"/>
        <rFont val="Calibri"/>
        <family val="2"/>
        <scheme val="minor"/>
      </rPr>
      <t>G.Ins.)</t>
    </r>
  </si>
  <si>
    <t>(xvii)</t>
  </si>
  <si>
    <r>
      <t xml:space="preserve">ih-,y-vkbZ- </t>
    </r>
    <r>
      <rPr>
        <b/>
        <sz val="10"/>
        <rFont val="Kruti Dev 010"/>
      </rPr>
      <t>¼</t>
    </r>
    <r>
      <rPr>
        <b/>
        <sz val="10"/>
        <rFont val="Calibri"/>
        <family val="2"/>
        <scheme val="minor"/>
      </rPr>
      <t>PLI)</t>
    </r>
  </si>
  <si>
    <t>(viii)</t>
  </si>
  <si>
    <t>;w- ,y- vkbZ- ih-@okf"kZd Iyku</t>
  </si>
  <si>
    <t>(xviii)</t>
  </si>
  <si>
    <t>(ix)</t>
  </si>
  <si>
    <r>
      <t>x`g _.k fdLr ¼</t>
    </r>
    <r>
      <rPr>
        <sz val="11"/>
        <rFont val="Calibri"/>
        <family val="2"/>
        <scheme val="minor"/>
      </rPr>
      <t>HBA Premium)</t>
    </r>
  </si>
  <si>
    <t>(xix)</t>
  </si>
  <si>
    <t>lqdU;k le`f) ;kstuk esa tek jkf'k</t>
  </si>
  <si>
    <t>(x)</t>
  </si>
  <si>
    <r>
      <t xml:space="preserve">osru ls vfrfjDr thou chek </t>
    </r>
    <r>
      <rPr>
        <sz val="10"/>
        <rFont val="Calibri"/>
        <family val="2"/>
        <scheme val="minor"/>
      </rPr>
      <t>(Extra LIC)</t>
    </r>
  </si>
  <si>
    <t>(xx)</t>
  </si>
  <si>
    <r>
      <rPr>
        <b/>
        <sz val="12"/>
        <rFont val="Kruti Dev 010"/>
      </rPr>
      <t>;ksx</t>
    </r>
    <r>
      <rPr>
        <b/>
        <sz val="12"/>
        <rFont val="Times New Roman"/>
        <family val="1"/>
      </rPr>
      <t xml:space="preserve"> ( i </t>
    </r>
    <r>
      <rPr>
        <b/>
        <sz val="12"/>
        <rFont val="Kruti Dev 010"/>
      </rPr>
      <t>ls</t>
    </r>
    <r>
      <rPr>
        <b/>
        <sz val="12"/>
        <rFont val="Times New Roman"/>
        <family val="1"/>
      </rPr>
      <t xml:space="preserve"> xviii )</t>
    </r>
  </si>
  <si>
    <t xml:space="preserve">                        vf/kdre dVkSrh dh jkf'k 1-50 yk[k #i, rd</t>
  </si>
  <si>
    <r>
      <rPr>
        <sz val="10"/>
        <rFont val="Arial"/>
        <family val="2"/>
      </rPr>
      <t>(B)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?kVkb;s&amp; /kkjk</t>
    </r>
    <r>
      <rPr>
        <sz val="12"/>
        <rFont val="DevLys 010"/>
      </rPr>
      <t xml:space="preserve"> </t>
    </r>
    <r>
      <rPr>
        <sz val="10"/>
        <rFont val="Calibri"/>
        <family val="2"/>
        <scheme val="minor"/>
      </rPr>
      <t>80CCD(2)</t>
    </r>
    <r>
      <rPr>
        <sz val="12"/>
        <rFont val="DevLys 010"/>
      </rPr>
      <t xml:space="preserve"> </t>
    </r>
    <r>
      <rPr>
        <sz val="12"/>
        <rFont val="Kruti Dev 010"/>
      </rPr>
      <t xml:space="preserve">fu;ksDrk }kjk isa'ku va'knku dh jkf'k ¼vf/kdre osru dk </t>
    </r>
    <r>
      <rPr>
        <sz val="12"/>
        <rFont val="Calibri"/>
        <family val="2"/>
        <scheme val="minor"/>
      </rPr>
      <t>10</t>
    </r>
    <r>
      <rPr>
        <sz val="9"/>
        <rFont val="Calibri"/>
        <family val="2"/>
        <scheme val="minor"/>
      </rPr>
      <t>%</t>
    </r>
    <r>
      <rPr>
        <sz val="12"/>
        <rFont val="Calibri"/>
        <family val="2"/>
        <scheme val="minor"/>
      </rPr>
      <t>)</t>
    </r>
    <r>
      <rPr>
        <sz val="12"/>
        <rFont val="Kruti Dev 010"/>
      </rPr>
      <t xml:space="preserve"> i`Fkd ls NwV</t>
    </r>
  </si>
  <si>
    <r>
      <rPr>
        <sz val="10"/>
        <rFont val="Arial"/>
        <family val="2"/>
      </rPr>
      <t>(C)</t>
    </r>
    <r>
      <rPr>
        <sz val="12"/>
        <rFont val="Arial"/>
        <family val="2"/>
      </rPr>
      <t xml:space="preserve"> </t>
    </r>
    <r>
      <rPr>
        <sz val="12"/>
        <rFont val="Kruti Dev 010"/>
      </rPr>
      <t>?kVkb;s &amp; /kkjk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80CCD (1B)</t>
    </r>
    <r>
      <rPr>
        <sz val="12"/>
        <rFont val="Arial"/>
        <family val="2"/>
      </rPr>
      <t xml:space="preserve"> </t>
    </r>
    <r>
      <rPr>
        <sz val="12"/>
        <rFont val="Kruti Dev 010"/>
      </rPr>
      <t>uohu isa'ku ;kstuk esa vfrfjDr va'knku ¼vf/kdre :- 50]000</t>
    </r>
    <r>
      <rPr>
        <sz val="12"/>
        <rFont val="Arial"/>
        <family val="2"/>
      </rPr>
      <t>)</t>
    </r>
  </si>
  <si>
    <r>
      <t xml:space="preserve">;ksx </t>
    </r>
    <r>
      <rPr>
        <sz val="13"/>
        <rFont val="Calibri"/>
        <family val="2"/>
        <scheme val="minor"/>
      </rPr>
      <t xml:space="preserve">11(A+B+C)      </t>
    </r>
  </si>
  <si>
    <t xml:space="preserve"> vU; dVkSfr;k¡</t>
  </si>
  <si>
    <r>
      <t xml:space="preserve">1-/kkjk </t>
    </r>
    <r>
      <rPr>
        <sz val="10"/>
        <rFont val="Calibri"/>
        <family val="2"/>
        <scheme val="minor"/>
      </rPr>
      <t>80 D</t>
    </r>
    <r>
      <rPr>
        <sz val="12"/>
        <rFont val="Kruti Dev 010"/>
      </rPr>
      <t xml:space="preserve"> fpfdRlk chek izhfe;e </t>
    </r>
    <r>
      <rPr>
        <sz val="10"/>
        <rFont val="Kruti Dev 010"/>
      </rPr>
      <t>¼Lo;a]ifr@iRuh o cPpksa ds fy, : 25000] ekrk&amp;firk ds fy, : 25000]lhfu;j flVhtu : 50000½</t>
    </r>
  </si>
  <si>
    <r>
      <t xml:space="preserve">2- /kkjk </t>
    </r>
    <r>
      <rPr>
        <sz val="10"/>
        <rFont val="Calibri"/>
        <family val="2"/>
        <scheme val="minor"/>
      </rPr>
      <t>80DD</t>
    </r>
    <r>
      <rPr>
        <sz val="12"/>
        <rFont val="Kruti Dev 010"/>
      </rPr>
      <t xml:space="preserve"> fodykax vkfJrksa ds fpfdRlk mipkj </t>
    </r>
    <r>
      <rPr>
        <sz val="11"/>
        <rFont val="Kruti Dev 010"/>
      </rPr>
      <t xml:space="preserve">¼vf/kdre 75]000 rFkk </t>
    </r>
    <r>
      <rPr>
        <sz val="10"/>
        <rFont val="Calibri"/>
        <family val="2"/>
        <scheme val="minor"/>
      </rPr>
      <t>80%</t>
    </r>
    <r>
      <rPr>
        <sz val="11"/>
        <rFont val="Kruti Dev 010"/>
      </rPr>
      <t xml:space="preserve"> ;k vf/kd fodykaxrk 125]000½</t>
    </r>
  </si>
  <si>
    <r>
      <t xml:space="preserve">3- /kkjk </t>
    </r>
    <r>
      <rPr>
        <sz val="10"/>
        <rFont val="Calibri"/>
        <family val="2"/>
        <scheme val="minor"/>
      </rPr>
      <t>80DDB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fof'k"V jksaxksa ds mipkj gsrq dVkSrh </t>
    </r>
    <r>
      <rPr>
        <sz val="11"/>
        <rFont val="Kruti Dev 010"/>
      </rPr>
      <t>¼vf/kdre : 40]000] lhfu;j flVhtu gsrq : 100]000½</t>
    </r>
  </si>
  <si>
    <r>
      <t xml:space="preserve">4- /kkjk </t>
    </r>
    <r>
      <rPr>
        <sz val="10"/>
        <rFont val="Calibri"/>
        <family val="2"/>
        <scheme val="minor"/>
      </rPr>
      <t>80E</t>
    </r>
    <r>
      <rPr>
        <sz val="12"/>
        <rFont val="Kruti Dev 010"/>
      </rPr>
      <t xml:space="preserve"> mPp f'k{kk gsrq fy, _.k dk C;kt</t>
    </r>
  </si>
  <si>
    <r>
      <t xml:space="preserve">6- /kkjk </t>
    </r>
    <r>
      <rPr>
        <sz val="10"/>
        <rFont val="Calibri"/>
        <family val="2"/>
        <scheme val="minor"/>
      </rPr>
      <t>80U</t>
    </r>
    <r>
      <rPr>
        <sz val="12"/>
        <rFont val="Calibri"/>
        <family val="2"/>
        <scheme val="minor"/>
      </rPr>
      <t xml:space="preserve"> </t>
    </r>
    <r>
      <rPr>
        <sz val="12"/>
        <rFont val="Kruti Dev 010"/>
      </rPr>
      <t xml:space="preserve">LFkkbZ :i ls 'kkjhfjd vleFkZrrk dh n'kk esa </t>
    </r>
    <r>
      <rPr>
        <sz val="11"/>
        <rFont val="Kruti Dev 010"/>
      </rPr>
      <t>¼vf/kdre 75]000 rFkk  vf/kfu;e 1995ds vuqlkj 125]000½</t>
    </r>
  </si>
  <si>
    <r>
      <t xml:space="preserve">7- /kkjk </t>
    </r>
    <r>
      <rPr>
        <sz val="10"/>
        <rFont val="Calibri"/>
        <family val="2"/>
        <scheme val="minor"/>
      </rPr>
      <t>80 TTA</t>
    </r>
    <r>
      <rPr>
        <sz val="12"/>
        <rFont val="Kruti Dev 010"/>
      </rPr>
      <t xml:space="preserve"> cpr [kkrs ij vf/kdre C;kt :- 10]000 </t>
    </r>
    <r>
      <rPr>
        <sz val="10"/>
        <rFont val="Calibri"/>
        <family val="2"/>
        <scheme val="minor"/>
      </rPr>
      <t xml:space="preserve">194(IA)  , </t>
    </r>
    <r>
      <rPr>
        <sz val="11"/>
        <rFont val="Calibri"/>
        <family val="2"/>
        <scheme val="minor"/>
      </rPr>
      <t xml:space="preserve">( </t>
    </r>
    <r>
      <rPr>
        <sz val="11"/>
        <rFont val="Kruti Dev 010"/>
      </rPr>
      <t>ofj"B ukxfjdks C;kt ij NwV 50000rd ½</t>
    </r>
  </si>
  <si>
    <r>
      <t xml:space="preserve">8- /kkjk </t>
    </r>
    <r>
      <rPr>
        <sz val="10"/>
        <rFont val="Calibri"/>
        <family val="2"/>
        <scheme val="minor"/>
      </rPr>
      <t>80 GGA</t>
    </r>
    <r>
      <rPr>
        <sz val="12"/>
        <rFont val="Kruti Dev 010"/>
      </rPr>
      <t xml:space="preserve"> vuqeksfnr oSKkfud] lkekftd] xzkeh.k fodkl vkfn gsrq fn;k x;k nku</t>
    </r>
  </si>
  <si>
    <t>dqy ;ksx 12 ¼ 1 ls 8 rd ½</t>
  </si>
  <si>
    <r>
      <t xml:space="preserve">dqy dVkSrh </t>
    </r>
    <r>
      <rPr>
        <b/>
        <sz val="10"/>
        <rFont val="Calibri"/>
        <family val="2"/>
        <scheme val="minor"/>
      </rPr>
      <t>( 11 + 12)</t>
    </r>
  </si>
  <si>
    <r>
      <t>dj ;ksX; vk;</t>
    </r>
    <r>
      <rPr>
        <sz val="12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( 10 - 13 )</t>
    </r>
  </si>
  <si>
    <r>
      <t xml:space="preserve">dqy vk; dh jkf'k dks lEiw.kZ djuk ¼ nl ds xq.kd esa ½ /kkjk </t>
    </r>
    <r>
      <rPr>
        <b/>
        <sz val="11"/>
        <rFont val="Calibri"/>
        <family val="2"/>
        <scheme val="minor"/>
      </rPr>
      <t>288A</t>
    </r>
  </si>
  <si>
    <t xml:space="preserve"> vk;dj dh x.kuk  mijksDr dkWye 15 ds vk/kkj ij</t>
  </si>
  <si>
    <t>,d O;fDr dj nkrk</t>
  </si>
  <si>
    <t>ofj"B ukxfjd ¼60 ls 80 o"kZ rd½</t>
  </si>
  <si>
    <t>80 o"kZ ;k vf/kd vk;q</t>
  </si>
  <si>
    <t>¼1½ ;ksx vk;dj</t>
  </si>
  <si>
    <t>¼3½ 'ks"k vk;dj ¼1&amp;2½</t>
  </si>
  <si>
    <r>
      <t xml:space="preserve">¼4½ </t>
    </r>
    <r>
      <rPr>
        <sz val="12"/>
        <rFont val="Kruti Dev 010"/>
      </rPr>
      <t/>
    </r>
  </si>
  <si>
    <r>
      <t xml:space="preserve">f'k{kk ,oa fpfdRlk midj </t>
    </r>
    <r>
      <rPr>
        <sz val="12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4% </t>
    </r>
    <r>
      <rPr>
        <sz val="11"/>
        <rFont val="Kruti Dev 010"/>
      </rPr>
      <t xml:space="preserve"> ¼vk;dj ij ½</t>
    </r>
  </si>
  <si>
    <t xml:space="preserve">                                                             dqy vk;dj ¼3$4½</t>
  </si>
  <si>
    <t xml:space="preserve">?kVkb;s  %&amp; jkgr /kkjk 89 ds rgr </t>
  </si>
  <si>
    <t>dqy 'ks"k vk;dj</t>
  </si>
  <si>
    <t xml:space="preserve"> vk;dj dVkSrh
 dk fooj.k</t>
  </si>
  <si>
    <t xml:space="preserve">dqy;ksx dkWye 19 </t>
  </si>
  <si>
    <t>gLrk{kj dkfeZd</t>
  </si>
  <si>
    <r>
      <t xml:space="preserve">vk; % </t>
    </r>
    <r>
      <rPr>
        <sz val="11.5"/>
        <rFont val="Kruti Dev 010"/>
      </rPr>
      <t>o"kZ&amp;2020&amp;21 esa izkIr dqy osru ¼ dj ;ksX; lqfo/kkvksa ds eqY; lfgr ½</t>
    </r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</si>
  <si>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</si>
  <si>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</si>
  <si>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</si>
  <si>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</si>
  <si>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</si>
  <si>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</si>
  <si>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</si>
  <si>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r>
      <t xml:space="preserve">Enter net taxable income for 2015-16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</si>
  <si>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2015-16 </t>
    </r>
    <r>
      <rPr>
        <b/>
        <sz val="12"/>
        <color theme="1"/>
        <rFont val="Kruti Dev 010"/>
      </rPr>
      <t>¼bl l= 2015&amp;16 dh feyus okyh ,fj;j jkf'k ½</t>
    </r>
  </si>
  <si>
    <t>FINANCIAL YEAR- 2016-17</t>
  </si>
  <si>
    <r>
      <t xml:space="preserve">Enter net taxable income for 2016-17 (as per ITR/Form-16) </t>
    </r>
    <r>
      <rPr>
        <b/>
        <sz val="12"/>
        <color theme="1"/>
        <rFont val="Kruti Dev 010"/>
      </rPr>
      <t>¼'kq) dj ;ksX; vk; nl ds xq.kkad esa ½</t>
    </r>
  </si>
  <si>
    <t>fiNys lkyksa dh ,UV~zh;k eS;qyh VkbZi djds lko/kkuh ls fy[ksaA</t>
  </si>
  <si>
    <r>
      <t xml:space="preserve">Enter arrears relates to 2016-17  </t>
    </r>
    <r>
      <rPr>
        <b/>
        <sz val="12"/>
        <color theme="1"/>
        <rFont val="Kruti Dev 010"/>
      </rPr>
      <t>¼bl l= 2016&amp;17 dh feyus okyh ,fj;j jkf'k ½</t>
    </r>
  </si>
  <si>
    <t>FINANCIAL YEAR- 2017-18</t>
  </si>
  <si>
    <r>
      <t xml:space="preserve">Enter net taxable income for 2017-18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</si>
  <si>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2017-18  </t>
    </r>
    <r>
      <rPr>
        <b/>
        <sz val="12"/>
        <color theme="1"/>
        <rFont val="Kruti Dev 010"/>
      </rPr>
      <t>¼bl l= 2017&amp;18 dh feyus okyh ,fj;j jkf'k ½</t>
    </r>
  </si>
  <si>
    <t>FINANCIAL YEAR- 2018-19</t>
  </si>
  <si>
    <r>
      <t xml:space="preserve">Enter net taxable income for 2018-19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</si>
  <si>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2018-19     </t>
    </r>
    <r>
      <rPr>
        <b/>
        <sz val="12"/>
        <color theme="1"/>
        <rFont val="Kruti Dev 010"/>
      </rPr>
      <t>¼bl l= 2018&amp;19 dh feyus okyh ,fj;j jkf'k ½</t>
    </r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</si>
  <si>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</si>
  <si>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</si>
  <si>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</si>
  <si>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</si>
  <si>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</si>
  <si>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</si>
  <si>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</si>
  <si>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</si>
  <si>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</si>
  <si>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</si>
  <si>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</si>
  <si>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</si>
  <si>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</si>
  <si>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</si>
  <si>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</si>
  <si>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</si>
  <si>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</si>
  <si>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</si>
  <si>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</si>
  <si>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</si>
  <si>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</si>
  <si>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</si>
  <si>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</si>
  <si>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</si>
  <si>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</si>
  <si>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</si>
  <si>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</si>
  <si>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</si>
  <si>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</si>
  <si>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</si>
  <si>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</si>
  <si>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</si>
  <si>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</si>
  <si>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</si>
  <si>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</si>
  <si>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</si>
  <si>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</si>
  <si>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</si>
  <si>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YEAR- 2012-13</t>
  </si>
  <si>
    <r>
      <t xml:space="preserve">Enter net taxable income for 2012-13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</si>
  <si>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2012-13 </t>
    </r>
    <r>
      <rPr>
        <b/>
        <sz val="12"/>
        <color theme="1"/>
        <rFont val="Kruti Dev 010"/>
      </rPr>
      <t>¼bl l= 2012&amp;13 dh feyus okyh ,fj;j jkf'k ½</t>
    </r>
  </si>
  <si>
    <t>FINANCIAL YEAR- 2013-14</t>
  </si>
  <si>
    <r>
      <t xml:space="preserve">Enter net taxable income for 2013-14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</si>
  <si>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2013-14 </t>
    </r>
    <r>
      <rPr>
        <b/>
        <sz val="12"/>
        <color theme="1"/>
        <rFont val="Kruti Dev 010"/>
      </rPr>
      <t>¼bl l= 2013&amp;14 dh feyus okyh ,fj;j jkf'k ½</t>
    </r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</si>
  <si>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</si>
  <si>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</si>
  <si>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</si>
  <si>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</si>
  <si>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</si>
  <si>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</si>
  <si>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</si>
  <si>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</si>
  <si>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</si>
  <si>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</si>
  <si>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</si>
  <si>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</si>
  <si>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</si>
  <si>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</si>
  <si>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</si>
  <si>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</si>
  <si>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</si>
  <si>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</si>
  <si>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</si>
  <si>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</si>
  <si>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DA Arrear jul 19 to dec 20</t>
  </si>
  <si>
    <t>DA Arrear jan 20 to feb 20</t>
  </si>
  <si>
    <t xml:space="preserve">Which Option will you Choose for DA Arrear 17%  </t>
  </si>
  <si>
    <t>How many months July-19 to Dec-19</t>
  </si>
  <si>
    <t>How many months Jan-20 to Feb-20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</si>
  <si>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</si>
  <si>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</si>
  <si>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</si>
  <si>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</si>
  <si>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</si>
  <si>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</si>
  <si>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</si>
  <si>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</si>
  <si>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</si>
  <si>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</si>
  <si>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r>
      <t xml:space="preserve">Bonds </t>
    </r>
    <r>
      <rPr>
        <sz val="12"/>
        <rFont val="Kruti Dev 010"/>
      </rPr>
      <t>ls C;kt</t>
    </r>
  </si>
  <si>
    <t>2020-2021</t>
  </si>
  <si>
    <t>vk;dj x.kuk izi= o"kZ &amp;</t>
  </si>
  <si>
    <t>¼dj fu/kkZj.k o"kZ &amp;</t>
  </si>
  <si>
    <r>
      <t>2- LVs.MMZ fMMsD'ku</t>
    </r>
    <r>
      <rPr>
        <b/>
        <sz val="14"/>
        <color rgb="FFFFC000"/>
        <rFont val="Calibri"/>
        <family val="2"/>
        <scheme val="minor"/>
      </rPr>
      <t xml:space="preserve"> (Standard Deduction)</t>
    </r>
    <r>
      <rPr>
        <b/>
        <sz val="14"/>
        <color rgb="FFFFC000"/>
        <rFont val="Kruti Dev 010"/>
      </rPr>
      <t xml:space="preserve">  50]000 ¼vf/kdre½</t>
    </r>
  </si>
  <si>
    <r>
      <t xml:space="preserve">3- euksjatu Hkrk /kkjk </t>
    </r>
    <r>
      <rPr>
        <b/>
        <sz val="14"/>
        <color rgb="FFFFC000"/>
        <rFont val="Calibri"/>
        <family val="2"/>
        <scheme val="minor"/>
      </rPr>
      <t>16 (ii)</t>
    </r>
    <r>
      <rPr>
        <b/>
        <sz val="14"/>
        <color rgb="FFFFC000"/>
        <rFont val="Kruti Dev 010"/>
      </rPr>
      <t xml:space="preserve"> ds vUrxZr </t>
    </r>
  </si>
  <si>
    <r>
      <t>4- O;o;k; dj /kkjk 16 ¼</t>
    </r>
    <r>
      <rPr>
        <b/>
        <sz val="14"/>
        <color rgb="FFFFC000"/>
        <rFont val="Calibri"/>
        <family val="2"/>
        <scheme val="minor"/>
      </rPr>
      <t>iii</t>
    </r>
    <r>
      <rPr>
        <b/>
        <sz val="14"/>
        <color rgb="FFFFC000"/>
        <rFont val="Kruti Dev 010"/>
      </rPr>
      <t xml:space="preserve">½ ds vUrxrZ </t>
    </r>
  </si>
  <si>
    <t>5- x`g lEifr ls izkIr fdjk;k &amp; vk;</t>
  </si>
  <si>
    <t xml:space="preserve">6- x`gdj </t>
  </si>
  <si>
    <t>7- x`g _.k dh ewy fdLr ;gkW fy[kuh gSaA tks NwV ysuh gSaA</t>
  </si>
  <si>
    <t>8- x`g _.k fdLr ij C;kt tks NwV ysuk gS] ;gkW fy[ksA</t>
  </si>
  <si>
    <t>12- ;w- ,y- vkbZ- ih-@okf"kZd Iyku</t>
  </si>
  <si>
    <t>14- jk"Vªh; cpr i= ij vnr C;kt</t>
  </si>
  <si>
    <t>19- vU; vk;  %</t>
  </si>
  <si>
    <t>FINANCIAL YEAR- 2014-15</t>
  </si>
  <si>
    <r>
      <t xml:space="preserve">Enter net taxable income for 2014-15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</si>
  <si>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2014-15 </t>
    </r>
    <r>
      <rPr>
        <b/>
        <sz val="12"/>
        <color theme="1"/>
        <rFont val="Kruti Dev 010"/>
      </rPr>
      <t>¼bl l= 2014&amp;15 dh feyus okyh ,fj;j jkf'k ½</t>
    </r>
  </si>
  <si>
    <r>
      <t xml:space="preserve">Enter net taxable income for 2019-20 (as per ITR/Form-16) </t>
    </r>
    <r>
      <rPr>
        <b/>
        <sz val="12"/>
        <color theme="1"/>
        <rFont val="Kruti Dev 010"/>
      </rPr>
      <t>¼'kq) dj ;ksX; vk; nl ds xq.kkad esa ½</t>
    </r>
  </si>
  <si>
    <r>
      <t xml:space="preserve">Enter arrears relates to 2019-20     </t>
    </r>
    <r>
      <rPr>
        <b/>
        <sz val="12"/>
        <color theme="1"/>
        <rFont val="Kruti Dev 010"/>
      </rPr>
      <t>¼bl l= 2019&amp;20 dh feyus okyh ,fj;j jkf'k ½</t>
    </r>
  </si>
  <si>
    <t>FINANCIAL YEAR- 2020-21</t>
  </si>
  <si>
    <r>
      <t xml:space="preserve">Enter net taxable income for 2020-21 including entire arrears received (as per ITR/Form-16)   
 </t>
    </r>
    <r>
      <rPr>
        <b/>
        <sz val="12"/>
        <color theme="1"/>
        <rFont val="Kruti Dev 010"/>
      </rPr>
      <t>¼'kq) dj ;ksX; vk; nl ds xq.kkad esa ½</t>
    </r>
  </si>
  <si>
    <t xml:space="preserve"> HRA Rasid Calculator</t>
  </si>
  <si>
    <t>20- bfDoVh fyad lsfoax Ldhe</t>
  </si>
  <si>
    <t xml:space="preserve">21- x`g fdjk;k] /kkjk 10¼13-A½ ds vUrxrZ ,oa /kkjk 10¼14½ds vUrxrZ vU; Hkrs tks dj eqDÙk gSA </t>
  </si>
  <si>
    <r>
      <t>23- osru ds vykok tek djk;k x;k aavk;dj</t>
    </r>
    <r>
      <rPr>
        <b/>
        <sz val="14"/>
        <rFont val="Calibri"/>
        <family val="2"/>
        <scheme val="minor"/>
      </rPr>
      <t xml:space="preserve"> (TDS)</t>
    </r>
  </si>
  <si>
    <t>25- vU; dksbZ Hkh izdkj NqV feyrh gSa tks /kkjk 10¼13&amp;,½ o 10¼13½ds vUrxZr vkrh gks rks ;gk fy[ks ,oa vU; dj eqDr HkRrk ;gkW fy[ksaA</t>
  </si>
  <si>
    <r>
      <t xml:space="preserve">26- /kkjk </t>
    </r>
    <r>
      <rPr>
        <b/>
        <sz val="14"/>
        <rFont val="Calibri"/>
        <family val="2"/>
        <scheme val="minor"/>
      </rPr>
      <t xml:space="preserve">80CCC </t>
    </r>
    <r>
      <rPr>
        <b/>
        <sz val="14"/>
        <rFont val="Kruti Dev 010"/>
      </rPr>
      <t>- isa'ku Iyku gsrq va'knku</t>
    </r>
  </si>
  <si>
    <r>
      <t xml:space="preserve">28- /kkjk </t>
    </r>
    <r>
      <rPr>
        <b/>
        <sz val="14"/>
        <rFont val="Calibri"/>
        <family val="2"/>
        <scheme val="minor"/>
      </rPr>
      <t>80CCD(1B) -</t>
    </r>
    <r>
      <rPr>
        <b/>
        <sz val="14"/>
        <rFont val="Kruti Dev 010"/>
      </rPr>
      <t>uohu isa'ku ;kstuk esa vfrfjDr va'knku ¼vf/kdre :- 50]000½</t>
    </r>
  </si>
  <si>
    <r>
      <t xml:space="preserve">29- /kkjk </t>
    </r>
    <r>
      <rPr>
        <b/>
        <sz val="14"/>
        <rFont val="Calibri"/>
        <family val="2"/>
        <scheme val="minor"/>
      </rPr>
      <t xml:space="preserve">80D </t>
    </r>
    <r>
      <rPr>
        <b/>
        <sz val="14"/>
        <rFont val="Kruti Dev 010"/>
      </rPr>
      <t xml:space="preserve">- fpfdRlk chek izhfe;e </t>
    </r>
  </si>
  <si>
    <r>
      <t xml:space="preserve">30- /kkjk </t>
    </r>
    <r>
      <rPr>
        <b/>
        <sz val="14"/>
        <rFont val="Calibri"/>
        <family val="2"/>
        <scheme val="minor"/>
      </rPr>
      <t>80DD -</t>
    </r>
    <r>
      <rPr>
        <b/>
        <sz val="14"/>
        <rFont val="Kruti Dev 010"/>
      </rPr>
      <t xml:space="preserve"> fodykax vkfJrksa ds fpfdRlk mipkj </t>
    </r>
  </si>
  <si>
    <r>
      <t xml:space="preserve">31- /kkjk </t>
    </r>
    <r>
      <rPr>
        <b/>
        <sz val="14"/>
        <rFont val="Calibri"/>
        <family val="2"/>
        <scheme val="minor"/>
      </rPr>
      <t xml:space="preserve">80DDB </t>
    </r>
    <r>
      <rPr>
        <b/>
        <sz val="14"/>
        <rFont val="Kruti Dev 010"/>
      </rPr>
      <t>- fof'k"V jksxksa ds mipkj gsrq dVkSrh ¼vf/kdre 40000 :½</t>
    </r>
  </si>
  <si>
    <r>
      <t xml:space="preserve">32- /kkjk </t>
    </r>
    <r>
      <rPr>
        <b/>
        <sz val="14"/>
        <rFont val="Calibri"/>
        <family val="2"/>
        <scheme val="minor"/>
      </rPr>
      <t xml:space="preserve">80E </t>
    </r>
    <r>
      <rPr>
        <b/>
        <sz val="14"/>
        <rFont val="Kruti Dev 010"/>
      </rPr>
      <t xml:space="preserve">- mPp f'k{kk gsrq fy, _.k dk C;kt ¼/kkjk </t>
    </r>
    <r>
      <rPr>
        <b/>
        <sz val="14"/>
        <rFont val="Calibri"/>
        <family val="2"/>
        <scheme val="minor"/>
      </rPr>
      <t>80E</t>
    </r>
    <r>
      <rPr>
        <b/>
        <sz val="14"/>
        <rFont val="Kruti Dev 010"/>
      </rPr>
      <t>½</t>
    </r>
  </si>
  <si>
    <r>
      <t xml:space="preserve">33- /kkjk </t>
    </r>
    <r>
      <rPr>
        <b/>
        <sz val="14"/>
        <rFont val="Calibri"/>
        <family val="2"/>
        <scheme val="minor"/>
      </rPr>
      <t xml:space="preserve">80G </t>
    </r>
    <r>
      <rPr>
        <b/>
        <sz val="14"/>
        <rFont val="Kruti Dev 010"/>
      </rPr>
      <t xml:space="preserve">- /kekZFkZ laLFkkvksa vkfn dks fn;s nku ¼d Js.kh </t>
    </r>
    <r>
      <rPr>
        <b/>
        <sz val="14"/>
        <rFont val="Calibri"/>
        <family val="2"/>
        <scheme val="minor"/>
      </rPr>
      <t xml:space="preserve">100% </t>
    </r>
    <r>
      <rPr>
        <b/>
        <sz val="14"/>
        <rFont val="Kruti Dev 010"/>
      </rPr>
      <t xml:space="preserve">,oa [k Js.kh </t>
    </r>
    <r>
      <rPr>
        <b/>
        <sz val="14"/>
        <rFont val="Calibri"/>
        <family val="2"/>
        <scheme val="minor"/>
      </rPr>
      <t>50%</t>
    </r>
    <r>
      <rPr>
        <b/>
        <sz val="14"/>
        <rFont val="Kruti Dev 010"/>
      </rPr>
      <t>½</t>
    </r>
  </si>
  <si>
    <r>
      <t xml:space="preserve">34- /kkjk </t>
    </r>
    <r>
      <rPr>
        <b/>
        <sz val="14"/>
        <rFont val="Calibri"/>
        <family val="2"/>
        <scheme val="minor"/>
      </rPr>
      <t xml:space="preserve">80U </t>
    </r>
    <r>
      <rPr>
        <b/>
        <sz val="14"/>
        <rFont val="Kruti Dev 010"/>
      </rPr>
      <t xml:space="preserve">- LFkkbZ :i ls 'kkjhfjd vleFkZrrk </t>
    </r>
  </si>
  <si>
    <r>
      <t xml:space="preserve">36- /kkjk </t>
    </r>
    <r>
      <rPr>
        <b/>
        <sz val="14"/>
        <rFont val="Calibri"/>
        <family val="2"/>
        <scheme val="minor"/>
      </rPr>
      <t xml:space="preserve">80 GGA - </t>
    </r>
    <r>
      <rPr>
        <b/>
        <sz val="14"/>
        <rFont val="Kruti Dev 010"/>
      </rPr>
      <t>vuqeksfnr oSKkfud]lkekftd]xzkeh.k fodkl vkfn gsrq fn;k x;k nku</t>
    </r>
  </si>
  <si>
    <t>Up to Rs. 2,50,000</t>
  </si>
  <si>
    <t xml:space="preserve">आप विद्यमान आयकर दर या नवीन आयकर दर दोनों में से किसी एक विकल्प को चुनकर आयकर गणना प्रपत्र तैयार कर सकते है।  </t>
  </si>
  <si>
    <r>
      <t xml:space="preserve">9- thou chek izhfe;e ¼tks osru ls ugh dkVk x;k½ </t>
    </r>
    <r>
      <rPr>
        <b/>
        <sz val="14"/>
        <color rgb="FF33CC33"/>
        <rFont val="Calibri"/>
        <family val="2"/>
        <scheme val="minor"/>
      </rPr>
      <t>LIC</t>
    </r>
  </si>
  <si>
    <r>
      <t xml:space="preserve">10- ih-,y-vkbZ- </t>
    </r>
    <r>
      <rPr>
        <b/>
        <sz val="14"/>
        <color theme="8" tint="0.79998168889431442"/>
        <rFont val="Calibri"/>
        <family val="2"/>
        <scheme val="minor"/>
      </rPr>
      <t>(PLI)</t>
    </r>
  </si>
  <si>
    <r>
      <t xml:space="preserve">11- V;w'ku Qhl </t>
    </r>
    <r>
      <rPr>
        <b/>
        <sz val="14"/>
        <color theme="8" tint="0.79998168889431442"/>
        <rFont val="Calibri"/>
        <family val="2"/>
        <scheme val="minor"/>
      </rPr>
      <t>(Tution Fees)</t>
    </r>
  </si>
  <si>
    <r>
      <t>13- jk"Vªh; cpr i=</t>
    </r>
    <r>
      <rPr>
        <b/>
        <sz val="14"/>
        <color theme="8" tint="0.79998168889431442"/>
        <rFont val="Calibri"/>
        <family val="2"/>
        <scheme val="minor"/>
      </rPr>
      <t xml:space="preserve"> (NSC)</t>
    </r>
  </si>
  <si>
    <r>
      <t xml:space="preserve">15- yksd Hkfo"; fuf/k </t>
    </r>
    <r>
      <rPr>
        <b/>
        <sz val="14"/>
        <color theme="8" tint="0.79998168889431442"/>
        <rFont val="Calibri"/>
        <family val="2"/>
        <scheme val="minor"/>
      </rPr>
      <t>(PPF)</t>
    </r>
  </si>
  <si>
    <r>
      <t xml:space="preserve">16- jk"Vªh; cpr Ldhe </t>
    </r>
    <r>
      <rPr>
        <b/>
        <sz val="14"/>
        <color theme="8" tint="0.79998168889431442"/>
        <rFont val="Calibri"/>
        <family val="2"/>
        <scheme val="minor"/>
      </rPr>
      <t>(NSS)</t>
    </r>
  </si>
  <si>
    <r>
      <t>17- lqdU;k le`f) ;kstuk</t>
    </r>
    <r>
      <rPr>
        <b/>
        <sz val="14"/>
        <color theme="8" tint="0.79998168889431442"/>
        <rFont val="Calibri"/>
        <family val="2"/>
        <scheme val="minor"/>
      </rPr>
      <t xml:space="preserve"> (SSY)</t>
    </r>
  </si>
  <si>
    <r>
      <t xml:space="preserve">18-  </t>
    </r>
    <r>
      <rPr>
        <b/>
        <sz val="14"/>
        <color theme="8" tint="0.79998168889431442"/>
        <rFont val="Calibri"/>
        <family val="2"/>
        <scheme val="minor"/>
      </rPr>
      <t>Bonds</t>
    </r>
    <r>
      <rPr>
        <b/>
        <sz val="14"/>
        <color theme="8" tint="0.79998168889431442"/>
        <rFont val="Kruti Dev 010"/>
      </rPr>
      <t xml:space="preserve"> ls C;kt</t>
    </r>
  </si>
  <si>
    <r>
      <t xml:space="preserve">38- jkgr /kkjk 89 ds rgr ¼ vxj NwV ysuh gS rks </t>
    </r>
    <r>
      <rPr>
        <b/>
        <sz val="14"/>
        <color rgb="FF0000FF"/>
        <rFont val="Calibri"/>
        <family val="2"/>
        <scheme val="minor"/>
      </rPr>
      <t xml:space="preserve">YES </t>
    </r>
    <r>
      <rPr>
        <b/>
        <sz val="14"/>
        <color rgb="FF0000FF"/>
        <rFont val="Kruti Dev 010"/>
      </rPr>
      <t xml:space="preserve">ugh rks </t>
    </r>
    <r>
      <rPr>
        <b/>
        <sz val="14"/>
        <color rgb="FF0000FF"/>
        <rFont val="Calibri"/>
        <family val="2"/>
        <scheme val="minor"/>
      </rPr>
      <t>No</t>
    </r>
    <r>
      <rPr>
        <b/>
        <sz val="14"/>
        <color rgb="FF0000FF"/>
        <rFont val="Kruti Dev 010"/>
      </rPr>
      <t xml:space="preserve"> lysDV djsA½</t>
    </r>
  </si>
  <si>
    <r>
      <t>22- LFkfxr okf"kZdh ¼</t>
    </r>
    <r>
      <rPr>
        <b/>
        <sz val="14"/>
        <rFont val="Calibri"/>
        <family val="2"/>
        <scheme val="minor"/>
      </rPr>
      <t>Defferred Annuty)</t>
    </r>
  </si>
  <si>
    <r>
      <t xml:space="preserve">35- /kkjk </t>
    </r>
    <r>
      <rPr>
        <b/>
        <sz val="14"/>
        <color rgb="FF400E3C"/>
        <rFont val="Calibri"/>
        <family val="2"/>
        <scheme val="minor"/>
      </rPr>
      <t>80TTA -</t>
    </r>
    <r>
      <rPr>
        <b/>
        <sz val="14"/>
        <color rgb="FF400E3C"/>
        <rFont val="Kruti Dev 010"/>
      </rPr>
      <t xml:space="preserve"> cpr [kkrs ij vf/kdre C;kt :- 10]000 </t>
    </r>
    <r>
      <rPr>
        <b/>
        <sz val="14"/>
        <color rgb="FF400E3C"/>
        <rFont val="Calibri"/>
        <family val="2"/>
        <scheme val="minor"/>
      </rPr>
      <t>194(IA)</t>
    </r>
  </si>
  <si>
    <r>
      <t xml:space="preserve">5- /kkjk </t>
    </r>
    <r>
      <rPr>
        <sz val="10"/>
        <rFont val="Calibri"/>
        <family val="2"/>
        <scheme val="minor"/>
      </rPr>
      <t>80G</t>
    </r>
    <r>
      <rPr>
        <sz val="12"/>
        <rFont val="Kruti Dev 010"/>
      </rPr>
      <t xml:space="preserve"> /kekZFkZ laLFkkvksa vkfn dks fn;s nku </t>
    </r>
    <r>
      <rPr>
        <sz val="11"/>
        <rFont val="Kruti Dev 010"/>
      </rPr>
      <t>¼ d Js.kh esa 100 izfr'kr ,oa [k Js.kh esa 50 izfr'kr½ ¼dsUnz o jkT; ljdkj ds QaM esa ½</t>
    </r>
  </si>
  <si>
    <t>37-   ,QMh vkfn vU; tek jkf'k ij izkIr dqy C;kt ¼ihih,Q dks NksM+dj½</t>
  </si>
  <si>
    <t>,QMh vkfn vU; tek jkf'k ij izkIr dqy C;kt</t>
  </si>
  <si>
    <t>2,50,001  to  5,00,000</t>
  </si>
  <si>
    <t>old</t>
  </si>
  <si>
    <t>New</t>
  </si>
  <si>
    <t>Vh-Mh-,l-
:Ik;s</t>
  </si>
  <si>
    <t>Qjojh 2021
:i;s</t>
  </si>
  <si>
    <t>tuojh 2021
:i;s</t>
  </si>
  <si>
    <t>vDVwcj ls fnlEcj
2020 :i;s</t>
  </si>
  <si>
    <t>flrEcj 2020
rd  :i;s</t>
  </si>
  <si>
    <t>2012-13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</si>
  <si>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</si>
  <si>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</si>
  <si>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</si>
  <si>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</si>
  <si>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</si>
  <si>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</si>
  <si>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</si>
  <si>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</si>
  <si>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</si>
  <si>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</si>
  <si>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1. (a) Salary received in arrears or in advance during 2020-21 in accordance with the provision of sub-rule (2) of rule 21A</t>
  </si>
  <si>
    <t>Form for furnishing particulars of income undr scetion 192(2A) for year ending 31st March 2021 for claiming relief under section 89(1) by a Government servant or an employee in a company, co-operative society, local authority, university, institution, association or body.</t>
  </si>
  <si>
    <t>Particulars of Income referred to in rule 21A of the Income tax Rules, 1962, during the previous year relevant to assessment year 2021-22</t>
  </si>
  <si>
    <t>H</t>
  </si>
  <si>
    <t xml:space="preserve">यदि आप NPS कार्मिक है और Section US 80CCD (1B) के अंतर्गत अधिकतम 50,000 की छूट लेना चाहते है तो यहाँ नीचे बॉक्स में क्लिक करे। 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</si>
  <si>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</si>
  <si>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</si>
  <si>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</si>
  <si>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</si>
  <si>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 xml:space="preserve">t; xq:nso </t>
  </si>
  <si>
    <t>How to use this Programme</t>
  </si>
  <si>
    <r>
      <t xml:space="preserve">If you have Hindi font problem, then first you should install </t>
    </r>
    <r>
      <rPr>
        <b/>
        <i/>
        <sz val="14"/>
        <color rgb="FFFF0000"/>
        <rFont val="Calibri"/>
        <family val="2"/>
        <scheme val="minor"/>
      </rPr>
      <t>Hindi font KRUTI DEV 010</t>
    </r>
    <r>
      <rPr>
        <b/>
        <i/>
        <sz val="14"/>
        <color theme="1"/>
        <rFont val="Calibri"/>
        <family val="2"/>
        <scheme val="minor"/>
      </rPr>
      <t xml:space="preserve">  in your computer.</t>
    </r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</si>
  <si>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2020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</si>
  <si>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r>
      <t xml:space="preserve">lcls igys vki jktLFkku lHkh 'kSf{kd osclkbZV ij ,Dly xq: ghjkyky tkV }kjk fufeZr vk;dj x.kuk ,Dly ,Iyhds'ku 2020&amp;21 ds viMsV otZu+ dks MkmuyksM djsasaA blds vykok vki </t>
    </r>
    <r>
      <rPr>
        <sz val="14"/>
        <rFont val="Calibri"/>
        <family val="2"/>
        <scheme val="minor"/>
      </rPr>
      <t>Google</t>
    </r>
    <r>
      <rPr>
        <sz val="14"/>
        <rFont val="Kruti Dev 010"/>
      </rPr>
      <t xml:space="preserve"> ij </t>
    </r>
    <r>
      <rPr>
        <sz val="14"/>
        <rFont val="Calibri"/>
        <family val="2"/>
        <scheme val="minor"/>
      </rPr>
      <t>Heeralal Jat</t>
    </r>
    <r>
      <rPr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sz val="14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Save  </t>
    </r>
    <r>
      <rPr>
        <sz val="14"/>
        <rFont val="Kruti Dev 010"/>
      </rPr>
      <t xml:space="preserve">dj ysosaA izR;sad dkfeZd ds fy, ds fy, ,d QkbZy dks mi;ksx esa ysosaA </t>
    </r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</si>
  <si>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</si>
  <si>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</si>
  <si>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</si>
  <si>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Only Put Here Curser</t>
  </si>
  <si>
    <t>Above 80</t>
  </si>
  <si>
    <t>SI Arrear</t>
  </si>
  <si>
    <t>S.I. Ded. of the month of March, select the month to be deposited by arrears for Deduction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</si>
  <si>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</si>
  <si>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</si>
  <si>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</si>
  <si>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</si>
  <si>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</si>
  <si>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Mahatma Gandhi Government School (English Medium) BAR , PALI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</si>
  <si>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</si>
  <si>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</si>
  <si>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</si>
  <si>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</si>
  <si>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</si>
  <si>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</si>
  <si>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</si>
  <si>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</si>
  <si>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</si>
  <si>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</si>
  <si>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</si>
  <si>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</si>
  <si>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</si>
  <si>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</si>
  <si>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</si>
  <si>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2021-22</t>
  </si>
  <si>
    <t>From</t>
  </si>
  <si>
    <t>To</t>
  </si>
  <si>
    <t>City</t>
  </si>
  <si>
    <t>PIN Code</t>
  </si>
  <si>
    <t>01-4-2020</t>
  </si>
  <si>
    <t>31-03-2021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</si>
  <si>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</si>
  <si>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</si>
  <si>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</si>
  <si>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</si>
  <si>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</si>
  <si>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</si>
  <si>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</si>
  <si>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</si>
  <si>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</si>
  <si>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</si>
  <si>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</si>
  <si>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</si>
  <si>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</si>
  <si>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</si>
  <si>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</si>
  <si>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</si>
  <si>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</si>
  <si>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</si>
  <si>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</si>
  <si>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</si>
  <si>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</si>
  <si>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</si>
  <si>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</si>
  <si>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</si>
  <si>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</si>
  <si>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</si>
  <si>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</si>
  <si>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</si>
  <si>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</si>
  <si>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</si>
  <si>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</si>
  <si>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</si>
  <si>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</si>
  <si>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</si>
  <si>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</si>
  <si>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</si>
  <si>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</si>
  <si>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</si>
  <si>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</si>
  <si>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</si>
  <si>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</si>
  <si>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</si>
  <si>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</si>
  <si>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</si>
  <si>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</si>
  <si>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</si>
  <si>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</si>
  <si>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</si>
  <si>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</si>
  <si>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</si>
  <si>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</si>
  <si>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</si>
  <si>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</si>
  <si>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</si>
  <si>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</si>
  <si>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</si>
  <si>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</si>
  <si>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>6. Income chargeable under the head "salaries" (3-5)</t>
  </si>
  <si>
    <t xml:space="preserve">7. Add: Any other income reported by employee </t>
  </si>
  <si>
    <t>Income</t>
  </si>
  <si>
    <t>From House Property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</si>
  <si>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</si>
  <si>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</si>
  <si>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</si>
  <si>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</si>
  <si>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</si>
  <si>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</si>
  <si>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</si>
  <si>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</si>
  <si>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</si>
  <si>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</si>
  <si>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</si>
  <si>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</si>
  <si>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</si>
  <si>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</si>
  <si>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Notified Bond Of NABARD</t>
  </si>
  <si>
    <t>Tution Fee</t>
  </si>
  <si>
    <t>NSC + Interest on NSC</t>
  </si>
  <si>
    <t>Sukanya Samridhi A/C</t>
  </si>
  <si>
    <t>Fixed Deposit above 5 years</t>
  </si>
  <si>
    <t>Mutual Fund</t>
  </si>
  <si>
    <t>(B) Section 80CCD(2)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</si>
  <si>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</si>
  <si>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</si>
  <si>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</si>
  <si>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</si>
  <si>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</si>
  <si>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</si>
  <si>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</si>
  <si>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</si>
  <si>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</si>
  <si>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</si>
  <si>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</si>
  <si>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</si>
  <si>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</si>
  <si>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</si>
  <si>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</si>
  <si>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</si>
  <si>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13. Rebate U/s 87 A (Taxable Income below Rs. 5,00,000/-)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</si>
  <si>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</si>
  <si>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</si>
  <si>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</si>
  <si>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</si>
  <si>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</si>
  <si>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</si>
  <si>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</si>
  <si>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</si>
  <si>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</si>
  <si>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</si>
  <si>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</si>
  <si>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</si>
  <si>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</si>
  <si>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</si>
  <si>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</si>
  <si>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</si>
  <si>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>(B) Other Sections (e.g. 80E, 80G etc.) under Chapter VIA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</si>
  <si>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</si>
  <si>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</si>
  <si>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vU; tekjkf'k ¼/kkjk 80 lh ds vUrxZr½ E;qpy QaM</t>
  </si>
  <si>
    <t>27- vU; tek jkf'k ¼/kkjk 80 lh ds vUrxZr½ o E;qpvy QaM</t>
  </si>
  <si>
    <t>vU; o fQDl fMiksftV ¼5 o"kZ gsrq½</t>
  </si>
  <si>
    <t>US 80TTA [Exempt Saving Bank Int. Max. RS. 10,000/-]</t>
  </si>
  <si>
    <r>
      <rPr>
        <b/>
        <sz val="12"/>
        <rFont val="Kruti Dev 010"/>
      </rPr>
      <t>¼2½</t>
    </r>
    <r>
      <rPr>
        <sz val="12"/>
        <rFont val="Kruti Dev 010"/>
      </rPr>
      <t xml:space="preserve"> NwV ?kkjk 87¼</t>
    </r>
    <r>
      <rPr>
        <sz val="10"/>
        <rFont val="Calibri"/>
        <family val="2"/>
        <scheme val="minor"/>
      </rPr>
      <t>A</t>
    </r>
    <r>
      <rPr>
        <sz val="12"/>
        <rFont val="Kruti Dev 010"/>
      </rPr>
      <t xml:space="preserve">½ ¼ 5yk[k rd dh dj ;ksX; vk; ij vk;dj dh NwV vf/kdre :- </t>
    </r>
    <r>
      <rPr>
        <b/>
        <sz val="12"/>
        <rFont val="Kruti Dev 010"/>
      </rPr>
      <t>12500</t>
    </r>
    <r>
      <rPr>
        <sz val="12"/>
        <rFont val="Kruti Dev 010"/>
      </rPr>
      <t>@&amp; rd½</t>
    </r>
  </si>
  <si>
    <t>ije~ iwT; xq:nso</t>
  </si>
  <si>
    <t>Watch the You Tube Video For More Information.</t>
  </si>
  <si>
    <t>You Tube Channel</t>
  </si>
  <si>
    <t>https://www.youtube.com/c/Heeralaljat/</t>
  </si>
  <si>
    <t>Move Curser Here</t>
  </si>
  <si>
    <t xml:space="preserve">यदि आपको धारा 87A  के बारे में जानकारी चाहिए तो नीचे सेल पर माउस को ले जाइये। </t>
  </si>
  <si>
    <t>https://www.youtube.com/playlist?list=PLmNJTudmvkgL-ZI7qFKfQ6oz6WTNnW31z</t>
  </si>
  <si>
    <t>2021-2022)</t>
  </si>
  <si>
    <t xml:space="preserve">                            यदि आपको आयकर की नयी व विद्यमान कर स्लैब देखनी हो तो क्रसर को सामने की सेल पर ले जाइये।  </t>
  </si>
  <si>
    <t>https://www.youtube.com/watch?v=kSG6hPX7VSQ</t>
  </si>
  <si>
    <r>
      <rPr>
        <b/>
        <sz val="14"/>
        <color rgb="FF400E3C"/>
        <rFont val="Calibri"/>
        <family val="2"/>
        <scheme val="minor"/>
      </rPr>
      <t xml:space="preserve">Master Sheet </t>
    </r>
    <r>
      <rPr>
        <b/>
        <sz val="12"/>
        <color rgb="FF400E3C"/>
        <rFont val="Calibri"/>
        <family val="2"/>
        <scheme val="minor"/>
      </rPr>
      <t>की अधिक जानकारी के लिए नीचे दिए लिंक पर युटुब विडियो जरूर देखें</t>
    </r>
  </si>
  <si>
    <t>D;k vki ekg uoEcj 20 ds osru ls dksjksuk dVkSSrh cUn djokuk pkgrsa gSa</t>
  </si>
  <si>
    <t>Move curser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</si>
  <si>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</si>
  <si>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</si>
  <si>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</si>
  <si>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 xml:space="preserve">अधिक जानकारी के लिए ऊपर Youtube video का लिंक दिया गया है। </t>
  </si>
  <si>
    <t xml:space="preserve">यदि आपको धारा 80 TTA  के बारे में डिटेल से जानकारी चाहिए तो नीचे सेल पर माउस को ले जाइये। </t>
  </si>
  <si>
    <t>https://www.youtube.com/watch?v=TJ5dWmZplAk</t>
  </si>
  <si>
    <r>
      <rPr>
        <b/>
        <sz val="20"/>
        <color rgb="FFFF0000"/>
        <rFont val="Wingdings"/>
        <charset val="2"/>
      </rPr>
      <t>E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</si>
  <si>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GPF 2004 (NPS)</t>
  </si>
  <si>
    <t>(xxi)</t>
  </si>
  <si>
    <t>Pension Plan (US80ccc+US 80CCD)(1)+GPF-2004</t>
  </si>
  <si>
    <r>
      <t xml:space="preserve">vkidksa ftrusa ekg dk cksul feyk gSa ] mu ekg dh la[;kW dksa lysDV djsa    </t>
    </r>
    <r>
      <rPr>
        <b/>
        <sz val="20"/>
        <color rgb="FF400E3C"/>
        <rFont val="Wingdings"/>
        <charset val="2"/>
      </rPr>
      <t>F</t>
    </r>
  </si>
  <si>
    <t xml:space="preserve">;fn fofr; o"kZ 2020&amp;21 esa ewy osru ifjofrZr gqvk gSa rksa fy[ksa </t>
  </si>
  <si>
    <r>
      <t xml:space="preserve">;fn ewy osru esa dksbZ ifjorZu gqvk gSa tSlsa%&amp; ,lhih@fQVesaUV ;k vU; dkj.k ls </t>
    </r>
    <r>
      <rPr>
        <b/>
        <sz val="14"/>
        <color rgb="FF0000FF"/>
        <rFont val="Kruti Dev 010"/>
      </rPr>
      <t>¼badzhes.V ds vykok½</t>
    </r>
    <r>
      <rPr>
        <b/>
        <sz val="14"/>
        <color rgb="FFFF0000"/>
        <rFont val="Kruti Dev 010"/>
      </rPr>
      <t xml:space="preserve"> ¼ekg lysDV djsa½</t>
    </r>
  </si>
  <si>
    <t>new update on 01-12-2020 
new updated related you tube video link</t>
  </si>
  <si>
    <t>https://youtu.be/FwBqjLiBd28</t>
  </si>
  <si>
    <r>
      <t xml:space="preserve">/kkjk </t>
    </r>
    <r>
      <rPr>
        <b/>
        <sz val="14"/>
        <color theme="8" tint="0.79998168889431442"/>
        <rFont val="Calibri"/>
        <family val="2"/>
        <scheme val="minor"/>
      </rPr>
      <t xml:space="preserve">80G - </t>
    </r>
    <r>
      <rPr>
        <b/>
        <sz val="14"/>
        <color theme="8" tint="0.79998168889431442"/>
        <rFont val="Kruti Dev 010"/>
      </rPr>
      <t xml:space="preserve">/kekZFkZ laLFkkvksa vkfn dks fn;s nku ¼d Js.kh </t>
    </r>
    <r>
      <rPr>
        <b/>
        <sz val="14"/>
        <color theme="8" tint="0.79998168889431442"/>
        <rFont val="Calibri"/>
        <family val="2"/>
        <scheme val="minor"/>
      </rPr>
      <t>100 %</t>
    </r>
    <r>
      <rPr>
        <b/>
        <sz val="14"/>
        <color theme="8" tint="0.79998168889431442"/>
        <rFont val="Kruti Dev 010"/>
      </rPr>
      <t>½</t>
    </r>
  </si>
  <si>
    <r>
      <t xml:space="preserve">/kkjk </t>
    </r>
    <r>
      <rPr>
        <b/>
        <sz val="14"/>
        <color rgb="FF0000FF"/>
        <rFont val="Calibri"/>
        <family val="2"/>
        <scheme val="minor"/>
      </rPr>
      <t>80G -</t>
    </r>
    <r>
      <rPr>
        <b/>
        <sz val="14"/>
        <color rgb="FF0000FF"/>
        <rFont val="Kruti Dev 010"/>
      </rPr>
      <t xml:space="preserve"> /kekZFkZ laLFkkvksa vkfn dks fn;s nku ¼[k Js.kh </t>
    </r>
    <r>
      <rPr>
        <b/>
        <sz val="14"/>
        <color rgb="FF0000FF"/>
        <rFont val="Calibri"/>
        <family val="2"/>
        <scheme val="minor"/>
      </rPr>
      <t>50 %</t>
    </r>
    <r>
      <rPr>
        <b/>
        <sz val="14"/>
        <color rgb="FF0000FF"/>
        <rFont val="Kruti Dev 010"/>
      </rPr>
      <t>½</t>
    </r>
  </si>
  <si>
    <t xml:space="preserve">March का Freeze वेतन मिल गया  </t>
  </si>
  <si>
    <t>March 20 freeze salary</t>
  </si>
  <si>
    <t xml:space="preserve">24- vU; o fQDl fMiksftV ¼5 o"kZ gsrq½ </t>
  </si>
  <si>
    <t xml:space="preserve">अन्य आय </t>
  </si>
</sst>
</file>

<file path=xl/styles.xml><?xml version="1.0" encoding="utf-8"?>
<styleSheet xmlns="http://schemas.openxmlformats.org/spreadsheetml/2006/main">
  <numFmts count="6">
    <numFmt numFmtId="164" formatCode="[$-409]mmm/yy;@"/>
    <numFmt numFmtId="165" formatCode="dd/mm/yyyy"/>
    <numFmt numFmtId="166" formatCode="\L\-\ 0"/>
    <numFmt numFmtId="167" formatCode="0000\ 0000\ 0000\ "/>
    <numFmt numFmtId="168" formatCode="&quot;Rs.&quot;\ #,##0;&quot;Rs.&quot;\ \-#,##0"/>
    <numFmt numFmtId="169" formatCode="_ &quot;Rs.&quot;\ * #,##0.00_ ;_ &quot;Rs.&quot;\ * \-#,##0.00_ ;_ &quot;Rs.&quot;\ * &quot;-&quot;??_ ;_ @_ "/>
  </numFmts>
  <fonts count="2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Wingdings"/>
      <charset val="2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sz val="12"/>
      <name val="Calibri"/>
      <family val="2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166D07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i/>
      <u/>
      <sz val="16"/>
      <color rgb="FF002060"/>
      <name val="Calibri"/>
      <family val="2"/>
      <scheme val="minor"/>
    </font>
    <font>
      <b/>
      <i/>
      <u/>
      <sz val="15"/>
      <color rgb="FF002060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sz val="13"/>
      <color theme="1"/>
      <name val="Cambria"/>
      <family val="1"/>
      <scheme val="maj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00B050"/>
      <name val="Calibri"/>
      <family val="2"/>
      <scheme val="minor"/>
    </font>
    <font>
      <b/>
      <sz val="14"/>
      <color rgb="FFFFC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00FF"/>
      <name val="Kruti Dev 010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b/>
      <sz val="13"/>
      <name val="Kruti Dev 010"/>
    </font>
    <font>
      <sz val="11"/>
      <color theme="1"/>
      <name val="Kruti Dev 010"/>
    </font>
    <font>
      <sz val="14"/>
      <color theme="1"/>
      <name val="Kruti Dev 010"/>
    </font>
    <font>
      <b/>
      <sz val="16"/>
      <color rgb="FF0000FF"/>
      <name val="Kruti Dev 010"/>
    </font>
    <font>
      <b/>
      <i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2"/>
      <color rgb="FF002060"/>
      <name val="Kruti Dev 010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.5"/>
      <name val="Kruti Dev 010"/>
    </font>
    <font>
      <b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Kruti Dev 010"/>
    </font>
    <font>
      <b/>
      <sz val="12"/>
      <name val="DevLys 010"/>
    </font>
    <font>
      <b/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Kruti Dev 010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sz val="10"/>
      <name val="Kruti Dev 010"/>
    </font>
    <font>
      <b/>
      <sz val="12"/>
      <name val="Times New Roman"/>
      <family val="1"/>
    </font>
    <font>
      <b/>
      <i/>
      <sz val="11"/>
      <name val="Calibri"/>
      <family val="2"/>
      <scheme val="minor"/>
    </font>
    <font>
      <sz val="13"/>
      <name val="Kruti Dev 010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1"/>
      <name val="Kruti Dev 010"/>
    </font>
    <font>
      <b/>
      <sz val="13"/>
      <color rgb="FFFFC000"/>
      <name val="Kruti Dev 010"/>
    </font>
    <font>
      <sz val="8"/>
      <name val="Tahoma"/>
      <family val="2"/>
    </font>
    <font>
      <b/>
      <sz val="14"/>
      <color rgb="FF33CC33"/>
      <name val="Calibri"/>
      <family val="2"/>
      <scheme val="minor"/>
    </font>
    <font>
      <b/>
      <sz val="14"/>
      <color theme="8" tint="0.79998168889431442"/>
      <name val="Kruti Dev 010"/>
    </font>
    <font>
      <b/>
      <sz val="14"/>
      <color theme="8" tint="0.79998168889431442"/>
      <name val="Calibri"/>
      <family val="2"/>
      <scheme val="minor"/>
    </font>
    <font>
      <b/>
      <sz val="14"/>
      <color rgb="FF00B0F0"/>
      <name val="Kruti Dev 010"/>
    </font>
    <font>
      <b/>
      <sz val="14"/>
      <color theme="3" tint="0.39997558519241921"/>
      <name val="Kruti Dev 010"/>
    </font>
    <font>
      <b/>
      <sz val="14"/>
      <color rgb="FF400E3C"/>
      <name val="Kruti Dev 010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Kruti Dev 010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u/>
      <sz val="18"/>
      <color theme="10"/>
      <name val="Calibri"/>
      <family val="2"/>
    </font>
    <font>
      <b/>
      <sz val="18"/>
      <color indexed="17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sz val="18"/>
      <color indexed="36"/>
      <name val="Calibri"/>
      <family val="2"/>
    </font>
    <font>
      <b/>
      <sz val="18"/>
      <color indexed="10"/>
      <name val="Cambria"/>
      <family val="1"/>
      <scheme val="major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Times New Roman"/>
      <family val="1"/>
    </font>
    <font>
      <b/>
      <i/>
      <u/>
      <sz val="14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i/>
      <u/>
      <sz val="16"/>
      <color rgb="FF0000FF"/>
      <name val="Calibri"/>
      <family val="2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sz val="12"/>
      <color rgb="FF400E3C"/>
      <name val="Calibri"/>
      <family val="2"/>
      <scheme val="minor"/>
    </font>
    <font>
      <b/>
      <sz val="12"/>
      <color rgb="FF33CC33"/>
      <name val="Kruti Dev 010"/>
    </font>
    <font>
      <b/>
      <i/>
      <u/>
      <sz val="11"/>
      <color rgb="FF002060"/>
      <name val="Calibri"/>
      <family val="2"/>
      <scheme val="minor"/>
    </font>
    <font>
      <b/>
      <u/>
      <sz val="12"/>
      <color rgb="FF33CC33"/>
      <name val="Calibri"/>
      <family val="2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i/>
      <sz val="7.5"/>
      <name val="Times New Roman"/>
      <family val="1"/>
    </font>
    <font>
      <b/>
      <sz val="12"/>
      <color rgb="FF0000FF"/>
      <name val="Kruti Dev 010"/>
    </font>
    <font>
      <b/>
      <u/>
      <sz val="14"/>
      <color theme="10"/>
      <name val="Calibri"/>
      <family val="2"/>
    </font>
    <font>
      <b/>
      <sz val="16"/>
      <color rgb="FFFF0000"/>
      <name val="Cambria"/>
      <family val="1"/>
      <scheme val="major"/>
    </font>
  </fonts>
  <fills count="9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5" tint="0.40000610370189521"/>
        </stop>
        <stop position="1">
          <color theme="7" tint="-0.25098422193060094"/>
        </stop>
      </gradientFill>
    </fill>
    <fill>
      <gradientFill degree="90">
        <stop position="0">
          <color theme="7" tint="0.40000610370189521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9" tint="-0.25098422193060094"/>
        </stop>
        <stop position="1">
          <color theme="4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5" tint="0.40000610370189521"/>
        </stop>
        <stop position="1">
          <color theme="8" tint="-0.25098422193060094"/>
        </stop>
      </gradientFill>
    </fill>
    <fill>
      <gradientFill degree="90">
        <stop position="0">
          <color theme="9" tint="0.40000610370189521"/>
        </stop>
        <stop position="1">
          <color rgb="FF7030A0"/>
        </stop>
      </gradient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gradientFill degree="90">
        <stop position="0">
          <color theme="9" tint="0.40000610370189521"/>
        </stop>
        <stop position="1">
          <color rgb="FF0000FF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2" tint="-0.49803155613879818"/>
        </stop>
        <stop position="1">
          <color theme="5" tint="-0.25098422193060094"/>
        </stop>
      </gradientFill>
    </fill>
    <fill>
      <gradientFill type="path" left="0.5" right="0.5" top="0.5" bottom="0.5">
        <stop position="0">
          <color theme="6" tint="-0.25098422193060094"/>
        </stop>
        <stop position="1">
          <color theme="7" tint="-0.25098422193060094"/>
        </stop>
      </gradientFill>
    </fill>
    <fill>
      <gradientFill degree="13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7" tint="-0.25098422193060094"/>
        </stop>
        <stop position="1">
          <color theme="8" tint="-0.25098422193060094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8" tint="-0.25098422193060094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25098422193060094"/>
        </stop>
      </gradientFill>
    </fill>
    <fill>
      <gradientFill degree="90">
        <stop position="0">
          <color rgb="FF002060"/>
        </stop>
        <stop position="1">
          <color theme="2"/>
        </stop>
      </gradientFill>
    </fill>
    <fill>
      <gradientFill degree="90">
        <stop position="0">
          <color theme="0" tint="-0.1490218817712943"/>
        </stop>
        <stop position="1">
          <color theme="0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gradientFill type="path" left="0.5" right="0.5" top="0.5" bottom="0.5">
        <stop position="0">
          <color theme="6" tint="0.59999389629810485"/>
        </stop>
        <stop position="1">
          <color theme="5" tint="0.59999389629810485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/>
        </stop>
        <stop position="1">
          <color rgb="FF400E3C"/>
        </stop>
      </gradientFill>
    </fill>
    <fill>
      <gradientFill degree="90">
        <stop position="0">
          <color theme="4" tint="-0.25098422193060094"/>
        </stop>
        <stop position="1">
          <color theme="6" tint="-0.25098422193060094"/>
        </stop>
      </gradient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gradientFill degree="90">
        <stop position="0">
          <color theme="9" tint="0.40000610370189521"/>
        </stop>
        <stop position="1">
          <color rgb="FF400E3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45">
        <stop position="0">
          <color theme="5" tint="0.59999389629810485"/>
        </stop>
        <stop position="1">
          <color theme="8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4" tint="0.59999389629810485"/>
        </stop>
        <stop position="1">
          <color rgb="FF400E3C"/>
        </stop>
      </gradientFill>
    </fill>
    <fill>
      <gradientFill degree="90">
        <stop position="0">
          <color theme="8" tint="-0.25098422193060094"/>
        </stop>
        <stop position="1">
          <color theme="3" tint="-0.25098422193060094"/>
        </stop>
      </gradientFill>
    </fill>
    <fill>
      <gradientFill degree="90">
        <stop position="0">
          <color theme="6"/>
        </stop>
        <stop position="1">
          <color theme="7" tint="-0.25098422193060094"/>
        </stop>
      </gradientFill>
    </fill>
    <fill>
      <gradientFill degree="90">
        <stop position="0">
          <color theme="4" tint="0.40000610370189521"/>
        </stop>
        <stop position="1">
          <color theme="6" tint="-0.25098422193060094"/>
        </stop>
      </gradientFill>
    </fill>
    <fill>
      <gradientFill degree="90">
        <stop position="0">
          <color theme="9" tint="-0.49803155613879818"/>
        </stop>
        <stop position="1">
          <color theme="7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gradientFill degree="90">
        <stop position="0">
          <color theme="8" tint="0.40000610370189521"/>
        </stop>
        <stop position="1">
          <color rgb="FF7030A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theme="6" tint="-0.25098422193060094"/>
        </stop>
        <stop position="1">
          <color theme="4"/>
        </stop>
      </gradientFill>
    </fill>
    <fill>
      <patternFill patternType="solid">
        <fgColor theme="5" tint="-0.249977111117893"/>
        <bgColor indexed="64"/>
      </patternFill>
    </fill>
    <fill>
      <gradientFill degree="90">
        <stop position="0">
          <color theme="5" tint="-0.25098422193060094"/>
        </stop>
        <stop position="1">
          <color rgb="FFFFFF00"/>
        </stop>
      </gradientFill>
    </fill>
    <fill>
      <gradientFill degree="90">
        <stop position="0">
          <color theme="7" tint="-0.25098422193060094"/>
        </stop>
        <stop position="1">
          <color rgb="FF33CC33"/>
        </stop>
      </gradient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gradientFill degree="90">
        <stop position="0">
          <color rgb="FF400E3C"/>
        </stop>
        <stop position="1">
          <color rgb="FF33CC33"/>
        </stop>
      </gradientFill>
    </fill>
    <fill>
      <gradientFill degree="90">
        <stop position="0">
          <color theme="4" tint="0.40000610370189521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</fills>
  <borders count="144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FF00"/>
      </top>
      <bottom/>
      <diagonal/>
    </border>
    <border>
      <left style="thin">
        <color indexed="64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/>
      <top/>
      <bottom/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/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</borders>
  <cellStyleXfs count="8">
    <xf numFmtId="0" fontId="0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64" fillId="0" borderId="0">
      <protection locked="0"/>
    </xf>
    <xf numFmtId="0" fontId="64" fillId="0" borderId="0">
      <alignment vertical="center"/>
    </xf>
    <xf numFmtId="0" fontId="186" fillId="0" borderId="0" applyNumberFormat="0" applyFill="0" applyBorder="0" applyAlignment="0" applyProtection="0">
      <alignment vertical="top"/>
      <protection locked="0"/>
    </xf>
  </cellStyleXfs>
  <cellXfs count="976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 wrapText="1"/>
      <protection hidden="1"/>
    </xf>
    <xf numFmtId="0" fontId="21" fillId="0" borderId="0" xfId="0" applyFont="1" applyFill="1" applyBorder="1" applyAlignment="1" applyProtection="1">
      <alignment horizontal="center" vertical="center" wrapText="1"/>
      <protection hidden="1"/>
    </xf>
    <xf numFmtId="1" fontId="24" fillId="5" borderId="1" xfId="0" applyNumberFormat="1" applyFont="1" applyFill="1" applyBorder="1" applyAlignment="1" applyProtection="1">
      <alignment horizontal="center" vertical="center"/>
      <protection locked="0"/>
    </xf>
    <xf numFmtId="1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wrapText="1"/>
      <protection hidden="1"/>
    </xf>
    <xf numFmtId="0" fontId="38" fillId="0" borderId="0" xfId="0" applyFont="1" applyAlignment="1" applyProtection="1">
      <alignment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43" fillId="15" borderId="10" xfId="0" applyNumberFormat="1" applyFont="1" applyFill="1" applyBorder="1" applyAlignment="1" applyProtection="1">
      <alignment horizontal="center" vertical="center"/>
      <protection hidden="1"/>
    </xf>
    <xf numFmtId="1" fontId="44" fillId="15" borderId="10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wrapText="1"/>
      <protection hidden="1"/>
    </xf>
    <xf numFmtId="0" fontId="46" fillId="0" borderId="0" xfId="0" applyFont="1" applyAlignment="1" applyProtection="1">
      <alignment wrapText="1"/>
      <protection hidden="1"/>
    </xf>
    <xf numFmtId="0" fontId="37" fillId="16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17" fontId="0" fillId="0" borderId="0" xfId="0" applyNumberFormat="1" applyFont="1" applyProtection="1">
      <protection hidden="1"/>
    </xf>
    <xf numFmtId="0" fontId="0" fillId="0" borderId="0" xfId="0" applyFill="1" applyProtection="1">
      <protection hidden="1"/>
    </xf>
    <xf numFmtId="0" fontId="47" fillId="0" borderId="0" xfId="0" applyFont="1" applyFill="1" applyProtection="1">
      <protection hidden="1"/>
    </xf>
    <xf numFmtId="0" fontId="1" fillId="0" borderId="0" xfId="0" applyFont="1" applyFill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0" fillId="0" borderId="6" xfId="0" applyFill="1" applyBorder="1" applyProtection="1">
      <protection hidden="1"/>
    </xf>
    <xf numFmtId="0" fontId="0" fillId="0" borderId="7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48" fillId="0" borderId="0" xfId="0" applyFont="1" applyFill="1" applyBorder="1" applyProtection="1">
      <protection hidden="1"/>
    </xf>
    <xf numFmtId="17" fontId="0" fillId="0" borderId="0" xfId="0" applyNumberForma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14" fontId="0" fillId="0" borderId="0" xfId="0" applyNumberFormat="1" applyFont="1" applyProtection="1">
      <protection hidden="1"/>
    </xf>
    <xf numFmtId="14" fontId="0" fillId="0" borderId="0" xfId="0" applyNumberFormat="1" applyProtection="1">
      <protection hidden="1"/>
    </xf>
    <xf numFmtId="1" fontId="0" fillId="0" borderId="0" xfId="0" applyNumberFormat="1" applyFont="1" applyProtection="1">
      <protection hidden="1"/>
    </xf>
    <xf numFmtId="14" fontId="0" fillId="0" borderId="6" xfId="0" applyNumberFormat="1" applyFill="1" applyBorder="1" applyProtection="1">
      <protection hidden="1"/>
    </xf>
    <xf numFmtId="1" fontId="51" fillId="15" borderId="10" xfId="0" applyNumberFormat="1" applyFont="1" applyFill="1" applyBorder="1" applyAlignment="1" applyProtection="1">
      <alignment horizontal="center" vertical="center"/>
      <protection hidden="1"/>
    </xf>
    <xf numFmtId="166" fontId="3" fillId="9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ill="1" applyBorder="1" applyProtection="1">
      <protection hidden="1"/>
    </xf>
    <xf numFmtId="0" fontId="0" fillId="5" borderId="0" xfId="0" applyFont="1" applyFill="1" applyProtection="1">
      <protection hidden="1"/>
    </xf>
    <xf numFmtId="1" fontId="0" fillId="0" borderId="9" xfId="0" applyNumberFormat="1" applyFill="1" applyBorder="1" applyProtection="1">
      <protection hidden="1"/>
    </xf>
    <xf numFmtId="1" fontId="1" fillId="0" borderId="0" xfId="0" applyNumberFormat="1" applyFont="1" applyFill="1" applyBorder="1" applyProtection="1">
      <protection hidden="1"/>
    </xf>
    <xf numFmtId="1" fontId="0" fillId="0" borderId="0" xfId="0" applyNumberFormat="1" applyFont="1" applyFill="1" applyBorder="1" applyProtection="1">
      <protection hidden="1"/>
    </xf>
    <xf numFmtId="0" fontId="49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Protection="1"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8" fillId="9" borderId="1" xfId="0" applyFont="1" applyFill="1" applyBorder="1" applyAlignment="1" applyProtection="1">
      <alignment vertical="center"/>
      <protection locked="0"/>
    </xf>
    <xf numFmtId="0" fontId="55" fillId="20" borderId="1" xfId="0" applyFont="1" applyFill="1" applyBorder="1" applyAlignment="1" applyProtection="1">
      <alignment horizontal="center" vertical="center" wrapText="1"/>
      <protection hidden="1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19" fillId="37" borderId="0" xfId="0" applyFont="1" applyFill="1" applyAlignment="1" applyProtection="1">
      <alignment horizontal="center" vertical="center"/>
      <protection hidden="1"/>
    </xf>
    <xf numFmtId="0" fontId="39" fillId="13" borderId="22" xfId="0" applyFont="1" applyFill="1" applyBorder="1" applyAlignment="1" applyProtection="1">
      <alignment horizontal="center" vertical="center"/>
      <protection hidden="1"/>
    </xf>
    <xf numFmtId="0" fontId="12" fillId="13" borderId="27" xfId="0" applyFont="1" applyFill="1" applyBorder="1" applyAlignment="1" applyProtection="1">
      <alignment horizontal="center" vertical="center"/>
      <protection hidden="1"/>
    </xf>
    <xf numFmtId="0" fontId="12" fillId="13" borderId="29" xfId="0" applyFont="1" applyFill="1" applyBorder="1" applyAlignment="1" applyProtection="1">
      <alignment horizontal="center" vertical="center"/>
      <protection hidden="1"/>
    </xf>
    <xf numFmtId="2" fontId="69" fillId="44" borderId="0" xfId="2" applyNumberFormat="1" applyFont="1" applyFill="1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8" fillId="0" borderId="0" xfId="0" applyNumberFormat="1" applyFont="1" applyBorder="1" applyAlignment="1" applyProtection="1">
      <alignment horizontal="center" vertical="center" wrapText="1"/>
      <protection hidden="1"/>
    </xf>
    <xf numFmtId="0" fontId="38" fillId="0" borderId="0" xfId="0" applyFont="1" applyProtection="1">
      <protection hidden="1"/>
    </xf>
    <xf numFmtId="0" fontId="79" fillId="0" borderId="40" xfId="0" applyFont="1" applyBorder="1" applyAlignment="1" applyProtection="1">
      <alignment horizontal="center" vertical="center" wrapText="1"/>
      <protection hidden="1"/>
    </xf>
    <xf numFmtId="0" fontId="79" fillId="0" borderId="10" xfId="0" applyFont="1" applyBorder="1" applyAlignment="1" applyProtection="1">
      <alignment horizontal="center" vertical="center" wrapText="1"/>
      <protection hidden="1"/>
    </xf>
    <xf numFmtId="0" fontId="80" fillId="0" borderId="0" xfId="0" applyFont="1" applyAlignment="1" applyProtection="1">
      <alignment wrapText="1"/>
      <protection hidden="1"/>
    </xf>
    <xf numFmtId="0" fontId="80" fillId="0" borderId="0" xfId="0" applyFont="1" applyAlignment="1" applyProtection="1">
      <alignment horizontal="center" vertical="center" wrapText="1"/>
      <protection hidden="1"/>
    </xf>
    <xf numFmtId="0" fontId="81" fillId="0" borderId="40" xfId="0" applyFont="1" applyBorder="1" applyAlignment="1" applyProtection="1">
      <alignment horizontal="center" vertical="center"/>
      <protection hidden="1"/>
    </xf>
    <xf numFmtId="1" fontId="80" fillId="0" borderId="10" xfId="0" applyNumberFormat="1" applyFont="1" applyBorder="1" applyAlignment="1" applyProtection="1">
      <alignment horizontal="center" vertical="center" wrapText="1"/>
      <protection hidden="1"/>
    </xf>
    <xf numFmtId="0" fontId="63" fillId="0" borderId="0" xfId="0" applyFont="1" applyProtection="1">
      <protection hidden="1"/>
    </xf>
    <xf numFmtId="0" fontId="78" fillId="0" borderId="40" xfId="0" applyFont="1" applyBorder="1" applyAlignment="1" applyProtection="1">
      <alignment horizontal="center" vertical="center"/>
      <protection hidden="1"/>
    </xf>
    <xf numFmtId="0" fontId="81" fillId="0" borderId="22" xfId="0" applyFont="1" applyBorder="1" applyAlignment="1" applyProtection="1">
      <alignment horizontal="right" vertical="center"/>
      <protection hidden="1"/>
    </xf>
    <xf numFmtId="1" fontId="79" fillId="0" borderId="10" xfId="0" applyNumberFormat="1" applyFont="1" applyBorder="1" applyAlignment="1" applyProtection="1">
      <alignment horizontal="center" vertical="center"/>
      <protection hidden="1"/>
    </xf>
    <xf numFmtId="1" fontId="81" fillId="0" borderId="22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vertical="center"/>
      <protection hidden="1"/>
    </xf>
    <xf numFmtId="0" fontId="37" fillId="0" borderId="12" xfId="0" applyFont="1" applyBorder="1" applyAlignment="1" applyProtection="1">
      <alignment vertical="center" wrapText="1"/>
      <protection hidden="1"/>
    </xf>
    <xf numFmtId="0" fontId="37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85" fillId="0" borderId="0" xfId="0" applyFont="1" applyAlignment="1" applyProtection="1">
      <alignment horizontal="center" vertical="center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70" fillId="0" borderId="0" xfId="3" applyFont="1" applyBorder="1" applyAlignment="1" applyProtection="1">
      <alignment vertical="center"/>
      <protection hidden="1"/>
    </xf>
    <xf numFmtId="0" fontId="94" fillId="0" borderId="0" xfId="0" applyFont="1" applyAlignment="1" applyProtection="1">
      <alignment horizontal="right" vertical="center"/>
      <protection hidden="1"/>
    </xf>
    <xf numFmtId="0" fontId="65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117" fillId="0" borderId="0" xfId="3" applyFont="1" applyBorder="1" applyAlignment="1" applyProtection="1">
      <protection hidden="1"/>
    </xf>
    <xf numFmtId="0" fontId="118" fillId="0" borderId="0" xfId="3" applyFont="1" applyBorder="1" applyAlignment="1" applyProtection="1">
      <protection hidden="1"/>
    </xf>
    <xf numFmtId="0" fontId="119" fillId="0" borderId="0" xfId="3" applyFont="1" applyBorder="1" applyAlignment="1" applyProtection="1">
      <alignment horizontal="center" vertical="center"/>
      <protection hidden="1"/>
    </xf>
    <xf numFmtId="0" fontId="118" fillId="0" borderId="0" xfId="6" applyFont="1" applyAlignment="1" applyProtection="1">
      <protection hidden="1"/>
    </xf>
    <xf numFmtId="0" fontId="98" fillId="0" borderId="0" xfId="6" applyFont="1" applyProtection="1">
      <alignment vertical="center"/>
      <protection hidden="1"/>
    </xf>
    <xf numFmtId="0" fontId="121" fillId="0" borderId="0" xfId="3" applyFont="1" applyBorder="1" applyAlignment="1" applyProtection="1">
      <alignment horizontal="right"/>
      <protection hidden="1"/>
    </xf>
    <xf numFmtId="0" fontId="118" fillId="0" borderId="0" xfId="3" applyFont="1" applyBorder="1" applyAlignment="1" applyProtection="1">
      <alignment horizontal="right"/>
      <protection hidden="1"/>
    </xf>
    <xf numFmtId="0" fontId="117" fillId="0" borderId="0" xfId="3" applyFont="1" applyFill="1" applyBorder="1" applyAlignment="1" applyProtection="1">
      <protection hidden="1"/>
    </xf>
    <xf numFmtId="0" fontId="120" fillId="0" borderId="0" xfId="3" applyFont="1" applyFill="1" applyAlignment="1" applyProtection="1">
      <alignment vertical="top"/>
      <protection hidden="1"/>
    </xf>
    <xf numFmtId="0" fontId="118" fillId="0" borderId="0" xfId="6" applyFont="1" applyFill="1" applyAlignment="1" applyProtection="1">
      <protection hidden="1"/>
    </xf>
    <xf numFmtId="0" fontId="117" fillId="0" borderId="0" xfId="3" applyFont="1" applyFill="1" applyAlignment="1" applyProtection="1">
      <protection hidden="1"/>
    </xf>
    <xf numFmtId="0" fontId="118" fillId="0" borderId="0" xfId="3" applyFont="1" applyFill="1" applyBorder="1" applyAlignment="1" applyProtection="1">
      <protection hidden="1"/>
    </xf>
    <xf numFmtId="0" fontId="122" fillId="0" borderId="0" xfId="3" applyFont="1" applyFill="1" applyBorder="1" applyAlignment="1" applyProtection="1">
      <alignment vertical="center"/>
      <protection hidden="1"/>
    </xf>
    <xf numFmtId="0" fontId="118" fillId="0" borderId="0" xfId="3" applyFont="1" applyFill="1" applyAlignment="1" applyProtection="1">
      <protection hidden="1"/>
    </xf>
    <xf numFmtId="0" fontId="121" fillId="0" borderId="0" xfId="3" applyFont="1" applyFill="1" applyAlignment="1" applyProtection="1">
      <protection hidden="1"/>
    </xf>
    <xf numFmtId="0" fontId="117" fillId="41" borderId="0" xfId="3" applyFont="1" applyFill="1" applyAlignment="1" applyProtection="1">
      <protection hidden="1"/>
    </xf>
    <xf numFmtId="0" fontId="118" fillId="41" borderId="0" xfId="3" applyFont="1" applyFill="1" applyAlignment="1" applyProtection="1">
      <protection hidden="1"/>
    </xf>
    <xf numFmtId="0" fontId="118" fillId="41" borderId="0" xfId="6" applyFont="1" applyFill="1" applyAlignment="1" applyProtection="1">
      <protection hidden="1"/>
    </xf>
    <xf numFmtId="0" fontId="0" fillId="41" borderId="0" xfId="0" applyFill="1" applyAlignment="1" applyProtection="1">
      <protection hidden="1"/>
    </xf>
    <xf numFmtId="0" fontId="0" fillId="41" borderId="0" xfId="0" applyFill="1" applyProtection="1">
      <protection hidden="1"/>
    </xf>
    <xf numFmtId="0" fontId="121" fillId="41" borderId="0" xfId="3" applyFont="1" applyFill="1" applyAlignment="1" applyProtection="1">
      <alignment horizontal="right"/>
      <protection hidden="1"/>
    </xf>
    <xf numFmtId="0" fontId="118" fillId="41" borderId="0" xfId="3" applyFont="1" applyFill="1" applyAlignment="1" applyProtection="1">
      <alignment horizontal="right"/>
      <protection hidden="1"/>
    </xf>
    <xf numFmtId="0" fontId="121" fillId="41" borderId="0" xfId="3" applyFont="1" applyFill="1" applyAlignment="1" applyProtection="1">
      <protection hidden="1"/>
    </xf>
    <xf numFmtId="2" fontId="118" fillId="41" borderId="0" xfId="3" applyNumberFormat="1" applyFont="1" applyFill="1" applyAlignment="1" applyProtection="1">
      <alignment horizontal="right"/>
      <protection hidden="1"/>
    </xf>
    <xf numFmtId="0" fontId="117" fillId="0" borderId="0" xfId="3" applyFont="1" applyAlignment="1" applyProtection="1">
      <protection hidden="1"/>
    </xf>
    <xf numFmtId="0" fontId="118" fillId="0" borderId="0" xfId="3" applyFont="1" applyAlignment="1" applyProtection="1">
      <protection hidden="1"/>
    </xf>
    <xf numFmtId="0" fontId="121" fillId="0" borderId="0" xfId="3" applyFont="1" applyAlignment="1" applyProtection="1">
      <alignment horizontal="right"/>
      <protection hidden="1"/>
    </xf>
    <xf numFmtId="0" fontId="118" fillId="0" borderId="0" xfId="3" applyFont="1" applyAlignment="1" applyProtection="1">
      <alignment horizontal="right"/>
      <protection hidden="1"/>
    </xf>
    <xf numFmtId="0" fontId="73" fillId="0" borderId="0" xfId="0" applyFont="1" applyProtection="1">
      <protection hidden="1"/>
    </xf>
    <xf numFmtId="0" fontId="73" fillId="0" borderId="0" xfId="0" applyFont="1" applyAlignment="1" applyProtection="1">
      <protection hidden="1"/>
    </xf>
    <xf numFmtId="0" fontId="0" fillId="40" borderId="0" xfId="0" applyFill="1" applyProtection="1">
      <protection hidden="1"/>
    </xf>
    <xf numFmtId="0" fontId="38" fillId="40" borderId="0" xfId="0" applyFont="1" applyFill="1" applyProtection="1">
      <protection hidden="1"/>
    </xf>
    <xf numFmtId="0" fontId="123" fillId="0" borderId="0" xfId="0" applyFont="1" applyAlignment="1" applyProtection="1">
      <alignment vertical="center"/>
      <protection hidden="1"/>
    </xf>
    <xf numFmtId="0" fontId="132" fillId="13" borderId="14" xfId="0" applyFont="1" applyFill="1" applyBorder="1" applyAlignment="1" applyProtection="1">
      <alignment horizontal="center" vertical="center"/>
      <protection locked="0"/>
    </xf>
    <xf numFmtId="0" fontId="132" fillId="13" borderId="10" xfId="0" applyFont="1" applyFill="1" applyBorder="1" applyAlignment="1" applyProtection="1">
      <alignment horizontal="center" vertical="center"/>
      <protection locked="0"/>
    </xf>
    <xf numFmtId="0" fontId="132" fillId="13" borderId="41" xfId="0" applyFont="1" applyFill="1" applyBorder="1" applyAlignment="1" applyProtection="1">
      <alignment horizontal="center" vertical="center"/>
      <protection locked="0"/>
    </xf>
    <xf numFmtId="0" fontId="12" fillId="56" borderId="0" xfId="0" applyFont="1" applyFill="1" applyBorder="1" applyAlignment="1" applyProtection="1">
      <protection hidden="1"/>
    </xf>
    <xf numFmtId="0" fontId="139" fillId="56" borderId="0" xfId="0" applyFont="1" applyFill="1" applyBorder="1" applyAlignment="1" applyProtection="1">
      <alignment horizontal="right"/>
      <protection hidden="1"/>
    </xf>
    <xf numFmtId="0" fontId="129" fillId="56" borderId="0" xfId="0" applyFont="1" applyFill="1" applyBorder="1" applyAlignment="1" applyProtection="1">
      <alignment horizontal="right"/>
      <protection hidden="1"/>
    </xf>
    <xf numFmtId="0" fontId="142" fillId="56" borderId="0" xfId="0" applyFont="1" applyFill="1" applyBorder="1" applyAlignment="1" applyProtection="1">
      <alignment horizontal="right"/>
      <protection hidden="1"/>
    </xf>
    <xf numFmtId="164" fontId="79" fillId="0" borderId="10" xfId="0" applyNumberFormat="1" applyFont="1" applyBorder="1" applyAlignment="1" applyProtection="1">
      <alignment horizontal="center" vertical="center" wrapText="1"/>
      <protection hidden="1"/>
    </xf>
    <xf numFmtId="0" fontId="149" fillId="0" borderId="0" xfId="0" applyFont="1" applyFill="1" applyBorder="1" applyProtection="1">
      <protection hidden="1"/>
    </xf>
    <xf numFmtId="0" fontId="150" fillId="0" borderId="0" xfId="0" applyFont="1" applyFill="1" applyBorder="1" applyProtection="1">
      <protection hidden="1"/>
    </xf>
    <xf numFmtId="1" fontId="151" fillId="56" borderId="0" xfId="0" applyNumberFormat="1" applyFont="1" applyFill="1" applyBorder="1" applyAlignment="1" applyProtection="1">
      <alignment horizontal="center"/>
      <protection hidden="1"/>
    </xf>
    <xf numFmtId="0" fontId="142" fillId="56" borderId="0" xfId="0" applyFont="1" applyFill="1" applyBorder="1" applyAlignment="1" applyProtection="1">
      <alignment horizontal="right" vertical="center"/>
      <protection hidden="1"/>
    </xf>
    <xf numFmtId="0" fontId="25" fillId="59" borderId="10" xfId="0" applyFont="1" applyFill="1" applyBorder="1" applyAlignment="1" applyProtection="1">
      <alignment horizontal="center" vertical="center"/>
      <protection locked="0"/>
    </xf>
    <xf numFmtId="0" fontId="0" fillId="56" borderId="0" xfId="0" applyFill="1" applyProtection="1">
      <protection hidden="1"/>
    </xf>
    <xf numFmtId="0" fontId="130" fillId="56" borderId="0" xfId="0" applyFont="1" applyFill="1" applyAlignment="1" applyProtection="1">
      <alignment horizontal="center" vertical="center"/>
      <protection hidden="1"/>
    </xf>
    <xf numFmtId="0" fontId="130" fillId="0" borderId="0" xfId="0" applyFont="1" applyAlignment="1" applyProtection="1">
      <alignment horizontal="center" vertical="center"/>
      <protection hidden="1"/>
    </xf>
    <xf numFmtId="0" fontId="135" fillId="60" borderId="74" xfId="0" applyFont="1" applyFill="1" applyBorder="1" applyAlignment="1" applyProtection="1">
      <alignment horizontal="center" vertical="center"/>
      <protection hidden="1"/>
    </xf>
    <xf numFmtId="0" fontId="135" fillId="60" borderId="75" xfId="0" applyFont="1" applyFill="1" applyBorder="1" applyAlignment="1" applyProtection="1">
      <alignment horizontal="center" vertical="center"/>
      <protection hidden="1"/>
    </xf>
    <xf numFmtId="0" fontId="135" fillId="60" borderId="76" xfId="0" applyFont="1" applyFill="1" applyBorder="1" applyAlignment="1" applyProtection="1">
      <alignment horizontal="center" vertical="center"/>
      <protection hidden="1"/>
    </xf>
    <xf numFmtId="0" fontId="131" fillId="51" borderId="77" xfId="0" applyFont="1" applyFill="1" applyBorder="1" applyAlignment="1" applyProtection="1">
      <alignment horizontal="center" vertical="center"/>
      <protection hidden="1"/>
    </xf>
    <xf numFmtId="0" fontId="130" fillId="56" borderId="0" xfId="0" applyFont="1" applyFill="1" applyBorder="1" applyAlignment="1" applyProtection="1">
      <alignment horizontal="center" vertical="center"/>
      <protection hidden="1"/>
    </xf>
    <xf numFmtId="49" fontId="136" fillId="56" borderId="79" xfId="0" applyNumberFormat="1" applyFont="1" applyFill="1" applyBorder="1" applyAlignment="1" applyProtection="1">
      <alignment horizontal="center" vertical="center"/>
      <protection hidden="1"/>
    </xf>
    <xf numFmtId="0" fontId="148" fillId="56" borderId="0" xfId="0" applyFont="1" applyFill="1" applyBorder="1" applyAlignment="1" applyProtection="1">
      <alignment horizontal="center" vertical="center"/>
      <protection hidden="1"/>
    </xf>
    <xf numFmtId="164" fontId="130" fillId="56" borderId="0" xfId="0" applyNumberFormat="1" applyFont="1" applyFill="1" applyBorder="1" applyAlignment="1" applyProtection="1">
      <alignment horizontal="center" vertical="center"/>
      <protection hidden="1"/>
    </xf>
    <xf numFmtId="49" fontId="136" fillId="56" borderId="80" xfId="0" applyNumberFormat="1" applyFont="1" applyFill="1" applyBorder="1" applyAlignment="1" applyProtection="1">
      <alignment horizontal="center" vertical="center"/>
      <protection hidden="1"/>
    </xf>
    <xf numFmtId="0" fontId="130" fillId="56" borderId="78" xfId="0" applyFont="1" applyFill="1" applyBorder="1" applyAlignment="1" applyProtection="1">
      <alignment horizontal="center" vertical="center"/>
      <protection hidden="1"/>
    </xf>
    <xf numFmtId="3" fontId="146" fillId="56" borderId="0" xfId="0" applyNumberFormat="1" applyFont="1" applyFill="1" applyBorder="1" applyAlignment="1" applyProtection="1">
      <alignment horizontal="center" vertical="center"/>
      <protection hidden="1"/>
    </xf>
    <xf numFmtId="0" fontId="147" fillId="56" borderId="0" xfId="0" applyFont="1" applyFill="1" applyBorder="1" applyAlignment="1" applyProtection="1">
      <alignment horizontal="center" vertical="center"/>
      <protection hidden="1"/>
    </xf>
    <xf numFmtId="0" fontId="133" fillId="56" borderId="0" xfId="0" applyFont="1" applyFill="1" applyBorder="1" applyAlignment="1" applyProtection="1">
      <alignment vertical="center" wrapText="1"/>
      <protection hidden="1"/>
    </xf>
    <xf numFmtId="0" fontId="133" fillId="56" borderId="78" xfId="0" applyFont="1" applyFill="1" applyBorder="1" applyAlignment="1" applyProtection="1">
      <alignment vertical="center" wrapText="1"/>
      <protection hidden="1"/>
    </xf>
    <xf numFmtId="0" fontId="130" fillId="0" borderId="0" xfId="0" applyFont="1" applyBorder="1" applyAlignment="1" applyProtection="1">
      <alignment horizontal="center" vertical="center"/>
      <protection hidden="1"/>
    </xf>
    <xf numFmtId="49" fontId="136" fillId="56" borderId="81" xfId="0" applyNumberFormat="1" applyFont="1" applyFill="1" applyBorder="1" applyAlignment="1" applyProtection="1">
      <alignment horizontal="center" vertical="center"/>
      <protection hidden="1"/>
    </xf>
    <xf numFmtId="0" fontId="145" fillId="56" borderId="0" xfId="0" applyFont="1" applyFill="1" applyBorder="1" applyAlignment="1" applyProtection="1">
      <alignment horizontal="center" vertical="center" wrapText="1"/>
      <protection hidden="1"/>
    </xf>
    <xf numFmtId="1" fontId="148" fillId="56" borderId="0" xfId="0" applyNumberFormat="1" applyFont="1" applyFill="1" applyBorder="1" applyAlignment="1" applyProtection="1">
      <alignment horizontal="center" vertical="center"/>
      <protection hidden="1"/>
    </xf>
    <xf numFmtId="3" fontId="130" fillId="56" borderId="0" xfId="0" applyNumberFormat="1" applyFont="1" applyFill="1" applyBorder="1" applyAlignment="1" applyProtection="1">
      <alignment horizontal="center" vertical="center"/>
      <protection hidden="1"/>
    </xf>
    <xf numFmtId="0" fontId="134" fillId="56" borderId="78" xfId="0" applyFont="1" applyFill="1" applyBorder="1" applyAlignment="1" applyProtection="1">
      <alignment horizontal="left" vertical="center"/>
      <protection hidden="1"/>
    </xf>
    <xf numFmtId="1" fontId="71" fillId="56" borderId="0" xfId="0" applyNumberFormat="1" applyFont="1" applyFill="1" applyBorder="1" applyAlignment="1" applyProtection="1">
      <alignment horizontal="center" vertical="center"/>
      <protection hidden="1"/>
    </xf>
    <xf numFmtId="3" fontId="71" fillId="56" borderId="0" xfId="0" applyNumberFormat="1" applyFont="1" applyFill="1" applyBorder="1" applyAlignment="1" applyProtection="1">
      <alignment horizontal="center" vertical="center"/>
      <protection hidden="1"/>
    </xf>
    <xf numFmtId="0" fontId="129" fillId="56" borderId="0" xfId="0" applyFont="1" applyFill="1" applyBorder="1" applyAlignment="1" applyProtection="1">
      <alignment horizontal="center" vertical="center"/>
      <protection hidden="1"/>
    </xf>
    <xf numFmtId="0" fontId="130" fillId="56" borderId="83" xfId="0" applyFont="1" applyFill="1" applyBorder="1" applyAlignment="1" applyProtection="1">
      <alignment horizontal="center" vertical="center"/>
      <protection hidden="1"/>
    </xf>
    <xf numFmtId="0" fontId="130" fillId="56" borderId="84" xfId="0" applyFont="1" applyFill="1" applyBorder="1" applyAlignment="1" applyProtection="1">
      <alignment horizontal="center" vertical="center"/>
      <protection hidden="1"/>
    </xf>
    <xf numFmtId="0" fontId="130" fillId="56" borderId="85" xfId="0" applyFont="1" applyFill="1" applyBorder="1" applyAlignment="1" applyProtection="1">
      <alignment horizontal="center" vertical="center"/>
      <protection hidden="1"/>
    </xf>
    <xf numFmtId="0" fontId="149" fillId="0" borderId="0" xfId="0" applyFont="1" applyFill="1" applyBorder="1" applyAlignment="1" applyProtection="1">
      <alignment horizontal="right"/>
      <protection hidden="1"/>
    </xf>
    <xf numFmtId="0" fontId="12" fillId="56" borderId="10" xfId="0" applyFont="1" applyFill="1" applyBorder="1" applyAlignment="1" applyProtection="1">
      <alignment horizontal="center" vertical="center"/>
      <protection hidden="1"/>
    </xf>
    <xf numFmtId="1" fontId="26" fillId="50" borderId="10" xfId="0" applyNumberFormat="1" applyFont="1" applyFill="1" applyBorder="1" applyAlignment="1" applyProtection="1">
      <alignment horizontal="center" vertical="center"/>
      <protection locked="0"/>
    </xf>
    <xf numFmtId="2" fontId="101" fillId="0" borderId="88" xfId="6" applyNumberFormat="1" applyFont="1" applyBorder="1" applyAlignment="1" applyProtection="1">
      <protection hidden="1"/>
    </xf>
    <xf numFmtId="2" fontId="158" fillId="42" borderId="10" xfId="1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Border="1" applyAlignment="1" applyProtection="1">
      <alignment vertical="top" wrapText="1"/>
      <protection hidden="1"/>
    </xf>
    <xf numFmtId="0" fontId="46" fillId="0" borderId="0" xfId="0" applyFont="1" applyProtection="1">
      <protection hidden="1"/>
    </xf>
    <xf numFmtId="0" fontId="167" fillId="0" borderId="0" xfId="0" applyFont="1" applyAlignment="1" applyProtection="1">
      <protection hidden="1"/>
    </xf>
    <xf numFmtId="0" fontId="168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65" fillId="0" borderId="0" xfId="0" applyFont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71" fillId="0" borderId="0" xfId="0" applyFont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49" fontId="7" fillId="4" borderId="0" xfId="0" applyNumberFormat="1" applyFont="1" applyFill="1" applyBorder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167" fontId="7" fillId="4" borderId="0" xfId="0" applyNumberFormat="1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horizontal="left" vertical="center"/>
      <protection hidden="1"/>
    </xf>
    <xf numFmtId="0" fontId="29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 wrapText="1"/>
      <protection hidden="1"/>
    </xf>
    <xf numFmtId="0" fontId="28" fillId="2" borderId="0" xfId="0" applyFont="1" applyFill="1" applyProtection="1"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53" fillId="4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0" fillId="2" borderId="0" xfId="0" applyFont="1" applyFill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1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hidden="1"/>
    </xf>
    <xf numFmtId="0" fontId="5" fillId="21" borderId="1" xfId="0" applyFont="1" applyFill="1" applyBorder="1" applyAlignment="1" applyProtection="1">
      <alignment horizontal="center" vertical="center" wrapText="1"/>
      <protection hidden="1"/>
    </xf>
    <xf numFmtId="0" fontId="22" fillId="21" borderId="1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1" fontId="12" fillId="26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2" fontId="24" fillId="0" borderId="0" xfId="0" applyNumberFormat="1" applyFont="1" applyFill="1" applyBorder="1" applyAlignment="1" applyProtection="1">
      <alignment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0" fillId="39" borderId="0" xfId="0" applyFill="1" applyProtection="1">
      <protection hidden="1"/>
    </xf>
    <xf numFmtId="0" fontId="0" fillId="55" borderId="0" xfId="0" applyFill="1" applyProtection="1">
      <protection hidden="1"/>
    </xf>
    <xf numFmtId="0" fontId="0" fillId="47" borderId="0" xfId="0" applyFill="1" applyProtection="1">
      <protection hidden="1"/>
    </xf>
    <xf numFmtId="0" fontId="0" fillId="48" borderId="0" xfId="0" applyFill="1" applyAlignment="1" applyProtection="1">
      <protection hidden="1"/>
    </xf>
    <xf numFmtId="0" fontId="7" fillId="41" borderId="10" xfId="0" applyFont="1" applyFill="1" applyBorder="1" applyAlignment="1" applyProtection="1">
      <alignment horizontal="center" vertical="center"/>
      <protection locked="0"/>
    </xf>
    <xf numFmtId="0" fontId="174" fillId="51" borderId="0" xfId="0" applyFont="1" applyFill="1" applyBorder="1" applyAlignment="1" applyProtection="1">
      <alignment horizontal="center" vertical="center"/>
      <protection hidden="1"/>
    </xf>
    <xf numFmtId="0" fontId="175" fillId="51" borderId="0" xfId="0" applyFont="1" applyFill="1" applyBorder="1" applyAlignment="1" applyProtection="1">
      <alignment horizontal="center" vertical="center" wrapText="1"/>
      <protection hidden="1"/>
    </xf>
    <xf numFmtId="0" fontId="175" fillId="51" borderId="0" xfId="0" applyFont="1" applyFill="1" applyBorder="1" applyAlignment="1" applyProtection="1">
      <alignment horizontal="center" vertical="center"/>
      <protection hidden="1"/>
    </xf>
    <xf numFmtId="0" fontId="88" fillId="0" borderId="92" xfId="4" applyFont="1" applyBorder="1" applyAlignment="1" applyProtection="1">
      <alignment horizontal="center" vertical="center"/>
      <protection hidden="1"/>
    </xf>
    <xf numFmtId="0" fontId="88" fillId="0" borderId="93" xfId="4" applyFont="1" applyBorder="1" applyAlignment="1" applyProtection="1">
      <alignment horizontal="center" vertical="center"/>
      <protection hidden="1"/>
    </xf>
    <xf numFmtId="0" fontId="90" fillId="0" borderId="93" xfId="4" applyFont="1" applyBorder="1" applyAlignment="1" applyProtection="1">
      <alignment horizontal="right" vertical="center"/>
      <protection hidden="1"/>
    </xf>
    <xf numFmtId="0" fontId="91" fillId="0" borderId="0" xfId="4" applyFont="1" applyFill="1" applyBorder="1" applyAlignment="1" applyProtection="1">
      <alignment horizontal="center" vertical="center"/>
      <protection hidden="1"/>
    </xf>
    <xf numFmtId="1" fontId="88" fillId="0" borderId="88" xfId="4" applyNumberFormat="1" applyFont="1" applyBorder="1" applyAlignment="1" applyProtection="1">
      <alignment horizontal="right" vertical="center"/>
      <protection hidden="1"/>
    </xf>
    <xf numFmtId="1" fontId="5" fillId="0" borderId="96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0" fontId="88" fillId="0" borderId="98" xfId="4" applyFont="1" applyBorder="1" applyAlignment="1" applyProtection="1">
      <alignment horizontal="center" vertical="center"/>
      <protection hidden="1"/>
    </xf>
    <xf numFmtId="2" fontId="95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center" vertical="center"/>
      <protection hidden="1"/>
    </xf>
    <xf numFmtId="0" fontId="100" fillId="0" borderId="0" xfId="4" applyFont="1" applyBorder="1" applyAlignment="1" applyProtection="1">
      <alignment horizontal="center" vertical="center"/>
      <protection hidden="1"/>
    </xf>
    <xf numFmtId="0" fontId="89" fillId="0" borderId="88" xfId="4" applyFont="1" applyBorder="1" applyAlignment="1" applyProtection="1">
      <alignment horizontal="center" vertical="center"/>
      <protection hidden="1"/>
    </xf>
    <xf numFmtId="0" fontId="89" fillId="0" borderId="89" xfId="4" applyFont="1" applyBorder="1" applyAlignment="1" applyProtection="1">
      <alignment horizontal="center" vertical="center"/>
      <protection hidden="1"/>
    </xf>
    <xf numFmtId="0" fontId="102" fillId="0" borderId="0" xfId="4" applyFont="1" applyBorder="1" applyAlignment="1" applyProtection="1">
      <alignment horizontal="left" vertical="center"/>
      <protection hidden="1"/>
    </xf>
    <xf numFmtId="0" fontId="104" fillId="0" borderId="0" xfId="4" applyFont="1" applyBorder="1" applyAlignment="1" applyProtection="1">
      <alignment horizontal="left" vertical="center"/>
      <protection hidden="1"/>
    </xf>
    <xf numFmtId="0" fontId="105" fillId="0" borderId="88" xfId="4" applyFont="1" applyBorder="1" applyAlignment="1" applyProtection="1">
      <alignment horizontal="center"/>
      <protection hidden="1"/>
    </xf>
    <xf numFmtId="0" fontId="88" fillId="0" borderId="88" xfId="4" applyFont="1" applyBorder="1" applyAlignment="1" applyProtection="1">
      <alignment horizontal="right"/>
      <protection hidden="1"/>
    </xf>
    <xf numFmtId="1" fontId="107" fillId="0" borderId="88" xfId="4" applyNumberFormat="1" applyFont="1" applyBorder="1" applyAlignment="1" applyProtection="1">
      <alignment horizontal="right"/>
      <protection hidden="1"/>
    </xf>
    <xf numFmtId="0" fontId="108" fillId="0" borderId="88" xfId="4" applyFont="1" applyBorder="1" applyAlignment="1" applyProtection="1">
      <alignment horizontal="center"/>
      <protection hidden="1"/>
    </xf>
    <xf numFmtId="0" fontId="95" fillId="0" borderId="0" xfId="4" applyFont="1" applyBorder="1" applyAlignment="1" applyProtection="1">
      <alignment horizontal="center" vertical="center"/>
      <protection hidden="1"/>
    </xf>
    <xf numFmtId="1" fontId="107" fillId="49" borderId="88" xfId="4" applyNumberFormat="1" applyFont="1" applyFill="1" applyBorder="1" applyAlignment="1" applyProtection="1">
      <alignment horizontal="right"/>
      <protection hidden="1"/>
    </xf>
    <xf numFmtId="1" fontId="111" fillId="0" borderId="88" xfId="4" applyNumberFormat="1" applyFont="1" applyBorder="1" applyAlignment="1" applyProtection="1">
      <alignment horizontal="right"/>
      <protection hidden="1"/>
    </xf>
    <xf numFmtId="0" fontId="88" fillId="0" borderId="88" xfId="4" applyFont="1" applyBorder="1" applyAlignment="1" applyProtection="1">
      <alignment horizontal="right" vertical="center"/>
      <protection hidden="1"/>
    </xf>
    <xf numFmtId="1" fontId="173" fillId="0" borderId="96" xfId="4" applyNumberFormat="1" applyFont="1" applyBorder="1" applyAlignment="1" applyProtection="1">
      <alignment horizontal="right" vertical="center"/>
      <protection hidden="1"/>
    </xf>
    <xf numFmtId="1" fontId="95" fillId="0" borderId="96" xfId="4" applyNumberFormat="1" applyFont="1" applyBorder="1" applyAlignment="1" applyProtection="1">
      <alignment horizontal="right" vertical="center"/>
      <protection hidden="1"/>
    </xf>
    <xf numFmtId="1" fontId="89" fillId="0" borderId="96" xfId="4" applyNumberFormat="1" applyFont="1" applyBorder="1" applyAlignment="1" applyProtection="1">
      <alignment horizontal="right" vertical="center"/>
      <protection hidden="1"/>
    </xf>
    <xf numFmtId="2" fontId="114" fillId="0" borderId="0" xfId="4" applyNumberFormat="1" applyFont="1" applyBorder="1" applyAlignment="1" applyProtection="1">
      <alignment horizontal="right" vertical="center"/>
      <protection hidden="1"/>
    </xf>
    <xf numFmtId="0" fontId="97" fillId="0" borderId="0" xfId="4" applyFont="1" applyBorder="1" applyAlignment="1" applyProtection="1">
      <alignment horizontal="left" vertical="center"/>
      <protection hidden="1"/>
    </xf>
    <xf numFmtId="0" fontId="109" fillId="0" borderId="88" xfId="4" applyFont="1" applyBorder="1" applyAlignment="1" applyProtection="1">
      <alignment horizontal="right" vertical="center"/>
      <protection hidden="1"/>
    </xf>
    <xf numFmtId="0" fontId="102" fillId="0" borderId="96" xfId="4" applyFont="1" applyBorder="1" applyAlignment="1" applyProtection="1">
      <alignment vertical="center"/>
      <protection hidden="1"/>
    </xf>
    <xf numFmtId="0" fontId="102" fillId="0" borderId="0" xfId="4" applyFont="1" applyBorder="1" applyAlignment="1" applyProtection="1">
      <alignment vertical="center"/>
      <protection hidden="1"/>
    </xf>
    <xf numFmtId="9" fontId="90" fillId="0" borderId="88" xfId="4" applyNumberFormat="1" applyFont="1" applyBorder="1" applyAlignment="1" applyProtection="1">
      <alignment horizontal="center" vertical="center"/>
      <protection hidden="1"/>
    </xf>
    <xf numFmtId="1" fontId="114" fillId="0" borderId="96" xfId="4" applyNumberFormat="1" applyFont="1" applyBorder="1" applyAlignment="1" applyProtection="1">
      <alignment vertical="center"/>
      <protection hidden="1"/>
    </xf>
    <xf numFmtId="2" fontId="95" fillId="0" borderId="0" xfId="4" applyNumberFormat="1" applyFont="1" applyBorder="1" applyAlignment="1" applyProtection="1">
      <alignment vertical="center"/>
      <protection hidden="1"/>
    </xf>
    <xf numFmtId="0" fontId="90" fillId="0" borderId="88" xfId="4" applyFont="1" applyBorder="1" applyAlignment="1" applyProtection="1">
      <alignment horizontal="center" vertical="center"/>
      <protection hidden="1"/>
    </xf>
    <xf numFmtId="0" fontId="101" fillId="0" borderId="88" xfId="4" applyFont="1" applyBorder="1" applyAlignment="1" applyProtection="1">
      <alignment horizontal="center" vertical="center" wrapText="1"/>
      <protection hidden="1"/>
    </xf>
    <xf numFmtId="0" fontId="157" fillId="0" borderId="96" xfId="4" applyFont="1" applyBorder="1" applyAlignment="1" applyProtection="1">
      <alignment horizontal="center" vertical="center" wrapText="1"/>
      <protection hidden="1"/>
    </xf>
    <xf numFmtId="0" fontId="102" fillId="0" borderId="0" xfId="4" applyFont="1" applyBorder="1" applyAlignment="1" applyProtection="1">
      <alignment horizontal="center" vertical="center" wrapText="1"/>
      <protection hidden="1"/>
    </xf>
    <xf numFmtId="1" fontId="89" fillId="0" borderId="88" xfId="4" applyNumberFormat="1" applyFont="1" applyBorder="1" applyAlignment="1" applyProtection="1">
      <alignment horizontal="center"/>
      <protection hidden="1"/>
    </xf>
    <xf numFmtId="1" fontId="89" fillId="0" borderId="96" xfId="4" applyNumberFormat="1" applyFont="1" applyBorder="1" applyAlignment="1" applyProtection="1">
      <alignment vertical="center" wrapText="1"/>
      <protection hidden="1"/>
    </xf>
    <xf numFmtId="2" fontId="95" fillId="0" borderId="0" xfId="4" applyNumberFormat="1" applyFont="1" applyBorder="1" applyAlignment="1" applyProtection="1">
      <alignment horizontal="right" vertical="center" wrapText="1"/>
      <protection hidden="1"/>
    </xf>
    <xf numFmtId="0" fontId="88" fillId="0" borderId="100" xfId="4" applyFont="1" applyBorder="1" applyAlignment="1" applyProtection="1">
      <alignment horizontal="right" vertical="center"/>
      <protection hidden="1"/>
    </xf>
    <xf numFmtId="1" fontId="115" fillId="0" borderId="101" xfId="4" applyNumberFormat="1" applyFont="1" applyBorder="1" applyAlignment="1" applyProtection="1">
      <alignment horizontal="right" vertical="center"/>
      <protection hidden="1"/>
    </xf>
    <xf numFmtId="0" fontId="116" fillId="0" borderId="0" xfId="4" applyFont="1" applyBorder="1" applyAlignment="1" applyProtection="1">
      <alignment horizontal="right" vertical="center"/>
      <protection hidden="1"/>
    </xf>
    <xf numFmtId="0" fontId="88" fillId="0" borderId="0" xfId="4" applyFont="1" applyBorder="1" applyAlignment="1" applyProtection="1">
      <alignment horizontal="right" vertical="center"/>
      <protection hidden="1"/>
    </xf>
    <xf numFmtId="0" fontId="170" fillId="0" borderId="0" xfId="0" applyFont="1" applyProtection="1">
      <protection locked="0"/>
    </xf>
    <xf numFmtId="0" fontId="0" fillId="0" borderId="0" xfId="0" applyProtection="1">
      <protection locked="0"/>
    </xf>
    <xf numFmtId="0" fontId="46" fillId="0" borderId="0" xfId="0" applyFont="1" applyProtection="1">
      <protection locked="0"/>
    </xf>
    <xf numFmtId="0" fontId="65" fillId="0" borderId="0" xfId="0" applyFont="1" applyBorder="1" applyAlignment="1" applyProtection="1">
      <alignment vertical="center" wrapText="1"/>
      <protection locked="0"/>
    </xf>
    <xf numFmtId="0" fontId="169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64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24" borderId="10" xfId="0" applyNumberFormat="1" applyFont="1" applyFill="1" applyBorder="1" applyAlignment="1" applyProtection="1">
      <alignment horizontal="center" vertical="center"/>
      <protection locked="0"/>
    </xf>
    <xf numFmtId="1" fontId="41" fillId="13" borderId="10" xfId="0" applyNumberFormat="1" applyFont="1" applyFill="1" applyBorder="1" applyAlignment="1" applyProtection="1">
      <alignment horizontal="center" vertical="center"/>
      <protection locked="0"/>
    </xf>
    <xf numFmtId="1" fontId="42" fillId="13" borderId="10" xfId="0" applyNumberFormat="1" applyFont="1" applyFill="1" applyBorder="1" applyAlignment="1" applyProtection="1">
      <alignment horizontal="center" vertical="center"/>
      <protection locked="0"/>
    </xf>
    <xf numFmtId="1" fontId="50" fillId="13" borderId="10" xfId="0" applyNumberFormat="1" applyFont="1" applyFill="1" applyBorder="1" applyAlignment="1" applyProtection="1">
      <alignment horizontal="center" vertical="center"/>
      <protection locked="0"/>
    </xf>
    <xf numFmtId="165" fontId="40" fillId="13" borderId="10" xfId="0" applyNumberFormat="1" applyFont="1" applyFill="1" applyBorder="1" applyAlignment="1" applyProtection="1">
      <alignment horizontal="center" vertical="center" wrapText="1"/>
      <protection locked="0"/>
    </xf>
    <xf numFmtId="165" fontId="40" fillId="13" borderId="30" xfId="0" applyNumberFormat="1" applyFont="1" applyFill="1" applyBorder="1" applyAlignment="1" applyProtection="1">
      <alignment horizontal="center" vertical="center" wrapText="1"/>
      <protection locked="0"/>
    </xf>
    <xf numFmtId="1" fontId="41" fillId="14" borderId="10" xfId="0" applyNumberFormat="1" applyFont="1" applyFill="1" applyBorder="1" applyAlignment="1" applyProtection="1">
      <alignment horizontal="center" vertical="center"/>
      <protection locked="0"/>
    </xf>
    <xf numFmtId="1" fontId="41" fillId="14" borderId="30" xfId="0" applyNumberFormat="1" applyFont="1" applyFill="1" applyBorder="1" applyAlignment="1" applyProtection="1">
      <alignment horizontal="center" vertical="center"/>
      <protection locked="0"/>
    </xf>
    <xf numFmtId="1" fontId="12" fillId="13" borderId="10" xfId="0" applyNumberFormat="1" applyFont="1" applyFill="1" applyBorder="1" applyAlignment="1" applyProtection="1">
      <alignment horizontal="center" vertical="center"/>
      <protection locked="0"/>
    </xf>
    <xf numFmtId="1" fontId="12" fillId="13" borderId="30" xfId="0" applyNumberFormat="1" applyFont="1" applyFill="1" applyBorder="1" applyAlignment="1" applyProtection="1">
      <alignment horizontal="center" vertical="center"/>
      <protection locked="0"/>
    </xf>
    <xf numFmtId="0" fontId="41" fillId="35" borderId="24" xfId="0" applyFont="1" applyFill="1" applyBorder="1" applyAlignment="1" applyProtection="1">
      <alignment horizontal="center" vertical="center" wrapText="1"/>
      <protection locked="0"/>
    </xf>
    <xf numFmtId="0" fontId="39" fillId="36" borderId="14" xfId="0" applyFont="1" applyFill="1" applyBorder="1" applyAlignment="1" applyProtection="1">
      <alignment vertical="center" wrapText="1"/>
      <protection locked="0"/>
    </xf>
    <xf numFmtId="0" fontId="37" fillId="16" borderId="0" xfId="0" applyFont="1" applyFill="1" applyAlignment="1" applyProtection="1">
      <alignment wrapText="1"/>
      <protection hidden="1"/>
    </xf>
    <xf numFmtId="0" fontId="37" fillId="0" borderId="0" xfId="0" applyFont="1" applyAlignment="1" applyProtection="1">
      <alignment wrapText="1"/>
      <protection hidden="1"/>
    </xf>
    <xf numFmtId="0" fontId="73" fillId="0" borderId="11" xfId="0" applyFont="1" applyFill="1" applyBorder="1" applyProtection="1">
      <protection hidden="1"/>
    </xf>
    <xf numFmtId="0" fontId="73" fillId="0" borderId="0" xfId="0" applyFont="1" applyBorder="1" applyProtection="1">
      <protection hidden="1"/>
    </xf>
    <xf numFmtId="0" fontId="73" fillId="0" borderId="12" xfId="0" applyFont="1" applyFill="1" applyBorder="1" applyProtection="1">
      <protection hidden="1"/>
    </xf>
    <xf numFmtId="0" fontId="73" fillId="0" borderId="13" xfId="0" applyFont="1" applyFill="1" applyBorder="1" applyProtection="1">
      <protection hidden="1"/>
    </xf>
    <xf numFmtId="0" fontId="73" fillId="0" borderId="0" xfId="0" applyFont="1" applyFill="1" applyProtection="1">
      <protection hidden="1"/>
    </xf>
    <xf numFmtId="14" fontId="73" fillId="0" borderId="0" xfId="0" applyNumberFormat="1" applyFont="1" applyFill="1" applyBorder="1" applyProtection="1">
      <protection hidden="1"/>
    </xf>
    <xf numFmtId="14" fontId="73" fillId="0" borderId="0" xfId="0" applyNumberFormat="1" applyFont="1" applyProtection="1">
      <protection hidden="1"/>
    </xf>
    <xf numFmtId="1" fontId="73" fillId="0" borderId="0" xfId="0" applyNumberFormat="1" applyFont="1" applyProtection="1">
      <protection hidden="1"/>
    </xf>
    <xf numFmtId="0" fontId="193" fillId="0" borderId="0" xfId="0" applyFont="1" applyAlignment="1" applyProtection="1">
      <alignment horizontal="center" vertical="center"/>
      <protection hidden="1"/>
    </xf>
    <xf numFmtId="0" fontId="181" fillId="78" borderId="108" xfId="0" applyFont="1" applyFill="1" applyBorder="1" applyAlignment="1" applyProtection="1">
      <alignment horizontal="center" vertical="center"/>
      <protection hidden="1"/>
    </xf>
    <xf numFmtId="0" fontId="4" fillId="79" borderId="108" xfId="0" applyFont="1" applyFill="1" applyBorder="1" applyAlignment="1" applyProtection="1">
      <alignment horizontal="center" vertical="center"/>
      <protection hidden="1"/>
    </xf>
    <xf numFmtId="0" fontId="99" fillId="79" borderId="108" xfId="0" applyFont="1" applyFill="1" applyBorder="1" applyAlignment="1" applyProtection="1">
      <alignment horizontal="justify" vertical="justify" wrapText="1"/>
      <protection hidden="1"/>
    </xf>
    <xf numFmtId="0" fontId="29" fillId="82" borderId="110" xfId="0" applyFont="1" applyFill="1" applyBorder="1" applyAlignment="1" applyProtection="1">
      <alignment horizontal="center" vertical="top"/>
      <protection hidden="1"/>
    </xf>
    <xf numFmtId="0" fontId="99" fillId="80" borderId="108" xfId="0" applyFont="1" applyFill="1" applyBorder="1" applyAlignment="1" applyProtection="1">
      <alignment horizontal="justify" vertical="justify" wrapText="1"/>
      <protection hidden="1"/>
    </xf>
    <xf numFmtId="0" fontId="39" fillId="84" borderId="0" xfId="0" applyFont="1" applyFill="1" applyAlignment="1" applyProtection="1">
      <alignment horizontal="center" vertical="center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194" fillId="86" borderId="116" xfId="0" applyFont="1" applyFill="1" applyBorder="1" applyAlignment="1" applyProtection="1">
      <alignment horizontal="center" vertical="center" wrapText="1"/>
      <protection locked="0"/>
    </xf>
    <xf numFmtId="49" fontId="198" fillId="0" borderId="103" xfId="0" applyNumberFormat="1" applyFont="1" applyBorder="1" applyAlignment="1" applyProtection="1">
      <alignment horizontal="center" vertical="center" wrapText="1"/>
      <protection locked="0"/>
    </xf>
    <xf numFmtId="168" fontId="195" fillId="89" borderId="116" xfId="0" applyNumberFormat="1" applyFont="1" applyFill="1" applyBorder="1" applyAlignment="1" applyProtection="1">
      <alignment horizontal="center" vertical="center" wrapText="1"/>
      <protection locked="0"/>
    </xf>
    <xf numFmtId="0" fontId="194" fillId="0" borderId="116" xfId="0" applyFont="1" applyFill="1" applyBorder="1" applyAlignment="1" applyProtection="1">
      <alignment horizontal="center" vertical="center" wrapText="1"/>
      <protection hidden="1"/>
    </xf>
    <xf numFmtId="0" fontId="195" fillId="0" borderId="116" xfId="0" applyFont="1" applyFill="1" applyBorder="1" applyAlignment="1" applyProtection="1">
      <alignment horizontal="center" vertical="center" wrapText="1"/>
      <protection hidden="1"/>
    </xf>
    <xf numFmtId="0" fontId="0" fillId="0" borderId="116" xfId="0" applyBorder="1" applyAlignment="1" applyProtection="1">
      <alignment horizontal="center" vertical="center"/>
      <protection hidden="1"/>
    </xf>
    <xf numFmtId="0" fontId="85" fillId="0" borderId="116" xfId="0" applyFont="1" applyBorder="1" applyAlignment="1" applyProtection="1">
      <alignment horizontal="center" vertical="center"/>
      <protection hidden="1"/>
    </xf>
    <xf numFmtId="168" fontId="194" fillId="0" borderId="116" xfId="0" applyNumberFormat="1" applyFont="1" applyBorder="1" applyAlignment="1" applyProtection="1">
      <alignment horizontal="center" vertical="center" wrapText="1"/>
      <protection hidden="1"/>
    </xf>
    <xf numFmtId="0" fontId="194" fillId="88" borderId="103" xfId="0" applyFont="1" applyFill="1" applyBorder="1" applyAlignment="1" applyProtection="1">
      <alignment horizontal="center" vertical="center" wrapText="1"/>
      <protection hidden="1"/>
    </xf>
    <xf numFmtId="0" fontId="198" fillId="0" borderId="103" xfId="0" applyFont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196" fillId="0" borderId="103" xfId="0" applyFont="1" applyBorder="1" applyAlignment="1" applyProtection="1">
      <alignment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hidden="1"/>
    </xf>
    <xf numFmtId="0" fontId="196" fillId="0" borderId="125" xfId="0" applyFont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211" fillId="0" borderId="0" xfId="0" applyFont="1" applyBorder="1" applyAlignment="1" applyProtection="1">
      <alignment horizontal="center" vertical="center" wrapText="1"/>
      <protection hidden="1"/>
    </xf>
    <xf numFmtId="0" fontId="204" fillId="0" borderId="0" xfId="0" applyFont="1" applyBorder="1" applyAlignment="1" applyProtection="1">
      <alignment horizontal="right" vertical="center" wrapText="1"/>
      <protection hidden="1"/>
    </xf>
    <xf numFmtId="2" fontId="199" fillId="0" borderId="0" xfId="0" applyNumberFormat="1" applyFont="1" applyBorder="1" applyAlignment="1" applyProtection="1">
      <alignment horizontal="center" vertical="center" wrapText="1"/>
      <protection hidden="1"/>
    </xf>
    <xf numFmtId="0" fontId="194" fillId="0" borderId="0" xfId="0" applyFont="1" applyBorder="1" applyAlignment="1" applyProtection="1">
      <alignment horizontal="right" vertical="center" wrapText="1"/>
      <protection hidden="1"/>
    </xf>
    <xf numFmtId="169" fontId="198" fillId="0" borderId="107" xfId="0" applyNumberFormat="1" applyFont="1" applyBorder="1" applyAlignment="1" applyProtection="1">
      <alignment horizontal="right" vertical="center" wrapText="1"/>
      <protection hidden="1"/>
    </xf>
    <xf numFmtId="0" fontId="198" fillId="0" borderId="107" xfId="0" applyFont="1" applyBorder="1" applyAlignment="1" applyProtection="1">
      <alignment horizontal="right" vertical="center" wrapText="1"/>
      <protection hidden="1"/>
    </xf>
    <xf numFmtId="0" fontId="198" fillId="0" borderId="107" xfId="0" applyFont="1" applyBorder="1" applyAlignment="1" applyProtection="1">
      <alignment horizontal="center" vertical="center" wrapText="1"/>
      <protection hidden="1"/>
    </xf>
    <xf numFmtId="2" fontId="198" fillId="0" borderId="107" xfId="0" applyNumberFormat="1" applyFont="1" applyBorder="1" applyAlignment="1" applyProtection="1">
      <alignment horizontal="center" vertical="center" wrapText="1"/>
      <protection hidden="1"/>
    </xf>
    <xf numFmtId="0" fontId="199" fillId="0" borderId="107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16" xfId="0" applyBorder="1" applyAlignment="1" applyProtection="1">
      <alignment horizontal="center"/>
      <protection hidden="1"/>
    </xf>
    <xf numFmtId="169" fontId="200" fillId="14" borderId="134" xfId="0" applyNumberFormat="1" applyFont="1" applyFill="1" applyBorder="1" applyAlignment="1" applyProtection="1">
      <alignment vertical="center" wrapText="1"/>
      <protection hidden="1"/>
    </xf>
    <xf numFmtId="169" fontId="200" fillId="14" borderId="135" xfId="0" applyNumberFormat="1" applyFont="1" applyFill="1" applyBorder="1" applyAlignment="1" applyProtection="1">
      <alignment vertical="center" wrapText="1"/>
      <protection hidden="1"/>
    </xf>
    <xf numFmtId="0" fontId="211" fillId="0" borderId="0" xfId="0" applyFont="1" applyBorder="1" applyAlignment="1" applyProtection="1">
      <alignment horizontal="center" wrapText="1"/>
      <protection hidden="1"/>
    </xf>
    <xf numFmtId="1" fontId="200" fillId="0" borderId="0" xfId="0" applyNumberFormat="1" applyFont="1" applyBorder="1" applyAlignment="1" applyProtection="1">
      <alignment horizontal="center" vertical="center" wrapText="1"/>
      <protection hidden="1"/>
    </xf>
    <xf numFmtId="169" fontId="198" fillId="0" borderId="107" xfId="0" applyNumberFormat="1" applyFont="1" applyBorder="1" applyAlignment="1" applyProtection="1">
      <alignment horizontal="right" vertical="center" wrapText="1"/>
      <protection locked="0"/>
    </xf>
    <xf numFmtId="165" fontId="219" fillId="13" borderId="28" xfId="0" applyNumberFormat="1" applyFont="1" applyFill="1" applyBorder="1" applyAlignment="1" applyProtection="1">
      <alignment horizontal="center" vertical="center"/>
      <protection locked="0"/>
    </xf>
    <xf numFmtId="1" fontId="219" fillId="13" borderId="28" xfId="0" applyNumberFormat="1" applyFont="1" applyFill="1" applyBorder="1" applyAlignment="1" applyProtection="1">
      <alignment horizontal="center" vertical="center"/>
      <protection locked="0"/>
    </xf>
    <xf numFmtId="1" fontId="219" fillId="13" borderId="31" xfId="0" applyNumberFormat="1" applyFont="1" applyFill="1" applyBorder="1" applyAlignment="1" applyProtection="1">
      <alignment horizontal="center" vertical="center"/>
      <protection locked="0"/>
    </xf>
    <xf numFmtId="165" fontId="203" fillId="0" borderId="39" xfId="0" applyNumberFormat="1" applyFont="1" applyBorder="1" applyAlignment="1" applyProtection="1">
      <alignment horizontal="center" vertical="center" wrapText="1"/>
      <protection hidden="1"/>
    </xf>
    <xf numFmtId="165" fontId="203" fillId="0" borderId="39" xfId="0" applyNumberFormat="1" applyFont="1" applyBorder="1" applyAlignment="1" applyProtection="1">
      <alignment horizontal="center" vertical="center"/>
      <protection hidden="1"/>
    </xf>
    <xf numFmtId="0" fontId="186" fillId="0" borderId="0" xfId="7" applyAlignment="1" applyProtection="1">
      <protection hidden="1"/>
    </xf>
    <xf numFmtId="0" fontId="221" fillId="0" borderId="129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2" fontId="95" fillId="90" borderId="119" xfId="4" applyNumberFormat="1" applyFont="1" applyFill="1" applyBorder="1" applyAlignment="1" applyProtection="1">
      <alignment vertical="center"/>
      <protection hidden="1"/>
    </xf>
    <xf numFmtId="2" fontId="95" fillId="90" borderId="122" xfId="4" applyNumberFormat="1" applyFont="1" applyFill="1" applyBorder="1" applyAlignment="1" applyProtection="1">
      <alignment vertical="center"/>
      <protection hidden="1"/>
    </xf>
    <xf numFmtId="0" fontId="5" fillId="25" borderId="1" xfId="0" applyFont="1" applyFill="1" applyBorder="1" applyAlignment="1" applyProtection="1">
      <alignment horizontal="center" vertical="center" wrapText="1"/>
      <protection locked="0"/>
    </xf>
    <xf numFmtId="0" fontId="22" fillId="21" borderId="1" xfId="0" applyFont="1" applyFill="1" applyBorder="1" applyAlignment="1" applyProtection="1">
      <alignment horizontal="center" vertical="center" wrapText="1"/>
      <protection locked="0"/>
    </xf>
    <xf numFmtId="0" fontId="225" fillId="16" borderId="0" xfId="0" applyFont="1" applyFill="1" applyAlignment="1" applyProtection="1">
      <alignment horizontal="center" vertical="center"/>
      <protection hidden="1"/>
    </xf>
    <xf numFmtId="0" fontId="226" fillId="5" borderId="0" xfId="7" applyFont="1" applyFill="1" applyAlignment="1" applyProtection="1">
      <alignment horizontal="center" vertical="center" wrapText="1"/>
      <protection hidden="1"/>
    </xf>
    <xf numFmtId="0" fontId="222" fillId="68" borderId="0" xfId="7" applyFont="1" applyFill="1" applyAlignment="1" applyProtection="1">
      <alignment horizontal="center" vertical="center"/>
      <protection hidden="1"/>
    </xf>
    <xf numFmtId="164" fontId="227" fillId="12" borderId="3" xfId="0" applyNumberFormat="1" applyFont="1" applyFill="1" applyBorder="1" applyAlignment="1" applyProtection="1">
      <alignment horizontal="center" vertical="center"/>
      <protection locked="0"/>
    </xf>
    <xf numFmtId="164" fontId="227" fillId="12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6" fillId="16" borderId="0" xfId="0" applyFont="1" applyFill="1" applyAlignment="1" applyProtection="1">
      <alignment wrapText="1"/>
      <protection hidden="1"/>
    </xf>
    <xf numFmtId="0" fontId="166" fillId="0" borderId="0" xfId="0" applyFont="1" applyProtection="1">
      <protection hidden="1"/>
    </xf>
    <xf numFmtId="0" fontId="166" fillId="0" borderId="0" xfId="0" applyFont="1" applyProtection="1">
      <protection locked="0"/>
    </xf>
    <xf numFmtId="1" fontId="166" fillId="0" borderId="0" xfId="0" applyNumberFormat="1" applyFont="1" applyProtection="1">
      <protection hidden="1"/>
    </xf>
    <xf numFmtId="164" fontId="14" fillId="4" borderId="0" xfId="0" applyNumberFormat="1" applyFont="1" applyFill="1" applyBorder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 vertical="center" wrapText="1"/>
      <protection hidden="1"/>
    </xf>
    <xf numFmtId="164" fontId="48" fillId="12" borderId="143" xfId="0" applyNumberFormat="1" applyFont="1" applyFill="1" applyBorder="1" applyAlignment="1" applyProtection="1">
      <alignment horizontal="center" vertical="center"/>
      <protection locked="0"/>
    </xf>
    <xf numFmtId="1" fontId="8" fillId="12" borderId="3" xfId="0" applyNumberFormat="1" applyFont="1" applyFill="1" applyBorder="1" applyAlignment="1" applyProtection="1">
      <alignment horizontal="center" vertical="center"/>
      <protection locked="0"/>
    </xf>
    <xf numFmtId="0" fontId="1" fillId="90" borderId="0" xfId="0" applyFont="1" applyFill="1" applyAlignment="1" applyProtection="1">
      <alignment horizontal="center" wrapText="1"/>
      <protection hidden="1"/>
    </xf>
    <xf numFmtId="0" fontId="243" fillId="0" borderId="0" xfId="7" applyFont="1" applyAlignment="1" applyProtection="1">
      <alignment vertical="center"/>
      <protection hidden="1"/>
    </xf>
    <xf numFmtId="0" fontId="243" fillId="0" borderId="0" xfId="7" applyFont="1" applyAlignment="1" applyProtection="1">
      <alignment horizontal="center" vertical="center"/>
      <protection hidden="1"/>
    </xf>
    <xf numFmtId="2" fontId="161" fillId="42" borderId="0" xfId="1" applyNumberFormat="1" applyFont="1" applyFill="1" applyBorder="1" applyAlignment="1" applyProtection="1">
      <alignment horizontal="left" vertical="center" wrapText="1"/>
      <protection hidden="1"/>
    </xf>
    <xf numFmtId="0" fontId="0" fillId="46" borderId="0" xfId="0" applyFill="1" applyBorder="1" applyAlignment="1" applyProtection="1">
      <alignment horizontal="center"/>
      <protection hidden="1"/>
    </xf>
    <xf numFmtId="0" fontId="0" fillId="48" borderId="0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7" fillId="16" borderId="10" xfId="0" applyFont="1" applyFill="1" applyBorder="1" applyAlignment="1" applyProtection="1">
      <alignment horizontal="center" vertical="center"/>
      <protection hidden="1"/>
    </xf>
    <xf numFmtId="1" fontId="107" fillId="0" borderId="88" xfId="4" applyNumberFormat="1" applyFont="1" applyBorder="1" applyAlignment="1" applyProtection="1">
      <alignment horizontal="right"/>
      <protection locked="0"/>
    </xf>
    <xf numFmtId="0" fontId="90" fillId="0" borderId="91" xfId="4" applyFont="1" applyBorder="1" applyAlignment="1" applyProtection="1">
      <protection hidden="1"/>
    </xf>
    <xf numFmtId="0" fontId="7" fillId="67" borderId="10" xfId="0" applyFont="1" applyFill="1" applyBorder="1" applyAlignment="1" applyProtection="1">
      <alignment horizontal="center" vertical="center"/>
      <protection locked="0"/>
    </xf>
    <xf numFmtId="0" fontId="184" fillId="77" borderId="107" xfId="0" applyFont="1" applyFill="1" applyBorder="1" applyAlignment="1" applyProtection="1">
      <alignment horizontal="center" vertical="top" wrapText="1"/>
      <protection hidden="1"/>
    </xf>
    <xf numFmtId="0" fontId="0" fillId="81" borderId="107" xfId="0" applyFill="1" applyBorder="1" applyAlignment="1" applyProtection="1">
      <alignment horizontal="center"/>
      <protection hidden="1"/>
    </xf>
    <xf numFmtId="0" fontId="0" fillId="81" borderId="109" xfId="0" applyFill="1" applyBorder="1" applyAlignment="1" applyProtection="1">
      <alignment horizontal="center"/>
      <protection hidden="1"/>
    </xf>
    <xf numFmtId="0" fontId="99" fillId="79" borderId="111" xfId="0" applyFont="1" applyFill="1" applyBorder="1" applyAlignment="1" applyProtection="1">
      <alignment horizontal="justify" vertical="center" wrapText="1"/>
      <protection hidden="1"/>
    </xf>
    <xf numFmtId="0" fontId="99" fillId="79" borderId="108" xfId="0" applyFont="1" applyFill="1" applyBorder="1" applyAlignment="1" applyProtection="1">
      <alignment horizontal="justify" vertical="center" wrapText="1"/>
      <protection hidden="1"/>
    </xf>
    <xf numFmtId="0" fontId="56" fillId="83" borderId="111" xfId="0" applyFont="1" applyFill="1" applyBorder="1" applyAlignment="1" applyProtection="1">
      <alignment horizontal="center" vertical="center"/>
      <protection hidden="1"/>
    </xf>
    <xf numFmtId="0" fontId="56" fillId="83" borderId="108" xfId="0" applyFont="1" applyFill="1" applyBorder="1" applyAlignment="1" applyProtection="1">
      <alignment horizontal="center" vertical="center"/>
      <protection hidden="1"/>
    </xf>
    <xf numFmtId="0" fontId="0" fillId="0" borderId="115" xfId="0" applyBorder="1" applyAlignment="1" applyProtection="1">
      <alignment horizontal="center"/>
      <protection hidden="1"/>
    </xf>
    <xf numFmtId="0" fontId="224" fillId="16" borderId="0" xfId="0" applyFont="1" applyFill="1" applyAlignment="1" applyProtection="1">
      <alignment horizontal="center" vertical="center" wrapText="1"/>
      <protection hidden="1"/>
    </xf>
    <xf numFmtId="0" fontId="187" fillId="86" borderId="8" xfId="7" applyFont="1" applyFill="1" applyBorder="1" applyAlignment="1" applyProtection="1">
      <alignment horizontal="center"/>
      <protection hidden="1"/>
    </xf>
    <xf numFmtId="0" fontId="188" fillId="86" borderId="9" xfId="0" applyFont="1" applyFill="1" applyBorder="1" applyAlignment="1" applyProtection="1">
      <alignment horizontal="center"/>
      <protection hidden="1"/>
    </xf>
    <xf numFmtId="0" fontId="189" fillId="86" borderId="11" xfId="0" applyFont="1" applyFill="1" applyBorder="1" applyAlignment="1" applyProtection="1">
      <alignment horizontal="center"/>
      <protection hidden="1"/>
    </xf>
    <xf numFmtId="0" fontId="189" fillId="86" borderId="1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9" fillId="5" borderId="1" xfId="0" applyFont="1" applyFill="1" applyBorder="1" applyAlignment="1" applyProtection="1">
      <alignment horizontal="left" vertical="top" wrapText="1"/>
      <protection hidden="1"/>
    </xf>
    <xf numFmtId="0" fontId="192" fillId="86" borderId="5" xfId="0" applyFont="1" applyFill="1" applyBorder="1" applyAlignment="1" applyProtection="1">
      <alignment horizontal="center"/>
      <protection hidden="1"/>
    </xf>
    <xf numFmtId="0" fontId="192" fillId="86" borderId="7" xfId="0" applyFont="1" applyFill="1" applyBorder="1" applyAlignment="1" applyProtection="1">
      <alignment horizontal="center"/>
      <protection hidden="1"/>
    </xf>
    <xf numFmtId="0" fontId="191" fillId="86" borderId="8" xfId="0" applyFont="1" applyFill="1" applyBorder="1" applyAlignment="1" applyProtection="1">
      <alignment horizontal="center"/>
      <protection hidden="1"/>
    </xf>
    <xf numFmtId="0" fontId="191" fillId="86" borderId="9" xfId="0" applyFont="1" applyFill="1" applyBorder="1" applyAlignment="1" applyProtection="1">
      <alignment horizontal="center"/>
      <protection hidden="1"/>
    </xf>
    <xf numFmtId="0" fontId="190" fillId="86" borderId="8" xfId="0" applyFont="1" applyFill="1" applyBorder="1" applyAlignment="1" applyProtection="1">
      <alignment horizontal="center"/>
      <protection hidden="1"/>
    </xf>
    <xf numFmtId="0" fontId="190" fillId="86" borderId="9" xfId="0" applyFont="1" applyFill="1" applyBorder="1" applyAlignment="1" applyProtection="1">
      <alignment horizontal="center"/>
      <protection hidden="1"/>
    </xf>
    <xf numFmtId="0" fontId="61" fillId="2" borderId="0" xfId="0" applyFont="1" applyFill="1" applyAlignment="1" applyProtection="1">
      <alignment horizontal="center" vertical="center"/>
      <protection hidden="1"/>
    </xf>
    <xf numFmtId="0" fontId="7" fillId="8" borderId="19" xfId="0" applyFont="1" applyFill="1" applyBorder="1" applyAlignment="1" applyProtection="1">
      <alignment horizontal="right" vertical="center"/>
      <protection hidden="1"/>
    </xf>
    <xf numFmtId="0" fontId="29" fillId="28" borderId="1" xfId="0" applyFont="1" applyFill="1" applyBorder="1" applyAlignment="1" applyProtection="1">
      <alignment horizontal="right" vertical="center"/>
      <protection hidden="1"/>
    </xf>
    <xf numFmtId="0" fontId="30" fillId="30" borderId="15" xfId="0" applyFont="1" applyFill="1" applyBorder="1" applyAlignment="1" applyProtection="1">
      <alignment horizontal="right" vertical="center"/>
      <protection hidden="1"/>
    </xf>
    <xf numFmtId="0" fontId="30" fillId="30" borderId="16" xfId="0" applyFont="1" applyFill="1" applyBorder="1" applyAlignment="1" applyProtection="1">
      <alignment horizontal="right" vertical="center"/>
      <protection hidden="1"/>
    </xf>
    <xf numFmtId="0" fontId="30" fillId="30" borderId="17" xfId="0" applyFont="1" applyFill="1" applyBorder="1" applyAlignment="1" applyProtection="1">
      <alignment horizontal="right" vertical="center"/>
      <protection hidden="1"/>
    </xf>
    <xf numFmtId="0" fontId="30" fillId="29" borderId="1" xfId="0" applyFont="1" applyFill="1" applyBorder="1" applyAlignment="1" applyProtection="1">
      <alignment horizontal="right" vertical="center"/>
      <protection hidden="1"/>
    </xf>
    <xf numFmtId="0" fontId="7" fillId="6" borderId="19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right" vertical="center"/>
      <protection hidden="1"/>
    </xf>
    <xf numFmtId="1" fontId="7" fillId="6" borderId="19" xfId="0" applyNumberFormat="1" applyFont="1" applyFill="1" applyBorder="1" applyAlignment="1" applyProtection="1">
      <alignment horizontal="left" vertical="center"/>
      <protection locked="0"/>
    </xf>
    <xf numFmtId="0" fontId="4" fillId="22" borderId="2" xfId="0" applyFont="1" applyFill="1" applyBorder="1" applyAlignment="1" applyProtection="1">
      <alignment horizontal="center" vertical="center"/>
      <protection hidden="1"/>
    </xf>
    <xf numFmtId="0" fontId="58" fillId="27" borderId="0" xfId="0" applyFont="1" applyFill="1" applyAlignment="1" applyProtection="1">
      <alignment horizontal="center" vertical="center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59" fillId="23" borderId="16" xfId="0" applyFont="1" applyFill="1" applyBorder="1" applyAlignment="1" applyProtection="1">
      <alignment horizontal="center" vertical="center"/>
      <protection hidden="1"/>
    </xf>
    <xf numFmtId="0" fontId="59" fillId="23" borderId="0" xfId="0" applyFont="1" applyFill="1" applyBorder="1" applyAlignment="1" applyProtection="1">
      <alignment horizontal="center" vertical="center"/>
      <protection hidden="1"/>
    </xf>
    <xf numFmtId="0" fontId="59" fillId="58" borderId="16" xfId="0" applyFont="1" applyFill="1" applyBorder="1" applyAlignment="1" applyProtection="1">
      <alignment horizontal="center" vertical="center"/>
      <protection hidden="1"/>
    </xf>
    <xf numFmtId="0" fontId="59" fillId="58" borderId="0" xfId="0" applyFont="1" applyFill="1" applyBorder="1" applyAlignment="1" applyProtection="1">
      <alignment horizontal="center" vertical="center"/>
      <protection hidden="1"/>
    </xf>
    <xf numFmtId="0" fontId="3" fillId="9" borderId="18" xfId="0" applyFont="1" applyFill="1" applyBorder="1" applyAlignment="1" applyProtection="1">
      <alignment horizontal="center" vertical="center"/>
      <protection locked="0"/>
    </xf>
    <xf numFmtId="0" fontId="3" fillId="9" borderId="73" xfId="0" applyFont="1" applyFill="1" applyBorder="1" applyAlignment="1" applyProtection="1">
      <alignment horizontal="center" vertical="center"/>
      <protection locked="0"/>
    </xf>
    <xf numFmtId="0" fontId="3" fillId="9" borderId="103" xfId="0" applyFont="1" applyFill="1" applyBorder="1" applyAlignment="1" applyProtection="1">
      <alignment horizontal="center" vertical="center"/>
      <protection locked="0"/>
    </xf>
    <xf numFmtId="0" fontId="57" fillId="3" borderId="21" xfId="0" applyFont="1" applyFill="1" applyBorder="1" applyAlignment="1" applyProtection="1">
      <alignment horizontal="center" vertical="center"/>
      <protection hidden="1"/>
    </xf>
    <xf numFmtId="0" fontId="52" fillId="17" borderId="21" xfId="0" applyFont="1" applyFill="1" applyBorder="1" applyAlignment="1" applyProtection="1">
      <alignment horizontal="center" vertical="center" wrapText="1"/>
      <protection hidden="1"/>
    </xf>
    <xf numFmtId="0" fontId="56" fillId="18" borderId="15" xfId="0" applyFont="1" applyFill="1" applyBorder="1" applyAlignment="1" applyProtection="1">
      <alignment horizontal="center" vertical="center" wrapText="1"/>
      <protection hidden="1"/>
    </xf>
    <xf numFmtId="0" fontId="56" fillId="18" borderId="16" xfId="0" applyFont="1" applyFill="1" applyBorder="1" applyAlignment="1" applyProtection="1">
      <alignment horizontal="center" vertical="center" wrapText="1"/>
      <protection hidden="1"/>
    </xf>
    <xf numFmtId="0" fontId="56" fillId="18" borderId="17" xfId="0" applyFont="1" applyFill="1" applyBorder="1" applyAlignment="1" applyProtection="1">
      <alignment horizontal="center" vertical="center" wrapText="1"/>
      <protection hidden="1"/>
    </xf>
    <xf numFmtId="0" fontId="56" fillId="18" borderId="112" xfId="0" applyFont="1" applyFill="1" applyBorder="1" applyAlignment="1" applyProtection="1">
      <alignment horizontal="center" vertical="center" wrapText="1"/>
      <protection hidden="1"/>
    </xf>
    <xf numFmtId="0" fontId="56" fillId="18" borderId="0" xfId="0" applyFont="1" applyFill="1" applyBorder="1" applyAlignment="1" applyProtection="1">
      <alignment horizontal="center" vertical="center" wrapText="1"/>
      <protection hidden="1"/>
    </xf>
    <xf numFmtId="0" fontId="56" fillId="18" borderId="113" xfId="0" applyFont="1" applyFill="1" applyBorder="1" applyAlignment="1" applyProtection="1">
      <alignment horizontal="center" vertical="center" wrapText="1"/>
      <protection hidden="1"/>
    </xf>
    <xf numFmtId="3" fontId="7" fillId="6" borderId="19" xfId="0" applyNumberFormat="1" applyFont="1" applyFill="1" applyBorder="1" applyAlignment="1" applyProtection="1">
      <alignment horizontal="left" vertical="center"/>
      <protection locked="0"/>
    </xf>
    <xf numFmtId="0" fontId="229" fillId="91" borderId="112" xfId="0" applyFont="1" applyFill="1" applyBorder="1" applyAlignment="1" applyProtection="1">
      <alignment horizontal="center" vertical="center" wrapText="1"/>
      <protection hidden="1"/>
    </xf>
    <xf numFmtId="0" fontId="229" fillId="91" borderId="0" xfId="0" applyFont="1" applyFill="1" applyBorder="1" applyAlignment="1" applyProtection="1">
      <alignment horizontal="center" vertical="center" wrapText="1"/>
      <protection hidden="1"/>
    </xf>
    <xf numFmtId="0" fontId="228" fillId="2" borderId="0" xfId="7" applyFont="1" applyFill="1" applyAlignment="1" applyProtection="1">
      <alignment horizontal="center" vertical="top"/>
      <protection hidden="1"/>
    </xf>
    <xf numFmtId="0" fontId="34" fillId="10" borderId="139" xfId="0" applyFont="1" applyFill="1" applyBorder="1" applyAlignment="1" applyProtection="1">
      <alignment horizontal="center" vertical="center"/>
      <protection hidden="1"/>
    </xf>
    <xf numFmtId="0" fontId="34" fillId="10" borderId="20" xfId="0" applyFont="1" applyFill="1" applyBorder="1" applyAlignment="1" applyProtection="1">
      <alignment horizontal="center" vertical="center"/>
      <protection hidden="1"/>
    </xf>
    <xf numFmtId="0" fontId="232" fillId="92" borderId="140" xfId="7" applyFont="1" applyFill="1" applyBorder="1" applyAlignment="1" applyProtection="1">
      <alignment horizontal="center" vertical="center"/>
      <protection hidden="1"/>
    </xf>
    <xf numFmtId="0" fontId="230" fillId="92" borderId="141" xfId="0" applyFont="1" applyFill="1" applyBorder="1" applyAlignment="1" applyProtection="1">
      <alignment horizontal="center" vertical="center"/>
      <protection hidden="1"/>
    </xf>
    <xf numFmtId="0" fontId="230" fillId="92" borderId="142" xfId="0" applyFont="1" applyFill="1" applyBorder="1" applyAlignment="1" applyProtection="1">
      <alignment horizontal="center" vertical="center"/>
      <protection hidden="1"/>
    </xf>
    <xf numFmtId="0" fontId="53" fillId="85" borderId="0" xfId="0" applyFont="1" applyFill="1" applyBorder="1" applyAlignment="1" applyProtection="1">
      <alignment horizontal="center" vertical="center" wrapText="1"/>
      <protection hidden="1"/>
    </xf>
    <xf numFmtId="0" fontId="53" fillId="85" borderId="113" xfId="0" applyFont="1" applyFill="1" applyBorder="1" applyAlignment="1" applyProtection="1">
      <alignment horizontal="center" vertical="center" wrapText="1"/>
      <protection hidden="1"/>
    </xf>
    <xf numFmtId="0" fontId="7" fillId="6" borderId="19" xfId="0" applyNumberFormat="1" applyFont="1" applyFill="1" applyBorder="1" applyAlignment="1" applyProtection="1">
      <alignment horizontal="left" vertical="center"/>
      <protection locked="0"/>
    </xf>
    <xf numFmtId="167" fontId="7" fillId="6" borderId="19" xfId="0" applyNumberFormat="1" applyFont="1" applyFill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87" fillId="93" borderId="0" xfId="0" applyFont="1" applyFill="1" applyAlignment="1" applyProtection="1">
      <alignment horizontal="center" vertical="center" wrapText="1"/>
      <protection hidden="1"/>
    </xf>
    <xf numFmtId="0" fontId="30" fillId="31" borderId="1" xfId="0" applyFont="1" applyFill="1" applyBorder="1" applyAlignment="1" applyProtection="1">
      <alignment horizontal="right" vertical="center"/>
      <protection hidden="1"/>
    </xf>
    <xf numFmtId="0" fontId="54" fillId="19" borderId="3" xfId="0" applyFont="1" applyFill="1" applyBorder="1" applyAlignment="1" applyProtection="1">
      <alignment horizontal="right" vertical="center" wrapText="1"/>
      <protection hidden="1"/>
    </xf>
    <xf numFmtId="0" fontId="54" fillId="19" borderId="114" xfId="0" applyFont="1" applyFill="1" applyBorder="1" applyAlignment="1" applyProtection="1">
      <alignment horizontal="right" vertical="center" wrapText="1"/>
      <protection hidden="1"/>
    </xf>
    <xf numFmtId="0" fontId="54" fillId="19" borderId="4" xfId="0" applyFont="1" applyFill="1" applyBorder="1" applyAlignment="1" applyProtection="1">
      <alignment horizontal="right" vertical="center" wrapText="1"/>
      <protection hidden="1"/>
    </xf>
    <xf numFmtId="0" fontId="3" fillId="9" borderId="15" xfId="0" applyFont="1" applyFill="1" applyBorder="1" applyAlignment="1" applyProtection="1">
      <alignment horizontal="center" vertical="center"/>
      <protection locked="0"/>
    </xf>
    <xf numFmtId="0" fontId="3" fillId="9" borderId="112" xfId="0" applyFont="1" applyFill="1" applyBorder="1" applyAlignment="1" applyProtection="1">
      <alignment horizontal="center" vertical="center"/>
      <protection locked="0"/>
    </xf>
    <xf numFmtId="0" fontId="65" fillId="95" borderId="0" xfId="0" applyFont="1" applyFill="1" applyBorder="1" applyAlignment="1" applyProtection="1">
      <alignment horizontal="center" vertical="center" wrapText="1"/>
      <protection hidden="1"/>
    </xf>
    <xf numFmtId="0" fontId="242" fillId="96" borderId="112" xfId="0" applyFont="1" applyFill="1" applyBorder="1" applyAlignment="1" applyProtection="1">
      <alignment horizontal="center" vertical="center"/>
      <protection hidden="1"/>
    </xf>
    <xf numFmtId="0" fontId="242" fillId="96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32" borderId="19" xfId="0" applyFont="1" applyFill="1" applyBorder="1" applyAlignment="1" applyProtection="1">
      <alignment horizontal="left" vertical="center"/>
      <protection locked="0"/>
    </xf>
    <xf numFmtId="49" fontId="7" fillId="6" borderId="19" xfId="0" applyNumberFormat="1" applyFont="1" applyFill="1" applyBorder="1" applyAlignment="1" applyProtection="1">
      <alignment horizontal="left" vertical="center"/>
      <protection locked="0"/>
    </xf>
    <xf numFmtId="0" fontId="7" fillId="11" borderId="1" xfId="0" applyFont="1" applyFill="1" applyBorder="1" applyAlignment="1" applyProtection="1">
      <alignment horizontal="right" vertical="center"/>
      <protection hidden="1"/>
    </xf>
    <xf numFmtId="0" fontId="30" fillId="30" borderId="1" xfId="0" applyFont="1" applyFill="1" applyBorder="1" applyAlignment="1" applyProtection="1">
      <alignment horizontal="right" vertical="center"/>
      <protection hidden="1"/>
    </xf>
    <xf numFmtId="0" fontId="34" fillId="74" borderId="104" xfId="0" applyFont="1" applyFill="1" applyBorder="1" applyAlignment="1" applyProtection="1">
      <alignment horizontal="center" vertical="center"/>
      <protection hidden="1"/>
    </xf>
    <xf numFmtId="0" fontId="34" fillId="74" borderId="105" xfId="0" applyFont="1" applyFill="1" applyBorder="1" applyAlignment="1" applyProtection="1">
      <alignment horizontal="center" vertical="center"/>
      <protection hidden="1"/>
    </xf>
    <xf numFmtId="0" fontId="34" fillId="74" borderId="106" xfId="0" applyFont="1" applyFill="1" applyBorder="1" applyAlignment="1" applyProtection="1">
      <alignment horizontal="center" vertical="center"/>
      <protection hidden="1"/>
    </xf>
    <xf numFmtId="0" fontId="29" fillId="94" borderId="0" xfId="0" applyFont="1" applyFill="1" applyBorder="1" applyAlignment="1" applyProtection="1">
      <alignment horizontal="center"/>
      <protection hidden="1"/>
    </xf>
    <xf numFmtId="0" fontId="23" fillId="34" borderId="24" xfId="0" applyFont="1" applyFill="1" applyBorder="1" applyAlignment="1" applyProtection="1">
      <alignment horizontal="center" vertical="center" wrapText="1"/>
      <protection hidden="1"/>
    </xf>
    <xf numFmtId="0" fontId="23" fillId="34" borderId="10" xfId="0" applyFont="1" applyFill="1" applyBorder="1" applyAlignment="1" applyProtection="1">
      <alignment horizontal="center" vertical="center" wrapText="1"/>
      <protection hidden="1"/>
    </xf>
    <xf numFmtId="0" fontId="180" fillId="33" borderId="0" xfId="0" applyFont="1" applyFill="1" applyAlignment="1" applyProtection="1">
      <alignment horizontal="right" vertical="center"/>
      <protection hidden="1"/>
    </xf>
    <xf numFmtId="0" fontId="60" fillId="38" borderId="0" xfId="0" applyFont="1" applyFill="1" applyAlignment="1" applyProtection="1">
      <alignment horizontal="left" vertical="center" wrapText="1"/>
      <protection hidden="1"/>
    </xf>
    <xf numFmtId="0" fontId="21" fillId="34" borderId="24" xfId="0" applyFont="1" applyFill="1" applyBorder="1" applyAlignment="1" applyProtection="1">
      <alignment horizontal="center" vertical="center" wrapText="1"/>
      <protection hidden="1"/>
    </xf>
    <xf numFmtId="0" fontId="21" fillId="34" borderId="10" xfId="0" applyFont="1" applyFill="1" applyBorder="1" applyAlignment="1" applyProtection="1">
      <alignment horizontal="center" vertical="center" wrapText="1"/>
      <protection hidden="1"/>
    </xf>
    <xf numFmtId="0" fontId="21" fillId="34" borderId="26" xfId="0" applyFont="1" applyFill="1" applyBorder="1" applyAlignment="1" applyProtection="1">
      <alignment horizontal="center" vertical="center" wrapText="1"/>
      <protection hidden="1"/>
    </xf>
    <xf numFmtId="0" fontId="21" fillId="34" borderId="28" xfId="0" applyFont="1" applyFill="1" applyBorder="1" applyAlignment="1" applyProtection="1">
      <alignment horizontal="center" vertical="center" wrapText="1"/>
      <protection hidden="1"/>
    </xf>
    <xf numFmtId="0" fontId="21" fillId="34" borderId="25" xfId="0" applyFont="1" applyFill="1" applyBorder="1" applyAlignment="1" applyProtection="1">
      <alignment horizontal="center" vertical="center" wrapText="1"/>
      <protection hidden="1"/>
    </xf>
    <xf numFmtId="0" fontId="21" fillId="34" borderId="14" xfId="0" applyFont="1" applyFill="1" applyBorder="1" applyAlignment="1" applyProtection="1">
      <alignment horizontal="center" vertical="center" wrapText="1"/>
      <protection hidden="1"/>
    </xf>
    <xf numFmtId="0" fontId="235" fillId="16" borderId="0" xfId="7" applyFont="1" applyFill="1" applyAlignment="1" applyProtection="1">
      <alignment horizontal="center" wrapText="1"/>
      <protection hidden="1"/>
    </xf>
    <xf numFmtId="0" fontId="184" fillId="16" borderId="0" xfId="0" applyFont="1" applyFill="1" applyAlignment="1" applyProtection="1">
      <alignment horizontal="center" wrapText="1"/>
      <protection hidden="1"/>
    </xf>
    <xf numFmtId="0" fontId="233" fillId="16" borderId="0" xfId="0" applyFont="1" applyFill="1" applyAlignment="1" applyProtection="1">
      <alignment horizontal="center" vertical="center" wrapText="1"/>
      <protection hidden="1"/>
    </xf>
    <xf numFmtId="0" fontId="23" fillId="34" borderId="23" xfId="0" applyFont="1" applyFill="1" applyBorder="1" applyAlignment="1" applyProtection="1">
      <alignment horizontal="center" vertical="center" wrapText="1"/>
      <protection hidden="1"/>
    </xf>
    <xf numFmtId="0" fontId="23" fillId="34" borderId="27" xfId="0" applyFont="1" applyFill="1" applyBorder="1" applyAlignment="1" applyProtection="1">
      <alignment horizontal="center" vertical="center" wrapText="1"/>
      <protection hidden="1"/>
    </xf>
    <xf numFmtId="0" fontId="23" fillId="34" borderId="25" xfId="0" applyFont="1" applyFill="1" applyBorder="1" applyAlignment="1" applyProtection="1">
      <alignment horizontal="center" vertical="center" wrapText="1"/>
      <protection hidden="1"/>
    </xf>
    <xf numFmtId="0" fontId="23" fillId="34" borderId="14" xfId="0" applyFont="1" applyFill="1" applyBorder="1" applyAlignment="1" applyProtection="1">
      <alignment horizontal="center" vertical="center" wrapText="1"/>
      <protection hidden="1"/>
    </xf>
    <xf numFmtId="2" fontId="30" fillId="43" borderId="10" xfId="2" applyNumberFormat="1" applyFont="1" applyFill="1" applyBorder="1" applyAlignment="1" applyProtection="1">
      <alignment horizontal="left" vertical="center"/>
      <protection hidden="1"/>
    </xf>
    <xf numFmtId="2" fontId="161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1" fillId="42" borderId="38" xfId="1" applyNumberFormat="1" applyFont="1" applyFill="1" applyBorder="1" applyAlignment="1" applyProtection="1">
      <alignment horizontal="left" vertical="center" wrapText="1"/>
      <protection hidden="1"/>
    </xf>
    <xf numFmtId="0" fontId="0" fillId="47" borderId="0" xfId="0" applyFill="1" applyAlignment="1" applyProtection="1">
      <alignment horizontal="center"/>
      <protection hidden="1"/>
    </xf>
    <xf numFmtId="0" fontId="0" fillId="48" borderId="32" xfId="0" applyFill="1" applyBorder="1" applyAlignment="1" applyProtection="1">
      <alignment horizontal="center" vertical="center"/>
      <protection hidden="1"/>
    </xf>
    <xf numFmtId="2" fontId="165" fillId="71" borderId="10" xfId="2" applyNumberFormat="1" applyFont="1" applyFill="1" applyBorder="1" applyAlignment="1" applyProtection="1">
      <alignment horizontal="left" vertical="center"/>
      <protection hidden="1"/>
    </xf>
    <xf numFmtId="2" fontId="67" fillId="70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70" borderId="38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67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3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3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4" fillId="42" borderId="22" xfId="1" applyNumberFormat="1" applyFont="1" applyFill="1" applyBorder="1" applyAlignment="1" applyProtection="1">
      <alignment horizontal="left" vertical="center" wrapText="1"/>
      <protection hidden="1"/>
    </xf>
    <xf numFmtId="2" fontId="164" fillId="42" borderId="38" xfId="1" applyNumberFormat="1" applyFont="1" applyFill="1" applyBorder="1" applyAlignment="1" applyProtection="1">
      <alignment horizontal="left" vertical="center" wrapText="1"/>
      <protection hidden="1"/>
    </xf>
    <xf numFmtId="2" fontId="161" fillId="72" borderId="22" xfId="1" applyNumberFormat="1" applyFont="1" applyFill="1" applyBorder="1" applyAlignment="1" applyProtection="1">
      <alignment horizontal="left" vertical="center" wrapText="1"/>
      <protection hidden="1"/>
    </xf>
    <xf numFmtId="2" fontId="161" fillId="72" borderId="38" xfId="1" applyNumberFormat="1" applyFont="1" applyFill="1" applyBorder="1" applyAlignment="1" applyProtection="1">
      <alignment horizontal="left" vertical="center" wrapText="1"/>
      <protection hidden="1"/>
    </xf>
    <xf numFmtId="2" fontId="30" fillId="73" borderId="42" xfId="2" applyNumberFormat="1" applyFont="1" applyFill="1" applyBorder="1" applyAlignment="1" applyProtection="1">
      <alignment horizontal="left" vertical="center"/>
      <protection hidden="1"/>
    </xf>
    <xf numFmtId="2" fontId="30" fillId="73" borderId="43" xfId="2" applyNumberFormat="1" applyFont="1" applyFill="1" applyBorder="1" applyAlignment="1" applyProtection="1">
      <alignment horizontal="left" vertical="center"/>
      <protection hidden="1"/>
    </xf>
    <xf numFmtId="0" fontId="236" fillId="39" borderId="0" xfId="7" applyFont="1" applyFill="1" applyAlignment="1" applyProtection="1">
      <alignment horizontal="center" vertical="center"/>
      <protection hidden="1"/>
    </xf>
    <xf numFmtId="0" fontId="68" fillId="39" borderId="0" xfId="0" applyFont="1" applyFill="1" applyAlignment="1" applyProtection="1">
      <alignment horizontal="center" vertical="center"/>
      <protection hidden="1"/>
    </xf>
    <xf numFmtId="0" fontId="237" fillId="39" borderId="0" xfId="0" applyFont="1" applyFill="1" applyAlignment="1" applyProtection="1">
      <alignment horizontal="center" vertical="top"/>
      <protection hidden="1"/>
    </xf>
    <xf numFmtId="0" fontId="75" fillId="45" borderId="0" xfId="0" applyFont="1" applyFill="1" applyAlignment="1" applyProtection="1">
      <alignment horizontal="center" vertical="center"/>
      <protection hidden="1"/>
    </xf>
    <xf numFmtId="0" fontId="0" fillId="46" borderId="32" xfId="0" applyFill="1" applyBorder="1" applyAlignment="1" applyProtection="1">
      <alignment horizontal="center"/>
      <protection hidden="1"/>
    </xf>
    <xf numFmtId="2" fontId="72" fillId="43" borderId="10" xfId="2" applyNumberFormat="1" applyFont="1" applyFill="1" applyBorder="1" applyAlignment="1" applyProtection="1">
      <alignment horizontal="left" vertical="center" wrapText="1"/>
      <protection hidden="1"/>
    </xf>
    <xf numFmtId="2" fontId="30" fillId="69" borderId="10" xfId="2" applyNumberFormat="1" applyFont="1" applyFill="1" applyBorder="1" applyAlignment="1" applyProtection="1">
      <alignment horizontal="left" vertical="center" wrapText="1"/>
      <protection hidden="1"/>
    </xf>
    <xf numFmtId="2" fontId="72" fillId="43" borderId="22" xfId="2" applyNumberFormat="1" applyFont="1" applyFill="1" applyBorder="1" applyAlignment="1" applyProtection="1">
      <alignment horizontal="left" vertical="center"/>
      <protection hidden="1"/>
    </xf>
    <xf numFmtId="2" fontId="72" fillId="43" borderId="38" xfId="2" applyNumberFormat="1" applyFont="1" applyFill="1" applyBorder="1" applyAlignment="1" applyProtection="1">
      <alignment horizontal="left" vertical="center"/>
      <protection hidden="1"/>
    </xf>
    <xf numFmtId="0" fontId="130" fillId="61" borderId="74" xfId="0" applyFont="1" applyFill="1" applyBorder="1" applyAlignment="1" applyProtection="1">
      <alignment horizontal="center" vertical="center"/>
      <protection hidden="1"/>
    </xf>
    <xf numFmtId="0" fontId="130" fillId="61" borderId="77" xfId="0" applyFont="1" applyFill="1" applyBorder="1" applyAlignment="1" applyProtection="1">
      <alignment horizontal="center" vertical="center"/>
      <protection hidden="1"/>
    </xf>
    <xf numFmtId="0" fontId="130" fillId="61" borderId="83" xfId="0" applyFont="1" applyFill="1" applyBorder="1" applyAlignment="1" applyProtection="1">
      <alignment horizontal="center" vertical="center"/>
      <protection hidden="1"/>
    </xf>
    <xf numFmtId="0" fontId="130" fillId="62" borderId="84" xfId="0" applyFont="1" applyFill="1" applyBorder="1" applyAlignment="1" applyProtection="1">
      <alignment horizontal="center" vertical="center"/>
      <protection hidden="1"/>
    </xf>
    <xf numFmtId="0" fontId="155" fillId="64" borderId="0" xfId="0" applyFont="1" applyFill="1" applyBorder="1" applyAlignment="1" applyProtection="1">
      <alignment horizontal="center" vertical="center"/>
      <protection hidden="1"/>
    </xf>
    <xf numFmtId="0" fontId="155" fillId="64" borderId="78" xfId="0" applyFont="1" applyFill="1" applyBorder="1" applyAlignment="1" applyProtection="1">
      <alignment horizontal="center" vertical="center"/>
      <protection hidden="1"/>
    </xf>
    <xf numFmtId="0" fontId="176" fillId="63" borderId="0" xfId="0" applyFont="1" applyFill="1" applyBorder="1" applyAlignment="1" applyProtection="1">
      <alignment horizontal="left" vertical="center"/>
      <protection hidden="1"/>
    </xf>
    <xf numFmtId="0" fontId="176" fillId="63" borderId="78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44" fillId="56" borderId="82" xfId="0" applyFont="1" applyFill="1" applyBorder="1" applyAlignment="1" applyProtection="1">
      <alignment horizontal="center" vertical="center" wrapText="1"/>
      <protection hidden="1"/>
    </xf>
    <xf numFmtId="0" fontId="144" fillId="56" borderId="42" xfId="0" applyFont="1" applyFill="1" applyBorder="1" applyAlignment="1" applyProtection="1">
      <alignment horizontal="center" vertical="center" wrapText="1"/>
      <protection hidden="1"/>
    </xf>
    <xf numFmtId="49" fontId="136" fillId="56" borderId="77" xfId="0" applyNumberFormat="1" applyFont="1" applyFill="1" applyBorder="1" applyAlignment="1" applyProtection="1">
      <alignment horizontal="center" vertical="center"/>
      <protection hidden="1"/>
    </xf>
    <xf numFmtId="49" fontId="136" fillId="56" borderId="0" xfId="0" applyNumberFormat="1" applyFont="1" applyFill="1" applyBorder="1" applyAlignment="1" applyProtection="1">
      <alignment horizontal="center" vertical="center"/>
      <protection hidden="1"/>
    </xf>
    <xf numFmtId="0" fontId="130" fillId="61" borderId="76" xfId="0" applyFont="1" applyFill="1" applyBorder="1" applyAlignment="1" applyProtection="1">
      <alignment horizontal="center" vertical="center"/>
      <protection hidden="1"/>
    </xf>
    <xf numFmtId="0" fontId="130" fillId="61" borderId="78" xfId="0" applyFont="1" applyFill="1" applyBorder="1" applyAlignment="1" applyProtection="1">
      <alignment horizontal="center" vertical="center"/>
      <protection hidden="1"/>
    </xf>
    <xf numFmtId="0" fontId="130" fillId="61" borderId="85" xfId="0" applyFont="1" applyFill="1" applyBorder="1" applyAlignment="1" applyProtection="1">
      <alignment horizontal="center" vertical="center"/>
      <protection hidden="1"/>
    </xf>
    <xf numFmtId="0" fontId="154" fillId="57" borderId="86" xfId="0" applyFont="1" applyFill="1" applyBorder="1" applyAlignment="1" applyProtection="1">
      <alignment horizontal="center" vertical="center"/>
      <protection hidden="1"/>
    </xf>
    <xf numFmtId="0" fontId="154" fillId="57" borderId="75" xfId="0" applyFont="1" applyFill="1" applyBorder="1" applyAlignment="1" applyProtection="1">
      <alignment horizontal="center" vertical="center"/>
      <protection hidden="1"/>
    </xf>
    <xf numFmtId="0" fontId="154" fillId="57" borderId="87" xfId="0" applyFont="1" applyFill="1" applyBorder="1" applyAlignment="1" applyProtection="1">
      <alignment horizontal="center" vertical="center"/>
      <protection hidden="1"/>
    </xf>
    <xf numFmtId="0" fontId="152" fillId="56" borderId="0" xfId="0" applyFont="1" applyFill="1" applyBorder="1" applyAlignment="1" applyProtection="1">
      <alignment horizontal="center" vertical="center"/>
      <protection hidden="1"/>
    </xf>
    <xf numFmtId="0" fontId="135" fillId="61" borderId="75" xfId="0" applyFont="1" applyFill="1" applyBorder="1" applyAlignment="1" applyProtection="1">
      <alignment horizontal="center" vertical="center"/>
      <protection hidden="1"/>
    </xf>
    <xf numFmtId="0" fontId="135" fillId="61" borderId="0" xfId="0" applyFont="1" applyFill="1" applyBorder="1" applyAlignment="1" applyProtection="1">
      <alignment horizontal="center" vertical="center"/>
      <protection hidden="1"/>
    </xf>
    <xf numFmtId="0" fontId="135" fillId="61" borderId="84" xfId="0" applyFont="1" applyFill="1" applyBorder="1" applyAlignment="1" applyProtection="1">
      <alignment horizontal="center" vertical="center"/>
      <protection hidden="1"/>
    </xf>
    <xf numFmtId="0" fontId="38" fillId="0" borderId="34" xfId="0" applyFont="1" applyBorder="1" applyAlignment="1" applyProtection="1">
      <alignment horizontal="center" vertical="center" wrapText="1"/>
      <protection hidden="1"/>
    </xf>
    <xf numFmtId="1" fontId="7" fillId="0" borderId="34" xfId="0" applyNumberFormat="1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38" fillId="0" borderId="8" xfId="0" applyFont="1" applyBorder="1" applyAlignment="1" applyProtection="1">
      <alignment horizontal="right" vertical="center" wrapText="1"/>
      <protection hidden="1"/>
    </xf>
    <xf numFmtId="0" fontId="38" fillId="0" borderId="0" xfId="0" applyFont="1" applyBorder="1" applyAlignment="1" applyProtection="1">
      <alignment horizontal="right" vertical="center" wrapText="1"/>
      <protection hidden="1"/>
    </xf>
    <xf numFmtId="0" fontId="77" fillId="0" borderId="0" xfId="0" applyFont="1" applyBorder="1" applyAlignment="1" applyProtection="1">
      <alignment horizontal="left" vertical="center" wrapText="1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74" fillId="0" borderId="9" xfId="0" applyFont="1" applyBorder="1" applyAlignment="1" applyProtection="1">
      <alignment horizontal="center" vertical="center" wrapText="1"/>
      <protection hidden="1"/>
    </xf>
    <xf numFmtId="0" fontId="38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 wrapText="1"/>
      <protection hidden="1"/>
    </xf>
    <xf numFmtId="0" fontId="76" fillId="0" borderId="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1" fontId="39" fillId="0" borderId="34" xfId="0" applyNumberFormat="1" applyFont="1" applyBorder="1" applyAlignment="1" applyProtection="1">
      <alignment horizontal="left" vertical="center" wrapText="1"/>
      <protection hidden="1"/>
    </xf>
    <xf numFmtId="1" fontId="39" fillId="0" borderId="35" xfId="0" applyNumberFormat="1" applyFont="1" applyBorder="1" applyAlignment="1" applyProtection="1">
      <alignment horizontal="left" vertical="center" wrapText="1"/>
      <protection hidden="1"/>
    </xf>
    <xf numFmtId="0" fontId="74" fillId="0" borderId="36" xfId="0" applyFont="1" applyBorder="1" applyAlignment="1" applyProtection="1">
      <alignment horizontal="center" vertical="center"/>
      <protection hidden="1"/>
    </xf>
    <xf numFmtId="0" fontId="74" fillId="0" borderId="37" xfId="0" applyFont="1" applyBorder="1" applyAlignment="1" applyProtection="1">
      <alignment horizontal="center" vertical="center"/>
      <protection hidden="1"/>
    </xf>
    <xf numFmtId="0" fontId="74" fillId="0" borderId="38" xfId="0" applyFont="1" applyBorder="1" applyAlignment="1" applyProtection="1">
      <alignment horizontal="center" vertical="center"/>
      <protection hidden="1"/>
    </xf>
    <xf numFmtId="0" fontId="74" fillId="0" borderId="22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textRotation="90"/>
      <protection hidden="1"/>
    </xf>
    <xf numFmtId="0" fontId="1" fillId="0" borderId="39" xfId="0" applyFont="1" applyBorder="1" applyAlignment="1" applyProtection="1">
      <alignment horizontal="center" vertical="center" textRotation="90"/>
      <protection hidden="1"/>
    </xf>
    <xf numFmtId="0" fontId="38" fillId="0" borderId="33" xfId="0" applyFont="1" applyBorder="1" applyAlignment="1" applyProtection="1">
      <alignment horizontal="right" vertical="center" wrapText="1"/>
      <protection hidden="1"/>
    </xf>
    <xf numFmtId="0" fontId="38" fillId="0" borderId="34" xfId="0" applyFont="1" applyBorder="1" applyAlignment="1" applyProtection="1">
      <alignment horizontal="right" vertical="center" wrapText="1"/>
      <protection hidden="1"/>
    </xf>
    <xf numFmtId="0" fontId="7" fillId="0" borderId="34" xfId="0" applyFont="1" applyBorder="1" applyAlignment="1" applyProtection="1">
      <alignment horizontal="left" vertical="center" wrapText="1"/>
      <protection hidden="1"/>
    </xf>
    <xf numFmtId="0" fontId="240" fillId="0" borderId="0" xfId="7" applyFont="1" applyBorder="1" applyAlignment="1" applyProtection="1">
      <alignment horizontal="center" vertical="center" wrapText="1"/>
      <protection hidden="1"/>
    </xf>
    <xf numFmtId="0" fontId="124" fillId="0" borderId="0" xfId="0" applyFont="1" applyAlignment="1" applyProtection="1">
      <alignment horizontal="center" vertical="center" wrapText="1"/>
      <protection hidden="1"/>
    </xf>
    <xf numFmtId="0" fontId="172" fillId="0" borderId="5" xfId="4" applyFont="1" applyBorder="1" applyAlignment="1" applyProtection="1">
      <alignment horizontal="justify" vertical="center" wrapText="1"/>
      <protection hidden="1"/>
    </xf>
    <xf numFmtId="0" fontId="172" fillId="0" borderId="6" xfId="4" applyFont="1" applyBorder="1" applyAlignment="1" applyProtection="1">
      <alignment horizontal="justify" vertical="center" wrapText="1"/>
      <protection hidden="1"/>
    </xf>
    <xf numFmtId="0" fontId="172" fillId="0" borderId="7" xfId="4" applyFont="1" applyBorder="1" applyAlignment="1" applyProtection="1">
      <alignment horizontal="justify" vertical="center" wrapText="1"/>
      <protection hidden="1"/>
    </xf>
    <xf numFmtId="0" fontId="172" fillId="0" borderId="8" xfId="4" applyFont="1" applyBorder="1" applyAlignment="1" applyProtection="1">
      <alignment horizontal="justify" vertical="center" wrapText="1"/>
      <protection hidden="1"/>
    </xf>
    <xf numFmtId="0" fontId="172" fillId="0" borderId="0" xfId="4" applyFont="1" applyBorder="1" applyAlignment="1" applyProtection="1">
      <alignment horizontal="justify" vertical="center" wrapText="1"/>
      <protection hidden="1"/>
    </xf>
    <xf numFmtId="0" fontId="172" fillId="0" borderId="9" xfId="4" applyFont="1" applyBorder="1" applyAlignment="1" applyProtection="1">
      <alignment horizontal="justify" vertical="center" wrapText="1"/>
      <protection hidden="1"/>
    </xf>
    <xf numFmtId="0" fontId="172" fillId="0" borderId="11" xfId="4" applyFont="1" applyBorder="1" applyAlignment="1" applyProtection="1">
      <alignment horizontal="justify" vertical="center" wrapText="1"/>
      <protection hidden="1"/>
    </xf>
    <xf numFmtId="0" fontId="172" fillId="0" borderId="12" xfId="4" applyFont="1" applyBorder="1" applyAlignment="1" applyProtection="1">
      <alignment horizontal="justify" vertical="center" wrapText="1"/>
      <protection hidden="1"/>
    </xf>
    <xf numFmtId="0" fontId="172" fillId="0" borderId="13" xfId="4" applyFont="1" applyBorder="1" applyAlignment="1" applyProtection="1">
      <alignment horizontal="justify" vertical="center" wrapText="1"/>
      <protection hidden="1"/>
    </xf>
    <xf numFmtId="0" fontId="86" fillId="0" borderId="0" xfId="3" applyFont="1" applyAlignment="1" applyProtection="1">
      <alignment horizontal="center" vertical="center"/>
      <protection hidden="1"/>
    </xf>
    <xf numFmtId="0" fontId="88" fillId="0" borderId="93" xfId="4" applyFont="1" applyBorder="1" applyAlignment="1" applyProtection="1">
      <alignment horizontal="left" vertical="center"/>
      <protection hidden="1"/>
    </xf>
    <xf numFmtId="0" fontId="89" fillId="0" borderId="93" xfId="5" applyFont="1" applyFill="1" applyBorder="1" applyAlignment="1" applyProtection="1">
      <alignment horizontal="left" vertical="center"/>
      <protection hidden="1"/>
    </xf>
    <xf numFmtId="0" fontId="89" fillId="0" borderId="93" xfId="4" applyFont="1" applyFill="1" applyBorder="1" applyAlignment="1" applyProtection="1">
      <alignment horizontal="left" vertical="center"/>
      <protection hidden="1"/>
    </xf>
    <xf numFmtId="0" fontId="89" fillId="0" borderId="93" xfId="4" applyFont="1" applyFill="1" applyBorder="1" applyAlignment="1" applyProtection="1">
      <alignment horizontal="center" vertical="center"/>
      <protection hidden="1"/>
    </xf>
    <xf numFmtId="0" fontId="89" fillId="0" borderId="94" xfId="4" applyFont="1" applyFill="1" applyBorder="1" applyAlignment="1" applyProtection="1">
      <alignment horizontal="center" vertical="center"/>
      <protection hidden="1"/>
    </xf>
    <xf numFmtId="0" fontId="87" fillId="0" borderId="0" xfId="3" applyFont="1" applyBorder="1" applyAlignment="1" applyProtection="1">
      <alignment horizontal="right" vertical="center"/>
      <protection hidden="1"/>
    </xf>
    <xf numFmtId="0" fontId="50" fillId="0" borderId="0" xfId="3" applyFont="1" applyBorder="1" applyAlignment="1" applyProtection="1">
      <alignment horizontal="center" vertical="center"/>
      <protection hidden="1"/>
    </xf>
    <xf numFmtId="0" fontId="87" fillId="0" borderId="102" xfId="3" applyFont="1" applyBorder="1" applyAlignment="1" applyProtection="1">
      <alignment horizontal="right" vertical="center"/>
      <protection hidden="1"/>
    </xf>
    <xf numFmtId="0" fontId="156" fillId="65" borderId="0" xfId="3" applyFont="1" applyFill="1" applyBorder="1" applyAlignment="1" applyProtection="1">
      <alignment horizontal="center" vertical="center" wrapText="1"/>
      <protection hidden="1"/>
    </xf>
    <xf numFmtId="0" fontId="156" fillId="65" borderId="0" xfId="3" applyFont="1" applyFill="1" applyBorder="1" applyAlignment="1" applyProtection="1">
      <alignment horizontal="center" vertical="center"/>
      <protection hidden="1"/>
    </xf>
    <xf numFmtId="0" fontId="50" fillId="0" borderId="102" xfId="3" applyFont="1" applyBorder="1" applyAlignment="1" applyProtection="1">
      <alignment horizontal="left" vertical="center"/>
      <protection hidden="1"/>
    </xf>
    <xf numFmtId="0" fontId="88" fillId="0" borderId="88" xfId="4" applyFont="1" applyBorder="1" applyAlignment="1" applyProtection="1">
      <alignment horizontal="left" vertical="center"/>
      <protection hidden="1"/>
    </xf>
    <xf numFmtId="1" fontId="95" fillId="0" borderId="88" xfId="4" applyNumberFormat="1" applyFont="1" applyFill="1" applyBorder="1" applyAlignment="1" applyProtection="1">
      <alignment horizontal="center" vertical="center"/>
      <protection hidden="1"/>
    </xf>
    <xf numFmtId="0" fontId="99" fillId="0" borderId="88" xfId="4" applyFont="1" applyBorder="1" applyAlignment="1" applyProtection="1">
      <alignment horizontal="right" vertical="center"/>
      <protection hidden="1"/>
    </xf>
    <xf numFmtId="0" fontId="88" fillId="0" borderId="98" xfId="4" applyFont="1" applyBorder="1" applyAlignment="1" applyProtection="1">
      <alignment horizontal="center" vertical="top"/>
      <protection hidden="1"/>
    </xf>
    <xf numFmtId="0" fontId="88" fillId="0" borderId="88" xfId="4" applyFont="1" applyBorder="1" applyAlignment="1" applyProtection="1">
      <alignment horizontal="center" vertical="center"/>
      <protection hidden="1"/>
    </xf>
    <xf numFmtId="2" fontId="95" fillId="0" borderId="88" xfId="4" applyNumberFormat="1" applyFont="1" applyBorder="1" applyAlignment="1" applyProtection="1">
      <alignment horizontal="center" vertical="center"/>
      <protection hidden="1"/>
    </xf>
    <xf numFmtId="0" fontId="65" fillId="0" borderId="5" xfId="0" applyFont="1" applyBorder="1" applyAlignment="1" applyProtection="1">
      <alignment horizontal="justify" vertical="center" wrapText="1"/>
      <protection hidden="1"/>
    </xf>
    <xf numFmtId="0" fontId="65" fillId="0" borderId="6" xfId="0" applyFont="1" applyBorder="1" applyAlignment="1" applyProtection="1">
      <alignment horizontal="justify" vertical="center" wrapText="1"/>
      <protection hidden="1"/>
    </xf>
    <xf numFmtId="0" fontId="65" fillId="0" borderId="7" xfId="0" applyFont="1" applyBorder="1" applyAlignment="1" applyProtection="1">
      <alignment horizontal="justify" vertical="center" wrapText="1"/>
      <protection hidden="1"/>
    </xf>
    <xf numFmtId="0" fontId="65" fillId="0" borderId="8" xfId="0" applyFont="1" applyBorder="1" applyAlignment="1" applyProtection="1">
      <alignment horizontal="justify" vertical="center" wrapText="1"/>
      <protection hidden="1"/>
    </xf>
    <xf numFmtId="0" fontId="65" fillId="0" borderId="0" xfId="0" applyFont="1" applyBorder="1" applyAlignment="1" applyProtection="1">
      <alignment horizontal="justify" vertical="center" wrapText="1"/>
      <protection hidden="1"/>
    </xf>
    <xf numFmtId="0" fontId="65" fillId="0" borderId="9" xfId="0" applyFont="1" applyBorder="1" applyAlignment="1" applyProtection="1">
      <alignment horizontal="justify" vertical="center" wrapText="1"/>
      <protection hidden="1"/>
    </xf>
    <xf numFmtId="0" fontId="65" fillId="0" borderId="11" xfId="0" applyFont="1" applyBorder="1" applyAlignment="1" applyProtection="1">
      <alignment horizontal="justify" vertical="center" wrapText="1"/>
      <protection hidden="1"/>
    </xf>
    <xf numFmtId="0" fontId="65" fillId="0" borderId="12" xfId="0" applyFont="1" applyBorder="1" applyAlignment="1" applyProtection="1">
      <alignment horizontal="justify" vertical="center" wrapText="1"/>
      <protection hidden="1"/>
    </xf>
    <xf numFmtId="0" fontId="65" fillId="0" borderId="13" xfId="0" applyFont="1" applyBorder="1" applyAlignment="1" applyProtection="1">
      <alignment horizontal="justify" vertical="center" wrapText="1"/>
      <protection hidden="1"/>
    </xf>
    <xf numFmtId="0" fontId="88" fillId="0" borderId="88" xfId="4" applyFont="1" applyBorder="1" applyAlignment="1" applyProtection="1">
      <alignment horizontal="left"/>
      <protection hidden="1"/>
    </xf>
    <xf numFmtId="0" fontId="88" fillId="0" borderId="88" xfId="4" applyFont="1" applyBorder="1" applyAlignment="1" applyProtection="1">
      <alignment horizontal="right" vertical="center"/>
      <protection hidden="1"/>
    </xf>
    <xf numFmtId="1" fontId="97" fillId="0" borderId="88" xfId="4" applyNumberFormat="1" applyFont="1" applyBorder="1" applyAlignment="1" applyProtection="1">
      <alignment horizontal="center" vertical="center"/>
      <protection hidden="1"/>
    </xf>
    <xf numFmtId="1" fontId="97" fillId="0" borderId="96" xfId="4" applyNumberFormat="1" applyFont="1" applyBorder="1" applyAlignment="1" applyProtection="1">
      <alignment horizontal="center" vertical="center"/>
      <protection hidden="1"/>
    </xf>
    <xf numFmtId="0" fontId="90" fillId="0" borderId="89" xfId="4" applyFont="1" applyBorder="1" applyAlignment="1" applyProtection="1">
      <alignment horizontal="right" vertical="center"/>
      <protection hidden="1"/>
    </xf>
    <xf numFmtId="0" fontId="90" fillId="0" borderId="90" xfId="4" applyFont="1" applyBorder="1" applyAlignment="1" applyProtection="1">
      <alignment horizontal="right" vertical="center"/>
      <protection hidden="1"/>
    </xf>
    <xf numFmtId="0" fontId="90" fillId="0" borderId="91" xfId="4" applyFont="1" applyBorder="1" applyAlignment="1" applyProtection="1">
      <alignment horizontal="right" vertical="center"/>
      <protection hidden="1"/>
    </xf>
    <xf numFmtId="0" fontId="88" fillId="0" borderId="95" xfId="4" applyFont="1" applyBorder="1" applyAlignment="1" applyProtection="1">
      <alignment horizontal="center" vertical="center"/>
      <protection hidden="1"/>
    </xf>
    <xf numFmtId="0" fontId="88" fillId="0" borderId="97" xfId="4" applyFont="1" applyBorder="1" applyAlignment="1" applyProtection="1">
      <alignment horizontal="center" vertical="center"/>
      <protection hidden="1"/>
    </xf>
    <xf numFmtId="0" fontId="106" fillId="0" borderId="88" xfId="4" applyFont="1" applyFill="1" applyBorder="1" applyAlignment="1" applyProtection="1">
      <protection hidden="1"/>
    </xf>
    <xf numFmtId="0" fontId="106" fillId="0" borderId="89" xfId="4" applyFont="1" applyBorder="1" applyAlignment="1" applyProtection="1">
      <alignment horizontal="left" vertical="center"/>
      <protection hidden="1"/>
    </xf>
    <xf numFmtId="0" fontId="106" fillId="0" borderId="90" xfId="4" applyFont="1" applyBorder="1" applyAlignment="1" applyProtection="1">
      <alignment horizontal="left" vertical="center"/>
      <protection hidden="1"/>
    </xf>
    <xf numFmtId="0" fontId="106" fillId="0" borderId="91" xfId="4" applyFont="1" applyBorder="1" applyAlignment="1" applyProtection="1">
      <alignment horizontal="left" vertical="center"/>
      <protection hidden="1"/>
    </xf>
    <xf numFmtId="1" fontId="100" fillId="0" borderId="88" xfId="4" applyNumberFormat="1" applyFont="1" applyBorder="1" applyAlignment="1" applyProtection="1">
      <alignment horizontal="center" vertical="center"/>
      <protection hidden="1"/>
    </xf>
    <xf numFmtId="1" fontId="100" fillId="0" borderId="96" xfId="4" applyNumberFormat="1" applyFont="1" applyBorder="1" applyAlignment="1" applyProtection="1">
      <alignment horizontal="center" vertical="center"/>
      <protection hidden="1"/>
    </xf>
    <xf numFmtId="0" fontId="88" fillId="0" borderId="88" xfId="4" applyFont="1" applyBorder="1" applyAlignment="1" applyProtection="1">
      <alignment horizontal="left" vertical="center" wrapText="1"/>
      <protection hidden="1"/>
    </xf>
    <xf numFmtId="0" fontId="88" fillId="0" borderId="88" xfId="4" applyFont="1" applyBorder="1" applyAlignment="1" applyProtection="1">
      <alignment horizontal="center"/>
      <protection hidden="1"/>
    </xf>
    <xf numFmtId="0" fontId="89" fillId="0" borderId="88" xfId="4" applyFont="1" applyBorder="1" applyAlignment="1" applyProtection="1">
      <alignment horizontal="center" vertical="center"/>
      <protection hidden="1"/>
    </xf>
    <xf numFmtId="0" fontId="102" fillId="0" borderId="88" xfId="4" applyFont="1" applyBorder="1" applyAlignment="1" applyProtection="1">
      <alignment horizontal="left" vertical="center"/>
      <protection hidden="1"/>
    </xf>
    <xf numFmtId="0" fontId="102" fillId="0" borderId="96" xfId="4" applyFont="1" applyBorder="1" applyAlignment="1" applyProtection="1">
      <alignment horizontal="left" vertical="center"/>
      <protection hidden="1"/>
    </xf>
    <xf numFmtId="0" fontId="64" fillId="0" borderId="88" xfId="4" applyFont="1" applyBorder="1" applyAlignment="1" applyProtection="1">
      <alignment horizontal="left"/>
      <protection hidden="1"/>
    </xf>
    <xf numFmtId="0" fontId="64" fillId="0" borderId="96" xfId="4" applyFont="1" applyBorder="1" applyAlignment="1" applyProtection="1">
      <alignment horizontal="left"/>
      <protection hidden="1"/>
    </xf>
    <xf numFmtId="0" fontId="106" fillId="0" borderId="88" xfId="4" applyFont="1" applyBorder="1" applyAlignment="1" applyProtection="1">
      <alignment horizontal="left"/>
      <protection hidden="1"/>
    </xf>
    <xf numFmtId="0" fontId="98" fillId="0" borderId="89" xfId="4" applyFont="1" applyFill="1" applyBorder="1" applyAlignment="1" applyProtection="1">
      <alignment horizontal="left" vertical="center" wrapText="1"/>
      <protection hidden="1"/>
    </xf>
    <xf numFmtId="0" fontId="98" fillId="0" borderId="90" xfId="4" applyFont="1" applyFill="1" applyBorder="1" applyAlignment="1" applyProtection="1">
      <alignment horizontal="left" vertical="center" wrapText="1"/>
      <protection hidden="1"/>
    </xf>
    <xf numFmtId="0" fontId="98" fillId="0" borderId="91" xfId="4" applyFont="1" applyFill="1" applyBorder="1" applyAlignment="1" applyProtection="1">
      <alignment horizontal="left" vertical="center" wrapText="1"/>
      <protection hidden="1"/>
    </xf>
    <xf numFmtId="0" fontId="88" fillId="0" borderId="96" xfId="4" applyFont="1" applyBorder="1" applyAlignment="1" applyProtection="1">
      <alignment horizontal="center"/>
      <protection hidden="1"/>
    </xf>
    <xf numFmtId="0" fontId="98" fillId="0" borderId="88" xfId="4" applyFont="1" applyBorder="1" applyAlignment="1" applyProtection="1">
      <alignment horizontal="left"/>
      <protection hidden="1"/>
    </xf>
    <xf numFmtId="0" fontId="88" fillId="0" borderId="88" xfId="4" applyFont="1" applyFill="1" applyBorder="1" applyAlignment="1" applyProtection="1">
      <alignment horizontal="left"/>
      <protection hidden="1"/>
    </xf>
    <xf numFmtId="0" fontId="106" fillId="0" borderId="88" xfId="4" applyFont="1" applyFill="1" applyBorder="1" applyAlignment="1" applyProtection="1">
      <alignment horizontal="left"/>
      <protection hidden="1"/>
    </xf>
    <xf numFmtId="0" fontId="104" fillId="0" borderId="88" xfId="4" applyFont="1" applyBorder="1" applyAlignment="1" applyProtection="1">
      <alignment horizontal="left" vertical="center" wrapText="1"/>
      <protection hidden="1"/>
    </xf>
    <xf numFmtId="0" fontId="112" fillId="0" borderId="88" xfId="4" applyFont="1" applyBorder="1" applyAlignment="1" applyProtection="1">
      <alignment horizontal="right" vertical="center"/>
      <protection hidden="1"/>
    </xf>
    <xf numFmtId="0" fontId="106" fillId="0" borderId="89" xfId="4" applyFont="1" applyBorder="1" applyAlignment="1" applyProtection="1">
      <alignment horizontal="center"/>
      <protection hidden="1"/>
    </xf>
    <xf numFmtId="0" fontId="106" fillId="0" borderId="90" xfId="4" applyFont="1" applyBorder="1" applyAlignment="1" applyProtection="1">
      <alignment horizontal="center"/>
      <protection hidden="1"/>
    </xf>
    <xf numFmtId="0" fontId="120" fillId="0" borderId="0" xfId="3" applyFont="1" applyBorder="1" applyAlignment="1" applyProtection="1">
      <alignment horizontal="center" vertical="center"/>
      <protection hidden="1"/>
    </xf>
    <xf numFmtId="2" fontId="88" fillId="0" borderId="88" xfId="0" applyNumberFormat="1" applyFont="1" applyBorder="1" applyAlignment="1" applyProtection="1">
      <alignment horizontal="left"/>
      <protection hidden="1"/>
    </xf>
    <xf numFmtId="2" fontId="101" fillId="0" borderId="88" xfId="0" applyNumberFormat="1" applyFont="1" applyBorder="1" applyAlignment="1" applyProtection="1">
      <alignment horizontal="center" vertical="center"/>
      <protection hidden="1"/>
    </xf>
    <xf numFmtId="0" fontId="112" fillId="0" borderId="88" xfId="4" applyFont="1" applyBorder="1" applyAlignment="1" applyProtection="1">
      <alignment horizontal="left" vertical="center"/>
      <protection hidden="1"/>
    </xf>
    <xf numFmtId="0" fontId="101" fillId="0" borderId="88" xfId="4" applyFont="1" applyBorder="1" applyAlignment="1" applyProtection="1">
      <alignment horizontal="left" vertical="center"/>
      <protection hidden="1"/>
    </xf>
    <xf numFmtId="0" fontId="103" fillId="0" borderId="99" xfId="4" applyFont="1" applyBorder="1" applyAlignment="1" applyProtection="1">
      <alignment horizontal="right" vertical="center"/>
      <protection hidden="1"/>
    </xf>
    <xf numFmtId="0" fontId="103" fillId="0" borderId="100" xfId="4" applyFont="1" applyBorder="1" applyAlignment="1" applyProtection="1">
      <alignment horizontal="right" vertical="center"/>
      <protection hidden="1"/>
    </xf>
    <xf numFmtId="0" fontId="88" fillId="0" borderId="96" xfId="4" applyFont="1" applyBorder="1" applyAlignment="1" applyProtection="1">
      <alignment horizontal="left"/>
      <protection hidden="1"/>
    </xf>
    <xf numFmtId="0" fontId="109" fillId="0" borderId="88" xfId="4" applyFont="1" applyBorder="1" applyAlignment="1" applyProtection="1">
      <alignment horizontal="center" vertical="center"/>
      <protection hidden="1"/>
    </xf>
    <xf numFmtId="0" fontId="90" fillId="0" borderId="88" xfId="4" applyFont="1" applyBorder="1" applyAlignment="1" applyProtection="1">
      <alignment horizontal="center"/>
      <protection hidden="1"/>
    </xf>
    <xf numFmtId="0" fontId="64" fillId="0" borderId="88" xfId="4" applyFont="1" applyBorder="1" applyAlignment="1" applyProtection="1">
      <alignment horizontal="center"/>
      <protection hidden="1"/>
    </xf>
    <xf numFmtId="0" fontId="0" fillId="0" borderId="88" xfId="4" applyFont="1" applyBorder="1" applyAlignment="1" applyProtection="1">
      <alignment horizontal="center"/>
      <protection hidden="1"/>
    </xf>
    <xf numFmtId="2" fontId="95" fillId="0" borderId="0" xfId="4" applyNumberFormat="1" applyFont="1" applyBorder="1" applyAlignment="1" applyProtection="1">
      <alignment horizontal="center" vertical="center"/>
      <protection hidden="1"/>
    </xf>
    <xf numFmtId="0" fontId="220" fillId="89" borderId="117" xfId="0" applyFont="1" applyFill="1" applyBorder="1" applyAlignment="1" applyProtection="1">
      <alignment horizontal="center" vertical="center" wrapText="1"/>
      <protection hidden="1"/>
    </xf>
    <xf numFmtId="0" fontId="220" fillId="89" borderId="118" xfId="0" applyFont="1" applyFill="1" applyBorder="1" applyAlignment="1" applyProtection="1">
      <alignment horizontal="center" vertical="center" wrapText="1"/>
      <protection hidden="1"/>
    </xf>
    <xf numFmtId="0" fontId="220" fillId="89" borderId="119" xfId="0" applyFont="1" applyFill="1" applyBorder="1" applyAlignment="1" applyProtection="1">
      <alignment horizontal="center" vertical="center" wrapText="1"/>
      <protection hidden="1"/>
    </xf>
    <xf numFmtId="0" fontId="220" fillId="89" borderId="123" xfId="0" applyFont="1" applyFill="1" applyBorder="1" applyAlignment="1" applyProtection="1">
      <alignment horizontal="center" vertical="center" wrapText="1"/>
      <protection hidden="1"/>
    </xf>
    <xf numFmtId="0" fontId="220" fillId="89" borderId="0" xfId="0" applyFont="1" applyFill="1" applyBorder="1" applyAlignment="1" applyProtection="1">
      <alignment horizontal="center" vertical="center" wrapText="1"/>
      <protection hidden="1"/>
    </xf>
    <xf numFmtId="0" fontId="220" fillId="89" borderId="124" xfId="0" applyFont="1" applyFill="1" applyBorder="1" applyAlignment="1" applyProtection="1">
      <alignment horizontal="center" vertical="center" wrapText="1"/>
      <protection hidden="1"/>
    </xf>
    <xf numFmtId="0" fontId="220" fillId="89" borderId="120" xfId="0" applyFont="1" applyFill="1" applyBorder="1" applyAlignment="1" applyProtection="1">
      <alignment horizontal="center" vertical="center" wrapText="1"/>
      <protection hidden="1"/>
    </xf>
    <xf numFmtId="0" fontId="220" fillId="89" borderId="121" xfId="0" applyFont="1" applyFill="1" applyBorder="1" applyAlignment="1" applyProtection="1">
      <alignment horizontal="center" vertical="center" wrapText="1"/>
      <protection hidden="1"/>
    </xf>
    <xf numFmtId="0" fontId="220" fillId="89" borderId="122" xfId="0" applyFont="1" applyFill="1" applyBorder="1" applyAlignment="1" applyProtection="1">
      <alignment horizontal="center" vertical="center" wrapText="1"/>
      <protection hidden="1"/>
    </xf>
    <xf numFmtId="2" fontId="101" fillId="0" borderId="88" xfId="0" applyNumberFormat="1" applyFont="1" applyBorder="1" applyAlignment="1" applyProtection="1">
      <alignment horizontal="left"/>
      <protection hidden="1"/>
    </xf>
    <xf numFmtId="0" fontId="166" fillId="0" borderId="88" xfId="4" applyFont="1" applyBorder="1" applyAlignment="1" applyProtection="1">
      <alignment horizontal="center"/>
      <protection hidden="1"/>
    </xf>
    <xf numFmtId="0" fontId="231" fillId="0" borderId="0" xfId="0" applyFont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Alignment="1" applyProtection="1">
      <alignment horizontal="center" vertical="top" wrapText="1"/>
      <protection hidden="1"/>
    </xf>
    <xf numFmtId="0" fontId="220" fillId="89" borderId="117" xfId="0" applyFont="1" applyFill="1" applyBorder="1" applyAlignment="1" applyProtection="1">
      <alignment horizontal="center" wrapText="1"/>
      <protection hidden="1"/>
    </xf>
    <xf numFmtId="0" fontId="220" fillId="89" borderId="118" xfId="0" applyFont="1" applyFill="1" applyBorder="1" applyAlignment="1" applyProtection="1">
      <alignment horizontal="center" wrapText="1"/>
      <protection hidden="1"/>
    </xf>
    <xf numFmtId="0" fontId="220" fillId="89" borderId="119" xfId="0" applyFont="1" applyFill="1" applyBorder="1" applyAlignment="1" applyProtection="1">
      <alignment horizontal="center" wrapText="1"/>
      <protection hidden="1"/>
    </xf>
    <xf numFmtId="0" fontId="220" fillId="89" borderId="123" xfId="0" applyFont="1" applyFill="1" applyBorder="1" applyAlignment="1" applyProtection="1">
      <alignment horizontal="center" wrapText="1"/>
      <protection hidden="1"/>
    </xf>
    <xf numFmtId="0" fontId="220" fillId="89" borderId="0" xfId="0" applyFont="1" applyFill="1" applyBorder="1" applyAlignment="1" applyProtection="1">
      <alignment horizontal="center" wrapText="1"/>
      <protection hidden="1"/>
    </xf>
    <xf numFmtId="0" fontId="220" fillId="89" borderId="124" xfId="0" applyFont="1" applyFill="1" applyBorder="1" applyAlignment="1" applyProtection="1">
      <alignment horizontal="center" wrapText="1"/>
      <protection hidden="1"/>
    </xf>
    <xf numFmtId="0" fontId="220" fillId="89" borderId="121" xfId="0" applyFont="1" applyFill="1" applyBorder="1" applyAlignment="1" applyProtection="1">
      <alignment horizontal="center" wrapText="1"/>
      <protection hidden="1"/>
    </xf>
    <xf numFmtId="0" fontId="220" fillId="89" borderId="122" xfId="0" applyFont="1" applyFill="1" applyBorder="1" applyAlignment="1" applyProtection="1">
      <alignment horizontal="center" wrapText="1"/>
      <protection hidden="1"/>
    </xf>
    <xf numFmtId="2" fontId="223" fillId="90" borderId="117" xfId="4" applyNumberFormat="1" applyFont="1" applyFill="1" applyBorder="1" applyAlignment="1" applyProtection="1">
      <alignment horizontal="center" vertical="center"/>
      <protection hidden="1"/>
    </xf>
    <xf numFmtId="2" fontId="223" fillId="90" borderId="119" xfId="4" applyNumberFormat="1" applyFont="1" applyFill="1" applyBorder="1" applyAlignment="1" applyProtection="1">
      <alignment horizontal="center" vertical="center"/>
      <protection hidden="1"/>
    </xf>
    <xf numFmtId="2" fontId="223" fillId="90" borderId="120" xfId="4" applyNumberFormat="1" applyFont="1" applyFill="1" applyBorder="1" applyAlignment="1" applyProtection="1">
      <alignment horizontal="center" vertical="center"/>
      <protection hidden="1"/>
    </xf>
    <xf numFmtId="2" fontId="223" fillId="90" borderId="122" xfId="4" applyNumberFormat="1" applyFont="1" applyFill="1" applyBorder="1" applyAlignment="1" applyProtection="1">
      <alignment horizontal="center" vertical="center"/>
      <protection hidden="1"/>
    </xf>
    <xf numFmtId="0" fontId="101" fillId="0" borderId="88" xfId="4" applyFont="1" applyBorder="1" applyAlignment="1" applyProtection="1">
      <alignment horizontal="left"/>
      <protection hidden="1"/>
    </xf>
    <xf numFmtId="0" fontId="101" fillId="0" borderId="88" xfId="4" applyFont="1" applyBorder="1" applyAlignment="1" applyProtection="1">
      <alignment horizontal="center" vertical="center" wrapText="1"/>
      <protection hidden="1"/>
    </xf>
    <xf numFmtId="0" fontId="157" fillId="0" borderId="88" xfId="4" applyFont="1" applyBorder="1" applyAlignment="1" applyProtection="1">
      <alignment horizontal="center" vertical="center" wrapText="1"/>
      <protection hidden="1"/>
    </xf>
    <xf numFmtId="0" fontId="109" fillId="0" borderId="88" xfId="4" applyFont="1" applyBorder="1" applyAlignment="1" applyProtection="1">
      <alignment horizontal="center" vertical="center" wrapText="1"/>
      <protection hidden="1"/>
    </xf>
    <xf numFmtId="1" fontId="89" fillId="0" borderId="88" xfId="4" applyNumberFormat="1" applyFont="1" applyBorder="1" applyAlignment="1" applyProtection="1">
      <alignment horizontal="center"/>
      <protection hidden="1"/>
    </xf>
    <xf numFmtId="0" fontId="88" fillId="0" borderId="89" xfId="4" applyFont="1" applyBorder="1" applyAlignment="1" applyProtection="1">
      <alignment horizontal="center" vertical="center"/>
      <protection hidden="1"/>
    </xf>
    <xf numFmtId="0" fontId="88" fillId="0" borderId="90" xfId="4" applyFont="1" applyBorder="1" applyAlignment="1" applyProtection="1">
      <alignment horizontal="center" vertical="center"/>
      <protection hidden="1"/>
    </xf>
    <xf numFmtId="0" fontId="110" fillId="0" borderId="89" xfId="4" applyFont="1" applyBorder="1" applyAlignment="1" applyProtection="1">
      <alignment horizontal="right"/>
      <protection hidden="1"/>
    </xf>
    <xf numFmtId="0" fontId="110" fillId="0" borderId="90" xfId="4" applyFont="1" applyBorder="1" applyAlignment="1" applyProtection="1">
      <alignment horizontal="right"/>
      <protection hidden="1"/>
    </xf>
    <xf numFmtId="0" fontId="110" fillId="0" borderId="91" xfId="4" applyFont="1" applyBorder="1" applyAlignment="1" applyProtection="1">
      <alignment horizontal="right"/>
      <protection hidden="1"/>
    </xf>
    <xf numFmtId="0" fontId="101" fillId="0" borderId="96" xfId="4" applyFont="1" applyBorder="1" applyAlignment="1" applyProtection="1">
      <alignment horizontal="left" vertical="center"/>
      <protection hidden="1"/>
    </xf>
    <xf numFmtId="0" fontId="104" fillId="0" borderId="88" xfId="4" applyFont="1" applyBorder="1" applyAlignment="1" applyProtection="1">
      <alignment horizontal="left" vertical="top" wrapText="1"/>
      <protection hidden="1"/>
    </xf>
    <xf numFmtId="0" fontId="89" fillId="0" borderId="89" xfId="4" applyFont="1" applyBorder="1" applyAlignment="1" applyProtection="1">
      <alignment horizontal="center" vertical="center"/>
      <protection hidden="1"/>
    </xf>
    <xf numFmtId="0" fontId="89" fillId="0" borderId="91" xfId="4" applyFont="1" applyBorder="1" applyAlignment="1" applyProtection="1">
      <alignment horizontal="center" vertical="center"/>
      <protection hidden="1"/>
    </xf>
    <xf numFmtId="0" fontId="95" fillId="0" borderId="89" xfId="4" applyFont="1" applyBorder="1" applyAlignment="1" applyProtection="1">
      <alignment horizontal="center" vertical="center"/>
      <protection hidden="1"/>
    </xf>
    <xf numFmtId="0" fontId="95" fillId="0" borderId="91" xfId="4" applyFont="1" applyBorder="1" applyAlignment="1" applyProtection="1">
      <alignment horizontal="center" vertical="center"/>
      <protection hidden="1"/>
    </xf>
    <xf numFmtId="0" fontId="88" fillId="0" borderId="89" xfId="4" applyFont="1" applyBorder="1" applyAlignment="1" applyProtection="1">
      <alignment horizontal="right" vertical="center"/>
      <protection hidden="1"/>
    </xf>
    <xf numFmtId="0" fontId="88" fillId="0" borderId="90" xfId="4" applyFont="1" applyBorder="1" applyAlignment="1" applyProtection="1">
      <alignment horizontal="right" vertical="center"/>
      <protection hidden="1"/>
    </xf>
    <xf numFmtId="0" fontId="88" fillId="0" borderId="91" xfId="4" applyFont="1" applyBorder="1" applyAlignment="1" applyProtection="1">
      <alignment horizontal="right" vertical="center"/>
      <protection hidden="1"/>
    </xf>
    <xf numFmtId="0" fontId="101" fillId="0" borderId="89" xfId="4" applyFont="1" applyBorder="1" applyAlignment="1" applyProtection="1">
      <alignment horizontal="left" vertical="center"/>
      <protection hidden="1"/>
    </xf>
    <xf numFmtId="0" fontId="101" fillId="0" borderId="90" xfId="4" applyFont="1" applyBorder="1" applyAlignment="1" applyProtection="1">
      <alignment horizontal="left" vertical="center"/>
      <protection hidden="1"/>
    </xf>
    <xf numFmtId="0" fontId="101" fillId="0" borderId="91" xfId="4" applyFont="1" applyBorder="1" applyAlignment="1" applyProtection="1">
      <alignment horizontal="left" vertical="center"/>
      <protection hidden="1"/>
    </xf>
    <xf numFmtId="0" fontId="39" fillId="50" borderId="63" xfId="0" applyFont="1" applyFill="1" applyBorder="1" applyAlignment="1" applyProtection="1">
      <alignment horizontal="left" vertical="top"/>
      <protection hidden="1"/>
    </xf>
    <xf numFmtId="0" fontId="39" fillId="50" borderId="51" xfId="0" applyFont="1" applyFill="1" applyBorder="1" applyAlignment="1" applyProtection="1">
      <alignment horizontal="left" vertical="top"/>
      <protection hidden="1"/>
    </xf>
    <xf numFmtId="0" fontId="39" fillId="50" borderId="52" xfId="0" applyFont="1" applyFill="1" applyBorder="1" applyAlignment="1" applyProtection="1">
      <alignment horizontal="left" vertical="top"/>
      <protection hidden="1"/>
    </xf>
    <xf numFmtId="1" fontId="71" fillId="0" borderId="47" xfId="0" applyNumberFormat="1" applyFont="1" applyBorder="1" applyAlignment="1" applyProtection="1">
      <alignment horizontal="center"/>
      <protection locked="0"/>
    </xf>
    <xf numFmtId="0" fontId="71" fillId="0" borderId="47" xfId="0" applyFont="1" applyBorder="1" applyAlignment="1" applyProtection="1">
      <alignment horizontal="center"/>
      <protection locked="0"/>
    </xf>
    <xf numFmtId="0" fontId="71" fillId="0" borderId="61" xfId="0" applyFont="1" applyBorder="1" applyAlignment="1" applyProtection="1">
      <alignment horizontal="center"/>
      <protection locked="0"/>
    </xf>
    <xf numFmtId="0" fontId="39" fillId="50" borderId="64" xfId="0" applyFont="1" applyFill="1" applyBorder="1" applyAlignment="1" applyProtection="1">
      <alignment horizontal="left" vertical="top"/>
      <protection hidden="1"/>
    </xf>
    <xf numFmtId="0" fontId="39" fillId="50" borderId="53" xfId="0" applyFont="1" applyFill="1" applyBorder="1" applyAlignment="1" applyProtection="1">
      <alignment horizontal="left" vertical="top"/>
      <protection hidden="1"/>
    </xf>
    <xf numFmtId="0" fontId="39" fillId="50" borderId="54" xfId="0" applyFont="1" applyFill="1" applyBorder="1" applyAlignment="1" applyProtection="1">
      <alignment horizontal="left" vertical="top"/>
      <protection hidden="1"/>
    </xf>
    <xf numFmtId="1" fontId="129" fillId="0" borderId="47" xfId="0" applyNumberFormat="1" applyFont="1" applyBorder="1" applyAlignment="1" applyProtection="1">
      <alignment horizontal="center"/>
      <protection locked="0"/>
    </xf>
    <xf numFmtId="0" fontId="129" fillId="0" borderId="47" xfId="0" applyFont="1" applyBorder="1" applyAlignment="1" applyProtection="1">
      <alignment horizontal="center"/>
      <protection locked="0"/>
    </xf>
    <xf numFmtId="0" fontId="129" fillId="0" borderId="61" xfId="0" applyFont="1" applyBorder="1" applyAlignment="1" applyProtection="1">
      <alignment horizontal="center"/>
      <protection locked="0"/>
    </xf>
    <xf numFmtId="0" fontId="7" fillId="54" borderId="62" xfId="0" applyFont="1" applyFill="1" applyBorder="1" applyAlignment="1" applyProtection="1">
      <alignment horizontal="center"/>
      <protection hidden="1"/>
    </xf>
    <xf numFmtId="0" fontId="7" fillId="54" borderId="48" xfId="0" applyFont="1" applyFill="1" applyBorder="1" applyAlignment="1" applyProtection="1">
      <alignment horizontal="center"/>
      <protection hidden="1"/>
    </xf>
    <xf numFmtId="0" fontId="7" fillId="54" borderId="50" xfId="0" applyFont="1" applyFill="1" applyBorder="1" applyAlignment="1" applyProtection="1">
      <alignment horizontal="center"/>
      <protection hidden="1"/>
    </xf>
    <xf numFmtId="0" fontId="7" fillId="54" borderId="47" xfId="0" applyFont="1" applyFill="1" applyBorder="1" applyAlignment="1" applyProtection="1">
      <alignment horizontal="center"/>
      <protection hidden="1"/>
    </xf>
    <xf numFmtId="0" fontId="7" fillId="54" borderId="61" xfId="0" applyFont="1" applyFill="1" applyBorder="1" applyAlignment="1" applyProtection="1">
      <alignment horizontal="center"/>
      <protection hidden="1"/>
    </xf>
    <xf numFmtId="0" fontId="38" fillId="51" borderId="72" xfId="0" applyFont="1" applyFill="1" applyBorder="1" applyAlignment="1" applyProtection="1">
      <alignment horizontal="right" vertical="center"/>
      <protection hidden="1"/>
    </xf>
    <xf numFmtId="0" fontId="38" fillId="51" borderId="68" xfId="0" applyFont="1" applyFill="1" applyBorder="1" applyAlignment="1" applyProtection="1">
      <alignment horizontal="right" vertical="center"/>
      <protection hidden="1"/>
    </xf>
    <xf numFmtId="0" fontId="38" fillId="52" borderId="68" xfId="0" applyFont="1" applyFill="1" applyBorder="1" applyAlignment="1" applyProtection="1">
      <alignment horizontal="left" vertical="center"/>
      <protection hidden="1"/>
    </xf>
    <xf numFmtId="0" fontId="38" fillId="53" borderId="68" xfId="0" applyFont="1" applyFill="1" applyBorder="1" applyAlignment="1" applyProtection="1">
      <alignment horizontal="center"/>
      <protection hidden="1"/>
    </xf>
    <xf numFmtId="0" fontId="38" fillId="0" borderId="68" xfId="0" applyFont="1" applyBorder="1" applyAlignment="1" applyProtection="1">
      <alignment horizontal="left" vertical="center"/>
      <protection locked="0"/>
    </xf>
    <xf numFmtId="0" fontId="38" fillId="0" borderId="69" xfId="0" applyFont="1" applyBorder="1" applyAlignment="1" applyProtection="1">
      <alignment horizontal="left" vertical="center"/>
      <protection locked="0"/>
    </xf>
    <xf numFmtId="0" fontId="7" fillId="54" borderId="55" xfId="0" applyFont="1" applyFill="1" applyBorder="1" applyAlignment="1" applyProtection="1">
      <alignment horizontal="center"/>
      <protection hidden="1"/>
    </xf>
    <xf numFmtId="0" fontId="7" fillId="54" borderId="56" xfId="0" applyFont="1" applyFill="1" applyBorder="1" applyAlignment="1" applyProtection="1">
      <alignment horizontal="center"/>
      <protection hidden="1"/>
    </xf>
    <xf numFmtId="0" fontId="7" fillId="54" borderId="57" xfId="0" applyFont="1" applyFill="1" applyBorder="1" applyAlignment="1" applyProtection="1">
      <alignment horizontal="center"/>
      <protection hidden="1"/>
    </xf>
    <xf numFmtId="0" fontId="7" fillId="54" borderId="58" xfId="0" applyFont="1" applyFill="1" applyBorder="1" applyAlignment="1" applyProtection="1">
      <alignment horizontal="center"/>
      <protection hidden="1"/>
    </xf>
    <xf numFmtId="0" fontId="7" fillId="54" borderId="59" xfId="0" applyFont="1" applyFill="1" applyBorder="1" applyAlignment="1" applyProtection="1">
      <alignment horizontal="center"/>
      <protection hidden="1"/>
    </xf>
    <xf numFmtId="0" fontId="39" fillId="50" borderId="60" xfId="0" applyFont="1" applyFill="1" applyBorder="1" applyAlignment="1" applyProtection="1">
      <alignment horizontal="left" vertical="top"/>
      <protection hidden="1"/>
    </xf>
    <xf numFmtId="0" fontId="39" fillId="50" borderId="0" xfId="0" applyFont="1" applyFill="1" applyBorder="1" applyAlignment="1" applyProtection="1">
      <alignment horizontal="left" vertical="top"/>
      <protection hidden="1"/>
    </xf>
    <xf numFmtId="0" fontId="128" fillId="40" borderId="0" xfId="0" applyFont="1" applyFill="1" applyAlignment="1" applyProtection="1">
      <alignment horizontal="center" vertical="center"/>
      <protection hidden="1"/>
    </xf>
    <xf numFmtId="0" fontId="128" fillId="40" borderId="0" xfId="0" applyFont="1" applyFill="1" applyBorder="1" applyAlignment="1" applyProtection="1">
      <alignment horizontal="center" vertical="center"/>
      <protection hidden="1"/>
    </xf>
    <xf numFmtId="0" fontId="38" fillId="51" borderId="70" xfId="0" applyFont="1" applyFill="1" applyBorder="1" applyAlignment="1" applyProtection="1">
      <alignment horizontal="right" vertical="center"/>
      <protection hidden="1"/>
    </xf>
    <xf numFmtId="0" fontId="38" fillId="51" borderId="58" xfId="0" applyFont="1" applyFill="1" applyBorder="1" applyAlignment="1" applyProtection="1">
      <alignment horizontal="right" vertical="center"/>
      <protection hidden="1"/>
    </xf>
    <xf numFmtId="0" fontId="38" fillId="52" borderId="58" xfId="0" applyFont="1" applyFill="1" applyBorder="1" applyAlignment="1" applyProtection="1">
      <alignment horizontal="left" vertical="center"/>
      <protection hidden="1"/>
    </xf>
    <xf numFmtId="0" fontId="38" fillId="52" borderId="59" xfId="0" applyFont="1" applyFill="1" applyBorder="1" applyAlignment="1" applyProtection="1">
      <alignment horizontal="left" vertical="center"/>
      <protection hidden="1"/>
    </xf>
    <xf numFmtId="0" fontId="38" fillId="51" borderId="71" xfId="0" applyFont="1" applyFill="1" applyBorder="1" applyAlignment="1" applyProtection="1">
      <alignment horizontal="right" vertical="center"/>
      <protection hidden="1"/>
    </xf>
    <xf numFmtId="0" fontId="38" fillId="51" borderId="47" xfId="0" applyFont="1" applyFill="1" applyBorder="1" applyAlignment="1" applyProtection="1">
      <alignment horizontal="right" vertical="center"/>
      <protection hidden="1"/>
    </xf>
    <xf numFmtId="0" fontId="38" fillId="0" borderId="47" xfId="0" applyFont="1" applyBorder="1" applyAlignment="1" applyProtection="1">
      <alignment horizontal="left" vertical="center"/>
      <protection locked="0"/>
    </xf>
    <xf numFmtId="0" fontId="38" fillId="0" borderId="61" xfId="0" applyFont="1" applyBorder="1" applyAlignment="1" applyProtection="1">
      <alignment horizontal="left" vertical="center"/>
      <protection locked="0"/>
    </xf>
    <xf numFmtId="0" fontId="7" fillId="54" borderId="49" xfId="0" applyFont="1" applyFill="1" applyBorder="1" applyAlignment="1" applyProtection="1">
      <alignment horizontal="center"/>
      <protection hidden="1"/>
    </xf>
    <xf numFmtId="0" fontId="37" fillId="66" borderId="44" xfId="0" applyFont="1" applyFill="1" applyBorder="1" applyAlignment="1" applyProtection="1">
      <alignment horizontal="center"/>
      <protection hidden="1"/>
    </xf>
    <xf numFmtId="0" fontId="37" fillId="66" borderId="45" xfId="0" applyFont="1" applyFill="1" applyBorder="1" applyAlignment="1" applyProtection="1">
      <alignment horizontal="center"/>
      <protection hidden="1"/>
    </xf>
    <xf numFmtId="0" fontId="37" fillId="66" borderId="46" xfId="0" applyFont="1" applyFill="1" applyBorder="1" applyAlignment="1" applyProtection="1">
      <alignment horizontal="center"/>
      <protection hidden="1"/>
    </xf>
    <xf numFmtId="0" fontId="39" fillId="50" borderId="65" xfId="0" applyFont="1" applyFill="1" applyBorder="1" applyAlignment="1" applyProtection="1">
      <alignment horizontal="left" vertical="top" wrapText="1"/>
      <protection hidden="1"/>
    </xf>
    <xf numFmtId="0" fontId="39" fillId="50" borderId="66" xfId="0" applyFont="1" applyFill="1" applyBorder="1" applyAlignment="1" applyProtection="1">
      <alignment horizontal="left" vertical="top" wrapText="1"/>
      <protection hidden="1"/>
    </xf>
    <xf numFmtId="0" fontId="39" fillId="50" borderId="67" xfId="0" applyFont="1" applyFill="1" applyBorder="1" applyAlignment="1" applyProtection="1">
      <alignment horizontal="left" vertical="top" wrapText="1"/>
      <protection hidden="1"/>
    </xf>
    <xf numFmtId="1" fontId="11" fillId="75" borderId="68" xfId="0" applyNumberFormat="1" applyFont="1" applyFill="1" applyBorder="1" applyAlignment="1" applyProtection="1">
      <alignment horizontal="center" vertical="center"/>
      <protection locked="0"/>
    </xf>
    <xf numFmtId="0" fontId="11" fillId="75" borderId="68" xfId="0" applyFont="1" applyFill="1" applyBorder="1" applyAlignment="1" applyProtection="1">
      <alignment horizontal="center" vertical="center"/>
      <protection locked="0"/>
    </xf>
    <xf numFmtId="0" fontId="11" fillId="75" borderId="69" xfId="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hidden="1"/>
    </xf>
    <xf numFmtId="0" fontId="81" fillId="0" borderId="0" xfId="0" applyNumberFormat="1" applyFont="1" applyAlignment="1" applyProtection="1">
      <alignment horizontal="left" vertical="top" wrapText="1"/>
      <protection hidden="1"/>
    </xf>
    <xf numFmtId="0" fontId="0" fillId="0" borderId="10" xfId="0" applyBorder="1" applyAlignment="1" applyProtection="1">
      <alignment horizontal="right" vertical="center"/>
      <protection hidden="1"/>
    </xf>
    <xf numFmtId="0" fontId="39" fillId="0" borderId="10" xfId="0" applyFont="1" applyBorder="1" applyAlignment="1" applyProtection="1">
      <alignment horizontal="left" vertical="center"/>
      <protection hidden="1"/>
    </xf>
    <xf numFmtId="0" fontId="78" fillId="0" borderId="10" xfId="0" applyFont="1" applyBorder="1" applyAlignment="1" applyProtection="1">
      <alignment horizontal="left" vertical="top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81" fillId="0" borderId="10" xfId="0" applyFont="1" applyBorder="1" applyAlignment="1" applyProtection="1">
      <alignment horizontal="left" vertical="top" wrapText="1"/>
      <protection hidden="1"/>
    </xf>
    <xf numFmtId="1" fontId="124" fillId="0" borderId="22" xfId="0" applyNumberFormat="1" applyFont="1" applyBorder="1" applyAlignment="1" applyProtection="1">
      <alignment horizontal="center" vertical="center"/>
      <protection hidden="1"/>
    </xf>
    <xf numFmtId="0" fontId="124" fillId="0" borderId="37" xfId="0" applyFont="1" applyBorder="1" applyAlignment="1" applyProtection="1">
      <alignment horizontal="center" vertical="center"/>
      <protection hidden="1"/>
    </xf>
    <xf numFmtId="0" fontId="124" fillId="0" borderId="3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127" fillId="0" borderId="0" xfId="0" applyFont="1" applyAlignment="1" applyProtection="1">
      <alignment horizontal="center"/>
      <protection hidden="1"/>
    </xf>
    <xf numFmtId="0" fontId="83" fillId="0" borderId="0" xfId="0" applyFont="1" applyBorder="1" applyAlignment="1" applyProtection="1">
      <alignment horizontal="center" vertical="center"/>
      <protection hidden="1"/>
    </xf>
    <xf numFmtId="0" fontId="1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80" fillId="0" borderId="10" xfId="0" applyFont="1" applyBorder="1" applyAlignment="1" applyProtection="1">
      <alignment horizontal="left" vertical="top"/>
      <protection hidden="1"/>
    </xf>
    <xf numFmtId="0" fontId="126" fillId="0" borderId="10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9" fillId="0" borderId="10" xfId="0" applyNumberFormat="1" applyFont="1" applyBorder="1" applyAlignment="1" applyProtection="1">
      <alignment horizontal="center" vertical="center"/>
      <protection hidden="1"/>
    </xf>
    <xf numFmtId="1" fontId="124" fillId="0" borderId="10" xfId="0" applyNumberFormat="1" applyFont="1" applyBorder="1" applyAlignment="1" applyProtection="1">
      <alignment horizontal="center" vertical="center"/>
      <protection hidden="1"/>
    </xf>
    <xf numFmtId="0" fontId="80" fillId="0" borderId="10" xfId="0" applyFont="1" applyBorder="1" applyAlignment="1" applyProtection="1">
      <alignment horizontal="left" vertical="top" wrapText="1"/>
      <protection hidden="1"/>
    </xf>
    <xf numFmtId="0" fontId="40" fillId="0" borderId="10" xfId="0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78" fillId="0" borderId="1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1" fontId="1" fillId="0" borderId="10" xfId="0" applyNumberFormat="1" applyFont="1" applyBorder="1" applyAlignment="1" applyProtection="1">
      <alignment horizontal="center" vertical="center"/>
      <protection hidden="1"/>
    </xf>
    <xf numFmtId="0" fontId="39" fillId="0" borderId="22" xfId="0" applyFont="1" applyBorder="1" applyAlignment="1" applyProtection="1">
      <alignment horizontal="center" vertical="center"/>
      <protection hidden="1"/>
    </xf>
    <xf numFmtId="0" fontId="39" fillId="0" borderId="38" xfId="0" applyFont="1" applyBorder="1" applyAlignment="1" applyProtection="1">
      <alignment horizontal="center" vertical="center"/>
      <protection hidden="1"/>
    </xf>
    <xf numFmtId="1" fontId="7" fillId="0" borderId="10" xfId="0" applyNumberFormat="1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66" fillId="0" borderId="22" xfId="0" applyFont="1" applyBorder="1" applyAlignment="1" applyProtection="1">
      <alignment horizontal="center" vertical="center"/>
      <protection hidden="1"/>
    </xf>
    <xf numFmtId="0" fontId="66" fillId="0" borderId="38" xfId="0" applyFont="1" applyBorder="1" applyAlignment="1" applyProtection="1">
      <alignment horizontal="center" vertical="center"/>
      <protection hidden="1"/>
    </xf>
    <xf numFmtId="0" fontId="205" fillId="0" borderId="0" xfId="0" applyFont="1" applyBorder="1" applyAlignment="1" applyProtection="1">
      <alignment horizontal="center" vertical="center" wrapText="1"/>
      <protection hidden="1"/>
    </xf>
    <xf numFmtId="0" fontId="207" fillId="0" borderId="0" xfId="0" applyFont="1" applyBorder="1" applyAlignment="1" applyProtection="1">
      <alignment horizontal="center" vertical="center" wrapText="1"/>
      <protection hidden="1"/>
    </xf>
    <xf numFmtId="0" fontId="206" fillId="0" borderId="0" xfId="0" applyFont="1" applyBorder="1" applyAlignment="1" applyProtection="1">
      <alignment horizontal="center" vertical="center" wrapText="1"/>
      <protection hidden="1"/>
    </xf>
    <xf numFmtId="0" fontId="197" fillId="88" borderId="116" xfId="0" applyFont="1" applyFill="1" applyBorder="1" applyAlignment="1" applyProtection="1">
      <alignment horizontal="center" vertical="center" wrapText="1"/>
      <protection hidden="1"/>
    </xf>
    <xf numFmtId="169" fontId="200" fillId="14" borderId="127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28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29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0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1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32" xfId="0" applyNumberFormat="1" applyFont="1" applyFill="1" applyBorder="1" applyAlignment="1" applyProtection="1">
      <alignment horizontal="center" vertical="center" wrapText="1"/>
      <protection hidden="1"/>
    </xf>
    <xf numFmtId="0" fontId="213" fillId="0" borderId="111" xfId="0" applyFont="1" applyBorder="1" applyAlignment="1" applyProtection="1">
      <alignment horizontal="left" vertical="center" wrapText="1"/>
      <protection hidden="1"/>
    </xf>
    <xf numFmtId="0" fontId="213" fillId="0" borderId="138" xfId="0" applyFont="1" applyBorder="1" applyAlignment="1" applyProtection="1">
      <alignment horizontal="left" vertical="center" wrapText="1"/>
      <protection hidden="1"/>
    </xf>
    <xf numFmtId="0" fontId="213" fillId="0" borderId="108" xfId="0" applyFont="1" applyBorder="1" applyAlignment="1" applyProtection="1">
      <alignment horizontal="left" vertical="center" wrapText="1"/>
      <protection hidden="1"/>
    </xf>
    <xf numFmtId="3" fontId="197" fillId="76" borderId="116" xfId="0" applyNumberFormat="1" applyFont="1" applyFill="1" applyBorder="1" applyAlignment="1" applyProtection="1">
      <alignment horizontal="center" vertical="center" wrapText="1"/>
      <protection locked="0"/>
    </xf>
    <xf numFmtId="0" fontId="197" fillId="76" borderId="116" xfId="0" applyFont="1" applyFill="1" applyBorder="1" applyAlignment="1" applyProtection="1">
      <alignment horizontal="center" vertical="center" wrapText="1"/>
      <protection locked="0"/>
    </xf>
    <xf numFmtId="0" fontId="194" fillId="0" borderId="116" xfId="0" applyFont="1" applyBorder="1" applyAlignment="1" applyProtection="1">
      <alignment horizontal="center" vertical="center" wrapText="1"/>
      <protection hidden="1"/>
    </xf>
    <xf numFmtId="0" fontId="194" fillId="0" borderId="116" xfId="0" applyFont="1" applyFill="1" applyBorder="1" applyAlignment="1" applyProtection="1">
      <alignment horizontal="center" vertical="center" wrapText="1"/>
      <protection hidden="1"/>
    </xf>
    <xf numFmtId="0" fontId="196" fillId="76" borderId="117" xfId="0" applyFont="1" applyFill="1" applyBorder="1" applyAlignment="1" applyProtection="1">
      <alignment horizontal="center" vertical="center" wrapText="1"/>
      <protection hidden="1"/>
    </xf>
    <xf numFmtId="0" fontId="196" fillId="76" borderId="118" xfId="0" applyFont="1" applyFill="1" applyBorder="1" applyAlignment="1" applyProtection="1">
      <alignment horizontal="center" vertical="center" wrapText="1"/>
      <protection hidden="1"/>
    </xf>
    <xf numFmtId="0" fontId="196" fillId="76" borderId="119" xfId="0" applyFont="1" applyFill="1" applyBorder="1" applyAlignment="1" applyProtection="1">
      <alignment horizontal="center" vertical="center" wrapText="1"/>
      <protection hidden="1"/>
    </xf>
    <xf numFmtId="0" fontId="206" fillId="0" borderId="116" xfId="0" applyFont="1" applyBorder="1" applyAlignment="1" applyProtection="1">
      <alignment horizontal="center" vertical="center" wrapText="1"/>
      <protection hidden="1"/>
    </xf>
    <xf numFmtId="0" fontId="196" fillId="76" borderId="120" xfId="0" applyFont="1" applyFill="1" applyBorder="1" applyAlignment="1" applyProtection="1">
      <alignment horizontal="center" vertical="center" wrapText="1"/>
      <protection locked="0"/>
    </xf>
    <xf numFmtId="0" fontId="196" fillId="76" borderId="121" xfId="0" applyFont="1" applyFill="1" applyBorder="1" applyAlignment="1" applyProtection="1">
      <alignment horizontal="center" vertical="center" wrapText="1"/>
      <protection locked="0"/>
    </xf>
    <xf numFmtId="0" fontId="196" fillId="76" borderId="122" xfId="0" applyFont="1" applyFill="1" applyBorder="1" applyAlignment="1" applyProtection="1">
      <alignment horizontal="center" vertical="center" wrapText="1"/>
      <protection locked="0"/>
    </xf>
    <xf numFmtId="0" fontId="195" fillId="0" borderId="116" xfId="0" applyFont="1" applyFill="1" applyBorder="1" applyAlignment="1" applyProtection="1">
      <alignment horizontal="center" vertical="center" wrapText="1"/>
      <protection hidden="1"/>
    </xf>
    <xf numFmtId="0" fontId="148" fillId="0" borderId="116" xfId="0" applyFont="1" applyBorder="1" applyAlignment="1" applyProtection="1">
      <alignment horizontal="center" vertical="center" wrapText="1"/>
      <protection hidden="1"/>
    </xf>
    <xf numFmtId="0" fontId="199" fillId="0" borderId="116" xfId="0" applyFont="1" applyFill="1" applyBorder="1" applyAlignment="1" applyProtection="1">
      <alignment horizontal="center" vertical="center" wrapText="1"/>
      <protection hidden="1"/>
    </xf>
    <xf numFmtId="0" fontId="195" fillId="0" borderId="116" xfId="0" applyFont="1" applyBorder="1" applyAlignment="1" applyProtection="1">
      <alignment horizontal="center" vertical="center" wrapText="1"/>
      <protection hidden="1"/>
    </xf>
    <xf numFmtId="49" fontId="198" fillId="0" borderId="116" xfId="0" applyNumberFormat="1" applyFont="1" applyFill="1" applyBorder="1" applyAlignment="1" applyProtection="1">
      <alignment horizontal="center" vertical="center" wrapText="1"/>
      <protection locked="0"/>
    </xf>
    <xf numFmtId="168" fontId="195" fillId="0" borderId="116" xfId="0" applyNumberFormat="1" applyFont="1" applyBorder="1" applyAlignment="1" applyProtection="1">
      <alignment horizontal="center" vertical="center" wrapText="1"/>
      <protection hidden="1"/>
    </xf>
    <xf numFmtId="0" fontId="194" fillId="86" borderId="116" xfId="0" applyFont="1" applyFill="1" applyBorder="1" applyAlignment="1" applyProtection="1">
      <alignment horizontal="center" vertical="center" wrapText="1"/>
      <protection locked="0"/>
    </xf>
    <xf numFmtId="49" fontId="197" fillId="0" borderId="116" xfId="0" applyNumberFormat="1" applyFont="1" applyBorder="1" applyAlignment="1" applyProtection="1">
      <alignment horizontal="center" vertical="center" wrapText="1"/>
      <protection locked="0"/>
    </xf>
    <xf numFmtId="49" fontId="194" fillId="0" borderId="116" xfId="0" applyNumberFormat="1" applyFont="1" applyBorder="1" applyAlignment="1" applyProtection="1">
      <alignment horizontal="center" vertical="center" wrapText="1"/>
      <protection locked="0"/>
    </xf>
    <xf numFmtId="168" fontId="194" fillId="0" borderId="116" xfId="0" applyNumberFormat="1" applyFont="1" applyBorder="1" applyAlignment="1" applyProtection="1">
      <alignment horizontal="center" vertical="center" wrapText="1"/>
      <protection hidden="1"/>
    </xf>
    <xf numFmtId="168" fontId="198" fillId="0" borderId="103" xfId="0" applyNumberFormat="1" applyFont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locked="0"/>
    </xf>
    <xf numFmtId="0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197" fillId="0" borderId="117" xfId="0" applyFont="1" applyFill="1" applyBorder="1" applyAlignment="1" applyProtection="1">
      <alignment horizontal="center" vertical="center" wrapText="1"/>
      <protection hidden="1"/>
    </xf>
    <xf numFmtId="0" fontId="197" fillId="0" borderId="118" xfId="0" applyFont="1" applyFill="1" applyBorder="1" applyAlignment="1" applyProtection="1">
      <alignment horizontal="center" vertical="center" wrapText="1"/>
      <protection hidden="1"/>
    </xf>
    <xf numFmtId="0" fontId="197" fillId="0" borderId="119" xfId="0" applyFont="1" applyFill="1" applyBorder="1" applyAlignment="1" applyProtection="1">
      <alignment horizontal="center" vertical="center" wrapText="1"/>
      <protection hidden="1"/>
    </xf>
    <xf numFmtId="0" fontId="197" fillId="0" borderId="123" xfId="0" applyFont="1" applyFill="1" applyBorder="1" applyAlignment="1" applyProtection="1">
      <alignment horizontal="center" vertical="center" wrapText="1"/>
      <protection hidden="1"/>
    </xf>
    <xf numFmtId="0" fontId="197" fillId="0" borderId="0" xfId="0" applyFont="1" applyFill="1" applyBorder="1" applyAlignment="1" applyProtection="1">
      <alignment horizontal="center" vertical="center" wrapText="1"/>
      <protection hidden="1"/>
    </xf>
    <xf numFmtId="0" fontId="197" fillId="0" borderId="124" xfId="0" applyFont="1" applyFill="1" applyBorder="1" applyAlignment="1" applyProtection="1">
      <alignment horizontal="center" vertical="center" wrapText="1"/>
      <protection hidden="1"/>
    </xf>
    <xf numFmtId="0" fontId="196" fillId="88" borderId="103" xfId="0" applyFont="1" applyFill="1" applyBorder="1" applyAlignment="1" applyProtection="1">
      <alignment horizontal="center" vertical="center" wrapText="1"/>
      <protection hidden="1"/>
    </xf>
    <xf numFmtId="0" fontId="194" fillId="88" borderId="103" xfId="0" applyFont="1" applyFill="1" applyBorder="1" applyAlignment="1" applyProtection="1">
      <alignment horizontal="center" vertical="center" wrapText="1"/>
      <protection hidden="1"/>
    </xf>
    <xf numFmtId="49" fontId="198" fillId="0" borderId="103" xfId="0" applyNumberFormat="1" applyFont="1" applyBorder="1" applyAlignment="1" applyProtection="1">
      <alignment horizontal="center" vertical="center" wrapText="1"/>
      <protection hidden="1"/>
    </xf>
    <xf numFmtId="0" fontId="200" fillId="88" borderId="125" xfId="0" applyFont="1" applyFill="1" applyBorder="1" applyAlignment="1" applyProtection="1">
      <alignment horizontal="center"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locked="0"/>
    </xf>
    <xf numFmtId="49" fontId="198" fillId="0" borderId="125" xfId="0" applyNumberFormat="1" applyFont="1" applyBorder="1" applyAlignment="1" applyProtection="1">
      <alignment horizontal="center" vertical="center" wrapText="1"/>
      <protection locked="0"/>
    </xf>
    <xf numFmtId="0" fontId="0" fillId="0" borderId="125" xfId="0" applyBorder="1" applyAlignment="1" applyProtection="1">
      <alignment horizontal="center"/>
      <protection locked="0"/>
    </xf>
    <xf numFmtId="49" fontId="203" fillId="0" borderId="125" xfId="0" applyNumberFormat="1" applyFont="1" applyBorder="1" applyAlignment="1" applyProtection="1">
      <alignment horizontal="center"/>
      <protection locked="0"/>
    </xf>
    <xf numFmtId="0" fontId="0" fillId="0" borderId="125" xfId="0" applyBorder="1" applyAlignment="1" applyProtection="1">
      <alignment horizontal="center"/>
      <protection hidden="1"/>
    </xf>
    <xf numFmtId="168" fontId="196" fillId="0" borderId="103" xfId="0" applyNumberFormat="1" applyFont="1" applyBorder="1" applyAlignment="1" applyProtection="1">
      <alignment horizontal="center" vertical="center" wrapText="1"/>
      <protection hidden="1"/>
    </xf>
    <xf numFmtId="0" fontId="196" fillId="0" borderId="103" xfId="0" applyFont="1" applyBorder="1" applyAlignment="1" applyProtection="1">
      <alignment horizontal="center" vertical="center" wrapText="1"/>
      <protection hidden="1"/>
    </xf>
    <xf numFmtId="0" fontId="194" fillId="0" borderId="103" xfId="0" applyFont="1" applyFill="1" applyBorder="1" applyAlignment="1" applyProtection="1">
      <alignment horizontal="center" vertical="center" wrapText="1"/>
      <protection hidden="1"/>
    </xf>
    <xf numFmtId="0" fontId="200" fillId="0" borderId="126" xfId="0" applyFont="1" applyFill="1" applyBorder="1" applyAlignment="1" applyProtection="1">
      <alignment horizontal="center" vertical="center" wrapText="1"/>
      <protection hidden="1"/>
    </xf>
    <xf numFmtId="0" fontId="196" fillId="88" borderId="125" xfId="0" applyFont="1" applyFill="1" applyBorder="1" applyAlignment="1" applyProtection="1">
      <alignment horizontal="center" vertical="center" wrapText="1"/>
      <protection hidden="1"/>
    </xf>
    <xf numFmtId="0" fontId="198" fillId="0" borderId="125" xfId="0" applyFont="1" applyBorder="1" applyAlignment="1" applyProtection="1">
      <alignment horizontal="center" vertical="center" wrapText="1"/>
      <protection hidden="1"/>
    </xf>
    <xf numFmtId="49" fontId="198" fillId="0" borderId="125" xfId="0" applyNumberFormat="1" applyFont="1" applyBorder="1" applyAlignment="1" applyProtection="1">
      <alignment horizontal="center" vertical="center" wrapText="1"/>
      <protection hidden="1"/>
    </xf>
    <xf numFmtId="49" fontId="203" fillId="0" borderId="125" xfId="0" applyNumberFormat="1" applyFont="1" applyBorder="1" applyAlignment="1" applyProtection="1">
      <alignment horizontal="center"/>
      <protection hidden="1"/>
    </xf>
    <xf numFmtId="0" fontId="196" fillId="0" borderId="0" xfId="0" applyFont="1" applyBorder="1" applyAlignment="1" applyProtection="1">
      <alignment horizontal="center" vertical="center" wrapText="1"/>
      <protection hidden="1"/>
    </xf>
    <xf numFmtId="0" fontId="148" fillId="0" borderId="0" xfId="0" applyFont="1" applyBorder="1" applyAlignment="1" applyProtection="1">
      <alignment horizontal="center" wrapText="1"/>
      <protection hidden="1"/>
    </xf>
    <xf numFmtId="0" fontId="195" fillId="0" borderId="0" xfId="0" applyFont="1" applyBorder="1" applyAlignment="1" applyProtection="1">
      <alignment horizontal="center" vertical="center" wrapText="1"/>
      <protection hidden="1"/>
    </xf>
    <xf numFmtId="0" fontId="195" fillId="86" borderId="0" xfId="0" applyFont="1" applyFill="1" applyBorder="1" applyAlignment="1" applyProtection="1">
      <alignment horizontal="center" vertical="center" wrapText="1"/>
      <protection locked="0"/>
    </xf>
    <xf numFmtId="0" fontId="211" fillId="0" borderId="0" xfId="0" applyFont="1" applyFill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center" vertical="center" wrapText="1"/>
      <protection hidden="1"/>
    </xf>
    <xf numFmtId="0" fontId="130" fillId="0" borderId="0" xfId="0" applyFont="1" applyFill="1" applyBorder="1" applyAlignment="1" applyProtection="1">
      <alignment horizontal="left" vertical="center" wrapText="1"/>
      <protection hidden="1"/>
    </xf>
    <xf numFmtId="0" fontId="196" fillId="0" borderId="125" xfId="0" applyFont="1" applyBorder="1" applyAlignment="1" applyProtection="1">
      <alignment horizontal="center" vertical="center" wrapText="1"/>
      <protection hidden="1"/>
    </xf>
    <xf numFmtId="0" fontId="175" fillId="0" borderId="0" xfId="0" applyFont="1" applyBorder="1" applyAlignment="1" applyProtection="1">
      <alignment horizontal="center" vertical="center" wrapText="1"/>
      <protection hidden="1"/>
    </xf>
    <xf numFmtId="14" fontId="194" fillId="41" borderId="0" xfId="0" applyNumberFormat="1" applyFont="1" applyFill="1" applyBorder="1" applyAlignment="1" applyProtection="1">
      <alignment horizontal="center" vertical="center" wrapText="1"/>
      <protection locked="0"/>
    </xf>
    <xf numFmtId="0" fontId="212" fillId="0" borderId="0" xfId="0" applyFont="1" applyBorder="1" applyAlignment="1" applyProtection="1">
      <alignment horizontal="center" vertical="center" wrapText="1"/>
      <protection hidden="1"/>
    </xf>
    <xf numFmtId="0" fontId="194" fillId="0" borderId="0" xfId="0" applyFont="1" applyBorder="1" applyAlignment="1" applyProtection="1">
      <alignment horizontal="center" vertical="center" wrapText="1"/>
      <protection hidden="1"/>
    </xf>
    <xf numFmtId="0" fontId="195" fillId="0" borderId="0" xfId="0" applyFont="1" applyBorder="1" applyAlignment="1" applyProtection="1">
      <alignment horizontal="left" vertical="center" wrapText="1"/>
      <protection hidden="1"/>
    </xf>
    <xf numFmtId="0" fontId="130" fillId="0" borderId="0" xfId="0" applyFont="1" applyFill="1" applyBorder="1" applyAlignment="1" applyProtection="1">
      <alignment horizontal="center" vertical="center" wrapText="1"/>
      <protection hidden="1"/>
    </xf>
    <xf numFmtId="0" fontId="211" fillId="0" borderId="0" xfId="0" applyFont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justify" vertical="center" wrapText="1"/>
      <protection hidden="1"/>
    </xf>
    <xf numFmtId="0" fontId="194" fillId="0" borderId="0" xfId="0" applyFont="1" applyFill="1" applyBorder="1" applyAlignment="1" applyProtection="1">
      <alignment horizontal="center" vertical="center" wrapText="1"/>
      <protection locked="0"/>
    </xf>
    <xf numFmtId="0" fontId="208" fillId="0" borderId="0" xfId="0" applyFont="1" applyBorder="1" applyAlignment="1" applyProtection="1">
      <alignment horizontal="center" vertical="center" wrapText="1"/>
      <protection hidden="1"/>
    </xf>
    <xf numFmtId="0" fontId="194" fillId="0" borderId="107" xfId="0" applyFont="1" applyFill="1" applyBorder="1" applyAlignment="1" applyProtection="1">
      <alignment horizontal="center" vertical="center" wrapText="1"/>
      <protection hidden="1"/>
    </xf>
    <xf numFmtId="0" fontId="194" fillId="0" borderId="107" xfId="0" applyFont="1" applyBorder="1" applyAlignment="1" applyProtection="1">
      <alignment horizontal="left" vertical="center" wrapText="1"/>
      <protection hidden="1"/>
    </xf>
    <xf numFmtId="169" fontId="194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200" fillId="14" borderId="107" xfId="0" applyNumberFormat="1" applyFont="1" applyFill="1" applyBorder="1" applyAlignment="1" applyProtection="1">
      <alignment horizontal="right" vertical="center" wrapText="1"/>
      <protection hidden="1"/>
    </xf>
    <xf numFmtId="169" fontId="175" fillId="14" borderId="107" xfId="0" applyNumberFormat="1" applyFont="1" applyFill="1" applyBorder="1" applyAlignment="1" applyProtection="1">
      <alignment horizontal="right" vertical="center" wrapText="1"/>
      <protection hidden="1"/>
    </xf>
    <xf numFmtId="0" fontId="213" fillId="0" borderId="107" xfId="0" applyFont="1" applyBorder="1" applyAlignment="1" applyProtection="1">
      <alignment horizontal="left" vertical="center" wrapText="1"/>
      <protection hidden="1"/>
    </xf>
    <xf numFmtId="169" fontId="199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199" fillId="0" borderId="107" xfId="0" applyNumberFormat="1" applyFont="1" applyFill="1" applyBorder="1" applyAlignment="1" applyProtection="1">
      <alignment horizontal="right" vertical="center" wrapText="1"/>
      <protection locked="0"/>
    </xf>
    <xf numFmtId="169" fontId="200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199" fillId="87" borderId="107" xfId="0" applyNumberFormat="1" applyFont="1" applyFill="1" applyBorder="1" applyAlignment="1" applyProtection="1">
      <alignment horizontal="right" vertical="center" wrapText="1"/>
      <protection locked="0"/>
    </xf>
    <xf numFmtId="0" fontId="197" fillId="0" borderId="107" xfId="0" applyFont="1" applyBorder="1" applyAlignment="1" applyProtection="1">
      <alignment horizontal="left" vertical="center" wrapText="1"/>
      <protection hidden="1"/>
    </xf>
    <xf numFmtId="169" fontId="200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199" fillId="14" borderId="107" xfId="0" applyNumberFormat="1" applyFont="1" applyFill="1" applyBorder="1" applyAlignment="1" applyProtection="1">
      <alignment horizontal="right" vertical="center" wrapText="1"/>
      <protection hidden="1"/>
    </xf>
    <xf numFmtId="0" fontId="214" fillId="0" borderId="107" xfId="0" applyFont="1" applyBorder="1" applyAlignment="1" applyProtection="1">
      <alignment horizontal="center" vertical="center" wrapText="1"/>
      <protection hidden="1"/>
    </xf>
    <xf numFmtId="0" fontId="195" fillId="0" borderId="107" xfId="0" applyFont="1" applyBorder="1" applyAlignment="1" applyProtection="1">
      <alignment horizontal="right" vertical="center" wrapText="1"/>
      <protection hidden="1"/>
    </xf>
    <xf numFmtId="169" fontId="199" fillId="14" borderId="107" xfId="0" applyNumberFormat="1" applyFont="1" applyFill="1" applyBorder="1" applyAlignment="1" applyProtection="1">
      <alignment horizontal="center" vertical="center" wrapText="1"/>
      <protection hidden="1"/>
    </xf>
    <xf numFmtId="169" fontId="199" fillId="87" borderId="107" xfId="0" applyNumberFormat="1" applyFont="1" applyFill="1" applyBorder="1" applyAlignment="1" applyProtection="1">
      <alignment horizontal="right" vertical="center" wrapText="1"/>
      <protection hidden="1"/>
    </xf>
    <xf numFmtId="0" fontId="215" fillId="0" borderId="107" xfId="0" applyFont="1" applyBorder="1" applyAlignment="1" applyProtection="1">
      <alignment horizontal="left" vertical="center" wrapText="1"/>
      <protection hidden="1"/>
    </xf>
    <xf numFmtId="169" fontId="194" fillId="0" borderId="107" xfId="0" applyNumberFormat="1" applyFont="1" applyFill="1" applyBorder="1" applyAlignment="1" applyProtection="1">
      <alignment horizontal="right" vertical="center" wrapText="1"/>
      <protection hidden="1"/>
    </xf>
    <xf numFmtId="0" fontId="211" fillId="0" borderId="107" xfId="0" applyFont="1" applyFill="1" applyBorder="1" applyAlignment="1" applyProtection="1">
      <alignment horizontal="left" vertical="center" wrapText="1"/>
      <protection hidden="1"/>
    </xf>
    <xf numFmtId="0" fontId="148" fillId="88" borderId="107" xfId="0" applyFont="1" applyFill="1" applyBorder="1" applyAlignment="1" applyProtection="1">
      <alignment horizontal="left" vertical="center" wrapText="1"/>
      <protection hidden="1"/>
    </xf>
    <xf numFmtId="0" fontId="148" fillId="88" borderId="107" xfId="0" applyFont="1" applyFill="1" applyBorder="1" applyAlignment="1" applyProtection="1">
      <alignment horizontal="center" vertical="center" wrapText="1"/>
      <protection hidden="1"/>
    </xf>
    <xf numFmtId="0" fontId="194" fillId="88" borderId="107" xfId="0" applyFont="1" applyFill="1" applyBorder="1" applyAlignment="1" applyProtection="1">
      <alignment horizontal="center" vertical="center" wrapText="1"/>
      <protection hidden="1"/>
    </xf>
    <xf numFmtId="0" fontId="211" fillId="0" borderId="107" xfId="0" applyFont="1" applyBorder="1" applyAlignment="1" applyProtection="1">
      <alignment horizontal="center" vertical="center" wrapText="1"/>
      <protection hidden="1"/>
    </xf>
    <xf numFmtId="0" fontId="213" fillId="0" borderId="107" xfId="0" applyFont="1" applyBorder="1" applyAlignment="1" applyProtection="1">
      <alignment horizontal="center" vertical="center" wrapText="1"/>
      <protection hidden="1"/>
    </xf>
    <xf numFmtId="0" fontId="0" fillId="0" borderId="107" xfId="0" applyBorder="1" applyAlignment="1" applyProtection="1">
      <alignment horizontal="center" vertical="center"/>
      <protection hidden="1"/>
    </xf>
    <xf numFmtId="0" fontId="199" fillId="0" borderId="107" xfId="0" applyFont="1" applyBorder="1" applyAlignment="1" applyProtection="1">
      <alignment horizontal="center" vertical="center" wrapText="1"/>
      <protection hidden="1"/>
    </xf>
    <xf numFmtId="0" fontId="216" fillId="0" borderId="107" xfId="0" applyFont="1" applyBorder="1" applyAlignment="1" applyProtection="1">
      <alignment horizontal="left" vertical="center"/>
      <protection hidden="1"/>
    </xf>
    <xf numFmtId="169" fontId="198" fillId="0" borderId="107" xfId="0" applyNumberFormat="1" applyFont="1" applyFill="1" applyBorder="1" applyAlignment="1" applyProtection="1">
      <alignment horizontal="center" vertical="center" wrapText="1"/>
      <protection hidden="1"/>
    </xf>
    <xf numFmtId="0" fontId="241" fillId="0" borderId="107" xfId="0" applyFont="1" applyBorder="1" applyAlignment="1" applyProtection="1">
      <alignment horizontal="left" vertical="center"/>
      <protection hidden="1"/>
    </xf>
    <xf numFmtId="169" fontId="199" fillId="41" borderId="107" xfId="0" applyNumberFormat="1" applyFont="1" applyFill="1" applyBorder="1" applyAlignment="1" applyProtection="1">
      <alignment horizontal="center" vertical="center" wrapText="1"/>
      <protection hidden="1"/>
    </xf>
    <xf numFmtId="0" fontId="127" fillId="0" borderId="107" xfId="0" applyFont="1" applyBorder="1" applyAlignment="1" applyProtection="1">
      <alignment horizontal="center" vertical="center"/>
      <protection hidden="1"/>
    </xf>
    <xf numFmtId="169" fontId="196" fillId="0" borderId="107" xfId="0" applyNumberFormat="1" applyFont="1" applyFill="1" applyBorder="1" applyAlignment="1" applyProtection="1">
      <alignment horizontal="right" vertical="center" wrapText="1"/>
      <protection hidden="1"/>
    </xf>
    <xf numFmtId="169" fontId="200" fillId="0" borderId="107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7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8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29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0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1" xfId="0" applyNumberFormat="1" applyFont="1" applyFill="1" applyBorder="1" applyAlignment="1" applyProtection="1">
      <alignment horizontal="center" vertical="center" wrapText="1"/>
      <protection hidden="1"/>
    </xf>
    <xf numFmtId="169" fontId="108" fillId="41" borderId="132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7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8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29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0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1" xfId="0" applyNumberFormat="1" applyFont="1" applyFill="1" applyBorder="1" applyAlignment="1" applyProtection="1">
      <alignment horizontal="center" vertical="center" wrapText="1"/>
      <protection hidden="1"/>
    </xf>
    <xf numFmtId="169" fontId="198" fillId="41" borderId="132" xfId="0" applyNumberFormat="1" applyFont="1" applyFill="1" applyBorder="1" applyAlignment="1" applyProtection="1">
      <alignment horizontal="center" vertical="center" wrapText="1"/>
      <protection hidden="1"/>
    </xf>
    <xf numFmtId="169" fontId="175" fillId="14" borderId="116" xfId="0" applyNumberFormat="1" applyFont="1" applyFill="1" applyBorder="1" applyAlignment="1" applyProtection="1">
      <alignment horizontal="center" vertical="center" wrapText="1"/>
      <protection hidden="1"/>
    </xf>
    <xf numFmtId="0" fontId="197" fillId="0" borderId="116" xfId="0" applyFont="1" applyBorder="1" applyAlignment="1" applyProtection="1">
      <alignment horizontal="center" vertical="center" wrapText="1"/>
      <protection hidden="1"/>
    </xf>
    <xf numFmtId="169" fontId="199" fillId="0" borderId="116" xfId="0" applyNumberFormat="1" applyFont="1" applyFill="1" applyBorder="1" applyAlignment="1" applyProtection="1">
      <alignment horizontal="center" vertical="center" wrapText="1"/>
      <protection hidden="1"/>
    </xf>
    <xf numFmtId="169" fontId="200" fillId="0" borderId="116" xfId="0" applyNumberFormat="1" applyFont="1" applyFill="1" applyBorder="1" applyAlignment="1" applyProtection="1">
      <alignment horizontal="center" vertical="center" wrapText="1"/>
      <protection hidden="1"/>
    </xf>
    <xf numFmtId="0" fontId="217" fillId="88" borderId="116" xfId="0" applyFont="1" applyFill="1" applyBorder="1" applyAlignment="1" applyProtection="1">
      <alignment horizontal="left" vertical="center" wrapText="1"/>
      <protection hidden="1"/>
    </xf>
    <xf numFmtId="0" fontId="200" fillId="88" borderId="116" xfId="0" applyFont="1" applyFill="1" applyBorder="1" applyAlignment="1" applyProtection="1">
      <alignment horizontal="center" vertical="center" wrapText="1"/>
      <protection hidden="1"/>
    </xf>
    <xf numFmtId="169" fontId="199" fillId="0" borderId="133" xfId="0" applyNumberFormat="1" applyFont="1" applyFill="1" applyBorder="1" applyAlignment="1" applyProtection="1">
      <alignment horizontal="center" vertical="center" wrapText="1"/>
      <protection hidden="1"/>
    </xf>
    <xf numFmtId="169" fontId="199" fillId="0" borderId="135" xfId="0" applyNumberFormat="1" applyFont="1" applyFill="1" applyBorder="1" applyAlignment="1" applyProtection="1">
      <alignment horizontal="center" vertical="center" wrapText="1"/>
      <protection hidden="1"/>
    </xf>
    <xf numFmtId="169" fontId="199" fillId="50" borderId="116" xfId="0" applyNumberFormat="1" applyFont="1" applyFill="1" applyBorder="1" applyAlignment="1" applyProtection="1">
      <alignment horizontal="center" vertical="center" wrapText="1"/>
      <protection locked="0"/>
    </xf>
    <xf numFmtId="169" fontId="199" fillId="50" borderId="116" xfId="0" applyNumberFormat="1" applyFont="1" applyFill="1" applyBorder="1" applyAlignment="1" applyProtection="1">
      <alignment horizontal="center" vertical="center" wrapText="1"/>
      <protection hidden="1"/>
    </xf>
    <xf numFmtId="169" fontId="194" fillId="0" borderId="116" xfId="0" applyNumberFormat="1" applyFont="1" applyFill="1" applyBorder="1" applyAlignment="1" applyProtection="1">
      <alignment horizontal="right" vertical="center" wrapText="1"/>
      <protection hidden="1"/>
    </xf>
    <xf numFmtId="0" fontId="200" fillId="0" borderId="137" xfId="0" applyFont="1" applyBorder="1" applyAlignment="1" applyProtection="1">
      <alignment horizontal="left" vertical="center" wrapText="1"/>
      <protection hidden="1"/>
    </xf>
    <xf numFmtId="169" fontId="200" fillId="14" borderId="116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33" xfId="0" applyFont="1" applyBorder="1" applyAlignment="1" applyProtection="1">
      <alignment horizontal="left" vertical="center" wrapText="1"/>
      <protection hidden="1"/>
    </xf>
    <xf numFmtId="0" fontId="194" fillId="0" borderId="134" xfId="0" applyFont="1" applyBorder="1" applyAlignment="1" applyProtection="1">
      <alignment horizontal="left" vertical="center" wrapText="1"/>
      <protection hidden="1"/>
    </xf>
    <xf numFmtId="0" fontId="195" fillId="0" borderId="134" xfId="0" applyFont="1" applyBorder="1" applyAlignment="1" applyProtection="1">
      <alignment horizontal="center" vertical="center" wrapText="1"/>
      <protection hidden="1"/>
    </xf>
    <xf numFmtId="0" fontId="195" fillId="0" borderId="135" xfId="0" applyFont="1" applyBorder="1" applyAlignment="1" applyProtection="1">
      <alignment horizontal="center" vertical="center" wrapText="1"/>
      <protection hidden="1"/>
    </xf>
    <xf numFmtId="169" fontId="200" fillId="14" borderId="135" xfId="0" applyNumberFormat="1" applyFont="1" applyFill="1" applyBorder="1" applyAlignment="1" applyProtection="1">
      <alignment horizontal="center" vertical="center" wrapText="1"/>
      <protection hidden="1"/>
    </xf>
    <xf numFmtId="0" fontId="194" fillId="41" borderId="133" xfId="0" applyFont="1" applyFill="1" applyBorder="1" applyAlignment="1" applyProtection="1">
      <alignment horizontal="left" vertical="center" wrapText="1"/>
      <protection hidden="1"/>
    </xf>
    <xf numFmtId="0" fontId="194" fillId="41" borderId="134" xfId="0" applyFont="1" applyFill="1" applyBorder="1" applyAlignment="1" applyProtection="1">
      <alignment horizontal="left" vertical="center" wrapText="1"/>
      <protection hidden="1"/>
    </xf>
    <xf numFmtId="169" fontId="200" fillId="0" borderId="135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36" xfId="0" applyFont="1" applyBorder="1" applyAlignment="1" applyProtection="1">
      <alignment horizontal="left" vertical="center" wrapText="1"/>
      <protection hidden="1"/>
    </xf>
    <xf numFmtId="169" fontId="200" fillId="14" borderId="136" xfId="0" applyNumberFormat="1" applyFont="1" applyFill="1" applyBorder="1" applyAlignment="1" applyProtection="1">
      <alignment horizontal="center" vertical="center" wrapText="1"/>
      <protection hidden="1"/>
    </xf>
    <xf numFmtId="0" fontId="194" fillId="0" borderId="123" xfId="0" applyFont="1" applyBorder="1" applyAlignment="1" applyProtection="1">
      <alignment horizontal="left" vertical="center" wrapText="1"/>
      <protection hidden="1"/>
    </xf>
    <xf numFmtId="0" fontId="194" fillId="0" borderId="0" xfId="0" applyFont="1" applyBorder="1" applyAlignment="1" applyProtection="1">
      <alignment horizontal="left" vertical="center" wrapText="1"/>
      <protection hidden="1"/>
    </xf>
    <xf numFmtId="0" fontId="194" fillId="0" borderId="118" xfId="0" applyFont="1" applyBorder="1" applyAlignment="1" applyProtection="1">
      <alignment horizontal="left" vertical="center" wrapText="1"/>
      <protection hidden="1"/>
    </xf>
    <xf numFmtId="0" fontId="194" fillId="0" borderId="135" xfId="0" applyFont="1" applyBorder="1" applyAlignment="1" applyProtection="1">
      <alignment horizontal="left" vertical="center" wrapText="1"/>
      <protection hidden="1"/>
    </xf>
    <xf numFmtId="0" fontId="195" fillId="0" borderId="116" xfId="0" applyFont="1" applyBorder="1" applyAlignment="1" applyProtection="1">
      <alignment horizontal="left" vertical="center" wrapText="1"/>
      <protection hidden="1"/>
    </xf>
    <xf numFmtId="0" fontId="194" fillId="0" borderId="116" xfId="0" applyFont="1" applyBorder="1" applyAlignment="1" applyProtection="1">
      <alignment horizontal="left" vertical="center" wrapText="1"/>
      <protection hidden="1"/>
    </xf>
    <xf numFmtId="0" fontId="211" fillId="0" borderId="0" xfId="0" applyFont="1" applyBorder="1" applyAlignment="1" applyProtection="1">
      <alignment horizontal="center" wrapText="1"/>
      <protection hidden="1"/>
    </xf>
    <xf numFmtId="0" fontId="199" fillId="0" borderId="0" xfId="0" applyFont="1" applyBorder="1" applyAlignment="1" applyProtection="1">
      <alignment horizontal="center" vertical="center" wrapText="1"/>
      <protection hidden="1"/>
    </xf>
    <xf numFmtId="0" fontId="211" fillId="0" borderId="0" xfId="0" applyFont="1" applyFill="1" applyBorder="1" applyAlignment="1" applyProtection="1">
      <alignment horizontal="center" vertical="center" wrapText="1"/>
      <protection hidden="1"/>
    </xf>
    <xf numFmtId="0" fontId="200" fillId="0" borderId="116" xfId="0" applyFont="1" applyFill="1" applyBorder="1" applyAlignment="1" applyProtection="1">
      <alignment horizontal="center" vertical="center" wrapText="1"/>
      <protection hidden="1"/>
    </xf>
    <xf numFmtId="0" fontId="218" fillId="0" borderId="118" xfId="0" applyFont="1" applyBorder="1" applyAlignment="1" applyProtection="1">
      <alignment horizontal="center" vertical="center" wrapText="1"/>
      <protection hidden="1"/>
    </xf>
    <xf numFmtId="0" fontId="199" fillId="0" borderId="0" xfId="0" applyFont="1" applyFill="1" applyBorder="1" applyAlignment="1" applyProtection="1">
      <alignment horizontal="left" vertical="center" wrapText="1"/>
      <protection hidden="1"/>
    </xf>
    <xf numFmtId="0" fontId="211" fillId="0" borderId="0" xfId="0" applyFont="1" applyFill="1" applyBorder="1" applyAlignment="1" applyProtection="1">
      <alignment horizontal="center" wrapText="1"/>
      <protection hidden="1"/>
    </xf>
    <xf numFmtId="0" fontId="116" fillId="0" borderId="133" xfId="4" applyFont="1" applyBorder="1" applyAlignment="1" applyProtection="1">
      <alignment horizontal="center" vertical="center"/>
      <protection hidden="1"/>
    </xf>
    <xf numFmtId="0" fontId="116" fillId="0" borderId="134" xfId="4" applyFont="1" applyBorder="1" applyAlignment="1" applyProtection="1">
      <alignment horizontal="center" vertical="center"/>
      <protection hidden="1"/>
    </xf>
    <xf numFmtId="0" fontId="116" fillId="0" borderId="135" xfId="4" applyFont="1" applyBorder="1" applyAlignment="1" applyProtection="1">
      <alignment horizontal="center" vertical="center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130" fillId="0" borderId="0" xfId="0" applyFont="1" applyBorder="1" applyAlignment="1" applyProtection="1">
      <alignment horizontal="left" vertical="center" wrapText="1"/>
      <protection hidden="1"/>
    </xf>
    <xf numFmtId="0" fontId="194" fillId="41" borderId="0" xfId="0" applyFont="1" applyFill="1" applyBorder="1" applyAlignment="1" applyProtection="1">
      <alignment horizontal="center" vertical="center" wrapText="1"/>
      <protection locked="0"/>
    </xf>
    <xf numFmtId="0" fontId="212" fillId="0" borderId="0" xfId="0" applyFont="1" applyBorder="1" applyAlignment="1" applyProtection="1">
      <alignment horizontal="right" vertical="center" wrapText="1"/>
      <protection hidden="1"/>
    </xf>
    <xf numFmtId="0" fontId="244" fillId="97" borderId="0" xfId="0" applyFont="1" applyFill="1" applyAlignment="1" applyProtection="1">
      <alignment horizontal="center" vertical="center" wrapText="1"/>
      <protection hidden="1"/>
    </xf>
    <xf numFmtId="164" fontId="0" fillId="0" borderId="0" xfId="0" applyNumberFormat="1" applyFont="1" applyProtection="1">
      <protection hidden="1"/>
    </xf>
    <xf numFmtId="168" fontId="199" fillId="98" borderId="116" xfId="0" applyNumberFormat="1" applyFont="1" applyFill="1" applyBorder="1" applyAlignment="1" applyProtection="1">
      <alignment horizontal="center" vertical="center" wrapText="1"/>
      <protection locked="0"/>
    </xf>
    <xf numFmtId="169" fontId="199" fillId="14" borderId="127" xfId="0" applyNumberFormat="1" applyFont="1" applyFill="1" applyBorder="1" applyAlignment="1" applyProtection="1">
      <alignment vertical="center" wrapText="1"/>
      <protection hidden="1"/>
    </xf>
    <xf numFmtId="169" fontId="199" fillId="14" borderId="128" xfId="0" applyNumberFormat="1" applyFont="1" applyFill="1" applyBorder="1" applyAlignment="1" applyProtection="1">
      <alignment vertical="center" wrapText="1"/>
      <protection hidden="1"/>
    </xf>
    <xf numFmtId="169" fontId="199" fillId="14" borderId="129" xfId="0" applyNumberFormat="1" applyFont="1" applyFill="1" applyBorder="1" applyAlignment="1" applyProtection="1">
      <alignment vertical="center" wrapText="1"/>
      <protection hidden="1"/>
    </xf>
    <xf numFmtId="169" fontId="199" fillId="14" borderId="130" xfId="0" applyNumberFormat="1" applyFont="1" applyFill="1" applyBorder="1" applyAlignment="1" applyProtection="1">
      <alignment vertical="center" wrapText="1"/>
      <protection hidden="1"/>
    </xf>
    <xf numFmtId="169" fontId="199" fillId="14" borderId="131" xfId="0" applyNumberFormat="1" applyFont="1" applyFill="1" applyBorder="1" applyAlignment="1" applyProtection="1">
      <alignment vertical="center" wrapText="1"/>
      <protection hidden="1"/>
    </xf>
    <xf numFmtId="169" fontId="199" fillId="14" borderId="132" xfId="0" applyNumberFormat="1" applyFont="1" applyFill="1" applyBorder="1" applyAlignment="1" applyProtection="1">
      <alignment vertical="center" wrapText="1"/>
      <protection hidden="1"/>
    </xf>
  </cellXfs>
  <cellStyles count="8"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9">
    <dxf>
      <fill>
        <patternFill patternType="solid">
          <fgColor auto="1"/>
          <bgColor theme="9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33CC33"/>
      <color rgb="FF990033"/>
      <color rgb="FF400E3C"/>
      <color rgb="FFCC0099"/>
      <color rgb="FF0000FF"/>
      <color rgb="FFCC00FF"/>
      <color rgb="FFFFFF99"/>
      <color rgb="FFE7E8B6"/>
      <color rgb="FF99FFCC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7" Type="http://schemas.openxmlformats.org/officeDocument/2006/relationships/hyperlink" Target="#'GA55 Check &amp; Edit'!A1"/><Relationship Id="rId2" Type="http://schemas.openxmlformats.org/officeDocument/2006/relationships/hyperlink" Target="#'Extra Ded. '!A1"/><Relationship Id="rId1" Type="http://schemas.openxmlformats.org/officeDocument/2006/relationships/image" Target="../media/image5.jpeg"/><Relationship Id="rId6" Type="http://schemas.openxmlformats.org/officeDocument/2006/relationships/hyperlink" Target="#Sheet1!A1"/><Relationship Id="rId5" Type="http://schemas.openxmlformats.org/officeDocument/2006/relationships/image" Target="../media/image6.emf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Comprision with old &amp; New tax '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Comprision with old &amp; New tax 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</xdr:row>
      <xdr:rowOff>104775</xdr:rowOff>
    </xdr:from>
    <xdr:to>
      <xdr:col>1</xdr:col>
      <xdr:colOff>1696706</xdr:colOff>
      <xdr:row>5</xdr:row>
      <xdr:rowOff>885825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1314450"/>
          <a:ext cx="1601456" cy="140970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1</xdr:col>
      <xdr:colOff>9524</xdr:colOff>
      <xdr:row>10</xdr:row>
      <xdr:rowOff>9525</xdr:rowOff>
    </xdr:from>
    <xdr:to>
      <xdr:col>2</xdr:col>
      <xdr:colOff>9524</xdr:colOff>
      <xdr:row>10</xdr:row>
      <xdr:rowOff>390525</xdr:rowOff>
    </xdr:to>
    <xdr:sp macro="" textlink="">
      <xdr:nvSpPr>
        <xdr:cNvPr id="3" name="Frame 2"/>
        <xdr:cNvSpPr/>
      </xdr:nvSpPr>
      <xdr:spPr>
        <a:xfrm>
          <a:off x="9524" y="4219575"/>
          <a:ext cx="1762125" cy="381000"/>
        </a:xfrm>
        <a:prstGeom prst="frame">
          <a:avLst/>
        </a:prstGeom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266700</xdr:colOff>
      <xdr:row>10</xdr:row>
      <xdr:rowOff>57147</xdr:rowOff>
    </xdr:from>
    <xdr:to>
      <xdr:col>2</xdr:col>
      <xdr:colOff>809625</xdr:colOff>
      <xdr:row>10</xdr:row>
      <xdr:rowOff>322704</xdr:rowOff>
    </xdr:to>
    <xdr:sp macro="" textlink="">
      <xdr:nvSpPr>
        <xdr:cNvPr id="4" name="Notched Right Arrow 3"/>
        <xdr:cNvSpPr/>
      </xdr:nvSpPr>
      <xdr:spPr>
        <a:xfrm rot="10800000">
          <a:off x="2867025" y="4552947"/>
          <a:ext cx="542925" cy="265557"/>
        </a:xfrm>
        <a:prstGeom prst="notchedRigh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209550</xdr:colOff>
      <xdr:row>13</xdr:row>
      <xdr:rowOff>85722</xdr:rowOff>
    </xdr:from>
    <xdr:to>
      <xdr:col>3</xdr:col>
      <xdr:colOff>1847850</xdr:colOff>
      <xdr:row>15</xdr:row>
      <xdr:rowOff>285750</xdr:rowOff>
    </xdr:to>
    <xdr:sp macro="" textlink="">
      <xdr:nvSpPr>
        <xdr:cNvPr id="5" name="Left Arrow 4"/>
        <xdr:cNvSpPr/>
      </xdr:nvSpPr>
      <xdr:spPr>
        <a:xfrm>
          <a:off x="10258425" y="5495922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 Curser Move on Name</a:t>
          </a:r>
        </a:p>
      </xdr:txBody>
    </xdr:sp>
    <xdr:clientData/>
  </xdr:twoCellAnchor>
  <xdr:twoCellAnchor editAs="oneCell">
    <xdr:from>
      <xdr:col>3</xdr:col>
      <xdr:colOff>161926</xdr:colOff>
      <xdr:row>2</xdr:row>
      <xdr:rowOff>581025</xdr:rowOff>
    </xdr:from>
    <xdr:to>
      <xdr:col>3</xdr:col>
      <xdr:colOff>2066925</xdr:colOff>
      <xdr:row>7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9</xdr:col>
      <xdr:colOff>1074150</xdr:colOff>
      <xdr:row>0</xdr:row>
      <xdr:rowOff>28575</xdr:rowOff>
    </xdr:from>
    <xdr:to>
      <xdr:col>14</xdr:col>
      <xdr:colOff>19050</xdr:colOff>
      <xdr:row>18</xdr:row>
      <xdr:rowOff>95250</xdr:rowOff>
    </xdr:to>
    <xdr:grpSp>
      <xdr:nvGrpSpPr>
        <xdr:cNvPr id="17" name="Group 16"/>
        <xdr:cNvGrpSpPr/>
      </xdr:nvGrpSpPr>
      <xdr:grpSpPr>
        <a:xfrm>
          <a:off x="10665825" y="28575"/>
          <a:ext cx="4812300" cy="3648075"/>
          <a:chOff x="10665825" y="28575"/>
          <a:chExt cx="4812300" cy="3648075"/>
        </a:xfrm>
      </xdr:grpSpPr>
      <xdr:sp macro="" textlink="">
        <xdr:nvSpPr>
          <xdr:cNvPr id="9" name="Frame 8"/>
          <xdr:cNvSpPr/>
        </xdr:nvSpPr>
        <xdr:spPr>
          <a:xfrm>
            <a:off x="10665825" y="3209925"/>
            <a:ext cx="4812300" cy="46672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58508" y="28575"/>
            <a:ext cx="2452817" cy="2976777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glow rad="139700">
              <a:schemeClr val="accent3">
                <a:satMod val="175000"/>
                <a:alpha val="40000"/>
              </a:schemeClr>
            </a:glow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114299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13</xdr:col>
      <xdr:colOff>0</xdr:colOff>
      <xdr:row>30</xdr:row>
      <xdr:rowOff>0</xdr:rowOff>
    </xdr:to>
    <xdr:pic>
      <xdr:nvPicPr>
        <xdr:cNvPr id="310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0391775" y="4886325"/>
          <a:ext cx="3429000" cy="28575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1887200" y="116109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6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7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86924" y="76200"/>
          <a:ext cx="2295525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7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10887075" y="0"/>
          <a:ext cx="2486025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590549</xdr:colOff>
      <xdr:row>58</xdr:row>
      <xdr:rowOff>123824</xdr:rowOff>
    </xdr:from>
    <xdr:to>
      <xdr:col>18</xdr:col>
      <xdr:colOff>66674</xdr:colOff>
      <xdr:row>61</xdr:row>
      <xdr:rowOff>161924</xdr:rowOff>
    </xdr:to>
    <xdr:sp macro="" textlink="">
      <xdr:nvSpPr>
        <xdr:cNvPr id="8" name="Left-Right Arrow 7"/>
        <xdr:cNvSpPr/>
      </xdr:nvSpPr>
      <xdr:spPr>
        <a:xfrm rot="16200000">
          <a:off x="10868024" y="12277724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337669</xdr:colOff>
      <xdr:row>7</xdr:row>
      <xdr:rowOff>54374</xdr:rowOff>
    </xdr:from>
    <xdr:to>
      <xdr:col>22</xdr:col>
      <xdr:colOff>348228</xdr:colOff>
      <xdr:row>10</xdr:row>
      <xdr:rowOff>186537</xdr:rowOff>
    </xdr:to>
    <xdr:sp macro="" textlink="">
      <xdr:nvSpPr>
        <xdr:cNvPr id="10" name="Curved Left Arrow 9"/>
        <xdr:cNvSpPr/>
      </xdr:nvSpPr>
      <xdr:spPr>
        <a:xfrm rot="1798694">
          <a:off x="13300328" y="1647647"/>
          <a:ext cx="573400" cy="885504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664154</xdr:colOff>
      <xdr:row>31</xdr:row>
      <xdr:rowOff>27712</xdr:rowOff>
    </xdr:from>
    <xdr:to>
      <xdr:col>18</xdr:col>
      <xdr:colOff>63212</xdr:colOff>
      <xdr:row>32</xdr:row>
      <xdr:rowOff>96983</xdr:rowOff>
    </xdr:to>
    <xdr:cxnSp macro="">
      <xdr:nvCxnSpPr>
        <xdr:cNvPr id="4" name="Elbow Connector 3"/>
        <xdr:cNvCxnSpPr/>
      </xdr:nvCxnSpPr>
      <xdr:spPr>
        <a:xfrm rot="5400000">
          <a:off x="11087535" y="6615981"/>
          <a:ext cx="269296" cy="199158"/>
        </a:xfrm>
        <a:prstGeom prst="bentConnector3">
          <a:avLst>
            <a:gd name="adj1" fmla="val 2038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045845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190501</xdr:colOff>
      <xdr:row>60</xdr:row>
      <xdr:rowOff>28575</xdr:rowOff>
    </xdr:from>
    <xdr:to>
      <xdr:col>20</xdr:col>
      <xdr:colOff>161925</xdr:colOff>
      <xdr:row>62</xdr:row>
      <xdr:rowOff>200025</xdr:rowOff>
    </xdr:to>
    <xdr:sp macro="" textlink="">
      <xdr:nvSpPr>
        <xdr:cNvPr id="7" name="Rounded Rectangle 6"/>
        <xdr:cNvSpPr/>
      </xdr:nvSpPr>
      <xdr:spPr>
        <a:xfrm>
          <a:off x="10258426" y="12401550"/>
          <a:ext cx="1971674" cy="571500"/>
        </a:xfrm>
        <a:prstGeom prst="round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>
          <a:sp3d extrusionH="57150">
            <a:bevelT w="38100" h="38100" prst="relaxedInset"/>
          </a:sp3d>
        </a:bodyPr>
        <a:lstStyle/>
        <a:p>
          <a:pPr algn="ctr"/>
          <a:r>
            <a:rPr lang="en-US" sz="1400" b="1">
              <a:solidFill>
                <a:srgbClr val="CC00FF"/>
              </a:solidFill>
              <a:latin typeface="+mj-lt"/>
            </a:rPr>
            <a:t>Please Put here your Curser to know 87A</a:t>
          </a:r>
        </a:p>
      </xdr:txBody>
    </xdr:sp>
    <xdr:clientData/>
  </xdr:twoCellAnchor>
  <xdr:twoCellAnchor>
    <xdr:from>
      <xdr:col>18</xdr:col>
      <xdr:colOff>541856</xdr:colOff>
      <xdr:row>57</xdr:row>
      <xdr:rowOff>71773</xdr:rowOff>
    </xdr:from>
    <xdr:to>
      <xdr:col>20</xdr:col>
      <xdr:colOff>81339</xdr:colOff>
      <xdr:row>58</xdr:row>
      <xdr:rowOff>165591</xdr:rowOff>
    </xdr:to>
    <xdr:sp macro="" textlink="">
      <xdr:nvSpPr>
        <xdr:cNvPr id="17" name="U-Turn Arrow 16"/>
        <xdr:cNvSpPr/>
      </xdr:nvSpPr>
      <xdr:spPr>
        <a:xfrm rot="9573967">
          <a:off x="11800406" y="11882773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746770</xdr:colOff>
      <xdr:row>43</xdr:row>
      <xdr:rowOff>34279</xdr:rowOff>
    </xdr:from>
    <xdr:to>
      <xdr:col>20</xdr:col>
      <xdr:colOff>240513</xdr:colOff>
      <xdr:row>44</xdr:row>
      <xdr:rowOff>173837</xdr:rowOff>
    </xdr:to>
    <xdr:sp macro="" textlink="">
      <xdr:nvSpPr>
        <xdr:cNvPr id="15" name="U-Turn Arrow 14"/>
        <xdr:cNvSpPr/>
      </xdr:nvSpPr>
      <xdr:spPr>
        <a:xfrm rot="5979138">
          <a:off x="11982450" y="9058274"/>
          <a:ext cx="349108" cy="303368"/>
        </a:xfrm>
        <a:prstGeom prst="uturnArrow">
          <a:avLst/>
        </a:prstGeom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428625</xdr:colOff>
      <xdr:row>41</xdr:row>
      <xdr:rowOff>142875</xdr:rowOff>
    </xdr:from>
    <xdr:to>
      <xdr:col>16</xdr:col>
      <xdr:colOff>371475</xdr:colOff>
      <xdr:row>43</xdr:row>
      <xdr:rowOff>9525</xdr:rowOff>
    </xdr:to>
    <xdr:sp macro="" textlink="">
      <xdr:nvSpPr>
        <xdr:cNvPr id="16" name="Left-Right Arrow 15"/>
        <xdr:cNvSpPr/>
      </xdr:nvSpPr>
      <xdr:spPr>
        <a:xfrm rot="10800000">
          <a:off x="9801225" y="8734425"/>
          <a:ext cx="638175" cy="276225"/>
        </a:xfrm>
        <a:prstGeom prst="leftRightArrow">
          <a:avLst/>
        </a:prstGeom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reflection blurRad="6350" stA="50000" endA="300" endPos="55000" dir="5400000" sy="-100000" algn="bl" rotWithShape="0"/>
        </a:effectLst>
        <a:scene3d>
          <a:camera prst="perspectiveRelaxedModerately"/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283154</xdr:colOff>
      <xdr:row>16</xdr:row>
      <xdr:rowOff>199162</xdr:rowOff>
    </xdr:from>
    <xdr:to>
      <xdr:col>17</xdr:col>
      <xdr:colOff>482312</xdr:colOff>
      <xdr:row>18</xdr:row>
      <xdr:rowOff>68408</xdr:rowOff>
    </xdr:to>
    <xdr:cxnSp macro="">
      <xdr:nvCxnSpPr>
        <xdr:cNvPr id="14" name="Elbow Connector 13"/>
        <xdr:cNvCxnSpPr/>
      </xdr:nvCxnSpPr>
      <xdr:spPr>
        <a:xfrm rot="5400000">
          <a:off x="10706535" y="3777531"/>
          <a:ext cx="269296" cy="199158"/>
        </a:xfrm>
        <a:prstGeom prst="bentConnector3">
          <a:avLst>
            <a:gd name="adj1" fmla="val 33871"/>
          </a:avLst>
        </a:prstGeom>
        <a:ln>
          <a:tailEnd type="arrow"/>
        </a:ln>
        <a:effectLst>
          <a:glow rad="63500">
            <a:schemeClr val="accent2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  <a:scene3d>
          <a:camera prst="obliqueBottomRight"/>
          <a:lightRig rig="threePt" dir="t"/>
        </a:scene3d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390525</xdr:colOff>
      <xdr:row>15</xdr:row>
      <xdr:rowOff>9525</xdr:rowOff>
    </xdr:from>
    <xdr:to>
      <xdr:col>18</xdr:col>
      <xdr:colOff>600075</xdr:colOff>
      <xdr:row>17</xdr:row>
      <xdr:rowOff>133350</xdr:rowOff>
    </xdr:to>
    <xdr:sp macro="" textlink="">
      <xdr:nvSpPr>
        <xdr:cNvPr id="13" name="Line Callout 2 12"/>
        <xdr:cNvSpPr/>
      </xdr:nvSpPr>
      <xdr:spPr>
        <a:xfrm>
          <a:off x="10848975" y="3352800"/>
          <a:ext cx="1009650" cy="523875"/>
        </a:xfrm>
        <a:prstGeom prst="borderCallout2">
          <a:avLst>
            <a:gd name="adj1" fmla="val 18750"/>
            <a:gd name="adj2" fmla="val -8333"/>
            <a:gd name="adj3" fmla="val 43750"/>
            <a:gd name="adj4" fmla="val -41195"/>
            <a:gd name="adj5" fmla="val -404596"/>
            <a:gd name="adj6" fmla="val -13675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Us 10(13-A) &amp; 10(14)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219074</xdr:colOff>
      <xdr:row>31</xdr:row>
      <xdr:rowOff>9538</xdr:rowOff>
    </xdr:from>
    <xdr:to>
      <xdr:col>18</xdr:col>
      <xdr:colOff>72881</xdr:colOff>
      <xdr:row>31</xdr:row>
      <xdr:rowOff>209557</xdr:rowOff>
    </xdr:to>
    <xdr:sp macro="" textlink="">
      <xdr:nvSpPr>
        <xdr:cNvPr id="7" name="Down Arrow 6"/>
        <xdr:cNvSpPr/>
      </xdr:nvSpPr>
      <xdr:spPr>
        <a:xfrm rot="5400000">
          <a:off x="11337855" y="7474032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95249</xdr:colOff>
      <xdr:row>25</xdr:row>
      <xdr:rowOff>104775</xdr:rowOff>
    </xdr:from>
    <xdr:to>
      <xdr:col>24</xdr:col>
      <xdr:colOff>600074</xdr:colOff>
      <xdr:row>31</xdr:row>
      <xdr:rowOff>238125</xdr:rowOff>
    </xdr:to>
    <xdr:sp macro="" textlink="">
      <xdr:nvSpPr>
        <xdr:cNvPr id="2" name="Flowchart: Multidocument 1"/>
        <xdr:cNvSpPr/>
      </xdr:nvSpPr>
      <xdr:spPr>
        <a:xfrm>
          <a:off x="11725274" y="6305550"/>
          <a:ext cx="4562475" cy="1562100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bl</a:t>
          </a:r>
          <a:r>
            <a:rPr lang="en-US" sz="1600" b="1" baseline="0">
              <a:latin typeface="Kruti Dev 010" pitchFamily="2" charset="0"/>
            </a:rPr>
            <a:t> o"kZ </a:t>
          </a:r>
          <a:r>
            <a:rPr lang="en-US" sz="1600" b="1" baseline="0">
              <a:latin typeface="+mn-lt"/>
            </a:rPr>
            <a:t>2020-21</a:t>
          </a:r>
          <a:r>
            <a:rPr lang="en-US" sz="1600" b="1" baseline="0">
              <a:latin typeface="Kruti Dev 010" pitchFamily="2" charset="0"/>
            </a:rPr>
            <a:t> dh usV VsDlscy bUde ,fj;j lfgr jkf'k nl ds xq.kkad esa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16</xdr:col>
      <xdr:colOff>590549</xdr:colOff>
      <xdr:row>4</xdr:row>
      <xdr:rowOff>228600</xdr:rowOff>
    </xdr:from>
    <xdr:to>
      <xdr:col>24</xdr:col>
      <xdr:colOff>476250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08680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perspectiveHeroicExtremeLeftFacing"/>
          <a:lightRig rig="threePt" dir="t"/>
        </a:scene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l= ds nkSjku </a:t>
          </a:r>
          <a:r>
            <a:rPr lang="en-US" sz="1600" b="1" baseline="0">
              <a:latin typeface="Kruti Dev 010" pitchFamily="2" charset="0"/>
            </a:rPr>
            <a:t>usV VsDlscy jkf'k nl ds xq.kkad esa fy[kuh gSaA  ftlesa lHkh rjg dh dVkSfr;kW o NwV dks ?kVk dj fy[kuk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352425</xdr:colOff>
      <xdr:row>14</xdr:row>
      <xdr:rowOff>66675</xdr:rowOff>
    </xdr:from>
    <xdr:to>
      <xdr:col>25</xdr:col>
      <xdr:colOff>66675</xdr:colOff>
      <xdr:row>17</xdr:row>
      <xdr:rowOff>104775</xdr:rowOff>
    </xdr:to>
    <xdr:sp macro="" textlink="">
      <xdr:nvSpPr>
        <xdr:cNvPr id="4" name="Oval Callout 3"/>
        <xdr:cNvSpPr/>
      </xdr:nvSpPr>
      <xdr:spPr>
        <a:xfrm>
          <a:off x="11982450" y="3609975"/>
          <a:ext cx="4448175" cy="752475"/>
        </a:xfrm>
        <a:prstGeom prst="wedgeEllipseCallout">
          <a:avLst>
            <a:gd name="adj1" fmla="val -71086"/>
            <a:gd name="adj2" fmla="val 12054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600" b="1">
              <a:latin typeface="Kruti Dev 010" pitchFamily="2" charset="0"/>
            </a:rPr>
            <a:t>,fj;j jkf'k</a:t>
          </a:r>
          <a:r>
            <a:rPr lang="en-US" sz="1600" b="1" baseline="0">
              <a:latin typeface="Kruti Dev 010" pitchFamily="2" charset="0"/>
            </a:rPr>
            <a:t> </a:t>
          </a:r>
          <a:r>
            <a:rPr lang="en-US" sz="1600" b="1">
              <a:latin typeface="Kruti Dev 010" pitchFamily="2" charset="0"/>
            </a:rPr>
            <a:t>tks</a:t>
          </a:r>
          <a:r>
            <a:rPr lang="en-US" sz="1600" b="1" baseline="0">
              <a:latin typeface="Kruti Dev 010" pitchFamily="2" charset="0"/>
            </a:rPr>
            <a:t> bu l= ds nkSjku feyuh Fkh ] dks fy[kuh gSaA</a:t>
          </a:r>
          <a:endParaRPr lang="en-US" sz="1600" b="1">
            <a:latin typeface="Kruti Dev 010" pitchFamily="2" charset="0"/>
          </a:endParaRPr>
        </a:p>
      </xdr:txBody>
    </xdr:sp>
    <xdr:clientData/>
  </xdr:twoCellAnchor>
  <xdr:twoCellAnchor>
    <xdr:from>
      <xdr:col>18</xdr:col>
      <xdr:colOff>133349</xdr:colOff>
      <xdr:row>19</xdr:row>
      <xdr:rowOff>19059</xdr:rowOff>
    </xdr:from>
    <xdr:to>
      <xdr:col>18</xdr:col>
      <xdr:colOff>663431</xdr:colOff>
      <xdr:row>19</xdr:row>
      <xdr:rowOff>219078</xdr:rowOff>
    </xdr:to>
    <xdr:sp macro="" textlink="">
      <xdr:nvSpPr>
        <xdr:cNvPr id="5" name="Down Arrow 4"/>
        <xdr:cNvSpPr/>
      </xdr:nvSpPr>
      <xdr:spPr>
        <a:xfrm rot="5400000">
          <a:off x="11928405" y="459747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400" b="1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;g jkf'k 89 ¼1½ ds rgr NqV feyus okyh gSaA</a:t>
          </a:r>
          <a:r>
            <a:rPr lang="en-US" sz="1400" b="1" baseline="0">
              <a:solidFill>
                <a:schemeClr val="lt1"/>
              </a:solidFill>
              <a:latin typeface="Kruti Dev 010" pitchFamily="2" charset="0"/>
              <a:ea typeface="+mn-ea"/>
              <a:cs typeface="+mn-cs"/>
            </a:rPr>
            <a:t> </a:t>
          </a:r>
          <a:endParaRPr lang="en-US" sz="1400" b="1">
            <a:solidFill>
              <a:schemeClr val="lt1"/>
            </a:solidFill>
            <a:latin typeface="Kruti Dev 01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ownloads\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  <row r="21">
          <cell r="L21">
            <v>0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youtube.com/c/Heeralaljat/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FwBqjLiBd28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kSG6hPX7VSQ" TargetMode="External"/><Relationship Id="rId1" Type="http://schemas.openxmlformats.org/officeDocument/2006/relationships/hyperlink" Target="https://www.youtube.com/watch?v=kSG6hPX7VSQ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workbookViewId="0">
      <selection activeCell="D17" sqref="D17"/>
    </sheetView>
  </sheetViews>
  <sheetFormatPr defaultColWidth="0" defaultRowHeight="15" zeroHeight="1"/>
  <cols>
    <col min="1" max="1" width="10.375" style="35" customWidth="1"/>
    <col min="2" max="2" width="23.75" style="35" customWidth="1"/>
    <col min="3" max="3" width="111" style="35" customWidth="1"/>
    <col min="4" max="4" width="33.875" style="35" customWidth="1"/>
    <col min="5" max="16384" width="9" style="35" hidden="1"/>
  </cols>
  <sheetData>
    <row r="1" spans="2:4" ht="22.5">
      <c r="C1" s="324" t="s">
        <v>435</v>
      </c>
    </row>
    <row r="2" spans="2:4" ht="15.75" thickBot="1"/>
    <row r="3" spans="2:4" ht="57" customHeight="1" thickTop="1" thickBot="1">
      <c r="B3" s="400" t="s">
        <v>422</v>
      </c>
      <c r="C3" s="400"/>
    </row>
    <row r="4" spans="2:4" ht="24.95" customHeight="1" thickTop="1" thickBot="1">
      <c r="B4" s="401"/>
      <c r="C4" s="325" t="s">
        <v>418</v>
      </c>
    </row>
    <row r="5" spans="2:4" ht="24.95" customHeight="1" thickTop="1" thickBot="1">
      <c r="B5" s="401"/>
      <c r="C5" s="326" t="s">
        <v>419</v>
      </c>
    </row>
    <row r="6" spans="2:4" ht="79.5" customHeight="1" thickTop="1" thickBot="1">
      <c r="B6" s="402"/>
      <c r="C6" s="327" t="s">
        <v>421</v>
      </c>
      <c r="D6" s="368"/>
    </row>
    <row r="7" spans="2:4" ht="39" customHeight="1" thickTop="1" thickBot="1">
      <c r="B7" s="328" t="s">
        <v>417</v>
      </c>
      <c r="C7" s="329" t="s">
        <v>420</v>
      </c>
    </row>
    <row r="8" spans="2:4" ht="24.95" customHeight="1" thickTop="1" thickBot="1">
      <c r="B8" s="405" t="s">
        <v>423</v>
      </c>
      <c r="C8" s="406"/>
      <c r="D8" s="369" t="s">
        <v>580</v>
      </c>
    </row>
    <row r="9" spans="2:4" ht="41.25" customHeight="1" thickTop="1" thickBot="1">
      <c r="B9" s="403" t="s">
        <v>424</v>
      </c>
      <c r="C9" s="404"/>
      <c r="D9" s="369"/>
    </row>
    <row r="10" spans="2:4" ht="24.95" customHeight="1" thickTop="1">
      <c r="B10" s="407"/>
      <c r="C10" s="407"/>
    </row>
    <row r="11" spans="2:4" ht="31.5" customHeight="1">
      <c r="B11" s="330" t="s">
        <v>425</v>
      </c>
      <c r="C11" s="380" t="s">
        <v>588</v>
      </c>
      <c r="D11" s="389" t="s">
        <v>606</v>
      </c>
    </row>
    <row r="12" spans="2:4" ht="23.25" customHeight="1" thickBot="1">
      <c r="B12" s="413"/>
      <c r="C12" s="413"/>
      <c r="D12" s="390"/>
    </row>
    <row r="13" spans="2:4" ht="39.75" customHeight="1" thickTop="1" thickBot="1">
      <c r="B13" s="414" t="s">
        <v>429</v>
      </c>
      <c r="C13" s="414"/>
      <c r="D13" s="391" t="s">
        <v>607</v>
      </c>
    </row>
    <row r="14" spans="2:4" ht="16.5" thickTop="1" thickBot="1"/>
    <row r="15" spans="2:4" ht="30" customHeight="1">
      <c r="B15" s="415" t="s">
        <v>430</v>
      </c>
      <c r="C15" s="416"/>
    </row>
    <row r="16" spans="2:4" ht="30" customHeight="1">
      <c r="B16" s="417" t="s">
        <v>431</v>
      </c>
      <c r="C16" s="418"/>
    </row>
    <row r="17" spans="2:3" ht="30" customHeight="1">
      <c r="B17" s="419" t="s">
        <v>434</v>
      </c>
      <c r="C17" s="420"/>
    </row>
    <row r="18" spans="2:3" ht="30" customHeight="1">
      <c r="B18" s="409" t="s">
        <v>432</v>
      </c>
      <c r="C18" s="410"/>
    </row>
    <row r="19" spans="2:3" ht="30" customHeight="1" thickBot="1">
      <c r="B19" s="411" t="s">
        <v>433</v>
      </c>
      <c r="C19" s="412"/>
    </row>
    <row r="20" spans="2:3" ht="40.5" customHeight="1"/>
    <row r="21" spans="2:3" ht="26.25" customHeight="1">
      <c r="C21" s="408" t="s">
        <v>581</v>
      </c>
    </row>
    <row r="22" spans="2:3">
      <c r="C22" s="408"/>
    </row>
    <row r="23" spans="2:3"/>
    <row r="24" spans="2:3" ht="24" customHeight="1">
      <c r="C24" s="377" t="s">
        <v>586</v>
      </c>
    </row>
    <row r="25" spans="2:3"/>
    <row r="26" spans="2:3" ht="33" customHeight="1">
      <c r="C26" s="375" t="s">
        <v>582</v>
      </c>
    </row>
    <row r="27" spans="2:3"/>
    <row r="28" spans="2:3" ht="22.5" customHeight="1">
      <c r="C28" s="376" t="s">
        <v>583</v>
      </c>
    </row>
    <row r="29" spans="2:3" s="44" customFormat="1" ht="15" customHeight="1">
      <c r="C29" s="370"/>
    </row>
  </sheetData>
  <sheetProtection password="C1FB" sheet="1" objects="1" scenarios="1" selectLockedCells="1"/>
  <mergeCells count="13">
    <mergeCell ref="C21:C22"/>
    <mergeCell ref="B18:C18"/>
    <mergeCell ref="B19:C19"/>
    <mergeCell ref="B12:C12"/>
    <mergeCell ref="B13:C13"/>
    <mergeCell ref="B15:C15"/>
    <mergeCell ref="B16:C16"/>
    <mergeCell ref="B17:C17"/>
    <mergeCell ref="B3:C3"/>
    <mergeCell ref="B4:B6"/>
    <mergeCell ref="B9:C9"/>
    <mergeCell ref="B8:C8"/>
    <mergeCell ref="B10:C10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0"/>
  <sheetViews>
    <sheetView showGridLines="0" showRowColHeaders="0" view="pageBreakPreview" zoomScale="120" zoomScaleSheetLayoutView="120" workbookViewId="0">
      <selection activeCell="O20" sqref="O20"/>
    </sheetView>
  </sheetViews>
  <sheetFormatPr defaultRowHeight="15"/>
  <cols>
    <col min="1" max="1" width="9" style="35"/>
    <col min="2" max="2" width="8.5" style="35" customWidth="1"/>
    <col min="3" max="3" width="8" style="35" customWidth="1"/>
    <col min="4" max="4" width="5.5" style="35" customWidth="1"/>
    <col min="5" max="5" width="11.5" style="35" customWidth="1"/>
    <col min="6" max="6" width="17.375" style="35" customWidth="1"/>
    <col min="7" max="7" width="7" style="35" customWidth="1"/>
    <col min="8" max="8" width="6.625" style="35" customWidth="1"/>
    <col min="9" max="9" width="7.875" style="35" customWidth="1"/>
    <col min="10" max="10" width="6.625" style="35" customWidth="1"/>
    <col min="11" max="11" width="8.375" style="35" customWidth="1"/>
    <col min="12" max="12" width="6.75" style="35" customWidth="1"/>
    <col min="13" max="16384" width="9" style="35"/>
  </cols>
  <sheetData>
    <row r="1" spans="2:12" ht="13.5" customHeight="1">
      <c r="B1" s="800" t="s">
        <v>436</v>
      </c>
      <c r="C1" s="800"/>
      <c r="D1" s="800"/>
      <c r="E1" s="800"/>
      <c r="F1" s="800"/>
      <c r="G1" s="800"/>
      <c r="H1" s="800"/>
      <c r="I1" s="800"/>
      <c r="J1" s="800"/>
      <c r="K1" s="800"/>
      <c r="L1" s="800"/>
    </row>
    <row r="2" spans="2:12" ht="11.25" customHeight="1">
      <c r="B2" s="801" t="s">
        <v>437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</row>
    <row r="3" spans="2:12" ht="11.25" customHeight="1">
      <c r="B3" s="802" t="s">
        <v>438</v>
      </c>
      <c r="C3" s="802"/>
      <c r="D3" s="802"/>
      <c r="E3" s="802"/>
      <c r="F3" s="802"/>
      <c r="G3" s="802"/>
      <c r="H3" s="802"/>
      <c r="I3" s="802"/>
      <c r="J3" s="802"/>
      <c r="K3" s="802"/>
      <c r="L3" s="802"/>
    </row>
    <row r="4" spans="2:12" ht="18" customHeight="1" thickBot="1">
      <c r="B4" s="802" t="s">
        <v>439</v>
      </c>
      <c r="C4" s="802"/>
      <c r="D4" s="802"/>
      <c r="E4" s="802"/>
      <c r="F4" s="802"/>
      <c r="G4" s="802"/>
      <c r="H4" s="802"/>
      <c r="I4" s="802"/>
      <c r="J4" s="802"/>
      <c r="K4" s="802"/>
      <c r="L4" s="802"/>
    </row>
    <row r="5" spans="2:12" ht="16.5" thickTop="1" thickBot="1">
      <c r="B5" s="803" t="s">
        <v>440</v>
      </c>
      <c r="C5" s="803"/>
      <c r="D5" s="803"/>
      <c r="E5" s="803"/>
      <c r="F5" s="803"/>
      <c r="G5" s="803" t="s">
        <v>441</v>
      </c>
      <c r="H5" s="803"/>
      <c r="I5" s="803"/>
      <c r="J5" s="803"/>
      <c r="K5" s="803"/>
      <c r="L5" s="803"/>
    </row>
    <row r="6" spans="2:12" ht="14.25" customHeight="1" thickTop="1" thickBot="1">
      <c r="B6" s="817" t="str">
        <f>IF('Master Data'!H8="","",UPPER('Master Data'!H8))</f>
        <v>USHA PALIYA</v>
      </c>
      <c r="C6" s="818"/>
      <c r="D6" s="818"/>
      <c r="E6" s="818"/>
      <c r="F6" s="819"/>
      <c r="G6" s="820" t="str">
        <f>IF('Master Data'!D6="","",UPPER('Master Data'!D6))</f>
        <v>HEERALAL JAT</v>
      </c>
      <c r="H6" s="820"/>
      <c r="I6" s="820"/>
      <c r="J6" s="820"/>
      <c r="K6" s="820"/>
      <c r="L6" s="820"/>
    </row>
    <row r="7" spans="2:12" ht="14.25" customHeight="1" thickTop="1" thickBot="1">
      <c r="B7" s="821"/>
      <c r="C7" s="822"/>
      <c r="D7" s="822"/>
      <c r="E7" s="822"/>
      <c r="F7" s="823"/>
      <c r="G7" s="820" t="str">
        <f>IF('Master Data'!D8="","",UPPER('Master Data'!D8))</f>
        <v>M.G.G.S. BAR</v>
      </c>
      <c r="H7" s="820"/>
      <c r="I7" s="820"/>
      <c r="J7" s="820"/>
      <c r="K7" s="820"/>
      <c r="L7" s="820"/>
    </row>
    <row r="8" spans="2:12" ht="14.25" customHeight="1" thickTop="1" thickBot="1">
      <c r="B8" s="824" t="s">
        <v>442</v>
      </c>
      <c r="C8" s="824"/>
      <c r="D8" s="824"/>
      <c r="E8" s="824" t="s">
        <v>443</v>
      </c>
      <c r="F8" s="824"/>
      <c r="G8" s="824" t="s">
        <v>444</v>
      </c>
      <c r="H8" s="824"/>
      <c r="I8" s="824"/>
      <c r="J8" s="824" t="s">
        <v>445</v>
      </c>
      <c r="K8" s="824"/>
      <c r="L8" s="824"/>
    </row>
    <row r="9" spans="2:12" ht="13.5" customHeight="1" thickTop="1" thickBot="1">
      <c r="B9" s="813"/>
      <c r="C9" s="814"/>
      <c r="D9" s="814"/>
      <c r="E9" s="815">
        <f>'Master Data'!H12</f>
        <v>0</v>
      </c>
      <c r="F9" s="815"/>
      <c r="G9" s="815" t="str">
        <f>UPPER('Master Data'!D12)</f>
        <v>ABCDE1234H</v>
      </c>
      <c r="H9" s="815"/>
      <c r="I9" s="815"/>
      <c r="J9" s="815" t="str">
        <f>UPPER('Master Data'!D10)</f>
        <v>RJPAXXXXXXXX4272</v>
      </c>
      <c r="K9" s="815"/>
      <c r="L9" s="815"/>
    </row>
    <row r="10" spans="2:12" ht="13.5" customHeight="1" thickTop="1" thickBot="1">
      <c r="B10" s="816" t="s">
        <v>446</v>
      </c>
      <c r="C10" s="816"/>
      <c r="D10" s="816"/>
      <c r="E10" s="816"/>
      <c r="F10" s="816"/>
      <c r="G10" s="815" t="s">
        <v>447</v>
      </c>
      <c r="H10" s="815"/>
      <c r="I10" s="815" t="s">
        <v>448</v>
      </c>
      <c r="J10" s="815"/>
      <c r="K10" s="815"/>
      <c r="L10" s="815"/>
    </row>
    <row r="11" spans="2:12" ht="14.25" customHeight="1" thickTop="1" thickBot="1">
      <c r="B11" s="335" t="s">
        <v>449</v>
      </c>
      <c r="C11" s="830" t="s">
        <v>562</v>
      </c>
      <c r="D11" s="830"/>
      <c r="E11" s="830"/>
      <c r="F11" s="830"/>
      <c r="G11" s="831" t="s">
        <v>450</v>
      </c>
      <c r="H11" s="831"/>
      <c r="I11" s="827" t="s">
        <v>451</v>
      </c>
      <c r="J11" s="827"/>
      <c r="K11" s="815" t="s">
        <v>452</v>
      </c>
      <c r="L11" s="815"/>
    </row>
    <row r="12" spans="2:12" ht="14.25" customHeight="1" thickTop="1" thickBot="1">
      <c r="B12" s="335" t="s">
        <v>453</v>
      </c>
      <c r="C12" s="830" t="s">
        <v>563</v>
      </c>
      <c r="D12" s="830"/>
      <c r="E12" s="335" t="s">
        <v>454</v>
      </c>
      <c r="F12" s="332">
        <v>306401</v>
      </c>
      <c r="G12" s="831"/>
      <c r="H12" s="831"/>
      <c r="I12" s="832" t="s">
        <v>455</v>
      </c>
      <c r="J12" s="832"/>
      <c r="K12" s="832" t="s">
        <v>456</v>
      </c>
      <c r="L12" s="832"/>
    </row>
    <row r="13" spans="2:12" ht="17.25" customHeight="1" thickTop="1" thickBot="1">
      <c r="B13" s="825" t="s">
        <v>457</v>
      </c>
      <c r="C13" s="825"/>
      <c r="D13" s="825"/>
      <c r="E13" s="825"/>
      <c r="F13" s="825"/>
      <c r="G13" s="825"/>
      <c r="H13" s="825"/>
      <c r="I13" s="825"/>
      <c r="J13" s="825"/>
      <c r="K13" s="825"/>
      <c r="L13" s="825"/>
    </row>
    <row r="14" spans="2:12" ht="25.5" customHeight="1" thickTop="1" thickBot="1">
      <c r="B14" s="336" t="s">
        <v>458</v>
      </c>
      <c r="C14" s="826" t="s">
        <v>459</v>
      </c>
      <c r="D14" s="826"/>
      <c r="E14" s="826"/>
      <c r="F14" s="336" t="s">
        <v>460</v>
      </c>
      <c r="G14" s="827" t="s">
        <v>461</v>
      </c>
      <c r="H14" s="827"/>
      <c r="I14" s="827"/>
      <c r="J14" s="824" t="s">
        <v>462</v>
      </c>
      <c r="K14" s="824"/>
      <c r="L14" s="824"/>
    </row>
    <row r="15" spans="2:12" ht="16.5" customHeight="1" thickTop="1" thickBot="1">
      <c r="B15" s="337" t="s">
        <v>565</v>
      </c>
      <c r="C15" s="828"/>
      <c r="D15" s="828"/>
      <c r="E15" s="828"/>
      <c r="F15" s="334"/>
      <c r="G15" s="969">
        <f>SUM('GA55 Check &amp; Edit'!BX12:BX14)</f>
        <v>3000</v>
      </c>
      <c r="H15" s="969"/>
      <c r="I15" s="969"/>
      <c r="J15" s="829">
        <f>G15</f>
        <v>3000</v>
      </c>
      <c r="K15" s="829"/>
      <c r="L15" s="829"/>
    </row>
    <row r="16" spans="2:12" ht="20.25" customHeight="1" thickTop="1" thickBot="1">
      <c r="B16" s="337" t="s">
        <v>564</v>
      </c>
      <c r="C16" s="828"/>
      <c r="D16" s="828"/>
      <c r="E16" s="828"/>
      <c r="F16" s="334"/>
      <c r="G16" s="969">
        <f>SUM('GA55 Check &amp; Edit'!BX15:BX17)</f>
        <v>4500</v>
      </c>
      <c r="H16" s="969"/>
      <c r="I16" s="969"/>
      <c r="J16" s="829">
        <f>G16</f>
        <v>4500</v>
      </c>
      <c r="K16" s="829"/>
      <c r="L16" s="829"/>
    </row>
    <row r="17" spans="2:12" ht="15.75" customHeight="1" thickTop="1" thickBot="1">
      <c r="B17" s="338" t="s">
        <v>566</v>
      </c>
      <c r="C17" s="828"/>
      <c r="D17" s="828"/>
      <c r="E17" s="828"/>
      <c r="F17" s="334"/>
      <c r="G17" s="969">
        <f>SUM('GA55 Check &amp; Edit'!BX18:BX20)</f>
        <v>4500</v>
      </c>
      <c r="H17" s="969"/>
      <c r="I17" s="969"/>
      <c r="J17" s="829">
        <f>G17</f>
        <v>4500</v>
      </c>
      <c r="K17" s="829"/>
      <c r="L17" s="829"/>
    </row>
    <row r="18" spans="2:12" ht="15" customHeight="1" thickTop="1" thickBot="1">
      <c r="B18" s="338" t="s">
        <v>567</v>
      </c>
      <c r="C18" s="828"/>
      <c r="D18" s="828"/>
      <c r="E18" s="828"/>
      <c r="F18" s="334"/>
      <c r="G18" s="969">
        <f>SUM('GA55 Check &amp; Edit'!BX21:BX23)+SUM('GA55 Only Print'!X18:'GA55 Only Print'!X26)</f>
        <v>3000</v>
      </c>
      <c r="H18" s="969"/>
      <c r="I18" s="969"/>
      <c r="J18" s="829">
        <f>G18</f>
        <v>3000</v>
      </c>
      <c r="K18" s="829"/>
      <c r="L18" s="829"/>
    </row>
    <row r="19" spans="2:12" ht="16.5" thickTop="1" thickBot="1">
      <c r="B19" s="815" t="s">
        <v>463</v>
      </c>
      <c r="C19" s="815"/>
      <c r="D19" s="815"/>
      <c r="E19" s="815"/>
      <c r="F19" s="339">
        <f>SUM(F15:F18)</f>
        <v>0</v>
      </c>
      <c r="G19" s="833">
        <f>SUM(G15:G18)</f>
        <v>15000</v>
      </c>
      <c r="H19" s="833"/>
      <c r="I19" s="833"/>
      <c r="J19" s="833">
        <f>SUM(J15:J18)</f>
        <v>15000</v>
      </c>
      <c r="K19" s="833"/>
      <c r="L19" s="833"/>
    </row>
    <row r="20" spans="2:12" ht="15.75" thickTop="1">
      <c r="B20" s="837" t="s">
        <v>464</v>
      </c>
      <c r="C20" s="838"/>
      <c r="D20" s="838"/>
      <c r="E20" s="838"/>
      <c r="F20" s="838"/>
      <c r="G20" s="838"/>
      <c r="H20" s="838"/>
      <c r="I20" s="838"/>
      <c r="J20" s="838"/>
      <c r="K20" s="838"/>
      <c r="L20" s="839"/>
    </row>
    <row r="21" spans="2:12" ht="15.75" thickBot="1">
      <c r="B21" s="840" t="s">
        <v>465</v>
      </c>
      <c r="C21" s="841"/>
      <c r="D21" s="841"/>
      <c r="E21" s="841"/>
      <c r="F21" s="841"/>
      <c r="G21" s="841"/>
      <c r="H21" s="841"/>
      <c r="I21" s="841"/>
      <c r="J21" s="841"/>
      <c r="K21" s="841"/>
      <c r="L21" s="842"/>
    </row>
    <row r="22" spans="2:12" ht="16.5" thickTop="1" thickBot="1">
      <c r="B22" s="843" t="s">
        <v>75</v>
      </c>
      <c r="C22" s="844" t="s">
        <v>466</v>
      </c>
      <c r="D22" s="844"/>
      <c r="E22" s="844" t="s">
        <v>467</v>
      </c>
      <c r="F22" s="844"/>
      <c r="G22" s="844"/>
      <c r="H22" s="844"/>
      <c r="I22" s="844"/>
      <c r="J22" s="844"/>
      <c r="K22" s="844"/>
      <c r="L22" s="844"/>
    </row>
    <row r="23" spans="2:12" ht="38.25" customHeight="1" thickTop="1" thickBot="1">
      <c r="B23" s="843"/>
      <c r="C23" s="844"/>
      <c r="D23" s="844"/>
      <c r="E23" s="340" t="s">
        <v>468</v>
      </c>
      <c r="F23" s="340" t="s">
        <v>469</v>
      </c>
      <c r="G23" s="844" t="s">
        <v>470</v>
      </c>
      <c r="H23" s="844"/>
      <c r="I23" s="844"/>
      <c r="J23" s="844" t="s">
        <v>471</v>
      </c>
      <c r="K23" s="844"/>
      <c r="L23" s="844"/>
    </row>
    <row r="24" spans="2:12" ht="13.5" customHeight="1" thickTop="1" thickBot="1">
      <c r="B24" s="341">
        <v>1</v>
      </c>
      <c r="C24" s="834">
        <f>'GA55 Only Print'!X6</f>
        <v>0</v>
      </c>
      <c r="D24" s="834"/>
      <c r="E24" s="333"/>
      <c r="F24" s="333"/>
      <c r="G24" s="835"/>
      <c r="H24" s="835"/>
      <c r="I24" s="835"/>
      <c r="J24" s="836" t="str">
        <f>IF(E24&gt;"0","Yes","-")</f>
        <v>-</v>
      </c>
      <c r="K24" s="836"/>
      <c r="L24" s="836"/>
    </row>
    <row r="25" spans="2:12" ht="13.5" customHeight="1" thickTop="1" thickBot="1">
      <c r="B25" s="341">
        <v>2</v>
      </c>
      <c r="C25" s="834">
        <f>'GA55 Only Print'!X7</f>
        <v>1500</v>
      </c>
      <c r="D25" s="834"/>
      <c r="E25" s="333"/>
      <c r="F25" s="333"/>
      <c r="G25" s="835"/>
      <c r="H25" s="835"/>
      <c r="I25" s="835"/>
      <c r="J25" s="836" t="str">
        <f t="shared" ref="J25:J37" si="0">IF(E25&gt;"0","Yes","-")</f>
        <v>-</v>
      </c>
      <c r="K25" s="836"/>
      <c r="L25" s="836"/>
    </row>
    <row r="26" spans="2:12" ht="13.5" customHeight="1" thickTop="1" thickBot="1">
      <c r="B26" s="341">
        <v>3</v>
      </c>
      <c r="C26" s="834">
        <f>'GA55 Only Print'!X8</f>
        <v>1500</v>
      </c>
      <c r="D26" s="834"/>
      <c r="E26" s="333"/>
      <c r="F26" s="333"/>
      <c r="G26" s="835"/>
      <c r="H26" s="835"/>
      <c r="I26" s="835"/>
      <c r="J26" s="836" t="str">
        <f t="shared" si="0"/>
        <v>-</v>
      </c>
      <c r="K26" s="836"/>
      <c r="L26" s="836"/>
    </row>
    <row r="27" spans="2:12" ht="13.5" customHeight="1" thickTop="1" thickBot="1">
      <c r="B27" s="341">
        <v>4</v>
      </c>
      <c r="C27" s="834">
        <f>'GA55 Only Print'!X9</f>
        <v>1500</v>
      </c>
      <c r="D27" s="834"/>
      <c r="E27" s="333"/>
      <c r="F27" s="333"/>
      <c r="G27" s="835"/>
      <c r="H27" s="835"/>
      <c r="I27" s="835"/>
      <c r="J27" s="836" t="str">
        <f t="shared" si="0"/>
        <v>-</v>
      </c>
      <c r="K27" s="836"/>
      <c r="L27" s="836"/>
    </row>
    <row r="28" spans="2:12" ht="13.5" customHeight="1" thickTop="1" thickBot="1">
      <c r="B28" s="341">
        <v>5</v>
      </c>
      <c r="C28" s="834">
        <f>'GA55 Only Print'!X10</f>
        <v>1500</v>
      </c>
      <c r="D28" s="834"/>
      <c r="E28" s="333"/>
      <c r="F28" s="333"/>
      <c r="G28" s="835"/>
      <c r="H28" s="835"/>
      <c r="I28" s="835"/>
      <c r="J28" s="836" t="str">
        <f t="shared" si="0"/>
        <v>-</v>
      </c>
      <c r="K28" s="836"/>
      <c r="L28" s="836"/>
    </row>
    <row r="29" spans="2:12" ht="13.5" customHeight="1" thickTop="1" thickBot="1">
      <c r="B29" s="341">
        <v>6</v>
      </c>
      <c r="C29" s="834">
        <f>'GA55 Only Print'!X11</f>
        <v>1500</v>
      </c>
      <c r="D29" s="834"/>
      <c r="E29" s="333"/>
      <c r="F29" s="333"/>
      <c r="G29" s="835"/>
      <c r="H29" s="835"/>
      <c r="I29" s="835"/>
      <c r="J29" s="836" t="str">
        <f t="shared" si="0"/>
        <v>-</v>
      </c>
      <c r="K29" s="836"/>
      <c r="L29" s="836"/>
    </row>
    <row r="30" spans="2:12" ht="13.5" customHeight="1" thickTop="1" thickBot="1">
      <c r="B30" s="341">
        <v>7</v>
      </c>
      <c r="C30" s="834">
        <f>'GA55 Only Print'!X12</f>
        <v>1500</v>
      </c>
      <c r="D30" s="834"/>
      <c r="E30" s="333"/>
      <c r="F30" s="333"/>
      <c r="G30" s="835"/>
      <c r="H30" s="835"/>
      <c r="I30" s="835"/>
      <c r="J30" s="836" t="str">
        <f t="shared" si="0"/>
        <v>-</v>
      </c>
      <c r="K30" s="836"/>
      <c r="L30" s="836"/>
    </row>
    <row r="31" spans="2:12" ht="13.5" customHeight="1" thickTop="1" thickBot="1">
      <c r="B31" s="341">
        <v>8</v>
      </c>
      <c r="C31" s="834">
        <f>'GA55 Only Print'!X13</f>
        <v>1500</v>
      </c>
      <c r="D31" s="834"/>
      <c r="E31" s="333"/>
      <c r="F31" s="333"/>
      <c r="G31" s="835"/>
      <c r="H31" s="835"/>
      <c r="I31" s="835"/>
      <c r="J31" s="836" t="str">
        <f t="shared" si="0"/>
        <v>-</v>
      </c>
      <c r="K31" s="836"/>
      <c r="L31" s="836"/>
    </row>
    <row r="32" spans="2:12" ht="13.5" customHeight="1" thickTop="1" thickBot="1">
      <c r="B32" s="341">
        <v>9</v>
      </c>
      <c r="C32" s="834">
        <f>'GA55 Only Print'!X14</f>
        <v>1500</v>
      </c>
      <c r="D32" s="834"/>
      <c r="E32" s="333"/>
      <c r="F32" s="333"/>
      <c r="G32" s="835"/>
      <c r="H32" s="835"/>
      <c r="I32" s="835"/>
      <c r="J32" s="836" t="str">
        <f t="shared" si="0"/>
        <v>-</v>
      </c>
      <c r="K32" s="836"/>
      <c r="L32" s="836"/>
    </row>
    <row r="33" spans="2:12" ht="13.5" customHeight="1" thickTop="1" thickBot="1">
      <c r="B33" s="341">
        <v>10</v>
      </c>
      <c r="C33" s="834">
        <f>'GA55 Only Print'!X15</f>
        <v>1500</v>
      </c>
      <c r="D33" s="834"/>
      <c r="E33" s="333"/>
      <c r="F33" s="333"/>
      <c r="G33" s="835"/>
      <c r="H33" s="835"/>
      <c r="I33" s="835"/>
      <c r="J33" s="836" t="str">
        <f t="shared" si="0"/>
        <v>-</v>
      </c>
      <c r="K33" s="836"/>
      <c r="L33" s="836"/>
    </row>
    <row r="34" spans="2:12" ht="13.5" customHeight="1" thickTop="1" thickBot="1">
      <c r="B34" s="341">
        <v>11</v>
      </c>
      <c r="C34" s="834">
        <f>'GA55 Only Print'!X16</f>
        <v>1500</v>
      </c>
      <c r="D34" s="834"/>
      <c r="E34" s="333"/>
      <c r="F34" s="333"/>
      <c r="G34" s="835"/>
      <c r="H34" s="835"/>
      <c r="I34" s="835"/>
      <c r="J34" s="836" t="str">
        <f t="shared" si="0"/>
        <v>-</v>
      </c>
      <c r="K34" s="836"/>
      <c r="L34" s="836"/>
    </row>
    <row r="35" spans="2:12" ht="13.5" customHeight="1" thickTop="1" thickBot="1">
      <c r="B35" s="341">
        <v>12</v>
      </c>
      <c r="C35" s="834">
        <f>'GA55 Only Print'!X17</f>
        <v>0</v>
      </c>
      <c r="D35" s="834"/>
      <c r="E35" s="333"/>
      <c r="F35" s="333"/>
      <c r="G35" s="835"/>
      <c r="H35" s="835"/>
      <c r="I35" s="835"/>
      <c r="J35" s="836" t="str">
        <f t="shared" si="0"/>
        <v>-</v>
      </c>
      <c r="K35" s="836"/>
      <c r="L35" s="836"/>
    </row>
    <row r="36" spans="2:12" ht="13.5" customHeight="1" thickTop="1" thickBot="1">
      <c r="B36" s="341">
        <v>13</v>
      </c>
      <c r="C36" s="834">
        <f>SUM(C24:D34)-'GA55 Only Print'!X27</f>
        <v>0</v>
      </c>
      <c r="D36" s="834"/>
      <c r="E36" s="333"/>
      <c r="F36" s="333"/>
      <c r="G36" s="835"/>
      <c r="H36" s="835"/>
      <c r="I36" s="835"/>
      <c r="J36" s="836" t="str">
        <f t="shared" si="0"/>
        <v>-</v>
      </c>
      <c r="K36" s="836"/>
      <c r="L36" s="836"/>
    </row>
    <row r="37" spans="2:12" ht="13.5" hidden="1" customHeight="1">
      <c r="B37" s="341">
        <v>14</v>
      </c>
      <c r="C37" s="834">
        <f>'[3]G.A. 55'!T24+'[3]G.A. 55'!T26</f>
        <v>0</v>
      </c>
      <c r="D37" s="834"/>
      <c r="E37" s="342"/>
      <c r="F37" s="342"/>
      <c r="G37" s="845"/>
      <c r="H37" s="845"/>
      <c r="I37" s="845"/>
      <c r="J37" s="836" t="str">
        <f t="shared" si="0"/>
        <v>-</v>
      </c>
      <c r="K37" s="836"/>
      <c r="L37" s="836"/>
    </row>
    <row r="38" spans="2:12" ht="14.25" customHeight="1" thickTop="1" thickBot="1">
      <c r="B38" s="343" t="s">
        <v>472</v>
      </c>
      <c r="C38" s="852">
        <f>SUM(C24:D37)</f>
        <v>15000</v>
      </c>
      <c r="D38" s="852"/>
      <c r="E38" s="853"/>
      <c r="F38" s="853"/>
      <c r="G38" s="853"/>
      <c r="H38" s="853"/>
      <c r="I38" s="853"/>
      <c r="J38" s="853"/>
      <c r="K38" s="853"/>
      <c r="L38" s="853"/>
    </row>
    <row r="39" spans="2:12" ht="12.75" customHeight="1" thickTop="1" thickBot="1">
      <c r="B39" s="854" t="s">
        <v>473</v>
      </c>
      <c r="C39" s="854"/>
      <c r="D39" s="854"/>
      <c r="E39" s="854"/>
      <c r="F39" s="854"/>
      <c r="G39" s="854"/>
      <c r="H39" s="854"/>
      <c r="I39" s="854"/>
      <c r="J39" s="854"/>
      <c r="K39" s="854"/>
      <c r="L39" s="854"/>
    </row>
    <row r="40" spans="2:12" ht="12.75" customHeight="1" thickTop="1" thickBot="1">
      <c r="B40" s="855" t="s">
        <v>474</v>
      </c>
      <c r="C40" s="855"/>
      <c r="D40" s="855"/>
      <c r="E40" s="855"/>
      <c r="F40" s="855"/>
      <c r="G40" s="855"/>
      <c r="H40" s="855"/>
      <c r="I40" s="855"/>
      <c r="J40" s="855"/>
      <c r="K40" s="855"/>
      <c r="L40" s="855"/>
    </row>
    <row r="41" spans="2:12" ht="12.75" customHeight="1" thickTop="1" thickBot="1">
      <c r="B41" s="846" t="s">
        <v>75</v>
      </c>
      <c r="C41" s="856" t="s">
        <v>475</v>
      </c>
      <c r="D41" s="856"/>
      <c r="E41" s="846" t="s">
        <v>476</v>
      </c>
      <c r="F41" s="846"/>
      <c r="G41" s="846"/>
      <c r="H41" s="846"/>
      <c r="I41" s="846"/>
      <c r="J41" s="846"/>
      <c r="K41" s="846"/>
      <c r="L41" s="846"/>
    </row>
    <row r="42" spans="2:12" ht="35.450000000000003" customHeight="1" thickTop="1" thickBot="1">
      <c r="B42" s="846"/>
      <c r="C42" s="856"/>
      <c r="D42" s="856"/>
      <c r="E42" s="846" t="s">
        <v>477</v>
      </c>
      <c r="F42" s="846"/>
      <c r="G42" s="846" t="s">
        <v>478</v>
      </c>
      <c r="H42" s="846"/>
      <c r="I42" s="846" t="s">
        <v>479</v>
      </c>
      <c r="J42" s="846"/>
      <c r="K42" s="846" t="s">
        <v>480</v>
      </c>
      <c r="L42" s="846"/>
    </row>
    <row r="43" spans="2:12" ht="13.5" customHeight="1" thickTop="1" thickBot="1">
      <c r="B43" s="344">
        <v>1</v>
      </c>
      <c r="C43" s="847"/>
      <c r="D43" s="847"/>
      <c r="E43" s="848"/>
      <c r="F43" s="848"/>
      <c r="G43" s="849"/>
      <c r="H43" s="849"/>
      <c r="I43" s="850"/>
      <c r="J43" s="850"/>
      <c r="K43" s="851" t="str">
        <f>IF(C43&gt;"0","Yes","-")</f>
        <v>-</v>
      </c>
      <c r="L43" s="851"/>
    </row>
    <row r="44" spans="2:12" ht="13.5" customHeight="1" thickTop="1" thickBot="1">
      <c r="B44" s="344">
        <v>2</v>
      </c>
      <c r="C44" s="847"/>
      <c r="D44" s="847"/>
      <c r="E44" s="848"/>
      <c r="F44" s="848"/>
      <c r="G44" s="849"/>
      <c r="H44" s="849"/>
      <c r="I44" s="850"/>
      <c r="J44" s="850"/>
      <c r="K44" s="851" t="str">
        <f t="shared" ref="K44:K54" si="1">IF(C44&gt;"0","Yes","-")</f>
        <v>-</v>
      </c>
      <c r="L44" s="851"/>
    </row>
    <row r="45" spans="2:12" ht="13.5" customHeight="1" thickTop="1" thickBot="1">
      <c r="B45" s="344">
        <v>3</v>
      </c>
      <c r="C45" s="847"/>
      <c r="D45" s="847"/>
      <c r="E45" s="848"/>
      <c r="F45" s="848"/>
      <c r="G45" s="849"/>
      <c r="H45" s="849"/>
      <c r="I45" s="850"/>
      <c r="J45" s="850"/>
      <c r="K45" s="851" t="str">
        <f t="shared" si="1"/>
        <v>-</v>
      </c>
      <c r="L45" s="851"/>
    </row>
    <row r="46" spans="2:12" ht="13.5" customHeight="1" thickTop="1" thickBot="1">
      <c r="B46" s="344">
        <v>4</v>
      </c>
      <c r="C46" s="847"/>
      <c r="D46" s="847"/>
      <c r="E46" s="848"/>
      <c r="F46" s="848"/>
      <c r="G46" s="849"/>
      <c r="H46" s="849"/>
      <c r="I46" s="850"/>
      <c r="J46" s="850"/>
      <c r="K46" s="851" t="str">
        <f t="shared" si="1"/>
        <v>-</v>
      </c>
      <c r="L46" s="851"/>
    </row>
    <row r="47" spans="2:12" ht="13.5" customHeight="1" thickTop="1" thickBot="1">
      <c r="B47" s="344">
        <v>5</v>
      </c>
      <c r="C47" s="847"/>
      <c r="D47" s="847"/>
      <c r="E47" s="848"/>
      <c r="F47" s="848"/>
      <c r="G47" s="849"/>
      <c r="H47" s="849"/>
      <c r="I47" s="850"/>
      <c r="J47" s="850"/>
      <c r="K47" s="851" t="str">
        <f t="shared" si="1"/>
        <v>-</v>
      </c>
      <c r="L47" s="851"/>
    </row>
    <row r="48" spans="2:12" ht="13.5" customHeight="1" thickTop="1" thickBot="1">
      <c r="B48" s="344">
        <v>6</v>
      </c>
      <c r="C48" s="847"/>
      <c r="D48" s="847"/>
      <c r="E48" s="848"/>
      <c r="F48" s="848"/>
      <c r="G48" s="849"/>
      <c r="H48" s="849"/>
      <c r="I48" s="850"/>
      <c r="J48" s="850"/>
      <c r="K48" s="851" t="str">
        <f t="shared" si="1"/>
        <v>-</v>
      </c>
      <c r="L48" s="851"/>
    </row>
    <row r="49" spans="2:12" ht="13.5" customHeight="1" thickTop="1" thickBot="1">
      <c r="B49" s="344">
        <v>7</v>
      </c>
      <c r="C49" s="847"/>
      <c r="D49" s="847"/>
      <c r="E49" s="848"/>
      <c r="F49" s="848"/>
      <c r="G49" s="849"/>
      <c r="H49" s="849"/>
      <c r="I49" s="850"/>
      <c r="J49" s="850"/>
      <c r="K49" s="851" t="str">
        <f t="shared" si="1"/>
        <v>-</v>
      </c>
      <c r="L49" s="851"/>
    </row>
    <row r="50" spans="2:12" ht="13.5" customHeight="1" thickTop="1" thickBot="1">
      <c r="B50" s="344">
        <v>8</v>
      </c>
      <c r="C50" s="847"/>
      <c r="D50" s="847"/>
      <c r="E50" s="848"/>
      <c r="F50" s="848"/>
      <c r="G50" s="849"/>
      <c r="H50" s="849"/>
      <c r="I50" s="850"/>
      <c r="J50" s="850"/>
      <c r="K50" s="851" t="str">
        <f t="shared" si="1"/>
        <v>-</v>
      </c>
      <c r="L50" s="851"/>
    </row>
    <row r="51" spans="2:12" ht="13.5" customHeight="1" thickTop="1" thickBot="1">
      <c r="B51" s="344">
        <v>9</v>
      </c>
      <c r="C51" s="847"/>
      <c r="D51" s="847"/>
      <c r="E51" s="848"/>
      <c r="F51" s="848"/>
      <c r="G51" s="849"/>
      <c r="H51" s="849"/>
      <c r="I51" s="850"/>
      <c r="J51" s="850"/>
      <c r="K51" s="851" t="str">
        <f t="shared" si="1"/>
        <v>-</v>
      </c>
      <c r="L51" s="851"/>
    </row>
    <row r="52" spans="2:12" ht="13.5" customHeight="1" thickTop="1" thickBot="1">
      <c r="B52" s="344">
        <v>10</v>
      </c>
      <c r="C52" s="847"/>
      <c r="D52" s="847"/>
      <c r="E52" s="848"/>
      <c r="F52" s="848"/>
      <c r="G52" s="849"/>
      <c r="H52" s="849"/>
      <c r="I52" s="850"/>
      <c r="J52" s="850"/>
      <c r="K52" s="851" t="str">
        <f t="shared" si="1"/>
        <v>-</v>
      </c>
      <c r="L52" s="851"/>
    </row>
    <row r="53" spans="2:12" ht="13.5" customHeight="1" thickTop="1" thickBot="1">
      <c r="B53" s="344">
        <v>11</v>
      </c>
      <c r="C53" s="847"/>
      <c r="D53" s="847"/>
      <c r="E53" s="848"/>
      <c r="F53" s="848"/>
      <c r="G53" s="849"/>
      <c r="H53" s="849"/>
      <c r="I53" s="850"/>
      <c r="J53" s="850"/>
      <c r="K53" s="851" t="str">
        <f t="shared" si="1"/>
        <v>-</v>
      </c>
      <c r="L53" s="851"/>
    </row>
    <row r="54" spans="2:12" ht="13.5" customHeight="1" thickTop="1" thickBot="1">
      <c r="B54" s="344">
        <v>12</v>
      </c>
      <c r="C54" s="847"/>
      <c r="D54" s="847"/>
      <c r="E54" s="848"/>
      <c r="F54" s="848"/>
      <c r="G54" s="849"/>
      <c r="H54" s="849"/>
      <c r="I54" s="850"/>
      <c r="J54" s="850"/>
      <c r="K54" s="851" t="str">
        <f t="shared" si="1"/>
        <v>-</v>
      </c>
      <c r="L54" s="851"/>
    </row>
    <row r="55" spans="2:12" ht="13.5" hidden="1" customHeight="1">
      <c r="B55" s="344">
        <v>13</v>
      </c>
      <c r="C55" s="857"/>
      <c r="D55" s="857"/>
      <c r="E55" s="858"/>
      <c r="F55" s="858"/>
      <c r="G55" s="851"/>
      <c r="H55" s="851"/>
      <c r="I55" s="859"/>
      <c r="J55" s="859"/>
      <c r="K55" s="851"/>
      <c r="L55" s="851"/>
    </row>
    <row r="56" spans="2:12" ht="13.5" hidden="1" customHeight="1">
      <c r="B56" s="344">
        <v>14</v>
      </c>
      <c r="C56" s="857"/>
      <c r="D56" s="857"/>
      <c r="E56" s="858"/>
      <c r="F56" s="858"/>
      <c r="G56" s="851"/>
      <c r="H56" s="851"/>
      <c r="I56" s="859"/>
      <c r="J56" s="859"/>
      <c r="K56" s="851"/>
      <c r="L56" s="851"/>
    </row>
    <row r="57" spans="2:12" ht="15.6" customHeight="1" thickTop="1" thickBot="1">
      <c r="B57" s="345" t="s">
        <v>472</v>
      </c>
      <c r="C57" s="867">
        <f>SUM(C43:C56)</f>
        <v>0</v>
      </c>
      <c r="D57" s="867"/>
      <c r="E57" s="867"/>
      <c r="F57" s="867"/>
      <c r="G57" s="867"/>
      <c r="H57" s="867"/>
      <c r="I57" s="867"/>
      <c r="J57" s="867"/>
      <c r="K57" s="867"/>
      <c r="L57" s="867"/>
    </row>
    <row r="58" spans="2:12" ht="12.75" customHeight="1" thickTop="1">
      <c r="B58" s="860" t="s">
        <v>481</v>
      </c>
      <c r="C58" s="860"/>
      <c r="D58" s="860"/>
      <c r="E58" s="860"/>
      <c r="F58" s="860"/>
      <c r="G58" s="860"/>
      <c r="H58" s="860"/>
      <c r="I58" s="860"/>
      <c r="J58" s="860"/>
      <c r="K58" s="860"/>
      <c r="L58" s="860"/>
    </row>
    <row r="59" spans="2:12" ht="18.75" customHeight="1">
      <c r="B59" s="861" t="s">
        <v>482</v>
      </c>
      <c r="C59" s="861"/>
      <c r="D59" s="861"/>
      <c r="E59" s="861"/>
      <c r="F59" s="861"/>
      <c r="G59" s="861"/>
      <c r="H59" s="861"/>
      <c r="I59" s="861"/>
      <c r="J59" s="861"/>
      <c r="K59" s="861"/>
      <c r="L59" s="861"/>
    </row>
    <row r="60" spans="2:12" ht="15" customHeight="1">
      <c r="B60" s="346" t="s">
        <v>483</v>
      </c>
      <c r="C60" s="862" t="str">
        <f>B6&amp;","</f>
        <v>USHA PALIYA,</v>
      </c>
      <c r="D60" s="862"/>
      <c r="E60" s="862"/>
      <c r="F60" s="347" t="s">
        <v>484</v>
      </c>
      <c r="G60" s="863"/>
      <c r="H60" s="863"/>
      <c r="I60" s="863"/>
      <c r="J60" s="863"/>
      <c r="K60" s="864" t="s">
        <v>485</v>
      </c>
      <c r="L60" s="864"/>
    </row>
    <row r="61" spans="2:12">
      <c r="B61" s="865" t="s">
        <v>486</v>
      </c>
      <c r="C61" s="865"/>
      <c r="D61" s="863" t="s">
        <v>568</v>
      </c>
      <c r="E61" s="863"/>
      <c r="F61" s="863"/>
      <c r="G61" s="866" t="s">
        <v>487</v>
      </c>
      <c r="H61" s="866"/>
      <c r="I61" s="866"/>
      <c r="J61" s="866"/>
      <c r="K61" s="866"/>
      <c r="L61" s="866"/>
    </row>
    <row r="62" spans="2:12">
      <c r="B62" s="348" t="s">
        <v>488</v>
      </c>
      <c r="C62" s="349">
        <f>J19</f>
        <v>15000</v>
      </c>
      <c r="D62" s="873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62" s="873"/>
      <c r="F62" s="873"/>
      <c r="G62" s="873"/>
      <c r="H62" s="873"/>
      <c r="I62" s="874" t="s">
        <v>489</v>
      </c>
      <c r="J62" s="874"/>
      <c r="K62" s="874"/>
      <c r="L62" s="874"/>
    </row>
    <row r="63" spans="2:12">
      <c r="B63" s="875" t="s">
        <v>570</v>
      </c>
      <c r="C63" s="875"/>
      <c r="D63" s="875"/>
      <c r="E63" s="875"/>
      <c r="F63" s="875"/>
      <c r="G63" s="875"/>
      <c r="H63" s="875"/>
      <c r="I63" s="875"/>
      <c r="J63" s="875"/>
      <c r="K63" s="875"/>
      <c r="L63" s="875"/>
    </row>
    <row r="64" spans="2:12">
      <c r="B64" s="875" t="s">
        <v>569</v>
      </c>
      <c r="C64" s="875"/>
      <c r="D64" s="875"/>
      <c r="E64" s="875"/>
      <c r="F64" s="875"/>
      <c r="G64" s="875"/>
      <c r="H64" s="875"/>
      <c r="I64" s="875"/>
      <c r="J64" s="875"/>
      <c r="K64" s="875"/>
      <c r="L64" s="875"/>
    </row>
    <row r="65" spans="2:13" ht="27.6" customHeight="1">
      <c r="B65" s="868" t="s">
        <v>490</v>
      </c>
      <c r="C65" s="868"/>
      <c r="D65" s="876" t="str">
        <f>G7</f>
        <v>M.G.G.S. BAR</v>
      </c>
      <c r="E65" s="876"/>
      <c r="F65" s="862"/>
      <c r="G65" s="862"/>
      <c r="H65" s="862"/>
      <c r="I65" s="862"/>
      <c r="J65" s="862"/>
      <c r="K65" s="862"/>
      <c r="L65" s="862"/>
    </row>
    <row r="66" spans="2:13" ht="15.75">
      <c r="B66" s="868" t="s">
        <v>491</v>
      </c>
      <c r="C66" s="868"/>
      <c r="D66" s="869">
        <f ca="1">TODAY()</f>
        <v>44254</v>
      </c>
      <c r="E66" s="869"/>
      <c r="F66" s="870" t="s">
        <v>492</v>
      </c>
      <c r="G66" s="870"/>
      <c r="H66" s="870"/>
      <c r="I66" s="870"/>
      <c r="J66" s="870"/>
      <c r="K66" s="870"/>
      <c r="L66" s="870"/>
    </row>
    <row r="67" spans="2:13" ht="15" customHeight="1">
      <c r="B67" s="868" t="s">
        <v>493</v>
      </c>
      <c r="C67" s="868"/>
      <c r="D67" s="871" t="str">
        <f>D61</f>
        <v>PRINCIPAL</v>
      </c>
      <c r="E67" s="871"/>
      <c r="F67" s="350" t="s">
        <v>571</v>
      </c>
      <c r="G67" s="872" t="str">
        <f>B6</f>
        <v>USHA PALIYA</v>
      </c>
      <c r="H67" s="872"/>
      <c r="I67" s="872"/>
      <c r="J67" s="872"/>
      <c r="K67" s="872"/>
      <c r="L67" s="872"/>
    </row>
    <row r="68" spans="2:13" ht="15.75" thickBot="1">
      <c r="B68" s="877" t="s">
        <v>494</v>
      </c>
      <c r="C68" s="877"/>
      <c r="D68" s="877"/>
      <c r="E68" s="877"/>
      <c r="F68" s="877"/>
      <c r="G68" s="877"/>
      <c r="H68" s="877"/>
      <c r="I68" s="877"/>
      <c r="J68" s="877"/>
      <c r="K68" s="877"/>
      <c r="L68" s="877"/>
      <c r="M68" s="69"/>
    </row>
    <row r="69" spans="2:13" ht="16.5" thickTop="1" thickBot="1">
      <c r="B69" s="878" t="s">
        <v>495</v>
      </c>
      <c r="C69" s="878"/>
      <c r="D69" s="878"/>
      <c r="E69" s="878"/>
      <c r="F69" s="878"/>
      <c r="G69" s="878"/>
      <c r="H69" s="878"/>
      <c r="I69" s="878"/>
      <c r="J69" s="878"/>
      <c r="K69" s="878"/>
      <c r="L69" s="878"/>
      <c r="M69" s="69"/>
    </row>
    <row r="70" spans="2:13" ht="16.5" thickTop="1" thickBot="1">
      <c r="B70" s="879" t="s">
        <v>496</v>
      </c>
      <c r="C70" s="879"/>
      <c r="D70" s="879"/>
      <c r="E70" s="879"/>
      <c r="F70" s="879"/>
      <c r="G70" s="880"/>
      <c r="H70" s="880"/>
      <c r="I70" s="881"/>
      <c r="J70" s="881"/>
      <c r="K70" s="882"/>
      <c r="L70" s="882"/>
    </row>
    <row r="71" spans="2:13" ht="16.5" thickTop="1" thickBot="1">
      <c r="B71" s="883" t="s">
        <v>497</v>
      </c>
      <c r="C71" s="883"/>
      <c r="D71" s="883"/>
      <c r="E71" s="883"/>
      <c r="F71" s="883"/>
      <c r="G71" s="884">
        <f>COMPUTATION!O4+COMPUTATION!O5</f>
        <v>780994</v>
      </c>
      <c r="H71" s="884"/>
      <c r="I71" s="881"/>
      <c r="J71" s="881"/>
      <c r="K71" s="882"/>
      <c r="L71" s="882"/>
    </row>
    <row r="72" spans="2:13" ht="24" customHeight="1" thickTop="1" thickBot="1">
      <c r="B72" s="883" t="s">
        <v>498</v>
      </c>
      <c r="C72" s="883"/>
      <c r="D72" s="883"/>
      <c r="E72" s="883"/>
      <c r="F72" s="883"/>
      <c r="G72" s="885"/>
      <c r="H72" s="885"/>
      <c r="I72" s="881"/>
      <c r="J72" s="881"/>
      <c r="K72" s="882"/>
      <c r="L72" s="882"/>
    </row>
    <row r="73" spans="2:13" ht="27.75" customHeight="1" thickTop="1" thickBot="1">
      <c r="B73" s="883" t="s">
        <v>499</v>
      </c>
      <c r="C73" s="883"/>
      <c r="D73" s="883"/>
      <c r="E73" s="883"/>
      <c r="F73" s="883"/>
      <c r="G73" s="887">
        <v>0</v>
      </c>
      <c r="H73" s="887"/>
      <c r="I73" s="881"/>
      <c r="J73" s="881"/>
      <c r="K73" s="882"/>
      <c r="L73" s="882"/>
    </row>
    <row r="74" spans="2:13" ht="17.45" customHeight="1" thickTop="1" thickBot="1">
      <c r="B74" s="888" t="s">
        <v>500</v>
      </c>
      <c r="C74" s="888"/>
      <c r="D74" s="888"/>
      <c r="E74" s="888"/>
      <c r="F74" s="888"/>
      <c r="G74" s="889"/>
      <c r="H74" s="889"/>
      <c r="I74" s="886">
        <f>G71+G72+G73</f>
        <v>780994</v>
      </c>
      <c r="J74" s="886"/>
      <c r="K74" s="882"/>
      <c r="L74" s="882"/>
    </row>
    <row r="75" spans="2:13" ht="17.45" customHeight="1" thickTop="1" thickBot="1">
      <c r="B75" s="883" t="s">
        <v>501</v>
      </c>
      <c r="C75" s="883"/>
      <c r="D75" s="883"/>
      <c r="E75" s="883"/>
      <c r="F75" s="883"/>
      <c r="G75" s="889"/>
      <c r="H75" s="889"/>
      <c r="I75" s="890"/>
      <c r="J75" s="890"/>
      <c r="K75" s="882"/>
      <c r="L75" s="882"/>
    </row>
    <row r="76" spans="2:13" ht="16.5" thickTop="1" thickBot="1">
      <c r="B76" s="810" t="s">
        <v>502</v>
      </c>
      <c r="C76" s="811"/>
      <c r="D76" s="811"/>
      <c r="E76" s="811"/>
      <c r="F76" s="812"/>
      <c r="G76" s="889"/>
      <c r="H76" s="889"/>
      <c r="I76" s="890"/>
      <c r="J76" s="890"/>
      <c r="K76" s="882"/>
      <c r="L76" s="882"/>
    </row>
    <row r="77" spans="2:13" ht="16.5" thickTop="1" thickBot="1">
      <c r="B77" s="891" t="s">
        <v>503</v>
      </c>
      <c r="C77" s="891"/>
      <c r="D77" s="891"/>
      <c r="E77" s="351">
        <f>COMPUTATION!O6</f>
        <v>0</v>
      </c>
      <c r="F77" s="351">
        <f>E77</f>
        <v>0</v>
      </c>
      <c r="G77" s="889"/>
      <c r="H77" s="889"/>
      <c r="I77" s="890"/>
      <c r="J77" s="890"/>
      <c r="K77" s="882"/>
      <c r="L77" s="882"/>
    </row>
    <row r="78" spans="2:13" ht="16.5" thickTop="1" thickBot="1">
      <c r="B78" s="878" t="s">
        <v>504</v>
      </c>
      <c r="C78" s="878"/>
      <c r="D78" s="878"/>
      <c r="E78" s="352"/>
      <c r="F78" s="362">
        <v>0</v>
      </c>
      <c r="G78" s="884">
        <f>F77+F78</f>
        <v>0</v>
      </c>
      <c r="H78" s="884"/>
      <c r="I78" s="890"/>
      <c r="J78" s="890"/>
      <c r="K78" s="882"/>
      <c r="L78" s="882"/>
    </row>
    <row r="79" spans="2:13" ht="16.5" thickTop="1" thickBot="1">
      <c r="B79" s="879" t="s">
        <v>505</v>
      </c>
      <c r="C79" s="879"/>
      <c r="D79" s="879"/>
      <c r="E79" s="879"/>
      <c r="F79" s="879"/>
      <c r="G79" s="890"/>
      <c r="H79" s="890"/>
      <c r="I79" s="886">
        <f>I74-G78</f>
        <v>780994</v>
      </c>
      <c r="J79" s="886"/>
      <c r="K79" s="882"/>
      <c r="L79" s="882"/>
    </row>
    <row r="80" spans="2:13" ht="13.5" customHeight="1" thickTop="1" thickBot="1">
      <c r="B80" s="883" t="s">
        <v>506</v>
      </c>
      <c r="C80" s="883"/>
      <c r="D80" s="883"/>
      <c r="E80" s="883"/>
      <c r="F80" s="883"/>
      <c r="G80" s="890"/>
      <c r="H80" s="890"/>
      <c r="I80" s="804"/>
      <c r="J80" s="805"/>
      <c r="K80" s="882"/>
      <c r="L80" s="882"/>
    </row>
    <row r="81" spans="2:12" ht="13.5" customHeight="1" thickTop="1" thickBot="1">
      <c r="B81" s="892" t="s">
        <v>507</v>
      </c>
      <c r="C81" s="892"/>
      <c r="D81" s="883" t="s">
        <v>508</v>
      </c>
      <c r="E81" s="883"/>
      <c r="F81" s="883"/>
      <c r="G81" s="893">
        <f>COMPUTATION!K10</f>
        <v>50000</v>
      </c>
      <c r="H81" s="893"/>
      <c r="I81" s="806"/>
      <c r="J81" s="807"/>
      <c r="K81" s="882"/>
      <c r="L81" s="882"/>
    </row>
    <row r="82" spans="2:12" ht="13.5" customHeight="1" thickTop="1" thickBot="1">
      <c r="B82" s="892" t="s">
        <v>509</v>
      </c>
      <c r="C82" s="892"/>
      <c r="D82" s="883" t="s">
        <v>510</v>
      </c>
      <c r="E82" s="883"/>
      <c r="F82" s="883"/>
      <c r="G82" s="890">
        <f>COMPUTATION!K8</f>
        <v>0</v>
      </c>
      <c r="H82" s="890"/>
      <c r="I82" s="806"/>
      <c r="J82" s="807"/>
      <c r="K82" s="882"/>
      <c r="L82" s="882"/>
    </row>
    <row r="83" spans="2:12" ht="13.5" customHeight="1" thickTop="1" thickBot="1">
      <c r="B83" s="892" t="s">
        <v>511</v>
      </c>
      <c r="C83" s="892"/>
      <c r="D83" s="883" t="s">
        <v>512</v>
      </c>
      <c r="E83" s="883"/>
      <c r="F83" s="883"/>
      <c r="G83" s="894">
        <f>COMPUTATION!K9</f>
        <v>0</v>
      </c>
      <c r="H83" s="894"/>
      <c r="I83" s="808"/>
      <c r="J83" s="809"/>
      <c r="K83" s="882"/>
      <c r="L83" s="882"/>
    </row>
    <row r="84" spans="2:12" ht="13.5" customHeight="1" thickTop="1" thickBot="1">
      <c r="B84" s="883" t="s">
        <v>513</v>
      </c>
      <c r="C84" s="883"/>
      <c r="D84" s="883"/>
      <c r="E84" s="883"/>
      <c r="F84" s="883"/>
      <c r="G84" s="970"/>
      <c r="H84" s="971"/>
      <c r="I84" s="884">
        <f>G82+G83+G81</f>
        <v>50000</v>
      </c>
      <c r="J84" s="884"/>
      <c r="K84" s="882"/>
      <c r="L84" s="882"/>
    </row>
    <row r="85" spans="2:12" ht="13.5" customHeight="1" thickTop="1" thickBot="1">
      <c r="B85" s="895" t="s">
        <v>514</v>
      </c>
      <c r="C85" s="895"/>
      <c r="D85" s="895"/>
      <c r="E85" s="895"/>
      <c r="F85" s="895"/>
      <c r="G85" s="972"/>
      <c r="H85" s="973"/>
      <c r="I85" s="881"/>
      <c r="J85" s="881"/>
      <c r="K85" s="896">
        <f>I79-I84</f>
        <v>730994</v>
      </c>
      <c r="L85" s="896"/>
    </row>
    <row r="86" spans="2:12" ht="13.5" customHeight="1" thickTop="1" thickBot="1">
      <c r="B86" s="895" t="s">
        <v>515</v>
      </c>
      <c r="C86" s="895"/>
      <c r="D86" s="895"/>
      <c r="E86" s="895"/>
      <c r="F86" s="895"/>
      <c r="G86" s="972"/>
      <c r="H86" s="973"/>
      <c r="I86" s="881"/>
      <c r="J86" s="881"/>
      <c r="K86" s="882"/>
      <c r="L86" s="882"/>
    </row>
    <row r="87" spans="2:12" ht="13.5" customHeight="1" thickTop="1" thickBot="1">
      <c r="B87" s="901" t="s">
        <v>516</v>
      </c>
      <c r="C87" s="901"/>
      <c r="D87" s="901"/>
      <c r="E87" s="901"/>
      <c r="F87" s="353" t="s">
        <v>613</v>
      </c>
      <c r="G87" s="893">
        <f>COMPUTATION!E17+COMPUTATION!I16</f>
        <v>0</v>
      </c>
      <c r="H87" s="893"/>
      <c r="I87" s="881"/>
      <c r="J87" s="881"/>
      <c r="K87" s="882"/>
      <c r="L87" s="882"/>
    </row>
    <row r="88" spans="2:12" ht="13.5" customHeight="1" thickTop="1" thickBot="1">
      <c r="B88" s="901" t="s">
        <v>517</v>
      </c>
      <c r="C88" s="901"/>
      <c r="D88" s="901"/>
      <c r="E88" s="901"/>
      <c r="F88" s="354">
        <f>COMPUTATION!K12</f>
        <v>0</v>
      </c>
      <c r="G88" s="893"/>
      <c r="H88" s="893"/>
      <c r="I88" s="881"/>
      <c r="J88" s="881"/>
      <c r="K88" s="882"/>
      <c r="L88" s="882"/>
    </row>
    <row r="89" spans="2:12" ht="13.5" customHeight="1" thickTop="1" thickBot="1">
      <c r="B89" s="902" t="s">
        <v>518</v>
      </c>
      <c r="C89" s="902"/>
      <c r="D89" s="902"/>
      <c r="E89" s="902"/>
      <c r="F89" s="354">
        <f>COMPUTATION!E16</f>
        <v>1500</v>
      </c>
      <c r="G89" s="893">
        <f>F89</f>
        <v>1500</v>
      </c>
      <c r="H89" s="893"/>
      <c r="I89" s="884">
        <f>F88+F89+G87</f>
        <v>1500</v>
      </c>
      <c r="J89" s="884"/>
      <c r="K89" s="882"/>
      <c r="L89" s="882"/>
    </row>
    <row r="90" spans="2:12" ht="14.25" customHeight="1" thickTop="1" thickBot="1">
      <c r="B90" s="879" t="s">
        <v>519</v>
      </c>
      <c r="C90" s="879"/>
      <c r="D90" s="879"/>
      <c r="E90" s="879"/>
      <c r="F90" s="879"/>
      <c r="G90" s="972"/>
      <c r="H90" s="973"/>
      <c r="I90" s="881"/>
      <c r="J90" s="881"/>
      <c r="K90" s="896">
        <f>K85+I89</f>
        <v>732494</v>
      </c>
      <c r="L90" s="896"/>
    </row>
    <row r="91" spans="2:12" ht="15" customHeight="1" thickTop="1" thickBot="1">
      <c r="B91" s="879" t="s">
        <v>520</v>
      </c>
      <c r="C91" s="879"/>
      <c r="D91" s="879"/>
      <c r="E91" s="879"/>
      <c r="F91" s="879"/>
      <c r="G91" s="972"/>
      <c r="H91" s="973"/>
      <c r="I91" s="881"/>
      <c r="J91" s="881"/>
      <c r="K91" s="882"/>
      <c r="L91" s="882"/>
    </row>
    <row r="92" spans="2:12" ht="15" customHeight="1" thickTop="1" thickBot="1">
      <c r="B92" s="897" t="s">
        <v>521</v>
      </c>
      <c r="C92" s="897"/>
      <c r="D92" s="897"/>
      <c r="E92" s="897"/>
      <c r="F92" s="897"/>
      <c r="G92" s="974"/>
      <c r="H92" s="975"/>
      <c r="I92" s="881"/>
      <c r="J92" s="881"/>
      <c r="K92" s="882"/>
      <c r="L92" s="882"/>
    </row>
    <row r="93" spans="2:12" ht="16.5" customHeight="1" thickTop="1" thickBot="1">
      <c r="B93" s="898" t="s">
        <v>522</v>
      </c>
      <c r="C93" s="898"/>
      <c r="D93" s="898"/>
      <c r="E93" s="898"/>
      <c r="F93" s="898"/>
      <c r="G93" s="899"/>
      <c r="H93" s="899"/>
      <c r="I93" s="900" t="s">
        <v>523</v>
      </c>
      <c r="J93" s="900"/>
      <c r="K93" s="900" t="s">
        <v>524</v>
      </c>
      <c r="L93" s="900"/>
    </row>
    <row r="94" spans="2:12" ht="12.75" customHeight="1" thickTop="1" thickBot="1">
      <c r="B94" s="903" t="s">
        <v>525</v>
      </c>
      <c r="C94" s="355">
        <v>1</v>
      </c>
      <c r="D94" s="904" t="s">
        <v>526</v>
      </c>
      <c r="E94" s="905" t="s">
        <v>6</v>
      </c>
      <c r="F94" s="905"/>
      <c r="G94" s="906">
        <f>COMPUTATION!G26</f>
        <v>67701</v>
      </c>
      <c r="H94" s="906"/>
      <c r="I94" s="912"/>
      <c r="J94" s="913"/>
      <c r="K94" s="918"/>
      <c r="L94" s="919"/>
    </row>
    <row r="95" spans="2:12" ht="12.75" customHeight="1" thickTop="1" thickBot="1">
      <c r="B95" s="903"/>
      <c r="C95" s="355">
        <v>2</v>
      </c>
      <c r="D95" s="904"/>
      <c r="E95" s="905" t="s">
        <v>527</v>
      </c>
      <c r="F95" s="905"/>
      <c r="G95" s="906">
        <f>COMPUTATION!G21</f>
        <v>84000</v>
      </c>
      <c r="H95" s="906"/>
      <c r="I95" s="914"/>
      <c r="J95" s="915"/>
      <c r="K95" s="920"/>
      <c r="L95" s="921"/>
    </row>
    <row r="96" spans="2:12" ht="12.75" customHeight="1" thickTop="1" thickBot="1">
      <c r="B96" s="903"/>
      <c r="C96" s="355">
        <v>3</v>
      </c>
      <c r="D96" s="904"/>
      <c r="E96" s="905" t="s">
        <v>528</v>
      </c>
      <c r="F96" s="905"/>
      <c r="G96" s="906">
        <f>COMPUTATION!G27</f>
        <v>220</v>
      </c>
      <c r="H96" s="906"/>
      <c r="I96" s="914"/>
      <c r="J96" s="915"/>
      <c r="K96" s="920"/>
      <c r="L96" s="921"/>
    </row>
    <row r="97" spans="2:12" ht="12.75" customHeight="1" thickTop="1" thickBot="1">
      <c r="B97" s="903"/>
      <c r="C97" s="355">
        <v>4</v>
      </c>
      <c r="D97" s="904"/>
      <c r="E97" s="905" t="s">
        <v>529</v>
      </c>
      <c r="F97" s="905"/>
      <c r="G97" s="906">
        <f>COMPUTATION!G22+COMPUTATION!G30+COMPUTATION!M27+COMPUTATION!G28</f>
        <v>22560</v>
      </c>
      <c r="H97" s="906"/>
      <c r="I97" s="914"/>
      <c r="J97" s="915"/>
      <c r="K97" s="920"/>
      <c r="L97" s="921"/>
    </row>
    <row r="98" spans="2:12" ht="12.75" customHeight="1" thickTop="1" thickBot="1">
      <c r="B98" s="903"/>
      <c r="C98" s="355">
        <v>5</v>
      </c>
      <c r="D98" s="904"/>
      <c r="E98" s="905" t="s">
        <v>530</v>
      </c>
      <c r="F98" s="905"/>
      <c r="G98" s="906">
        <f>COMPUTATION!G24</f>
        <v>0</v>
      </c>
      <c r="H98" s="906"/>
      <c r="I98" s="914"/>
      <c r="J98" s="915"/>
      <c r="K98" s="920"/>
      <c r="L98" s="921"/>
    </row>
    <row r="99" spans="2:12" ht="14.25" customHeight="1" thickTop="1" thickBot="1">
      <c r="B99" s="903"/>
      <c r="C99" s="355">
        <v>6</v>
      </c>
      <c r="D99" s="904"/>
      <c r="E99" s="905" t="s">
        <v>531</v>
      </c>
      <c r="F99" s="905"/>
      <c r="G99" s="906">
        <f>COMPUTATION!G29</f>
        <v>0</v>
      </c>
      <c r="H99" s="906"/>
      <c r="I99" s="914"/>
      <c r="J99" s="915"/>
      <c r="K99" s="920"/>
      <c r="L99" s="921"/>
    </row>
    <row r="100" spans="2:12" ht="14.25" customHeight="1" thickTop="1" thickBot="1">
      <c r="B100" s="903"/>
      <c r="C100" s="355">
        <v>7</v>
      </c>
      <c r="D100" s="904"/>
      <c r="E100" s="883" t="s">
        <v>532</v>
      </c>
      <c r="F100" s="883"/>
      <c r="G100" s="906">
        <f>'[3]TAX (OLD)'!L21</f>
        <v>0</v>
      </c>
      <c r="H100" s="906"/>
      <c r="I100" s="914"/>
      <c r="J100" s="915"/>
      <c r="K100" s="920"/>
      <c r="L100" s="921"/>
    </row>
    <row r="101" spans="2:12" ht="14.25" customHeight="1" thickTop="1" thickBot="1">
      <c r="B101" s="903"/>
      <c r="C101" s="355">
        <v>8</v>
      </c>
      <c r="D101" s="904"/>
      <c r="E101" s="907" t="s">
        <v>602</v>
      </c>
      <c r="F101" s="907"/>
      <c r="G101" s="906">
        <f>COMPUTATION!M21+COMPUTATION!M22+COMPUTATION!G31</f>
        <v>0</v>
      </c>
      <c r="H101" s="906"/>
      <c r="I101" s="914"/>
      <c r="J101" s="915"/>
      <c r="K101" s="920"/>
      <c r="L101" s="921"/>
    </row>
    <row r="102" spans="2:12" ht="14.25" customHeight="1" thickTop="1" thickBot="1">
      <c r="B102" s="903"/>
      <c r="C102" s="355">
        <v>9</v>
      </c>
      <c r="D102" s="904"/>
      <c r="E102" s="905" t="s">
        <v>533</v>
      </c>
      <c r="F102" s="905"/>
      <c r="G102" s="906">
        <f>COMPUTATION!M24</f>
        <v>0</v>
      </c>
      <c r="H102" s="906"/>
      <c r="I102" s="914"/>
      <c r="J102" s="915"/>
      <c r="K102" s="920"/>
      <c r="L102" s="921"/>
    </row>
    <row r="103" spans="2:12" ht="14.25" customHeight="1" thickTop="1" thickBot="1">
      <c r="B103" s="903"/>
      <c r="C103" s="355">
        <v>10</v>
      </c>
      <c r="D103" s="904"/>
      <c r="E103" s="905" t="s">
        <v>534</v>
      </c>
      <c r="F103" s="905"/>
      <c r="G103" s="906">
        <f>COMPUTATION!G25+COMPUTATION!M23</f>
        <v>0</v>
      </c>
      <c r="H103" s="906"/>
      <c r="I103" s="914"/>
      <c r="J103" s="915"/>
      <c r="K103" s="920"/>
      <c r="L103" s="921"/>
    </row>
    <row r="104" spans="2:12" ht="18.75" customHeight="1" thickTop="1" thickBot="1">
      <c r="B104" s="903"/>
      <c r="C104" s="355">
        <v>11</v>
      </c>
      <c r="D104" s="904"/>
      <c r="E104" s="883" t="s">
        <v>535</v>
      </c>
      <c r="F104" s="883"/>
      <c r="G104" s="906">
        <f>COMPUTATION!M29</f>
        <v>0</v>
      </c>
      <c r="H104" s="906"/>
      <c r="I104" s="914"/>
      <c r="J104" s="915"/>
      <c r="K104" s="920"/>
      <c r="L104" s="921"/>
    </row>
    <row r="105" spans="2:12" ht="18.75" customHeight="1" thickTop="1" thickBot="1">
      <c r="B105" s="903"/>
      <c r="C105" s="355">
        <v>12</v>
      </c>
      <c r="D105" s="904"/>
      <c r="E105" s="905" t="s">
        <v>536</v>
      </c>
      <c r="F105" s="905"/>
      <c r="G105" s="906">
        <f>COMPUTATION!M30</f>
        <v>0</v>
      </c>
      <c r="H105" s="906"/>
      <c r="I105" s="916"/>
      <c r="J105" s="917"/>
      <c r="K105" s="922"/>
      <c r="L105" s="923"/>
    </row>
    <row r="106" spans="2:12" ht="18.75" customHeight="1" thickTop="1" thickBot="1">
      <c r="B106" s="903"/>
      <c r="C106" s="355">
        <v>13</v>
      </c>
      <c r="D106" s="904"/>
      <c r="E106" s="883" t="s">
        <v>537</v>
      </c>
      <c r="F106" s="883"/>
      <c r="G106" s="906">
        <f>COMPUTATION!M28</f>
        <v>0</v>
      </c>
      <c r="H106" s="906"/>
      <c r="I106" s="910">
        <f>SUM(G94:H106)</f>
        <v>174481</v>
      </c>
      <c r="J106" s="910"/>
      <c r="K106" s="911">
        <f>IF(I106&lt;=150000, I106, 150000)</f>
        <v>150000</v>
      </c>
      <c r="L106" s="911"/>
    </row>
    <row r="107" spans="2:12" ht="16.5" customHeight="1" thickTop="1" thickBot="1">
      <c r="B107" s="903"/>
      <c r="C107" s="902" t="s">
        <v>538</v>
      </c>
      <c r="D107" s="902"/>
      <c r="E107" s="902"/>
      <c r="F107" s="902"/>
      <c r="G107" s="906">
        <f>COMPUTATION!O33</f>
        <v>0</v>
      </c>
      <c r="H107" s="906"/>
      <c r="I107" s="908">
        <f>G107</f>
        <v>0</v>
      </c>
      <c r="J107" s="908"/>
      <c r="K107" s="908">
        <f>I107</f>
        <v>0</v>
      </c>
      <c r="L107" s="908"/>
    </row>
    <row r="108" spans="2:12" ht="17.100000000000001" customHeight="1" thickTop="1" thickBot="1">
      <c r="B108" s="903"/>
      <c r="C108" s="909" t="s">
        <v>539</v>
      </c>
      <c r="D108" s="909"/>
      <c r="E108" s="909"/>
      <c r="F108" s="909"/>
      <c r="G108" s="906">
        <f>COMPUTATION!O34</f>
        <v>0</v>
      </c>
      <c r="H108" s="906"/>
      <c r="I108" s="884">
        <f>SUM(K106,G107,G108)</f>
        <v>150000</v>
      </c>
      <c r="J108" s="884"/>
      <c r="K108" s="886">
        <f>I108</f>
        <v>150000</v>
      </c>
      <c r="L108" s="886"/>
    </row>
    <row r="109" spans="2:12" ht="15" customHeight="1" thickTop="1">
      <c r="B109" s="356"/>
      <c r="C109" s="356"/>
      <c r="D109" s="356"/>
      <c r="E109" s="356"/>
      <c r="F109" s="356"/>
      <c r="G109" s="356"/>
      <c r="H109" s="356"/>
      <c r="I109" s="534" t="s">
        <v>540</v>
      </c>
      <c r="J109" s="534"/>
      <c r="K109" s="534"/>
      <c r="L109" s="356"/>
    </row>
    <row r="110" spans="2:12" ht="18.600000000000001" customHeight="1" thickBot="1">
      <c r="B110" s="534" t="s">
        <v>541</v>
      </c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</row>
    <row r="111" spans="2:12" ht="21" customHeight="1" thickTop="1" thickBot="1">
      <c r="B111" s="928" t="s">
        <v>572</v>
      </c>
      <c r="C111" s="928"/>
      <c r="D111" s="928"/>
      <c r="E111" s="928"/>
      <c r="F111" s="928"/>
      <c r="G111" s="929" t="s">
        <v>523</v>
      </c>
      <c r="H111" s="929"/>
      <c r="I111" s="929" t="s">
        <v>542</v>
      </c>
      <c r="J111" s="929"/>
      <c r="K111" s="929" t="s">
        <v>524</v>
      </c>
      <c r="L111" s="929"/>
    </row>
    <row r="112" spans="2:12" ht="15" customHeight="1" thickTop="1" thickBot="1">
      <c r="B112" s="357">
        <v>1</v>
      </c>
      <c r="C112" s="925" t="s">
        <v>543</v>
      </c>
      <c r="D112" s="925"/>
      <c r="E112" s="925"/>
      <c r="F112" s="925"/>
      <c r="G112" s="926">
        <f>COMPUTATION!O37</f>
        <v>0</v>
      </c>
      <c r="H112" s="926"/>
      <c r="I112" s="927">
        <f t="shared" ref="I112:I119" si="2">G112</f>
        <v>0</v>
      </c>
      <c r="J112" s="927"/>
      <c r="K112" s="924"/>
      <c r="L112" s="924"/>
    </row>
    <row r="113" spans="2:12" ht="15" customHeight="1" thickTop="1" thickBot="1">
      <c r="B113" s="357">
        <v>2</v>
      </c>
      <c r="C113" s="925" t="s">
        <v>544</v>
      </c>
      <c r="D113" s="925"/>
      <c r="E113" s="925"/>
      <c r="F113" s="925"/>
      <c r="G113" s="926">
        <f>COMPUTATION!O38</f>
        <v>0</v>
      </c>
      <c r="H113" s="926"/>
      <c r="I113" s="927">
        <f t="shared" si="2"/>
        <v>0</v>
      </c>
      <c r="J113" s="927"/>
      <c r="K113" s="924"/>
      <c r="L113" s="924"/>
    </row>
    <row r="114" spans="2:12" ht="15" customHeight="1" thickTop="1" thickBot="1">
      <c r="B114" s="357">
        <v>3</v>
      </c>
      <c r="C114" s="925" t="s">
        <v>545</v>
      </c>
      <c r="D114" s="925"/>
      <c r="E114" s="925"/>
      <c r="F114" s="925"/>
      <c r="G114" s="926">
        <f>COMPUTATION!O39</f>
        <v>0</v>
      </c>
      <c r="H114" s="926"/>
      <c r="I114" s="927">
        <f t="shared" si="2"/>
        <v>0</v>
      </c>
      <c r="J114" s="927"/>
      <c r="K114" s="924"/>
      <c r="L114" s="924"/>
    </row>
    <row r="115" spans="2:12" ht="15" customHeight="1" thickTop="1" thickBot="1">
      <c r="B115" s="357">
        <v>4</v>
      </c>
      <c r="C115" s="925" t="s">
        <v>546</v>
      </c>
      <c r="D115" s="925"/>
      <c r="E115" s="925"/>
      <c r="F115" s="925"/>
      <c r="G115" s="926">
        <f>COMPUTATION!O40</f>
        <v>0</v>
      </c>
      <c r="H115" s="926"/>
      <c r="I115" s="927">
        <f t="shared" si="2"/>
        <v>0</v>
      </c>
      <c r="J115" s="927"/>
      <c r="K115" s="924"/>
      <c r="L115" s="924"/>
    </row>
    <row r="116" spans="2:12" ht="14.25" customHeight="1" thickTop="1" thickBot="1">
      <c r="B116" s="357">
        <v>5</v>
      </c>
      <c r="C116" s="925" t="s">
        <v>547</v>
      </c>
      <c r="D116" s="925"/>
      <c r="E116" s="925"/>
      <c r="F116" s="925"/>
      <c r="G116" s="930">
        <f>COMPUTATION!O41</f>
        <v>8936</v>
      </c>
      <c r="H116" s="931"/>
      <c r="I116" s="927">
        <f t="shared" si="2"/>
        <v>8936</v>
      </c>
      <c r="J116" s="927"/>
      <c r="K116" s="924"/>
      <c r="L116" s="924"/>
    </row>
    <row r="117" spans="2:12" ht="15" customHeight="1" thickTop="1" thickBot="1">
      <c r="B117" s="357">
        <v>6</v>
      </c>
      <c r="C117" s="925" t="s">
        <v>548</v>
      </c>
      <c r="D117" s="925"/>
      <c r="E117" s="925"/>
      <c r="F117" s="925"/>
      <c r="G117" s="932"/>
      <c r="H117" s="932"/>
      <c r="I117" s="927">
        <f t="shared" si="2"/>
        <v>0</v>
      </c>
      <c r="J117" s="927"/>
      <c r="K117" s="924"/>
      <c r="L117" s="924"/>
    </row>
    <row r="118" spans="2:12" ht="15" customHeight="1" thickTop="1" thickBot="1">
      <c r="B118" s="357">
        <v>7</v>
      </c>
      <c r="C118" s="925" t="s">
        <v>549</v>
      </c>
      <c r="D118" s="925"/>
      <c r="E118" s="925"/>
      <c r="F118" s="925"/>
      <c r="G118" s="933">
        <f>COMPUTATION!O44</f>
        <v>0</v>
      </c>
      <c r="H118" s="933"/>
      <c r="I118" s="927">
        <f t="shared" si="2"/>
        <v>0</v>
      </c>
      <c r="J118" s="927"/>
      <c r="K118" s="924"/>
      <c r="L118" s="924"/>
    </row>
    <row r="119" spans="2:12" ht="15" customHeight="1" thickTop="1" thickBot="1">
      <c r="B119" s="357">
        <v>8</v>
      </c>
      <c r="C119" s="925" t="s">
        <v>550</v>
      </c>
      <c r="D119" s="925"/>
      <c r="E119" s="925"/>
      <c r="F119" s="925"/>
      <c r="G119" s="926">
        <f>COMPUTATION!O42</f>
        <v>0</v>
      </c>
      <c r="H119" s="926"/>
      <c r="I119" s="927">
        <f t="shared" si="2"/>
        <v>0</v>
      </c>
      <c r="J119" s="927"/>
      <c r="K119" s="924"/>
      <c r="L119" s="924"/>
    </row>
    <row r="120" spans="2:12" ht="16.5" customHeight="1" thickTop="1" thickBot="1">
      <c r="B120" s="337">
        <v>9</v>
      </c>
      <c r="C120" s="827" t="s">
        <v>578</v>
      </c>
      <c r="D120" s="827"/>
      <c r="E120" s="827"/>
      <c r="F120" s="827"/>
      <c r="G120" s="926">
        <f>COMPUTATION!O43</f>
        <v>1500</v>
      </c>
      <c r="H120" s="926"/>
      <c r="I120" s="927">
        <f t="shared" ref="I120" si="3">G120</f>
        <v>1500</v>
      </c>
      <c r="J120" s="927"/>
      <c r="K120" s="934">
        <f>ROUND(SUM(I112:J120),0)</f>
        <v>10436</v>
      </c>
      <c r="L120" s="934"/>
    </row>
    <row r="121" spans="2:12" ht="14.25" customHeight="1" thickTop="1" thickBot="1">
      <c r="B121" s="935" t="s">
        <v>551</v>
      </c>
      <c r="C121" s="935"/>
      <c r="D121" s="935"/>
      <c r="E121" s="935"/>
      <c r="F121" s="935"/>
      <c r="G121" s="936"/>
      <c r="H121" s="936"/>
      <c r="I121" s="936"/>
      <c r="J121" s="936"/>
      <c r="K121" s="927">
        <f>ROUND((K108+K120),0)</f>
        <v>160436</v>
      </c>
      <c r="L121" s="927"/>
    </row>
    <row r="122" spans="2:12" ht="15" customHeight="1" thickTop="1" thickBot="1">
      <c r="B122" s="937" t="s">
        <v>552</v>
      </c>
      <c r="C122" s="938"/>
      <c r="D122" s="938"/>
      <c r="E122" s="939" t="s">
        <v>553</v>
      </c>
      <c r="F122" s="940"/>
      <c r="G122" s="941"/>
      <c r="H122" s="936"/>
      <c r="I122" s="936"/>
      <c r="J122" s="936"/>
      <c r="K122" s="927">
        <f>ROUND((K90-K121),-1)</f>
        <v>572060</v>
      </c>
      <c r="L122" s="927"/>
    </row>
    <row r="123" spans="2:12" ht="15" customHeight="1" thickTop="1" thickBot="1">
      <c r="B123" s="947" t="s">
        <v>554</v>
      </c>
      <c r="C123" s="948"/>
      <c r="D123" s="948"/>
      <c r="E123" s="948"/>
      <c r="F123" s="948"/>
      <c r="G123" s="949"/>
      <c r="H123" s="949"/>
      <c r="I123" s="938"/>
      <c r="J123" s="950"/>
      <c r="K123" s="927">
        <f>ROUND(IF(K122&lt;=250000,0,IF(K122&lt;=500000,(K122-250000)*0.05,IF(K122&lt;=1000000,12500+(K122-500000)*0.2,IF(K122&gt;1000000,112500+(K122-1000000)*0.3,"0")))),0)</f>
        <v>26912</v>
      </c>
      <c r="L123" s="927"/>
    </row>
    <row r="124" spans="2:12" ht="15" customHeight="1" thickTop="1" thickBot="1">
      <c r="B124" s="942" t="s">
        <v>555</v>
      </c>
      <c r="C124" s="943"/>
      <c r="D124" s="943"/>
      <c r="E124" s="943"/>
      <c r="F124" s="943"/>
      <c r="G124" s="358"/>
      <c r="H124" s="359"/>
      <c r="I124" s="944">
        <f>COMPUTATION!O59</f>
        <v>0</v>
      </c>
      <c r="J124" s="927"/>
      <c r="K124" s="927"/>
      <c r="L124" s="927"/>
    </row>
    <row r="125" spans="2:12" ht="15" customHeight="1" thickTop="1" thickBot="1">
      <c r="B125" s="945" t="s">
        <v>556</v>
      </c>
      <c r="C125" s="945"/>
      <c r="D125" s="945"/>
      <c r="E125" s="945"/>
      <c r="F125" s="945"/>
      <c r="G125" s="946"/>
      <c r="H125" s="946"/>
      <c r="I125" s="936"/>
      <c r="J125" s="936"/>
      <c r="K125" s="927">
        <f>K123-I124</f>
        <v>26912</v>
      </c>
      <c r="L125" s="927"/>
    </row>
    <row r="126" spans="2:12" ht="15" customHeight="1" thickTop="1" thickBot="1">
      <c r="B126" s="951" t="s">
        <v>557</v>
      </c>
      <c r="C126" s="951"/>
      <c r="D126" s="951"/>
      <c r="E126" s="951"/>
      <c r="F126" s="951"/>
      <c r="G126" s="936"/>
      <c r="H126" s="936"/>
      <c r="I126" s="936"/>
      <c r="J126" s="936"/>
      <c r="K126" s="927">
        <f>ROUND((K125*0.04),0)</f>
        <v>1076</v>
      </c>
      <c r="L126" s="927"/>
    </row>
    <row r="127" spans="2:12" ht="16.5" customHeight="1" thickTop="1" thickBot="1">
      <c r="B127" s="952" t="s">
        <v>558</v>
      </c>
      <c r="C127" s="952"/>
      <c r="D127" s="952"/>
      <c r="E127" s="952"/>
      <c r="F127" s="952"/>
      <c r="G127" s="936"/>
      <c r="H127" s="936"/>
      <c r="I127" s="936"/>
      <c r="J127" s="936"/>
      <c r="K127" s="927">
        <f>K125+K126</f>
        <v>27988</v>
      </c>
      <c r="L127" s="927"/>
    </row>
    <row r="128" spans="2:12" ht="15" customHeight="1" thickTop="1" thickBot="1">
      <c r="B128" s="951" t="s">
        <v>559</v>
      </c>
      <c r="C128" s="951"/>
      <c r="D128" s="951"/>
      <c r="E128" s="951"/>
      <c r="F128" s="951"/>
      <c r="G128" s="936"/>
      <c r="H128" s="936"/>
      <c r="I128" s="936"/>
      <c r="J128" s="936"/>
      <c r="K128" s="927">
        <f>COMPUTATION!O63</f>
        <v>0</v>
      </c>
      <c r="L128" s="927"/>
    </row>
    <row r="129" spans="2:12" ht="15" customHeight="1" thickTop="1" thickBot="1">
      <c r="B129" s="952" t="s">
        <v>560</v>
      </c>
      <c r="C129" s="952"/>
      <c r="D129" s="952"/>
      <c r="E129" s="952"/>
      <c r="F129" s="952"/>
      <c r="G129" s="936"/>
      <c r="H129" s="936"/>
      <c r="I129" s="936"/>
      <c r="J129" s="936"/>
      <c r="K129" s="927">
        <f>K127-K128</f>
        <v>27988</v>
      </c>
      <c r="L129" s="927"/>
    </row>
    <row r="130" spans="2:12" ht="15" customHeight="1" thickTop="1" thickBot="1">
      <c r="B130" s="952" t="s">
        <v>561</v>
      </c>
      <c r="C130" s="952"/>
      <c r="D130" s="952"/>
      <c r="E130" s="952"/>
      <c r="F130" s="952"/>
      <c r="G130" s="952"/>
      <c r="H130" s="952"/>
      <c r="I130" s="952"/>
      <c r="J130" s="952"/>
      <c r="K130" s="927">
        <f>COMPUTATION!O66</f>
        <v>15000</v>
      </c>
      <c r="L130" s="956"/>
    </row>
    <row r="131" spans="2:12" ht="15" customHeight="1" thickTop="1" thickBot="1">
      <c r="B131" s="960" t="str">
        <f>IF(K129&gt;K130,"Income Tax Payable",IF(K129&lt;K130,"Income Tax Refundable","Income Tax Payble/Refundable"))</f>
        <v>Income Tax Payable</v>
      </c>
      <c r="C131" s="961"/>
      <c r="D131" s="961"/>
      <c r="E131" s="961"/>
      <c r="F131" s="961"/>
      <c r="G131" s="961"/>
      <c r="H131" s="961"/>
      <c r="I131" s="961"/>
      <c r="J131" s="962"/>
      <c r="K131" s="927">
        <f>IF(K129&gt;K130,K129-K130,K130-K129)</f>
        <v>12988</v>
      </c>
      <c r="L131" s="927"/>
    </row>
    <row r="132" spans="2:12" ht="26.25" customHeight="1" thickTop="1">
      <c r="B132" s="957" t="s">
        <v>482</v>
      </c>
      <c r="C132" s="957"/>
      <c r="D132" s="957"/>
      <c r="E132" s="957"/>
      <c r="F132" s="957"/>
      <c r="G132" s="957"/>
      <c r="H132" s="957"/>
      <c r="I132" s="957"/>
      <c r="J132" s="957"/>
      <c r="K132" s="957"/>
      <c r="L132" s="957"/>
    </row>
    <row r="133" spans="2:12" ht="15.95" customHeight="1">
      <c r="B133" s="331" t="s">
        <v>483</v>
      </c>
      <c r="C133" s="954" t="str">
        <f>B6&amp;","</f>
        <v>USHA PALIYA,</v>
      </c>
      <c r="D133" s="954"/>
      <c r="E133" s="954"/>
      <c r="F133" s="360" t="s">
        <v>484</v>
      </c>
      <c r="G133" s="958" t="str">
        <f>IF(G60="","",G60)</f>
        <v/>
      </c>
      <c r="H133" s="958"/>
      <c r="I133" s="958"/>
      <c r="J133" s="958"/>
      <c r="K133" s="959" t="s">
        <v>485</v>
      </c>
      <c r="L133" s="959"/>
    </row>
    <row r="134" spans="2:12" ht="15.95" customHeight="1">
      <c r="B134" s="953" t="s">
        <v>486</v>
      </c>
      <c r="C134" s="953"/>
      <c r="D134" s="954" t="str">
        <f>D61</f>
        <v>PRINCIPAL</v>
      </c>
      <c r="E134" s="954"/>
      <c r="F134" s="954"/>
      <c r="G134" s="955" t="s">
        <v>487</v>
      </c>
      <c r="H134" s="955"/>
      <c r="I134" s="955"/>
      <c r="J134" s="955"/>
      <c r="K134" s="955"/>
      <c r="L134" s="955"/>
    </row>
    <row r="135" spans="2:12" ht="15.95" customHeight="1">
      <c r="B135" s="331" t="s">
        <v>488</v>
      </c>
      <c r="C135" s="361">
        <f>K130</f>
        <v>15000</v>
      </c>
      <c r="D135" s="963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Fifteen Thousand  Rupees</v>
      </c>
      <c r="E135" s="963"/>
      <c r="F135" s="963"/>
      <c r="G135" s="963"/>
      <c r="H135" s="963"/>
      <c r="I135" s="955" t="s">
        <v>573</v>
      </c>
      <c r="J135" s="955"/>
      <c r="K135" s="955"/>
      <c r="L135" s="955"/>
    </row>
    <row r="136" spans="2:12" ht="32.1" customHeight="1">
      <c r="B136" s="875" t="s">
        <v>574</v>
      </c>
      <c r="C136" s="875"/>
      <c r="D136" s="875"/>
      <c r="E136" s="875"/>
      <c r="F136" s="875"/>
      <c r="G136" s="875"/>
      <c r="H136" s="875"/>
      <c r="I136" s="875"/>
      <c r="J136" s="875"/>
      <c r="K136" s="875"/>
      <c r="L136" s="875"/>
    </row>
    <row r="137" spans="2:12" ht="24.75" customHeight="1">
      <c r="B137" s="862" t="s">
        <v>490</v>
      </c>
      <c r="C137" s="862"/>
      <c r="D137" s="965" t="str">
        <f>D65</f>
        <v>M.G.G.S. BAR</v>
      </c>
      <c r="E137" s="965"/>
      <c r="F137" s="862"/>
      <c r="G137" s="862"/>
      <c r="H137" s="862"/>
      <c r="I137" s="862"/>
      <c r="J137" s="862"/>
      <c r="K137" s="862"/>
      <c r="L137" s="862"/>
    </row>
    <row r="138" spans="2:12" ht="17.25" customHeight="1">
      <c r="B138" s="963" t="s">
        <v>491</v>
      </c>
      <c r="C138" s="963"/>
      <c r="D138" s="869">
        <f ca="1">TODAY()</f>
        <v>44254</v>
      </c>
      <c r="E138" s="869"/>
      <c r="F138" s="966" t="s">
        <v>492</v>
      </c>
      <c r="G138" s="966"/>
      <c r="H138" s="966"/>
      <c r="I138" s="966"/>
      <c r="J138" s="966"/>
      <c r="K138" s="966"/>
      <c r="L138" s="966"/>
    </row>
    <row r="139" spans="2:12" ht="18.75" customHeight="1">
      <c r="B139" s="963" t="s">
        <v>493</v>
      </c>
      <c r="C139" s="963"/>
      <c r="D139" s="860" t="str">
        <f>D134</f>
        <v>PRINCIPAL</v>
      </c>
      <c r="E139" s="860"/>
      <c r="F139" s="350" t="s">
        <v>571</v>
      </c>
      <c r="G139" s="964" t="str">
        <f>B6</f>
        <v>USHA PALIYA</v>
      </c>
      <c r="H139" s="964"/>
      <c r="I139" s="964"/>
      <c r="J139" s="964"/>
      <c r="K139" s="964"/>
      <c r="L139" s="964"/>
    </row>
    <row r="140" spans="2:12"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</row>
  </sheetData>
  <sheetProtection password="C1FB" sheet="1" objects="1" scenarios="1" formatCells="0" formatColumns="0" formatRows="0"/>
  <mergeCells count="391">
    <mergeCell ref="B139:C139"/>
    <mergeCell ref="D139:E139"/>
    <mergeCell ref="G139:L139"/>
    <mergeCell ref="B137:C137"/>
    <mergeCell ref="D137:E137"/>
    <mergeCell ref="F137:L137"/>
    <mergeCell ref="B138:C138"/>
    <mergeCell ref="D138:E138"/>
    <mergeCell ref="F138:L138"/>
    <mergeCell ref="B134:C134"/>
    <mergeCell ref="D134:F134"/>
    <mergeCell ref="G134:L134"/>
    <mergeCell ref="B136:L136"/>
    <mergeCell ref="B130:J130"/>
    <mergeCell ref="K130:L130"/>
    <mergeCell ref="K131:L131"/>
    <mergeCell ref="B132:L132"/>
    <mergeCell ref="C133:E133"/>
    <mergeCell ref="G133:J133"/>
    <mergeCell ref="K133:L133"/>
    <mergeCell ref="B131:J131"/>
    <mergeCell ref="I135:L135"/>
    <mergeCell ref="D135:H135"/>
    <mergeCell ref="B128:F128"/>
    <mergeCell ref="G128:H128"/>
    <mergeCell ref="I128:J128"/>
    <mergeCell ref="K128:L128"/>
    <mergeCell ref="B129:F129"/>
    <mergeCell ref="G129:H129"/>
    <mergeCell ref="I129:J129"/>
    <mergeCell ref="K129:L129"/>
    <mergeCell ref="B126:F126"/>
    <mergeCell ref="G126:H126"/>
    <mergeCell ref="I126:J126"/>
    <mergeCell ref="K126:L126"/>
    <mergeCell ref="B127:F127"/>
    <mergeCell ref="G127:H127"/>
    <mergeCell ref="I127:J127"/>
    <mergeCell ref="K127:L127"/>
    <mergeCell ref="K123:L123"/>
    <mergeCell ref="B124:F124"/>
    <mergeCell ref="I124:J124"/>
    <mergeCell ref="K124:L124"/>
    <mergeCell ref="B125:F125"/>
    <mergeCell ref="G125:H125"/>
    <mergeCell ref="I125:J125"/>
    <mergeCell ref="K125:L125"/>
    <mergeCell ref="B123:J123"/>
    <mergeCell ref="K120:L120"/>
    <mergeCell ref="B121:F121"/>
    <mergeCell ref="G121:H121"/>
    <mergeCell ref="I121:J121"/>
    <mergeCell ref="K121:L121"/>
    <mergeCell ref="B122:D122"/>
    <mergeCell ref="E122:F122"/>
    <mergeCell ref="G122:H122"/>
    <mergeCell ref="I122:J122"/>
    <mergeCell ref="K122:L122"/>
    <mergeCell ref="I119:J119"/>
    <mergeCell ref="C120:F120"/>
    <mergeCell ref="G120:H120"/>
    <mergeCell ref="I120:J120"/>
    <mergeCell ref="C117:F117"/>
    <mergeCell ref="G117:H117"/>
    <mergeCell ref="I117:J117"/>
    <mergeCell ref="C118:F118"/>
    <mergeCell ref="G118:H118"/>
    <mergeCell ref="I118:J118"/>
    <mergeCell ref="K112:L119"/>
    <mergeCell ref="C113:F113"/>
    <mergeCell ref="G113:H113"/>
    <mergeCell ref="I113:J113"/>
    <mergeCell ref="C114:F114"/>
    <mergeCell ref="G114:H114"/>
    <mergeCell ref="I114:J114"/>
    <mergeCell ref="I109:K109"/>
    <mergeCell ref="B110:L110"/>
    <mergeCell ref="B111:F111"/>
    <mergeCell ref="G111:H111"/>
    <mergeCell ref="I111:J111"/>
    <mergeCell ref="K111:L111"/>
    <mergeCell ref="C115:F115"/>
    <mergeCell ref="G115:H115"/>
    <mergeCell ref="I115:J115"/>
    <mergeCell ref="C116:F116"/>
    <mergeCell ref="G116:H116"/>
    <mergeCell ref="I116:J116"/>
    <mergeCell ref="C112:F112"/>
    <mergeCell ref="G112:H112"/>
    <mergeCell ref="I112:J112"/>
    <mergeCell ref="C119:F119"/>
    <mergeCell ref="G119:H119"/>
    <mergeCell ref="I107:J107"/>
    <mergeCell ref="K107:L107"/>
    <mergeCell ref="C108:F108"/>
    <mergeCell ref="G108:H108"/>
    <mergeCell ref="I108:J108"/>
    <mergeCell ref="K108:L108"/>
    <mergeCell ref="E105:F105"/>
    <mergeCell ref="G105:H105"/>
    <mergeCell ref="E106:F106"/>
    <mergeCell ref="G106:H106"/>
    <mergeCell ref="I106:J106"/>
    <mergeCell ref="K106:L106"/>
    <mergeCell ref="I94:J105"/>
    <mergeCell ref="K94:L105"/>
    <mergeCell ref="E97:F97"/>
    <mergeCell ref="G97:H97"/>
    <mergeCell ref="E98:F98"/>
    <mergeCell ref="G98:H98"/>
    <mergeCell ref="E99:F99"/>
    <mergeCell ref="G99:H99"/>
    <mergeCell ref="B94:B108"/>
    <mergeCell ref="D94:D106"/>
    <mergeCell ref="E94:F94"/>
    <mergeCell ref="G94:H94"/>
    <mergeCell ref="E95:F95"/>
    <mergeCell ref="G95:H95"/>
    <mergeCell ref="E96:F96"/>
    <mergeCell ref="G96:H96"/>
    <mergeCell ref="E102:F102"/>
    <mergeCell ref="G102:H102"/>
    <mergeCell ref="E103:F103"/>
    <mergeCell ref="G103:H103"/>
    <mergeCell ref="E104:F104"/>
    <mergeCell ref="G104:H104"/>
    <mergeCell ref="E100:F100"/>
    <mergeCell ref="G100:H100"/>
    <mergeCell ref="E101:F101"/>
    <mergeCell ref="G101:H101"/>
    <mergeCell ref="C107:F107"/>
    <mergeCell ref="G107:H107"/>
    <mergeCell ref="B93:F93"/>
    <mergeCell ref="G93:H93"/>
    <mergeCell ref="I93:J93"/>
    <mergeCell ref="K93:L93"/>
    <mergeCell ref="K85:L85"/>
    <mergeCell ref="B86:F86"/>
    <mergeCell ref="K86:L89"/>
    <mergeCell ref="B87:E87"/>
    <mergeCell ref="B88:E88"/>
    <mergeCell ref="B89:E89"/>
    <mergeCell ref="I89:J89"/>
    <mergeCell ref="G87:H87"/>
    <mergeCell ref="G88:H88"/>
    <mergeCell ref="G89:H89"/>
    <mergeCell ref="B84:F84"/>
    <mergeCell ref="I84:J84"/>
    <mergeCell ref="B85:F85"/>
    <mergeCell ref="I85:J88"/>
    <mergeCell ref="B90:F90"/>
    <mergeCell ref="I90:J92"/>
    <mergeCell ref="K90:L90"/>
    <mergeCell ref="B91:F91"/>
    <mergeCell ref="K91:L92"/>
    <mergeCell ref="B92:F9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</mergeCells>
  <conditionalFormatting sqref="E94:E95">
    <cfRule type="containsBlanks" dxfId="0" priority="1">
      <formula>LEN(TRIM(E94))=0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workbookViewId="0">
      <selection activeCell="H12" sqref="H12:I12"/>
    </sheetView>
  </sheetViews>
  <sheetFormatPr defaultColWidth="0" defaultRowHeight="0" customHeight="1" zeroHeight="1"/>
  <cols>
    <col min="1" max="1" width="4.125" style="35" customWidth="1"/>
    <col min="2" max="2" width="17" style="35" customWidth="1"/>
    <col min="3" max="3" width="14.25" style="35" customWidth="1"/>
    <col min="4" max="4" width="15" style="35" customWidth="1"/>
    <col min="5" max="5" width="12" style="35" customWidth="1"/>
    <col min="6" max="6" width="16.375" style="35" customWidth="1"/>
    <col min="7" max="7" width="15.625" style="35" customWidth="1"/>
    <col min="8" max="8" width="17.125" style="35" customWidth="1"/>
    <col min="9" max="10" width="14.375" style="35" customWidth="1"/>
    <col min="11" max="11" width="15.75" style="35" customWidth="1"/>
    <col min="12" max="12" width="15.125" style="35" customWidth="1"/>
    <col min="13" max="13" width="14.125" style="35" customWidth="1"/>
    <col min="14" max="14" width="17.625" style="35" customWidth="1"/>
    <col min="15" max="15" width="11.125" style="35" customWidth="1"/>
    <col min="16" max="16384" width="9.125" style="35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93">
        <v>1</v>
      </c>
      <c r="AD1" s="208">
        <v>43922</v>
      </c>
    </row>
    <row r="2" spans="1:30" ht="24.75" thickTop="1" thickBot="1">
      <c r="A2" s="1"/>
      <c r="B2" s="455" t="s">
        <v>589</v>
      </c>
      <c r="C2" s="456"/>
      <c r="D2" s="457"/>
      <c r="E2" s="453" t="s">
        <v>0</v>
      </c>
      <c r="F2" s="454"/>
      <c r="G2" s="454"/>
      <c r="H2" s="454"/>
      <c r="I2" s="24"/>
      <c r="J2" s="207"/>
      <c r="K2" s="207"/>
      <c r="L2" s="207"/>
      <c r="M2" s="1"/>
      <c r="N2" s="1"/>
      <c r="O2" s="1"/>
      <c r="T2" s="35" t="s">
        <v>24</v>
      </c>
      <c r="U2" s="35">
        <v>20</v>
      </c>
      <c r="AA2" s="208">
        <v>43678</v>
      </c>
      <c r="AC2" s="293">
        <v>2</v>
      </c>
      <c r="AD2" s="208">
        <v>43952</v>
      </c>
    </row>
    <row r="3" spans="1:30" ht="14.25" customHeight="1" thickBot="1">
      <c r="A3" s="1"/>
      <c r="B3" s="3"/>
      <c r="C3" s="3"/>
      <c r="D3" s="24"/>
      <c r="E3" s="24"/>
      <c r="F3" s="71"/>
      <c r="G3" s="71"/>
      <c r="H3" s="71"/>
      <c r="I3" s="24"/>
      <c r="J3" s="207"/>
      <c r="K3" s="207"/>
      <c r="L3" s="207"/>
      <c r="M3" s="1"/>
      <c r="N3" s="1"/>
      <c r="O3" s="1"/>
      <c r="AA3" s="208"/>
      <c r="AC3" s="293">
        <v>3</v>
      </c>
      <c r="AD3" s="208">
        <v>43983</v>
      </c>
    </row>
    <row r="4" spans="1:30" ht="22.5" thickTop="1" thickBot="1">
      <c r="A4" s="1"/>
      <c r="B4" s="422" t="s">
        <v>64</v>
      </c>
      <c r="C4" s="422"/>
      <c r="D4" s="475" t="s">
        <v>142</v>
      </c>
      <c r="E4" s="475"/>
      <c r="F4" s="475"/>
      <c r="G4" s="475"/>
      <c r="H4" s="475"/>
      <c r="I4" s="475"/>
      <c r="J4" s="2"/>
      <c r="K4" s="473"/>
      <c r="L4" s="473"/>
      <c r="M4" s="473"/>
      <c r="N4" s="473"/>
      <c r="O4" s="1"/>
      <c r="T4" s="35" t="s">
        <v>26</v>
      </c>
      <c r="X4" s="35">
        <v>1000</v>
      </c>
      <c r="AA4" s="208">
        <v>43709</v>
      </c>
      <c r="AC4" s="293">
        <v>4</v>
      </c>
      <c r="AD4" s="208">
        <v>44013</v>
      </c>
    </row>
    <row r="5" spans="1:30" ht="8.1" customHeight="1" thickTop="1" thickBot="1">
      <c r="A5" s="209"/>
      <c r="B5" s="210"/>
      <c r="C5" s="210"/>
      <c r="D5" s="211"/>
      <c r="E5" s="211"/>
      <c r="F5" s="211"/>
      <c r="G5" s="211"/>
      <c r="H5" s="211"/>
      <c r="I5" s="211"/>
      <c r="J5" s="6"/>
      <c r="K5" s="203"/>
      <c r="L5" s="203"/>
      <c r="M5" s="203"/>
      <c r="N5" s="203"/>
      <c r="O5" s="1"/>
      <c r="AA5" s="208"/>
      <c r="AC5" s="293">
        <v>5</v>
      </c>
      <c r="AD5" s="208">
        <v>44044</v>
      </c>
    </row>
    <row r="6" spans="1:30" ht="22.5" thickTop="1" thickBot="1">
      <c r="A6" s="1"/>
      <c r="B6" s="422" t="s">
        <v>65</v>
      </c>
      <c r="C6" s="422"/>
      <c r="D6" s="474" t="s">
        <v>27</v>
      </c>
      <c r="E6" s="474"/>
      <c r="F6" s="429" t="s">
        <v>28</v>
      </c>
      <c r="G6" s="429"/>
      <c r="H6" s="428" t="s">
        <v>29</v>
      </c>
      <c r="I6" s="428"/>
      <c r="J6" s="2"/>
      <c r="K6" s="1"/>
      <c r="L6" s="1"/>
      <c r="M6" s="1"/>
      <c r="N6" s="1"/>
      <c r="O6" s="1"/>
      <c r="T6" s="35" t="s">
        <v>30</v>
      </c>
      <c r="X6" s="35">
        <v>620</v>
      </c>
      <c r="AA6" s="208">
        <v>43739</v>
      </c>
      <c r="AC6" s="293">
        <v>6</v>
      </c>
      <c r="AD6" s="208">
        <v>44075</v>
      </c>
    </row>
    <row r="7" spans="1:30" ht="8.1" customHeight="1" thickTop="1" thickBot="1">
      <c r="A7" s="209"/>
      <c r="B7" s="210"/>
      <c r="C7" s="210"/>
      <c r="D7" s="212"/>
      <c r="E7" s="212"/>
      <c r="F7" s="210"/>
      <c r="G7" s="210"/>
      <c r="H7" s="212"/>
      <c r="I7" s="212"/>
      <c r="J7" s="6"/>
      <c r="K7" s="1"/>
      <c r="L7" s="1"/>
      <c r="M7" s="1"/>
      <c r="N7" s="1"/>
      <c r="O7" s="1"/>
      <c r="AA7" s="208"/>
      <c r="AC7" s="293">
        <v>7</v>
      </c>
      <c r="AD7" s="208">
        <v>44105</v>
      </c>
    </row>
    <row r="8" spans="1:30" ht="20.25" thickTop="1" thickBot="1">
      <c r="A8" s="1"/>
      <c r="B8" s="422" t="s">
        <v>68</v>
      </c>
      <c r="C8" s="422" t="s">
        <v>31</v>
      </c>
      <c r="D8" s="428" t="s">
        <v>143</v>
      </c>
      <c r="E8" s="428"/>
      <c r="F8" s="429" t="s">
        <v>32</v>
      </c>
      <c r="G8" s="429"/>
      <c r="H8" s="428" t="s">
        <v>141</v>
      </c>
      <c r="I8" s="428"/>
      <c r="J8" s="2"/>
      <c r="K8" s="1"/>
      <c r="L8" s="1"/>
      <c r="M8" s="1"/>
      <c r="N8" s="1"/>
      <c r="O8" s="1"/>
      <c r="T8" s="35" t="s">
        <v>33</v>
      </c>
      <c r="AA8" s="208">
        <v>43770</v>
      </c>
      <c r="AC8" s="293">
        <v>8</v>
      </c>
      <c r="AD8" s="208">
        <v>44136</v>
      </c>
    </row>
    <row r="9" spans="1:30" ht="8.1" customHeight="1" thickTop="1" thickBot="1">
      <c r="A9" s="209"/>
      <c r="B9" s="210"/>
      <c r="C9" s="210"/>
      <c r="D9" s="212"/>
      <c r="E9" s="212"/>
      <c r="F9" s="210"/>
      <c r="G9" s="210"/>
      <c r="H9" s="212"/>
      <c r="I9" s="212"/>
      <c r="J9" s="6"/>
      <c r="K9" s="1"/>
      <c r="L9" s="1"/>
      <c r="M9" s="1"/>
      <c r="N9" s="1"/>
      <c r="O9" s="1"/>
      <c r="AA9" s="208"/>
      <c r="AC9" s="293">
        <v>9</v>
      </c>
      <c r="AD9" s="208">
        <v>44166</v>
      </c>
    </row>
    <row r="10" spans="1:30" ht="22.5" thickTop="1" thickBot="1">
      <c r="A10" s="1"/>
      <c r="B10" s="422" t="s">
        <v>66</v>
      </c>
      <c r="C10" s="422"/>
      <c r="D10" s="460" t="s">
        <v>414</v>
      </c>
      <c r="E10" s="460"/>
      <c r="F10" s="429" t="s">
        <v>34</v>
      </c>
      <c r="G10" s="429"/>
      <c r="H10" s="461">
        <v>123465471475</v>
      </c>
      <c r="I10" s="461"/>
      <c r="J10" s="2"/>
      <c r="K10" s="18"/>
      <c r="L10" s="18"/>
      <c r="M10" s="18"/>
      <c r="N10" s="1"/>
      <c r="O10" s="1"/>
      <c r="T10" s="35" t="s">
        <v>4</v>
      </c>
      <c r="AA10" s="208">
        <v>43800</v>
      </c>
      <c r="AC10" s="293">
        <v>10</v>
      </c>
      <c r="AD10" s="208">
        <v>44197</v>
      </c>
    </row>
    <row r="11" spans="1:30" ht="8.1" customHeight="1" thickTop="1" thickBot="1">
      <c r="A11" s="209"/>
      <c r="B11" s="210"/>
      <c r="C11" s="210"/>
      <c r="D11" s="212"/>
      <c r="E11" s="212"/>
      <c r="F11" s="210"/>
      <c r="G11" s="210"/>
      <c r="H11" s="213"/>
      <c r="I11" s="213"/>
      <c r="J11" s="6"/>
      <c r="K11" s="18"/>
      <c r="L11" s="18"/>
      <c r="M11" s="18"/>
      <c r="N11" s="1"/>
      <c r="O11" s="1"/>
      <c r="AA11" s="208"/>
      <c r="AC11" s="293">
        <v>11</v>
      </c>
      <c r="AD11" s="208">
        <v>44228</v>
      </c>
    </row>
    <row r="12" spans="1:30" ht="22.5" thickTop="1" thickBot="1">
      <c r="A12" s="1"/>
      <c r="B12" s="422" t="s">
        <v>67</v>
      </c>
      <c r="C12" s="422"/>
      <c r="D12" s="449" t="s">
        <v>413</v>
      </c>
      <c r="E12" s="449"/>
      <c r="F12" s="429" t="s">
        <v>35</v>
      </c>
      <c r="G12" s="429"/>
      <c r="H12" s="428"/>
      <c r="I12" s="428"/>
      <c r="J12" s="2"/>
      <c r="K12" s="433"/>
      <c r="L12" s="433"/>
      <c r="M12" s="433"/>
      <c r="N12" s="433"/>
      <c r="O12" s="1"/>
      <c r="T12" s="35" t="s">
        <v>36</v>
      </c>
      <c r="AA12" s="208">
        <v>43831</v>
      </c>
      <c r="AC12" s="293">
        <v>12</v>
      </c>
      <c r="AD12" s="208"/>
    </row>
    <row r="13" spans="1:30" ht="8.1" customHeight="1" thickTop="1" thickBot="1">
      <c r="A13" s="209"/>
      <c r="B13" s="210"/>
      <c r="C13" s="210"/>
      <c r="D13" s="214"/>
      <c r="E13" s="214"/>
      <c r="F13" s="210"/>
      <c r="G13" s="210"/>
      <c r="H13" s="212"/>
      <c r="I13" s="212"/>
      <c r="J13" s="6"/>
      <c r="K13" s="201"/>
      <c r="L13" s="201"/>
      <c r="M13" s="201"/>
      <c r="N13" s="201"/>
      <c r="O13" s="1"/>
      <c r="AA13" s="208"/>
      <c r="AC13" s="293"/>
    </row>
    <row r="14" spans="1:30" ht="22.5" thickTop="1" thickBot="1">
      <c r="A14" s="1"/>
      <c r="B14" s="422" t="s">
        <v>37</v>
      </c>
      <c r="C14" s="422"/>
      <c r="D14" s="428">
        <v>11</v>
      </c>
      <c r="E14" s="428"/>
      <c r="F14" s="429" t="s">
        <v>38</v>
      </c>
      <c r="G14" s="429"/>
      <c r="H14" s="428">
        <v>123456</v>
      </c>
      <c r="I14" s="428"/>
      <c r="J14" s="2"/>
      <c r="K14" s="18"/>
      <c r="L14" s="18"/>
      <c r="M14" s="18"/>
      <c r="N14" s="1"/>
      <c r="O14" s="1"/>
      <c r="T14" s="35" t="s">
        <v>39</v>
      </c>
      <c r="AA14" s="208">
        <v>43862</v>
      </c>
    </row>
    <row r="15" spans="1:30" ht="8.1" customHeight="1" thickTop="1" thickBot="1">
      <c r="A15" s="209"/>
      <c r="B15" s="210"/>
      <c r="C15" s="210"/>
      <c r="D15" s="212"/>
      <c r="E15" s="212"/>
      <c r="F15" s="210"/>
      <c r="G15" s="210"/>
      <c r="H15" s="212"/>
      <c r="I15" s="212"/>
      <c r="J15" s="6"/>
      <c r="K15" s="18"/>
      <c r="L15" s="18"/>
      <c r="M15" s="18"/>
      <c r="N15" s="1"/>
      <c r="O15" s="1"/>
      <c r="AA15" s="208"/>
    </row>
    <row r="16" spans="1:30" ht="22.5" thickTop="1" thickBot="1">
      <c r="A16" s="1"/>
      <c r="B16" s="422" t="s">
        <v>40</v>
      </c>
      <c r="C16" s="422"/>
      <c r="D16" s="430">
        <v>12134545454541</v>
      </c>
      <c r="E16" s="430"/>
      <c r="F16" s="422" t="s">
        <v>41</v>
      </c>
      <c r="G16" s="422"/>
      <c r="H16" s="430">
        <v>121212121212121</v>
      </c>
      <c r="I16" s="430"/>
      <c r="J16" s="19"/>
      <c r="K16" s="19"/>
      <c r="L16" s="19"/>
      <c r="M16" s="19"/>
      <c r="N16" s="19"/>
      <c r="O16" s="1"/>
    </row>
    <row r="17" spans="1:29" ht="8.1" customHeight="1" thickTop="1" thickBot="1">
      <c r="A17" s="209"/>
      <c r="B17" s="210"/>
      <c r="C17" s="210"/>
      <c r="D17" s="212"/>
      <c r="E17" s="212"/>
      <c r="F17" s="210"/>
      <c r="G17" s="210"/>
      <c r="H17" s="211"/>
      <c r="I17" s="211"/>
      <c r="J17" s="19"/>
      <c r="K17" s="19"/>
      <c r="L17" s="19"/>
      <c r="M17" s="19"/>
      <c r="N17" s="19"/>
      <c r="O17" s="1"/>
    </row>
    <row r="18" spans="1:29" ht="21.75" customHeight="1" thickTop="1" thickBot="1">
      <c r="A18" s="1"/>
      <c r="B18" s="422" t="s">
        <v>118</v>
      </c>
      <c r="C18" s="422"/>
      <c r="D18" s="428" t="s">
        <v>91</v>
      </c>
      <c r="E18" s="428"/>
      <c r="F18" s="429" t="s">
        <v>125</v>
      </c>
      <c r="G18" s="429"/>
      <c r="H18" s="428" t="s">
        <v>92</v>
      </c>
      <c r="I18" s="428"/>
      <c r="J18" s="2"/>
      <c r="K18" s="441" t="s">
        <v>25</v>
      </c>
      <c r="L18" s="441"/>
      <c r="M18" s="441"/>
      <c r="N18" s="441"/>
      <c r="O18" s="1"/>
    </row>
    <row r="19" spans="1:29" ht="9.75" customHeight="1" thickTop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09"/>
      <c r="N19" s="209"/>
      <c r="O19" s="209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ht="26.25" customHeight="1">
      <c r="A20" s="1"/>
      <c r="B20" s="1"/>
      <c r="C20" s="1"/>
      <c r="D20" s="1"/>
      <c r="E20" s="478" t="s">
        <v>415</v>
      </c>
      <c r="F20" s="479"/>
      <c r="G20" s="479"/>
      <c r="H20" s="480"/>
      <c r="I20" s="1"/>
      <c r="J20" s="1"/>
      <c r="K20" s="1"/>
      <c r="L20" s="1"/>
      <c r="M20" s="209"/>
      <c r="N20" s="209"/>
      <c r="O20" s="209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09"/>
      <c r="N21" s="209"/>
      <c r="O21" s="209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22.5" thickTop="1" thickBot="1">
      <c r="A22" s="1"/>
      <c r="B22" s="423" t="s">
        <v>1</v>
      </c>
      <c r="C22" s="423"/>
      <c r="D22" s="423"/>
      <c r="E22" s="202" t="s">
        <v>91</v>
      </c>
      <c r="F22" s="424" t="s">
        <v>3</v>
      </c>
      <c r="G22" s="425"/>
      <c r="H22" s="426"/>
      <c r="I22" s="202" t="s">
        <v>33</v>
      </c>
      <c r="J22" s="2"/>
      <c r="K22" s="442" t="s">
        <v>325</v>
      </c>
      <c r="L22" s="442"/>
      <c r="M22" s="442"/>
      <c r="N22" s="442"/>
      <c r="O22" s="1"/>
      <c r="S22" s="35" t="s">
        <v>2</v>
      </c>
      <c r="T22" s="35" t="s">
        <v>5</v>
      </c>
      <c r="U22" s="35">
        <v>8</v>
      </c>
      <c r="V22" s="35" t="s">
        <v>6</v>
      </c>
      <c r="W22" s="35" t="s">
        <v>7</v>
      </c>
      <c r="Y22" s="35" t="s">
        <v>8</v>
      </c>
      <c r="AA22" s="208">
        <v>43525</v>
      </c>
    </row>
    <row r="23" spans="1:29" ht="8.1" customHeight="1" thickTop="1" thickBot="1">
      <c r="A23" s="209"/>
      <c r="B23" s="215"/>
      <c r="C23" s="215"/>
      <c r="D23" s="215"/>
      <c r="E23" s="216"/>
      <c r="F23" s="217"/>
      <c r="G23" s="217"/>
      <c r="H23" s="217"/>
      <c r="I23" s="216"/>
      <c r="J23" s="6"/>
      <c r="K23" s="442"/>
      <c r="L23" s="442"/>
      <c r="M23" s="442"/>
      <c r="N23" s="442"/>
      <c r="O23" s="1"/>
      <c r="AA23" s="208"/>
    </row>
    <row r="24" spans="1:29" ht="22.5" thickTop="1" thickBot="1">
      <c r="A24" s="1"/>
      <c r="B24" s="423" t="s">
        <v>9</v>
      </c>
      <c r="C24" s="423"/>
      <c r="D24" s="423"/>
      <c r="E24" s="21" t="s">
        <v>10</v>
      </c>
      <c r="F24" s="427" t="s">
        <v>11</v>
      </c>
      <c r="G24" s="427"/>
      <c r="H24" s="427"/>
      <c r="I24" s="20" t="s">
        <v>92</v>
      </c>
      <c r="J24" s="218"/>
      <c r="K24" s="442"/>
      <c r="L24" s="442"/>
      <c r="M24" s="442"/>
      <c r="N24" s="442"/>
      <c r="O24" s="1"/>
      <c r="S24" s="35" t="s">
        <v>12</v>
      </c>
      <c r="U24" s="35">
        <v>9</v>
      </c>
      <c r="V24" s="35" t="s">
        <v>13</v>
      </c>
      <c r="W24" s="35" t="s">
        <v>14</v>
      </c>
      <c r="Y24" s="35" t="s">
        <v>15</v>
      </c>
      <c r="AA24" s="208">
        <v>43556</v>
      </c>
    </row>
    <row r="25" spans="1:29" ht="8.1" customHeight="1" thickTop="1" thickBot="1">
      <c r="A25" s="209"/>
      <c r="B25" s="215"/>
      <c r="C25" s="215"/>
      <c r="D25" s="215"/>
      <c r="E25" s="219"/>
      <c r="F25" s="217"/>
      <c r="G25" s="217"/>
      <c r="H25" s="217"/>
      <c r="I25" s="216"/>
      <c r="J25" s="218"/>
      <c r="K25" s="220"/>
      <c r="L25" s="220"/>
      <c r="M25" s="220"/>
      <c r="N25" s="220"/>
      <c r="O25" s="1"/>
      <c r="AA25" s="208"/>
    </row>
    <row r="26" spans="1:29" ht="23.25" customHeight="1" thickTop="1" thickBot="1">
      <c r="A26" s="209"/>
      <c r="B26" s="215"/>
      <c r="C26" s="481" t="s">
        <v>603</v>
      </c>
      <c r="D26" s="481"/>
      <c r="E26" s="481"/>
      <c r="F26" s="481"/>
      <c r="G26" s="481"/>
      <c r="H26" s="481"/>
      <c r="I26" s="388">
        <v>12</v>
      </c>
      <c r="J26" s="218"/>
      <c r="K26" s="967" t="s">
        <v>610</v>
      </c>
      <c r="L26" s="967"/>
      <c r="M26" s="967"/>
      <c r="N26" s="20" t="s">
        <v>92</v>
      </c>
      <c r="O26" s="1"/>
      <c r="AA26" s="208"/>
    </row>
    <row r="27" spans="1:29" ht="8.1" customHeight="1" thickTop="1" thickBot="1">
      <c r="A27" s="209"/>
      <c r="B27" s="215"/>
      <c r="C27" s="215"/>
      <c r="D27" s="215"/>
      <c r="E27" s="219"/>
      <c r="F27" s="217"/>
      <c r="G27" s="217"/>
      <c r="H27" s="217"/>
      <c r="I27" s="216"/>
      <c r="J27" s="218"/>
      <c r="K27" s="220"/>
      <c r="L27" s="220"/>
      <c r="M27" s="220"/>
      <c r="N27" s="220"/>
      <c r="O27" s="1"/>
      <c r="AA27" s="208"/>
    </row>
    <row r="28" spans="1:29" ht="22.5" thickTop="1" thickBot="1">
      <c r="A28" s="1"/>
      <c r="B28" s="423" t="s">
        <v>16</v>
      </c>
      <c r="C28" s="423" t="s">
        <v>16</v>
      </c>
      <c r="D28" s="423"/>
      <c r="E28" s="20">
        <v>0</v>
      </c>
      <c r="F28" s="427" t="s">
        <v>17</v>
      </c>
      <c r="G28" s="427"/>
      <c r="H28" s="427"/>
      <c r="I28" s="23" t="s">
        <v>8</v>
      </c>
      <c r="J28" s="221"/>
      <c r="K28" s="434" t="s">
        <v>326</v>
      </c>
      <c r="L28" s="434"/>
      <c r="M28" s="434"/>
      <c r="N28" s="440">
        <v>6</v>
      </c>
      <c r="O28" s="1"/>
      <c r="T28" s="35" t="s">
        <v>18</v>
      </c>
      <c r="U28" s="35">
        <v>10</v>
      </c>
      <c r="W28" s="35" t="s">
        <v>19</v>
      </c>
      <c r="AA28" s="208">
        <v>43586</v>
      </c>
    </row>
    <row r="29" spans="1:29" ht="8.1" customHeight="1" thickTop="1" thickBot="1">
      <c r="A29" s="209"/>
      <c r="B29" s="217"/>
      <c r="C29" s="217"/>
      <c r="D29" s="217"/>
      <c r="E29" s="216"/>
      <c r="F29" s="217"/>
      <c r="G29" s="217"/>
      <c r="H29" s="217"/>
      <c r="I29" s="222"/>
      <c r="J29" s="6"/>
      <c r="K29" s="435"/>
      <c r="L29" s="435"/>
      <c r="M29" s="435"/>
      <c r="N29" s="440"/>
      <c r="O29" s="1"/>
      <c r="AA29" s="208"/>
    </row>
    <row r="30" spans="1:29" ht="22.5" thickTop="1" thickBot="1">
      <c r="A30" s="1"/>
      <c r="B30" s="423" t="s">
        <v>69</v>
      </c>
      <c r="C30" s="423"/>
      <c r="D30" s="423"/>
      <c r="E30" s="22">
        <v>8</v>
      </c>
      <c r="F30" s="464" t="s">
        <v>71</v>
      </c>
      <c r="G30" s="464"/>
      <c r="H30" s="464"/>
      <c r="I30" s="23" t="s">
        <v>6</v>
      </c>
      <c r="J30" s="2"/>
      <c r="K30" s="223"/>
      <c r="L30" s="221"/>
      <c r="M30" s="224"/>
      <c r="N30" s="1"/>
      <c r="O30" s="1"/>
      <c r="T30" s="35" t="s">
        <v>20</v>
      </c>
      <c r="U30" s="35">
        <v>12</v>
      </c>
      <c r="W30" s="35" t="s">
        <v>21</v>
      </c>
      <c r="AA30" s="208">
        <v>43617</v>
      </c>
    </row>
    <row r="31" spans="1:29" ht="8.1" customHeight="1" thickTop="1" thickBot="1">
      <c r="A31" s="209"/>
      <c r="B31" s="217"/>
      <c r="C31" s="217"/>
      <c r="D31" s="217"/>
      <c r="E31" s="225"/>
      <c r="F31" s="226"/>
      <c r="G31" s="217"/>
      <c r="H31" s="217"/>
      <c r="I31" s="222"/>
      <c r="J31" s="6"/>
      <c r="K31" s="436" t="s">
        <v>327</v>
      </c>
      <c r="L31" s="436"/>
      <c r="M31" s="436"/>
      <c r="N31" s="438">
        <v>2</v>
      </c>
      <c r="O31" s="1"/>
      <c r="AA31" s="208"/>
    </row>
    <row r="32" spans="1:29" ht="22.5" thickTop="1" thickBot="1">
      <c r="A32" s="1"/>
      <c r="B32" s="423" t="s">
        <v>126</v>
      </c>
      <c r="C32" s="423"/>
      <c r="D32" s="423"/>
      <c r="E32" s="20" t="s">
        <v>91</v>
      </c>
      <c r="F32" s="427" t="s">
        <v>70</v>
      </c>
      <c r="G32" s="427"/>
      <c r="H32" s="427"/>
      <c r="I32" s="23" t="s">
        <v>21</v>
      </c>
      <c r="J32" s="2"/>
      <c r="K32" s="437"/>
      <c r="L32" s="437"/>
      <c r="M32" s="437"/>
      <c r="N32" s="439"/>
      <c r="O32" s="1"/>
      <c r="T32" s="35" t="s">
        <v>22</v>
      </c>
      <c r="U32" s="35">
        <v>16</v>
      </c>
      <c r="W32" s="35" t="s">
        <v>23</v>
      </c>
      <c r="AA32" s="208">
        <v>43647</v>
      </c>
    </row>
    <row r="33" spans="1:29" ht="8.1" customHeight="1" thickTop="1" thickBot="1">
      <c r="A33" s="209"/>
      <c r="B33" s="217"/>
      <c r="C33" s="217"/>
      <c r="D33" s="217"/>
      <c r="E33" s="216"/>
      <c r="F33" s="217"/>
      <c r="G33" s="217"/>
      <c r="H33" s="217"/>
      <c r="I33" s="222"/>
      <c r="J33" s="6"/>
      <c r="K33" s="221"/>
      <c r="L33" s="224"/>
      <c r="M33" s="1"/>
      <c r="N33" s="1"/>
      <c r="O33" s="1"/>
      <c r="AA33" s="208"/>
    </row>
    <row r="34" spans="1:29" ht="30" customHeight="1" thickTop="1" thickBot="1">
      <c r="A34" s="1"/>
      <c r="B34" s="423" t="s">
        <v>127</v>
      </c>
      <c r="C34" s="423"/>
      <c r="D34" s="423"/>
      <c r="E34" s="20" t="s">
        <v>91</v>
      </c>
      <c r="F34" s="477" t="s">
        <v>74</v>
      </c>
      <c r="G34" s="477"/>
      <c r="H34" s="477"/>
      <c r="I34" s="62">
        <v>11</v>
      </c>
      <c r="J34" s="223"/>
      <c r="K34" s="463" t="s">
        <v>591</v>
      </c>
      <c r="L34" s="463"/>
      <c r="M34" s="463"/>
      <c r="N34" s="74" t="s">
        <v>92</v>
      </c>
      <c r="O34" s="1"/>
      <c r="AA34" s="208"/>
    </row>
    <row r="35" spans="1:29" ht="13.5" customHeight="1" thickTop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27"/>
      <c r="M35" s="209"/>
      <c r="N35" s="209"/>
      <c r="O35" s="209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24.75" customHeight="1" thickTop="1" thickBot="1">
      <c r="A36" s="25"/>
      <c r="B36" s="476" t="s">
        <v>72</v>
      </c>
      <c r="C36" s="476"/>
      <c r="D36" s="476"/>
      <c r="E36" s="72">
        <v>49300</v>
      </c>
      <c r="F36" s="471" t="s">
        <v>604</v>
      </c>
      <c r="G36" s="472"/>
      <c r="H36" s="472"/>
      <c r="I36" s="72"/>
      <c r="J36" s="228"/>
      <c r="K36" s="443" t="s">
        <v>121</v>
      </c>
      <c r="L36" s="444"/>
      <c r="M36" s="445"/>
      <c r="N36" s="468" t="s">
        <v>92</v>
      </c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7"/>
    </row>
    <row r="37" spans="1:29" ht="12.75" customHeight="1" thickTop="1" thickBot="1">
      <c r="A37" s="25"/>
      <c r="B37" s="29"/>
      <c r="C37" s="30"/>
      <c r="D37" s="229"/>
      <c r="E37" s="229"/>
      <c r="F37" s="4"/>
      <c r="G37" s="5"/>
      <c r="H37" s="228"/>
      <c r="I37" s="228"/>
      <c r="J37" s="2"/>
      <c r="K37" s="446"/>
      <c r="L37" s="447"/>
      <c r="M37" s="448"/>
      <c r="N37" s="469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47"/>
    </row>
    <row r="38" spans="1:29" ht="21" customHeight="1" thickTop="1" thickBot="1">
      <c r="A38" s="25"/>
      <c r="B38" s="470" t="s">
        <v>605</v>
      </c>
      <c r="C38" s="470"/>
      <c r="D38" s="470"/>
      <c r="E38" s="470"/>
      <c r="F38" s="470"/>
      <c r="G38" s="470"/>
      <c r="H38" s="470"/>
      <c r="I38" s="378"/>
      <c r="J38" s="2"/>
      <c r="K38" s="386"/>
      <c r="L38" s="386"/>
      <c r="M38" s="386"/>
      <c r="N38" s="6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47"/>
    </row>
    <row r="39" spans="1:29" ht="12.75" customHeight="1" thickTop="1" thickBot="1">
      <c r="A39" s="25"/>
      <c r="B39" s="29"/>
      <c r="C39" s="30"/>
      <c r="D39" s="229"/>
      <c r="E39" s="229"/>
      <c r="F39" s="4"/>
      <c r="G39" s="5"/>
      <c r="H39" s="385"/>
      <c r="I39" s="385"/>
      <c r="J39" s="2"/>
      <c r="K39" s="386"/>
      <c r="L39" s="386"/>
      <c r="M39" s="386"/>
      <c r="N39" s="6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47"/>
    </row>
    <row r="40" spans="1:29" ht="36.75" customHeight="1" thickTop="1" thickBot="1">
      <c r="A40" s="26"/>
      <c r="B40" s="28"/>
      <c r="C40" s="465" t="s">
        <v>42</v>
      </c>
      <c r="D40" s="466"/>
      <c r="E40" s="467"/>
      <c r="F40" s="378">
        <v>43891</v>
      </c>
      <c r="G40" s="73" t="s">
        <v>43</v>
      </c>
      <c r="H40" s="379">
        <v>44228</v>
      </c>
      <c r="I40" s="8"/>
      <c r="J40" s="458" t="s">
        <v>428</v>
      </c>
      <c r="K40" s="458"/>
      <c r="L40" s="458"/>
      <c r="M40" s="459"/>
      <c r="N40" s="387">
        <v>43952</v>
      </c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7"/>
    </row>
    <row r="41" spans="1:29" ht="16.5" thickTop="1" thickBot="1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7"/>
    </row>
    <row r="42" spans="1:29" ht="39" customHeight="1" thickTop="1" thickBot="1">
      <c r="A42" s="462"/>
      <c r="B42" s="230" t="s">
        <v>44</v>
      </c>
      <c r="C42" s="230" t="s">
        <v>45</v>
      </c>
      <c r="D42" s="230" t="s">
        <v>46</v>
      </c>
      <c r="E42" s="373" t="s">
        <v>62</v>
      </c>
      <c r="F42" s="373" t="s">
        <v>63</v>
      </c>
      <c r="G42" s="231" t="s">
        <v>47</v>
      </c>
      <c r="H42" s="231" t="s">
        <v>140</v>
      </c>
      <c r="I42" s="231" t="s">
        <v>48</v>
      </c>
      <c r="J42" s="232" t="s">
        <v>122</v>
      </c>
      <c r="K42" s="232" t="s">
        <v>124</v>
      </c>
      <c r="L42" s="232" t="s">
        <v>123</v>
      </c>
      <c r="M42" s="374" t="s">
        <v>600</v>
      </c>
      <c r="N42" s="450" t="s">
        <v>590</v>
      </c>
      <c r="O42" s="451"/>
      <c r="P42" s="14"/>
      <c r="Q42" s="15"/>
      <c r="R42" s="233"/>
      <c r="S42" s="233"/>
      <c r="T42" s="233"/>
      <c r="U42" s="15"/>
      <c r="V42" s="14"/>
      <c r="W42" s="233"/>
      <c r="X42" s="14"/>
      <c r="Y42" s="14"/>
      <c r="Z42" s="13"/>
      <c r="AA42" s="13"/>
      <c r="AB42" s="13"/>
      <c r="AC42" s="47"/>
    </row>
    <row r="43" spans="1:29" ht="25.5" customHeight="1" thickTop="1" thickBot="1">
      <c r="A43" s="462"/>
      <c r="B43" s="16"/>
      <c r="C43" s="16"/>
      <c r="D43" s="234"/>
      <c r="E43" s="17"/>
      <c r="F43" s="17"/>
      <c r="G43" s="17">
        <v>7000</v>
      </c>
      <c r="H43" s="17">
        <v>3575</v>
      </c>
      <c r="I43" s="17">
        <v>1880</v>
      </c>
      <c r="J43" s="234"/>
      <c r="K43" s="17"/>
      <c r="L43" s="17"/>
      <c r="M43" s="20" t="s">
        <v>92</v>
      </c>
      <c r="N43" s="450"/>
      <c r="O43" s="451"/>
      <c r="P43" s="14"/>
      <c r="Q43" s="235"/>
      <c r="R43" s="235"/>
      <c r="S43" s="235"/>
      <c r="T43" s="235"/>
      <c r="U43" s="236"/>
      <c r="V43" s="237"/>
      <c r="W43" s="235"/>
      <c r="X43" s="14"/>
      <c r="Y43" s="14"/>
      <c r="Z43" s="13"/>
      <c r="AA43" s="13"/>
      <c r="AB43" s="13"/>
      <c r="AC43" s="47"/>
    </row>
    <row r="44" spans="1:29" ht="15.75" thickTop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52" t="s">
        <v>589</v>
      </c>
      <c r="M44" s="452"/>
      <c r="N44" s="452"/>
      <c r="O44" s="4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26.25" customHeight="1" thickBot="1">
      <c r="A45" s="1"/>
      <c r="B45" s="1"/>
      <c r="C45" s="1"/>
      <c r="D45" s="1"/>
      <c r="E45" s="431" t="s">
        <v>49</v>
      </c>
      <c r="F45" s="431"/>
      <c r="G45" s="431"/>
      <c r="H45" s="431"/>
      <c r="I45" s="1"/>
      <c r="J45" s="1"/>
      <c r="K45" s="1"/>
      <c r="L45" s="452"/>
      <c r="M45" s="452"/>
      <c r="N45" s="452"/>
      <c r="O45" s="452"/>
    </row>
    <row r="46" spans="1:29" ht="28.5" customHeight="1" thickTop="1" thickBot="1">
      <c r="A46" s="1"/>
      <c r="B46" s="238" t="s">
        <v>50</v>
      </c>
      <c r="C46" s="238" t="s">
        <v>51</v>
      </c>
      <c r="D46" s="238" t="s">
        <v>52</v>
      </c>
      <c r="E46" s="238" t="s">
        <v>53</v>
      </c>
      <c r="F46" s="238" t="s">
        <v>54</v>
      </c>
      <c r="G46" s="238" t="s">
        <v>55</v>
      </c>
      <c r="H46" s="238" t="s">
        <v>56</v>
      </c>
      <c r="I46" s="238" t="s">
        <v>57</v>
      </c>
      <c r="J46" s="238" t="s">
        <v>58</v>
      </c>
      <c r="K46" s="238" t="s">
        <v>59</v>
      </c>
      <c r="L46" s="238" t="s">
        <v>60</v>
      </c>
      <c r="M46" s="238" t="s">
        <v>61</v>
      </c>
      <c r="N46" s="1"/>
      <c r="O46" s="1"/>
    </row>
    <row r="47" spans="1:29" ht="27.75" customHeight="1" thickTop="1" thickBot="1">
      <c r="A47" s="1"/>
      <c r="B47" s="17">
        <v>0</v>
      </c>
      <c r="C47" s="17">
        <v>1500</v>
      </c>
      <c r="D47" s="17">
        <v>1500</v>
      </c>
      <c r="E47" s="17">
        <v>1500</v>
      </c>
      <c r="F47" s="17">
        <v>1500</v>
      </c>
      <c r="G47" s="17">
        <v>1500</v>
      </c>
      <c r="H47" s="17">
        <v>1500</v>
      </c>
      <c r="I47" s="17">
        <v>1500</v>
      </c>
      <c r="J47" s="17">
        <v>1500</v>
      </c>
      <c r="K47" s="17">
        <v>1500</v>
      </c>
      <c r="L47" s="17">
        <v>1500</v>
      </c>
      <c r="M47" s="17">
        <v>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30" customHeight="1">
      <c r="A49" s="1"/>
      <c r="B49" s="1"/>
      <c r="C49" s="432" t="s">
        <v>73</v>
      </c>
      <c r="D49" s="432"/>
      <c r="E49" s="432"/>
      <c r="F49" s="432"/>
      <c r="G49" s="432"/>
      <c r="H49" s="432"/>
      <c r="I49" s="432"/>
      <c r="J49" s="432"/>
      <c r="K49" s="432"/>
      <c r="L49" s="1"/>
      <c r="M49" s="1"/>
      <c r="N49" s="1"/>
      <c r="O49" s="1"/>
    </row>
    <row r="50" spans="1:15" ht="25.5" customHeight="1">
      <c r="A50" s="1"/>
      <c r="B50" s="1"/>
      <c r="C50" s="1"/>
      <c r="D50" s="1"/>
      <c r="E50" s="1"/>
      <c r="F50" s="421" t="s">
        <v>128</v>
      </c>
      <c r="G50" s="421"/>
      <c r="H50" s="42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N43:W43" name="Range3_1"/>
    <protectedRange sqref="B47:M47" name="Range2_1_1"/>
    <protectedRange sqref="B43:C43" name="Range2_1"/>
    <protectedRange sqref="E43:L43" name="Range2_1_3"/>
  </protectedRanges>
  <mergeCells count="69">
    <mergeCell ref="N36:N37"/>
    <mergeCell ref="B38:H38"/>
    <mergeCell ref="F36:H36"/>
    <mergeCell ref="K4:N4"/>
    <mergeCell ref="B6:C6"/>
    <mergeCell ref="D6:E6"/>
    <mergeCell ref="F6:G6"/>
    <mergeCell ref="H6:I6"/>
    <mergeCell ref="B4:C4"/>
    <mergeCell ref="D4:I4"/>
    <mergeCell ref="B12:C12"/>
    <mergeCell ref="B36:D36"/>
    <mergeCell ref="B28:D28"/>
    <mergeCell ref="F34:H34"/>
    <mergeCell ref="E20:H20"/>
    <mergeCell ref="C26:H26"/>
    <mergeCell ref="A42:A43"/>
    <mergeCell ref="F16:G16"/>
    <mergeCell ref="H16:I16"/>
    <mergeCell ref="K34:M34"/>
    <mergeCell ref="F30:H30"/>
    <mergeCell ref="B32:D32"/>
    <mergeCell ref="F32:H32"/>
    <mergeCell ref="C40:E40"/>
    <mergeCell ref="F28:H28"/>
    <mergeCell ref="B30:D30"/>
    <mergeCell ref="K26:M26"/>
    <mergeCell ref="E2:H2"/>
    <mergeCell ref="B2:D2"/>
    <mergeCell ref="J40:M40"/>
    <mergeCell ref="D8:E8"/>
    <mergeCell ref="F8:G8"/>
    <mergeCell ref="H8:I8"/>
    <mergeCell ref="B10:C10"/>
    <mergeCell ref="D10:E10"/>
    <mergeCell ref="F10:G10"/>
    <mergeCell ref="H10:I10"/>
    <mergeCell ref="C49:K49"/>
    <mergeCell ref="K12:N12"/>
    <mergeCell ref="K28:M29"/>
    <mergeCell ref="K31:M32"/>
    <mergeCell ref="N31:N32"/>
    <mergeCell ref="N28:N29"/>
    <mergeCell ref="K18:N18"/>
    <mergeCell ref="K22:N24"/>
    <mergeCell ref="K36:M37"/>
    <mergeCell ref="D12:E12"/>
    <mergeCell ref="F12:G12"/>
    <mergeCell ref="H12:I12"/>
    <mergeCell ref="N42:O43"/>
    <mergeCell ref="L44:O45"/>
    <mergeCell ref="F18:G18"/>
    <mergeCell ref="H18:I18"/>
    <mergeCell ref="F50:H50"/>
    <mergeCell ref="B8:C8"/>
    <mergeCell ref="B22:D22"/>
    <mergeCell ref="F22:H22"/>
    <mergeCell ref="B24:D24"/>
    <mergeCell ref="F24:H24"/>
    <mergeCell ref="B14:C14"/>
    <mergeCell ref="D14:E14"/>
    <mergeCell ref="F14:G14"/>
    <mergeCell ref="H14:I14"/>
    <mergeCell ref="B16:C16"/>
    <mergeCell ref="D16:E16"/>
    <mergeCell ref="B34:D34"/>
    <mergeCell ref="E45:H45"/>
    <mergeCell ref="B18:C18"/>
    <mergeCell ref="D18:E18"/>
  </mergeCells>
  <dataValidations count="37">
    <dataValidation type="custom" allowBlank="1" showInputMessage="1" showErrorMessage="1" sqref="D5:I5">
      <formula1>ISTEXT(D5:I5)=TRUE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0: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 N40">
      <formula1>Month</formula1>
    </dataValidation>
    <dataValidation type="list" allowBlank="1" showInputMessage="1" showErrorMessage="1" sqref="I32:I33">
      <formula1>CCA</formula1>
    </dataValidation>
    <dataValidation type="list" allowBlank="1" showInputMessage="1" showErrorMessage="1" sqref="E34 M43">
      <formula1>ye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whole" allowBlank="1" showInputMessage="1" showErrorMessage="1" errorTitle="write here Only in Digit" error="भाई लेवल को केवल 1 से  24 तक नंबर में  ही लिखें" sqref="I34">
      <formula1>1</formula1>
      <formula2>24</formula2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Yes or No" error="केवल हाँ अथवा ना सलेक्ट करें।" sqref="D18:E18">
      <formula1>ye</formula1>
    </dataValidation>
    <dataValidation type="list" allowBlank="1" showInputMessage="1" showErrorMessage="1" error="केवल हाँ अथवा ना सलेक्ट करें।" sqref="E32:E33 N36 N34 E22:E23 I24:I25 I27 N26">
      <formula1>ye</formula1>
    </dataValidation>
    <dataValidation type="custom" allowBlank="1" showInputMessage="1" showErrorMessage="1" sqref="E29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E36 I36">
      <formula1>ISNUMBER(E36)=TRUE</formula1>
    </dataValidation>
    <dataValidation type="custom" allowBlank="1" showInputMessage="1" showErrorMessage="1" errorTitle="Write in Digit" error="अंको में  लिखों सा। " sqref="B47:M47 B43:C43 E43:L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ye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whole" allowBlank="1" showInputMessage="1" showErrorMessage="1" errorTitle="write here Only in Digit " error="श्रीमान जी आप केवल 0 से 6 तक नंबर में  ही महीने लिख सकते है " sqref="N28:N29">
      <formula1>0</formula1>
      <formula2>6</formula2>
    </dataValidation>
    <dataValidation type="whole" allowBlank="1" showInputMessage="1" showErrorMessage="1" errorTitle="write here Only in Digit" error="श्रीमान जी आप केवल 0 से 12 तक नंबर में  ही महीने लिख सकते है " sqref="N31:N32">
      <formula1>0</formula1>
      <formula2>12</formula2>
    </dataValidation>
    <dataValidation type="whole" operator="lessThanOrEqual" allowBlank="1" showInputMessage="1" showErrorMessage="1" errorTitle="Write in Digit" error="विकलांग भत्ता अधिकतम 600 रुपये ही मिलता है।  " sqref="E28">
      <formula1>600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38">
      <formula1>$AD$1:$AD$12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</dataValidations>
  <hyperlinks>
    <hyperlink ref="L44" r:id="rId1"/>
    <hyperlink ref="B2" r:id="rId2"/>
  </hyperlinks>
  <pageMargins left="0.7" right="0.7" top="0.75" bottom="0.75" header="0.3" footer="0.3"/>
  <pageSetup orientation="portrait" horizontalDpi="300" verticalDpi="0" copies="0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41"/>
  <sheetViews>
    <sheetView showGridLines="0" tabSelected="1" topLeftCell="C1" workbookViewId="0">
      <selection activeCell="AG1" sqref="AG1:XFD1048576"/>
    </sheetView>
  </sheetViews>
  <sheetFormatPr defaultColWidth="0" defaultRowHeight="21" zeroHeight="1"/>
  <cols>
    <col min="1" max="1" width="6.5" style="38" hidden="1" customWidth="1"/>
    <col min="2" max="2" width="8.375" style="38" hidden="1" customWidth="1"/>
    <col min="3" max="3" width="5.75" style="38" bestFit="1" customWidth="1"/>
    <col min="4" max="4" width="20.25" style="38" customWidth="1"/>
    <col min="5" max="5" width="14.5" style="38" customWidth="1"/>
    <col min="6" max="6" width="11" style="38" customWidth="1"/>
    <col min="7" max="7" width="11.25" style="38" customWidth="1"/>
    <col min="8" max="13" width="10.75" style="38" customWidth="1"/>
    <col min="14" max="14" width="9.125" style="38" customWidth="1"/>
    <col min="15" max="15" width="13" style="38" customWidth="1"/>
    <col min="16" max="24" width="8.75" style="38" customWidth="1"/>
    <col min="25" max="25" width="10.375" style="38" customWidth="1"/>
    <col min="26" max="27" width="8.75" style="38" customWidth="1"/>
    <col min="28" max="28" width="9.875" style="38" customWidth="1"/>
    <col min="29" max="29" width="10.125" style="38" customWidth="1"/>
    <col min="30" max="30" width="10.75" style="38" customWidth="1"/>
    <col min="31" max="31" width="12.125" style="38" customWidth="1"/>
    <col min="32" max="32" width="11.25" style="39" customWidth="1"/>
    <col min="33" max="41" width="9.125" style="39" hidden="1"/>
    <col min="42" max="42" width="12.75" style="39" hidden="1"/>
    <col min="43" max="43" width="10.25" style="39" hidden="1"/>
    <col min="44" max="44" width="9.875" style="39" hidden="1"/>
    <col min="45" max="47" width="9.125" style="39" hidden="1"/>
    <col min="48" max="48" width="10.125" style="39" hidden="1"/>
    <col min="49" max="49" width="5.625" style="44" hidden="1"/>
    <col min="50" max="50" width="8.75" style="44" hidden="1"/>
    <col min="51" max="51" width="7.25" style="44" hidden="1"/>
    <col min="52" max="52" width="9" style="44" hidden="1"/>
    <col min="53" max="53" width="6.25" style="44" hidden="1"/>
    <col min="54" max="54" width="5.625" style="44" hidden="1"/>
    <col min="55" max="55" width="6.5" style="44" hidden="1"/>
    <col min="56" max="57" width="6.375" style="44" hidden="1"/>
    <col min="58" max="62" width="5.625" style="44" hidden="1"/>
    <col min="63" max="64" width="9.375" style="39" hidden="1"/>
    <col min="65" max="103" width="9.125" style="39" hidden="1"/>
    <col min="104" max="16384" width="9.125" style="38" hidden="1"/>
  </cols>
  <sheetData>
    <row r="1" spans="1:103" ht="26.25" customHeight="1"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494" t="s">
        <v>594</v>
      </c>
      <c r="U1" s="494"/>
      <c r="V1" s="494"/>
      <c r="W1" s="494"/>
      <c r="X1" s="494"/>
      <c r="Y1" s="494"/>
      <c r="Z1" s="314"/>
      <c r="AA1" s="314"/>
      <c r="AB1" s="314"/>
      <c r="AC1" s="314"/>
      <c r="AD1" s="314"/>
      <c r="AE1" s="314"/>
    </row>
    <row r="2" spans="1:103" ht="24.75" customHeight="1"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494"/>
      <c r="U2" s="494"/>
      <c r="V2" s="494"/>
      <c r="W2" s="494"/>
      <c r="X2" s="494"/>
      <c r="Y2" s="494"/>
      <c r="Z2" s="381"/>
      <c r="AA2" s="381"/>
      <c r="AB2" s="381"/>
      <c r="AC2" s="314"/>
      <c r="AD2" s="314"/>
      <c r="AE2" s="314"/>
    </row>
    <row r="3" spans="1:103" s="31" customFormat="1" ht="27.75" customHeight="1">
      <c r="C3" s="40"/>
      <c r="D3" s="484" t="s">
        <v>117</v>
      </c>
      <c r="E3" s="484"/>
      <c r="F3" s="485" t="str">
        <f>IF('Master Data'!D6="","",CONCATENATE('Master Data'!D6," ,  ",'Master Data'!H6))</f>
        <v>Heeralal jat ,  Sr Teacher</v>
      </c>
      <c r="G3" s="485"/>
      <c r="H3" s="485"/>
      <c r="I3" s="485"/>
      <c r="J3" s="40"/>
      <c r="K3" s="40"/>
      <c r="L3" s="40"/>
      <c r="M3" s="40"/>
      <c r="N3" s="40"/>
      <c r="O3" s="40"/>
      <c r="P3" s="40"/>
      <c r="Q3" s="40"/>
      <c r="R3" s="40"/>
      <c r="S3" s="492" t="s">
        <v>593</v>
      </c>
      <c r="T3" s="493"/>
      <c r="U3" s="493"/>
      <c r="V3" s="493"/>
      <c r="W3" s="493"/>
      <c r="X3" s="493"/>
      <c r="Y3" s="493"/>
      <c r="Z3" s="493"/>
      <c r="AA3" s="40"/>
      <c r="AB3" s="40"/>
      <c r="AC3" s="40"/>
      <c r="AD3" s="40"/>
      <c r="AE3" s="40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</row>
    <row r="4" spans="1:103" s="31" customFormat="1" ht="20.25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</row>
    <row r="5" spans="1:103" s="31" customFormat="1" ht="18" customHeight="1" thickBot="1">
      <c r="C5" s="75">
        <v>1</v>
      </c>
      <c r="D5" s="75">
        <v>2</v>
      </c>
      <c r="E5" s="75">
        <v>3</v>
      </c>
      <c r="F5" s="75">
        <v>4</v>
      </c>
      <c r="G5" s="75">
        <v>5</v>
      </c>
      <c r="H5" s="75">
        <v>6</v>
      </c>
      <c r="I5" s="75">
        <v>7</v>
      </c>
      <c r="J5" s="75">
        <v>8</v>
      </c>
      <c r="K5" s="75">
        <v>9</v>
      </c>
      <c r="L5" s="75">
        <v>10</v>
      </c>
      <c r="M5" s="75">
        <v>11</v>
      </c>
      <c r="N5" s="75">
        <v>12</v>
      </c>
      <c r="O5" s="75">
        <v>13</v>
      </c>
      <c r="P5" s="75">
        <v>14</v>
      </c>
      <c r="Q5" s="75">
        <v>15</v>
      </c>
      <c r="R5" s="75">
        <v>16</v>
      </c>
      <c r="S5" s="75">
        <v>17</v>
      </c>
      <c r="T5" s="75">
        <v>18</v>
      </c>
      <c r="U5" s="75">
        <v>19</v>
      </c>
      <c r="V5" s="75">
        <v>20</v>
      </c>
      <c r="W5" s="75">
        <v>21</v>
      </c>
      <c r="X5" s="75">
        <v>22</v>
      </c>
      <c r="Y5" s="75">
        <v>23</v>
      </c>
      <c r="Z5" s="75">
        <v>24</v>
      </c>
      <c r="AA5" s="75">
        <v>25</v>
      </c>
      <c r="AB5" s="75">
        <v>26</v>
      </c>
      <c r="AC5" s="75">
        <v>27</v>
      </c>
      <c r="AD5" s="75">
        <v>28</v>
      </c>
      <c r="AE5" s="75">
        <v>29</v>
      </c>
      <c r="AF5" s="32"/>
      <c r="AG5" s="32"/>
      <c r="AH5" s="32"/>
      <c r="AI5" s="32"/>
      <c r="AJ5" s="32"/>
      <c r="AK5" s="32"/>
      <c r="AL5" s="32"/>
      <c r="AM5" s="32" t="str">
        <f>'Master Data'!N26</f>
        <v>Yes</v>
      </c>
      <c r="AN5" s="34" t="s">
        <v>6</v>
      </c>
      <c r="AO5" s="34" t="s">
        <v>92</v>
      </c>
      <c r="AP5" s="42" t="s">
        <v>8</v>
      </c>
      <c r="AQ5" s="32" t="s">
        <v>10</v>
      </c>
      <c r="AR5" s="32"/>
      <c r="AS5" s="32">
        <v>1000</v>
      </c>
      <c r="AT5" s="32"/>
      <c r="AU5" s="32"/>
      <c r="AV5" s="32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 s="33" customFormat="1" ht="36.75" customHeight="1">
      <c r="C6" s="495" t="s">
        <v>75</v>
      </c>
      <c r="D6" s="482" t="s">
        <v>76</v>
      </c>
      <c r="E6" s="497" t="s">
        <v>77</v>
      </c>
      <c r="F6" s="482" t="s">
        <v>78</v>
      </c>
      <c r="G6" s="482" t="s">
        <v>79</v>
      </c>
      <c r="H6" s="482" t="str">
        <f>IF('Master Data'!B42="","",'Master Data'!B42)</f>
        <v>Wash All.</v>
      </c>
      <c r="I6" s="482" t="str">
        <f>IF('Master Data'!C42="","",'Master Data'!C42)</f>
        <v>Handi. All.</v>
      </c>
      <c r="J6" s="482" t="str">
        <f>IF('Master Data'!D42="","",'Master Data'!D42)</f>
        <v>CCA</v>
      </c>
      <c r="K6" s="482" t="str">
        <f>IF('Master Data'!E42="","",'Master Data'!E42)</f>
        <v>other-1</v>
      </c>
      <c r="L6" s="482" t="str">
        <f>IF('Master Data'!F42="","",'Master Data'!F42)</f>
        <v>other-2</v>
      </c>
      <c r="M6" s="482" t="s">
        <v>80</v>
      </c>
      <c r="N6" s="482" t="s">
        <v>81</v>
      </c>
      <c r="O6" s="482" t="s">
        <v>82</v>
      </c>
      <c r="P6" s="482" t="str">
        <f>IF('Master Data'!G42="","",'Master Data'!G42)</f>
        <v>SI</v>
      </c>
      <c r="Q6" s="482" t="str">
        <f>IF('Master Data'!H42="","",'Master Data'!H42)</f>
        <v>GPF / NPS</v>
      </c>
      <c r="R6" s="482" t="str">
        <f>IF('Master Data'!I42="","",'Master Data'!I42)</f>
        <v>L.I.C.</v>
      </c>
      <c r="S6" s="482" t="str">
        <f>IF('Master Data'!J42="","",'Master Data'!J42)</f>
        <v>RPMF</v>
      </c>
      <c r="T6" s="482" t="str">
        <f>IF('Master Data'!K42="","",'Master Data'!K42)</f>
        <v>SI Loan</v>
      </c>
      <c r="U6" s="482" t="str">
        <f>IF('Master Data'!L42="","",'Master Data'!L42)</f>
        <v>GPF Loan</v>
      </c>
      <c r="V6" s="482" t="str">
        <f>IF('Master Data'!M42="","",'Master Data'!M42)</f>
        <v>GPF 2004 (NPS)</v>
      </c>
      <c r="W6" s="482" t="s">
        <v>83</v>
      </c>
      <c r="X6" s="482" t="s">
        <v>427</v>
      </c>
      <c r="Y6" s="312" t="s">
        <v>86</v>
      </c>
      <c r="Z6" s="490" t="s">
        <v>84</v>
      </c>
      <c r="AA6" s="490" t="s">
        <v>85</v>
      </c>
      <c r="AB6" s="486" t="s">
        <v>87</v>
      </c>
      <c r="AC6" s="486" t="s">
        <v>88</v>
      </c>
      <c r="AD6" s="486" t="s">
        <v>89</v>
      </c>
      <c r="AE6" s="488" t="s">
        <v>90</v>
      </c>
      <c r="AF6" s="34"/>
      <c r="AG6" s="34"/>
      <c r="AH6" s="34"/>
      <c r="AI6" s="34"/>
      <c r="AJ6" s="34"/>
      <c r="AK6" s="34"/>
      <c r="AL6" s="34"/>
      <c r="AM6" s="34"/>
      <c r="AN6" s="34" t="s">
        <v>13</v>
      </c>
      <c r="AO6" s="34" t="s">
        <v>91</v>
      </c>
      <c r="AP6" s="34" t="s">
        <v>15</v>
      </c>
      <c r="AQ6" s="34" t="s">
        <v>93</v>
      </c>
      <c r="AR6" s="34"/>
      <c r="AS6" s="34">
        <v>620</v>
      </c>
      <c r="AT6" s="43"/>
      <c r="AU6" s="34"/>
      <c r="AV6" s="3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</row>
    <row r="7" spans="1:103" s="33" customFormat="1" ht="30" customHeight="1">
      <c r="C7" s="496"/>
      <c r="D7" s="483"/>
      <c r="E7" s="498"/>
      <c r="F7" s="483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313"/>
      <c r="Z7" s="491"/>
      <c r="AA7" s="491"/>
      <c r="AB7" s="487"/>
      <c r="AC7" s="487"/>
      <c r="AD7" s="487"/>
      <c r="AE7" s="489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 t="s">
        <v>426</v>
      </c>
      <c r="AR7" s="34"/>
      <c r="AS7" s="34"/>
      <c r="AT7" s="43"/>
      <c r="AU7" s="34"/>
      <c r="AV7" s="34"/>
      <c r="AW7" s="44"/>
      <c r="AX7" s="44"/>
      <c r="AY7" s="44"/>
      <c r="AZ7" s="44"/>
      <c r="BA7" s="44"/>
      <c r="BB7" s="44"/>
      <c r="BC7" s="44"/>
      <c r="BD7" s="44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44"/>
      <c r="BF7" s="44"/>
      <c r="BG7" s="44"/>
      <c r="BH7" s="44"/>
      <c r="BI7" s="44"/>
      <c r="BJ7" s="4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</row>
    <row r="8" spans="1:103" s="35" customFormat="1" ht="21" customHeight="1" thickBot="1">
      <c r="A8" s="35">
        <f>MOD(B8,2)</f>
        <v>1</v>
      </c>
      <c r="B8" s="76">
        <f>IF(LEN(D8)&gt;=3,1,0)</f>
        <v>1</v>
      </c>
      <c r="C8" s="77">
        <v>1</v>
      </c>
      <c r="D8" s="301">
        <f>IFERROR(IF(BO12="","",BO12),"")</f>
        <v>43891</v>
      </c>
      <c r="E8" s="302">
        <f>IFERROR(IF(D8="","",IF(AND(BQ12=""),"",IF(AND('Master Data'!$I$28='GA55 Check &amp; Edit'!$AP$6),VLOOKUP(D8,ram,13,0),VLOOKUP(D8,ram,4,0)))),"")</f>
        <v>23855</v>
      </c>
      <c r="F8" s="303">
        <f>IFERROR(IF(D8="","",IF(D8=$AX$24,"",IF(AND(D8=$AX$25),$BC$25,IF(AND(D8=$AX$26),$BC$26,IF(AND(D8=$AX$27),$BC$27,IF(AND(D8=$AX$28),"",IF(AND(D8=$AX$29),"",IF(AND('Master Data'!$I$28='GA55 Check &amp; Edit'!$AP$6),"",VLOOKUP(D8,ram,7,0))))))))),"")</f>
        <v>4055</v>
      </c>
      <c r="G8" s="303">
        <f>IF(AND('Master Data'!$I$28='GA55 Check &amp; Edit'!$AP$6),"",IF(AND(D8=""),"",IF(AND(D8=$AX$27),"",IF(AND(E8=""),"",ROUND('Master Data'!$E$30%*E8,0)))))</f>
        <v>1908</v>
      </c>
      <c r="H8" s="304">
        <f>IFERROR(IF(D8="","",IF(AND(E8=""),"",IF(AND(D8=$AX$27),"",IF(AND('Master Data'!$I$28='GA55 Check &amp; Edit'!$AP$6),"",'Master Data'!$B$43)))),"")</f>
        <v>0</v>
      </c>
      <c r="I8" s="304">
        <f>IFERROR(IF(D8="","",IF(AND(E8=""),"",IF(AND(D8=$AX$27),"",IF(AND('Master Data'!$I$28='GA55 Check &amp; Edit'!$AP$6),"",'Master Data'!$E$28)))),"")</f>
        <v>0</v>
      </c>
      <c r="J8" s="304" t="str">
        <f>IFERROR(IF(OR('Master Data'!$E$32=$AO$6,'Master Data'!$E$32=""),"",IF(D8="","",IF(AND(E8=""),"",IF(AND(D8=$AX$27),"",IF(AND('Master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04">
        <f>IFERROR(IF(D8="","",IF(AND(E8=""),"",IF(AND(D8=$AX$27),"",IF(AND('Master Data'!$I$28='GA55 Check &amp; Edit'!$AP$6),"",'Master Data'!$E$43)))),"")</f>
        <v>0</v>
      </c>
      <c r="L8" s="304">
        <f>IFERROR(IF(D8="","",IF(AND(E8=""),"",IF(AND(D8=$AX$27),"",IF(AND('Master Data'!$I$28='GA55 Check &amp; Edit'!$AP$6),"",'Master Data'!$F$43)))),"")</f>
        <v>0</v>
      </c>
      <c r="M8" s="305" t="str">
        <f>IFERROR(IF(D8="","",IF(AND('Master Data'!$I$28='GA55 Check &amp; Edit'!$AP$6),"",IF(AND('Master Data'!$I$24='GA55 Check &amp; Edit'!$AO$6),"0",IF(AND(D8="Bonus"),VLOOKUP(D8,ram,4,0),"")))),"")</f>
        <v/>
      </c>
      <c r="N8" s="304" t="str">
        <f>IFERROR(IF(AND(D8=""),"",IF(AND(D8=$AX$25,'Master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Edit'!$AN$5),"",IF(AND('Master Data'!$I$30='GA55 Check &amp; Edit'!$AN$6,'Master Data'!$I$28='GA55 Check &amp; Edit'!$AP$6),ROUND((E8)*0.1,0),ROUND((E8+F8)*0.1,0))))))),"")</f>
        <v/>
      </c>
      <c r="O8" s="61">
        <f>IF(D8="","",IF('Master Data'!$H$18='GA55 Check &amp; Edit'!$AO$5,SUM(E8:N8),SUM(E8:M8)))</f>
        <v>29818</v>
      </c>
      <c r="P8" s="308" t="str">
        <f>IFERROR(IF(OR('Master Data'!$I$28='GA55 Check &amp; Edit'!$AP$6,D8=""),"",IF(AND(D8=$AX$27),"",IF(AND(E8=""),"",VLOOKUP(D8,ram,11,0)))),"")</f>
        <v>0</v>
      </c>
      <c r="Q8" s="308" t="str">
        <f>IFERROR(IF(AND(D8=""),"",IF(AND(D8=$AX$24,'Master Data'!$I$30='GA55 Check &amp; Edit'!$AN$5),ROUND((M8)*0.75,0),IF(AND(D8=$AX$25,'Master Data'!$I$30='GA55 Check &amp; Edit'!$AN$6),ROUND((F8)*0.1,0),IF(AND(D8=$AX$26,'Master Data'!$I$30='GA55 Check &amp; Edit'!$AN$6),ROUND((F8)*0.1,0),IF(AND(D8=$AX$28,'Master Data'!$I$30='GA55 Check &amp; Edit'!$AN$6),ROUND((F8)*0.1,0),IF(AND('Master Data'!$I$30='GA55 Check &amp; Edit'!$AN$6,'Master Data'!$I$28='GA55 Check &amp; Edit'!$AP$6),ROUND((E8)*0.1,0),IF(AND('Master Data'!$I$30='GA55 Check &amp; Edit'!$AN$6,'Master Data'!$I$28='GA55 Check &amp; Edit'!$AP$5),ROUND((E8+F8)*0.1,0),IF(AND('Master Data'!$I$30='GA55 Check &amp; Edit'!$AN$5,'Master Data'!$I$28='GA55 Check &amp; Edit'!$AP$5),VLOOKUP(D8,ram,12,0))))))))),"")</f>
        <v>0</v>
      </c>
      <c r="R8" s="308">
        <f>IFERROR(IF(OR('Master Data'!$I$28='GA55 Check &amp; Edit'!$AP$6,D8=""),"",IF(AND(D8=$AX$27),"",IF(AND(D8=$AX$30),"",IF(AND(E8=""),"",'Master Data'!$I$43)))),"")</f>
        <v>1880</v>
      </c>
      <c r="S8" s="308">
        <f>IFERROR(IF(OR('Master Data'!$I$28='GA55 Check &amp; Edit'!$AP$6),"",IF(D8="","",IF(E8="","",IF(AND(D8=$AX$27),"",IF(AND('Master Data'!$I$30='GA55 Check &amp; Edit'!$AN$5),VLOOKUP(D8,ram,10,0),"0"))))),"")</f>
        <v>602</v>
      </c>
      <c r="T8" s="308">
        <f>IFERROR(IF(OR('Master Data'!$I$28='GA55 Check &amp; Edit'!$AP$6,D8=""),"",IF(AND(D8=$AX$27),"",IF(AND(E8=""),"",'Master Data'!$K$43))),"")</f>
        <v>0</v>
      </c>
      <c r="U8" s="308">
        <f>IFERROR(IF(OR('Master Data'!$I$28='GA55 Check &amp; Edit'!$AP$6,D8=""),"",IF(AND(D8=$AX$27),"",IF(AND(E8=""),"",'Master Data'!$L$43))),"")</f>
        <v>0</v>
      </c>
      <c r="V8" s="308" t="str">
        <f>IFERROR(IF(D8="","",IF(AND('Master Data'!$I$28='GA55 Check &amp; Edit'!$AP$6),"",IF(AND('Master Data'!$I$24='GA55 Check &amp; Edit'!$AO$6),"0",IF(AND(D8="Bonus",'Master Data'!$I$30='GA55 Check &amp; Edit'!$AN$6),ROUND((M8)*0.75,0),"")))),"")</f>
        <v/>
      </c>
      <c r="W8" s="308">
        <f>IFERROR(IF(OR('Master Data'!$E$24='GA55 Check &amp; Edit'!$AQ$6,'Master Data'!$E$24='GA55 Check &amp; Edit'!$AQ$7),"",IF(AND(D8=$AX$27),"",IF(D8="","",IF(E8="","",VLOOKUP(D8,ram,8,0))))),"")</f>
        <v>4771</v>
      </c>
      <c r="X8" s="308">
        <f>IFERROR(IF(D8="","",IF(AND(E8=""),"",IF(AND(D8=$AX$27),"",IF(OR('Master Data'!$I$28='GA55 Check &amp; Edit'!$AP$6,D8=""),"",IF('Master Data'!$N$36="NO",0,IF(D8='Master Data'!$N$40,'Master Data'!$G$43,0)))))),"")</f>
        <v>0</v>
      </c>
      <c r="Y8" s="308">
        <f>IFERROR(IF(D8="","",IF(AND(E8=""),"",IF(AND(D8=$AX$27),"",IF(OR('Master Data'!$I$28='GA55 Check &amp; Edit'!$AP$6,D8=""),"",$Y$7)))),"")</f>
        <v>0</v>
      </c>
      <c r="Z8" s="308">
        <f>IFERROR(IF(OR('Master Data'!$I$28='GA55 Check &amp; Edit'!$AP$6),"",IF(D8="","",IF(E8="","",VLOOKUP(D8,ram,9,0)))),"")</f>
        <v>0</v>
      </c>
      <c r="AA8" s="308" t="str">
        <f>IFERROR(IF(OR('Master Data'!$I$28='GA55 Check &amp; Edit'!$AP$6,D8=""),"",IF(AND(E8=""),"",IF('GA55 Check &amp; Edit'!D8='GA55 Check &amp; Edit'!$AT$9,220,""))),"")</f>
        <v/>
      </c>
      <c r="AB8" s="36">
        <f>IFERROR(IF(D8="","",IF(AND(O8=""),"",IF(AND('Master Data'!$H$18='GA55 Check &amp; Edit'!$AO$5,'Master Data'!$I$30='GA55 Check &amp; Edit'!$AN$6),SUM(P8:AA8)+N8,SUM(P8:AA8)))),"")</f>
        <v>7253</v>
      </c>
      <c r="AC8" s="37">
        <f>IFERROR(IF(AND(E8="",O8="",AB8=""),"",SUM(O8-AB8)),"")</f>
        <v>22565</v>
      </c>
      <c r="AD8" s="310"/>
      <c r="AE8" s="363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35" t="s">
        <v>7</v>
      </c>
      <c r="AS8" s="35" t="s">
        <v>5</v>
      </c>
      <c r="AT8" s="43">
        <v>43891</v>
      </c>
      <c r="AU8" s="35" t="s">
        <v>95</v>
      </c>
      <c r="AV8" s="41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</row>
    <row r="9" spans="1:103" s="35" customFormat="1" ht="21" customHeight="1">
      <c r="A9" s="35">
        <f t="shared" ref="A9:A28" si="0">MOD(B9,2)</f>
        <v>0</v>
      </c>
      <c r="B9" s="76">
        <f>IF(LEN(D9)&gt;=3,B8+1,0)</f>
        <v>2</v>
      </c>
      <c r="C9" s="77">
        <v>2</v>
      </c>
      <c r="D9" s="301">
        <f t="shared" ref="D9:D25" si="1">IFERROR(IF(BO13="","",BO13),"")</f>
        <v>43922</v>
      </c>
      <c r="E9" s="302">
        <f>IFERROR(IF(D9="","",IF(AND(BQ13=""),"",IF(AND('Master Data'!$I$28='GA55 Check &amp; Edit'!$AP$6),VLOOKUP(D9,ram,13,0),VLOOKUP(D9,ram,4,0)))),"")</f>
        <v>49300</v>
      </c>
      <c r="F9" s="303">
        <f>IFERROR(IF(D9="","",IF(D9=$AX$24,"",IF(AND(D9=$AX$25),$BC$25,IF(AND(D9=$AX$26),$BC$26,IF(AND(D9=$AX$27),$BC$27,IF(AND(D9=$AX$28),"",IF(AND(D9=$AX$29),"",IF(AND('Master Data'!$I$28='GA55 Check &amp; Edit'!$AP$6),"",VLOOKUP(D9,ram,7,0))))))))),"")</f>
        <v>8381</v>
      </c>
      <c r="G9" s="303">
        <f>IF(AND('Master Data'!$I$28='GA55 Check &amp; Edit'!$AP$6),"",IF(AND(D9=""),"",IF(AND(D9=$AX$27),"",IF(AND(E9=""),"",ROUND('Master Data'!$E$30%*E9,0)))))</f>
        <v>3944</v>
      </c>
      <c r="H9" s="304">
        <f>IFERROR(IF(D9="","",IF(AND(E9=""),"",IF(AND(D9=$AX$27),"",IF(AND('Master Data'!$I$28='GA55 Check &amp; Edit'!$AP$6),"",'Master Data'!$B$43)))),"")</f>
        <v>0</v>
      </c>
      <c r="I9" s="304">
        <f>IFERROR(IF(D9="","",IF(AND(E9=""),"",IF(AND(D9=$AX$27),"",IF(AND('Master Data'!$I$28='GA55 Check &amp; Edit'!$AP$6),"",'Master Data'!$E$28)))),"")</f>
        <v>0</v>
      </c>
      <c r="J9" s="304" t="str">
        <f>IFERROR(IF(OR('Master Data'!$E$32=$AO$6,'Master Data'!$E$32=""),"",IF(D9="","",IF(AND(E9=""),"",IF(AND(D9=$AX$27),"",IF(AND('Master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304">
        <f>IFERROR(IF(D9="","",IF(AND(E9=""),"",IF(AND(D9=$AX$27),"",IF(AND('Master Data'!$I$28='GA55 Check &amp; Edit'!$AP$6),"",'Master Data'!$E$43)))),"")</f>
        <v>0</v>
      </c>
      <c r="L9" s="304">
        <f>IFERROR(IF(D9="","",IF(AND(E9=""),"",IF(AND(D9=$AX$27),"",IF(AND('Master Data'!$I$28='GA55 Check &amp; Edit'!$AP$6),"",'Master Data'!$F$43)))),"")</f>
        <v>0</v>
      </c>
      <c r="M9" s="305" t="str">
        <f>IFERROR(IF(D9="","",IF(AND('Master Data'!$I$28='GA55 Check &amp; Edit'!$AP$6),"",IF(AND('Master Data'!$I$24='GA55 Check &amp; Edit'!$AO$6),"",IF(AND(D9="Bonus"),VLOOKUP(D9,ram,4,0),"")))),"")</f>
        <v/>
      </c>
      <c r="N9" s="304" t="str">
        <f>IFERROR(IF(AND(D9=""),"",IF(AND(D9=$AX$25,'Master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Edit'!$AN$5),"",IF(AND('Master Data'!$I$30='GA55 Check &amp; Edit'!$AN$6,'Master Data'!$I$28='GA55 Check &amp; Edit'!$AP$6),ROUND((E9)*0.1,0),ROUND((E9+F9)*0.1,0))))))),"")</f>
        <v/>
      </c>
      <c r="O9" s="61">
        <f>IF(D9="","",IF('Master Data'!$H$18='GA55 Check &amp; Edit'!$AO$5,SUM(E9:N9),SUM(E9:M9)))</f>
        <v>61625</v>
      </c>
      <c r="P9" s="308">
        <f>IFERROR(IF(OR('Master Data'!$I$28='GA55 Check &amp; Edit'!$AP$6,D9=""),"",IF(AND(D9=$AX$27),"",IF(AND(E9=""),"",VLOOKUP(D9,ram,11,0)))),"")</f>
        <v>7000</v>
      </c>
      <c r="Q9" s="308">
        <f>IFERROR(IF(AND(D9=""),"",IF(AND(D9=$AX$24,'Master Data'!$I$30='GA55 Check &amp; Edit'!$AN$5),ROUND((M9)*0.75,0),IF(AND(D9=$AX$25,'Master Data'!$I$30='GA55 Check &amp; Edit'!$AN$6),ROUND((F9)*0.1,0),IF(AND(D9=$AX$26,'Master Data'!$I$30='GA55 Check &amp; Edit'!$AN$6),ROUND((F9)*0.1,0),IF(AND(D9=$AX$28,'Master Data'!$I$30='GA55 Check &amp; Edit'!$AN$6),ROUND((F9)*0.1,0),IF(AND('Master Data'!$I$30='GA55 Check &amp; Edit'!$AN$6,'Master Data'!$I$28='GA55 Check &amp; Edit'!$AP$6),ROUND((E9)*0.1,0),IF(AND('Master Data'!$I$30='GA55 Check &amp; Edit'!$AN$6,'Master Data'!$I$28='GA55 Check &amp; Edit'!$AP$5),ROUND((E9+F9)*0.1,0),IF(AND('Master Data'!$I$30='GA55 Check &amp; Edit'!$AN$5,'Master Data'!$I$28='GA55 Check &amp; Edit'!$AP$5),VLOOKUP(D9,ram,12,0))))))))),"")</f>
        <v>3575</v>
      </c>
      <c r="R9" s="308">
        <f>IFERROR(IF(OR('Master Data'!$I$28='GA55 Check &amp; Edit'!$AP$6,D9=""),"",IF(AND(D9=$AX$27),"",IF(AND(D9=$AX$30),"",IF(AND(E9=""),"",'Master Data'!$I$43)))),"")</f>
        <v>1880</v>
      </c>
      <c r="S9" s="308">
        <f>IFERROR(IF(OR('Master Data'!$I$28='GA55 Check &amp; Edit'!$AP$6),"",IF(D9="","",IF(E9="","",IF(AND(D9=$AX$27),"",IF(AND('Master Data'!$I$30='GA55 Check &amp; Edit'!$AN$5),VLOOKUP(D9,ram,10,0),"0"))))),"")</f>
        <v>602</v>
      </c>
      <c r="T9" s="308">
        <f>IFERROR(IF(OR('Master Data'!$I$28='GA55 Check &amp; Edit'!$AP$6,D9=""),"",IF(AND(D9=$AX$27),"",IF(AND(E9=""),"",'Master Data'!$K$43))),"")</f>
        <v>0</v>
      </c>
      <c r="U9" s="308">
        <f>IFERROR(IF(OR('Master Data'!$I$28='GA55 Check &amp; Edit'!$AP$6,D9=""),"",IF(AND(D9=$AX$27),"",IF(AND(E9=""),"",'Master Data'!$L$43))),"")</f>
        <v>0</v>
      </c>
      <c r="V9" s="308" t="str">
        <f>IFERROR(IF(D9="","",IF(AND('Master Data'!$I$28='GA55 Check &amp; Edit'!$AP$6),"",IF(AND('Master Data'!$I$24='GA55 Check &amp; Edit'!$AO$6),"0",IF(AND(D9="Bonus",'Master Data'!$I$30='GA55 Check &amp; Edit'!$AN$6),ROUND((M9)*0.75,0),"")))),"")</f>
        <v/>
      </c>
      <c r="W9" s="308">
        <f>IFERROR(IF(OR('Master Data'!$E$24='GA55 Check &amp; Edit'!$AQ$6,'Master Data'!$E$24='GA55 Check &amp; Edit'!$AQ$7),"",IF(AND(D9=$AX$27),"",IF(D9="","",IF(E9="","",VLOOKUP(D9,ram,8,0))))),"")</f>
        <v>0</v>
      </c>
      <c r="X9" s="308">
        <f>IFERROR(IF(D9="","",IF(AND(E9=""),"",IF(AND(D9=$AX$27),"",IF(OR('Master Data'!$I$28='GA55 Check &amp; Edit'!$AP$6,D9=""),"",IF('Master Data'!$N$36="NO",0,IF(D9='Master Data'!$N$40,'Master Data'!$G$43,0)))))),"")</f>
        <v>0</v>
      </c>
      <c r="Y9" s="308">
        <f>IFERROR(IF(D9="","",IF(AND(E9=""),"",IF(AND(D9=$AX$27),"",IF(OR('Master Data'!$I$28='GA55 Check &amp; Edit'!$AP$6,D9=""),"",$Y$7)))),"")</f>
        <v>0</v>
      </c>
      <c r="Z9" s="308">
        <f>IFERROR(IF(OR('Master Data'!$I$28='GA55 Check &amp; Edit'!$AP$6),"",IF(D9="","",IF(E9="","",VLOOKUP(D9,ram,9,0)))),"")</f>
        <v>1500</v>
      </c>
      <c r="AA9" s="308">
        <f>IFERROR(IF(OR('Master Data'!$I$28='GA55 Check &amp; Edit'!$AP$6,D9=""),"",IF(AND(E9=""),"",IF('GA55 Check &amp; Edit'!D9='GA55 Check &amp; Edit'!$AT$9,220,""))),"")</f>
        <v>220</v>
      </c>
      <c r="AB9" s="36">
        <f>IFERROR(IF(D9="","",IF(AND(O9=""),"",IF(AND('Master Data'!$H$18='GA55 Check &amp; Edit'!$AO$5,'Master Data'!$I$30='GA55 Check &amp; Edit'!$AN$6),SUM(P9:AA9)+N9,SUM(P9:AA9)))),"")</f>
        <v>14777</v>
      </c>
      <c r="AC9" s="37">
        <f t="shared" ref="AC9:AC28" si="2">IFERROR(IF(AND(E9="",O9="",AB9=""),"",SUM(O9-AB9)),"")</f>
        <v>46848</v>
      </c>
      <c r="AD9" s="310"/>
      <c r="AE9" s="363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35" t="s">
        <v>14</v>
      </c>
      <c r="AS9" s="35" t="s">
        <v>94</v>
      </c>
      <c r="AT9" s="43">
        <v>43922</v>
      </c>
      <c r="AU9" s="35" t="s">
        <v>96</v>
      </c>
      <c r="AV9" s="41"/>
      <c r="AW9" s="48"/>
      <c r="AX9" s="49"/>
      <c r="AY9" s="49"/>
      <c r="AZ9" s="60">
        <v>44255</v>
      </c>
      <c r="BA9" s="49"/>
      <c r="BB9" s="49"/>
      <c r="BC9" s="49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23855</v>
      </c>
      <c r="BD9" s="49"/>
      <c r="BE9" s="49"/>
      <c r="BF9" s="49"/>
      <c r="BG9" s="49"/>
      <c r="BH9" s="49"/>
      <c r="BI9" s="50"/>
      <c r="BJ9" s="47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</row>
    <row r="10" spans="1:103" s="35" customFormat="1" ht="21" customHeight="1">
      <c r="A10" s="35">
        <f t="shared" si="0"/>
        <v>1</v>
      </c>
      <c r="B10" s="76">
        <f t="shared" ref="B10:B28" si="3">IF(LEN(D10)&gt;=3,B9+1,0)</f>
        <v>3</v>
      </c>
      <c r="C10" s="77">
        <f t="shared" ref="C10:C11" si="4">IF(B10=0,"",B10)</f>
        <v>3</v>
      </c>
      <c r="D10" s="301">
        <f t="shared" si="1"/>
        <v>43952</v>
      </c>
      <c r="E10" s="302">
        <f>IFERROR(IF(D10="","",IF(AND(BQ14=""),"",IF(AND('Master Data'!$I$28='GA55 Check &amp; Edit'!$AP$6),VLOOKUP(D10,ram,13,0),VLOOKUP(D10,ram,4,0)))),"")</f>
        <v>49300</v>
      </c>
      <c r="F10" s="303">
        <f>IFERROR(IF(D10="","",IF(D10=$AX$24,"",IF(AND(D10=$AX$25),$BC$25,IF(AND(D10=$AX$26),$BC$26,IF(AND(D10=$AX$27),$BC$27,IF(AND(D10=$AX$28),"",IF(AND(D10=$AX$29),"",IF(AND('Master Data'!$I$28='GA55 Check &amp; Edit'!$AP$6),"",VLOOKUP(D10,ram,7,0))))))))),"")</f>
        <v>8381</v>
      </c>
      <c r="G10" s="303">
        <f>IF(AND('Master Data'!$I$28='GA55 Check &amp; Edit'!$AP$6),"",IF(AND(D10=""),"",IF(AND(D10=$AX$27),"",IF(AND(E10=""),"",ROUND('Master Data'!$E$30%*E10,0)))))</f>
        <v>3944</v>
      </c>
      <c r="H10" s="304">
        <f>IFERROR(IF(D10="","",IF(AND(E10=""),"",IF(AND(D10=$AX$27),"",IF(AND('Master Data'!$I$28='GA55 Check &amp; Edit'!$AP$6),"",'Master Data'!$B$43)))),"")</f>
        <v>0</v>
      </c>
      <c r="I10" s="304">
        <f>IFERROR(IF(D10="","",IF(AND(E10=""),"",IF(AND(D10=$AX$27),"",IF(AND('Master Data'!$I$28='GA55 Check &amp; Edit'!$AP$6),"",'Master Data'!$E$28)))),"")</f>
        <v>0</v>
      </c>
      <c r="J10" s="304" t="str">
        <f>IFERROR(IF(OR('Master Data'!$E$32=$AO$6,'Master Data'!$E$32=""),"",IF(D10="","",IF(AND(E10=""),"",IF(AND(D10=$AX$27),"",IF(AND('Master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304">
        <f>IFERROR(IF(D10="","",IF(AND(E10=""),"",IF(AND(D10=$AX$27),"",IF(AND('Master Data'!$I$28='GA55 Check &amp; Edit'!$AP$6),"",'Master Data'!$E$43)))),"")</f>
        <v>0</v>
      </c>
      <c r="L10" s="304">
        <f>IFERROR(IF(D10="","",IF(AND(E10=""),"",IF(AND(D10=$AX$27),"",IF(AND('Master Data'!$I$28='GA55 Check &amp; Edit'!$AP$6),"",'Master Data'!$F$43)))),"")</f>
        <v>0</v>
      </c>
      <c r="M10" s="305" t="str">
        <f>IFERROR(IF(D10="","",IF(AND('Master Data'!$I$28='GA55 Check &amp; Edit'!$AP$6),"",IF(AND('Master Data'!$I$24='GA55 Check &amp; Edit'!$AO$6),"",IF(AND(D10="Bonus"),VLOOKUP(D10,ram,4,0),"")))),"")</f>
        <v/>
      </c>
      <c r="N10" s="304" t="str">
        <f>IFERROR(IF(AND(D10=""),"",IF(AND(D10=$AX$25,'Master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Edit'!$AN$5),"",IF(AND('Master Data'!$I$30='GA55 Check &amp; Edit'!$AN$6,'Master Data'!$I$28='GA55 Check &amp; Edit'!$AP$6),ROUND((E10)*0.1,0),ROUND((E10+F10)*0.1,0))))))),"")</f>
        <v/>
      </c>
      <c r="O10" s="61">
        <f>IF(D10="","",IF('Master Data'!$H$18='GA55 Check &amp; Edit'!$AO$5,SUM(E10:N10),SUM(E10:M10)))</f>
        <v>61625</v>
      </c>
      <c r="P10" s="308">
        <f>IFERROR(IF(OR('Master Data'!$I$28='GA55 Check &amp; Edit'!$AP$6,D10=""),"",IF(AND(D10=$AX$27),"",IF(AND(E10=""),"",VLOOKUP(D10,ram,11,0)))),"")</f>
        <v>7000</v>
      </c>
      <c r="Q10" s="308">
        <f>IFERROR(IF(AND(D10=""),"",IF(AND(D10=$AX$24,'Master Data'!$I$30='GA55 Check &amp; Edit'!$AN$5),ROUND((M10)*0.75,0),IF(AND(D10=$AX$25,'Master Data'!$I$30='GA55 Check &amp; Edit'!$AN$6),ROUND((F10)*0.1,0),IF(AND(D10=$AX$26,'Master Data'!$I$30='GA55 Check &amp; Edit'!$AN$6),ROUND((F10)*0.1,0),IF(AND(D10=$AX$28,'Master Data'!$I$30='GA55 Check &amp; Edit'!$AN$6),ROUND((F10)*0.1,0),IF(AND('Master Data'!$I$30='GA55 Check &amp; Edit'!$AN$6,'Master Data'!$I$28='GA55 Check &amp; Edit'!$AP$6),ROUND((E10)*0.1,0),IF(AND('Master Data'!$I$30='GA55 Check &amp; Edit'!$AN$6,'Master Data'!$I$28='GA55 Check &amp; Edit'!$AP$5),ROUND((E10+F10)*0.1,0),IF(AND('Master Data'!$I$30='GA55 Check &amp; Edit'!$AN$5,'Master Data'!$I$28='GA55 Check &amp; Edit'!$AP$5),VLOOKUP(D10,ram,12,0))))))))),"")</f>
        <v>3575</v>
      </c>
      <c r="R10" s="308">
        <f>IFERROR(IF(OR('Master Data'!$I$28='GA55 Check &amp; Edit'!$AP$6,D10=""),"",IF(AND(D10=$AX$27),"",IF(AND(D10=$AX$30),"",IF(AND(E10=""),"",'Master Data'!$I$43)))),"")</f>
        <v>1880</v>
      </c>
      <c r="S10" s="308">
        <f>IFERROR(IF(OR('Master Data'!$I$28='GA55 Check &amp; Edit'!$AP$6),"",IF(D10="","",IF(E10="","",IF(AND(D10=$AX$27),"",IF(AND('Master Data'!$I$30='GA55 Check &amp; Edit'!$AN$5),VLOOKUP(D10,ram,10,0),"0"))))),"")</f>
        <v>714</v>
      </c>
      <c r="T10" s="308">
        <f>IFERROR(IF(OR('Master Data'!$I$28='GA55 Check &amp; Edit'!$AP$6,D10=""),"",IF(AND(D10=$AX$27),"",IF(AND(E10=""),"",'Master Data'!$K$43))),"")</f>
        <v>0</v>
      </c>
      <c r="U10" s="308">
        <f>IFERROR(IF(OR('Master Data'!$I$28='GA55 Check &amp; Edit'!$AP$6,D10=""),"",IF(AND(D10=$AX$27),"",IF(AND(E10=""),"",'Master Data'!$L$43))),"")</f>
        <v>0</v>
      </c>
      <c r="V10" s="308" t="str">
        <f>IFERROR(IF(D10="","",IF(AND('Master Data'!$I$28='GA55 Check &amp; Edit'!$AP$6),"",IF(AND('Master Data'!$I$24='GA55 Check &amp; Edit'!$AO$6),"0",IF(AND(D10="Bonus",'Master Data'!$I$30='GA55 Check &amp; Edit'!$AN$6),ROUND((M10)*0.75,0),"")))),"")</f>
        <v/>
      </c>
      <c r="W10" s="308">
        <f>IFERROR(IF(OR('Master Data'!$E$24='GA55 Check &amp; Edit'!$AQ$6,'Master Data'!$E$24='GA55 Check &amp; Edit'!$AQ$7),"",IF(AND(D10=$AX$27),"",IF(D10="","",IF(E10="","",VLOOKUP(D10,ram,8,0))))),"")</f>
        <v>0</v>
      </c>
      <c r="X10" s="308">
        <f>IFERROR(IF(D10="","",IF(AND(E10=""),"",IF(AND(D10=$AX$27),"",IF(OR('Master Data'!$I$28='GA55 Check &amp; Edit'!$AP$6,D10=""),"",IF('Master Data'!$N$36="NO",0,IF(D10='Master Data'!$N$40,'Master Data'!$G$43,0)))))),"")</f>
        <v>7000</v>
      </c>
      <c r="Y10" s="308">
        <f>IFERROR(IF(D10="","",IF(AND(E10=""),"",IF(AND(D10=$AX$27),"",IF(OR('Master Data'!$I$28='GA55 Check &amp; Edit'!$AP$6,D10=""),"",$Y$7)))),"")</f>
        <v>0</v>
      </c>
      <c r="Z10" s="308">
        <f>IFERROR(IF(OR('Master Data'!$I$28='GA55 Check &amp; Edit'!$AP$6),"",IF(D10="","",IF(E10="","",VLOOKUP(D10,ram,9,0)))),"")</f>
        <v>1500</v>
      </c>
      <c r="AA10" s="308" t="str">
        <f>IFERROR(IF(OR('Master Data'!$I$28='GA55 Check &amp; Edit'!$AP$6,D10=""),"",IF(AND(E10=""),"",IF('GA55 Check &amp; Edit'!D10='GA55 Check &amp; Edit'!$AT$9,220,""))),"")</f>
        <v/>
      </c>
      <c r="AB10" s="36">
        <f>IFERROR(IF(D10="","",IF(AND(O10=""),"",IF(AND('Master Data'!$H$18='GA55 Check &amp; Edit'!$AO$5,'Master Data'!$I$30='GA55 Check &amp; Edit'!$AN$6),SUM(P10:AA10)+N10,SUM(P10:AA10)))),"")</f>
        <v>21669</v>
      </c>
      <c r="AC10" s="37">
        <f t="shared" si="2"/>
        <v>39956</v>
      </c>
      <c r="AD10" s="310"/>
      <c r="AE10" s="363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35" t="s">
        <v>19</v>
      </c>
      <c r="AS10" s="35" t="s">
        <v>18</v>
      </c>
      <c r="AT10" s="43">
        <v>43952</v>
      </c>
      <c r="AU10" s="35" t="s">
        <v>97</v>
      </c>
      <c r="AV10" s="41"/>
      <c r="AW10" s="51" t="s">
        <v>5</v>
      </c>
      <c r="AX10" s="54">
        <v>43831</v>
      </c>
      <c r="AY10" s="47"/>
      <c r="AZ10" s="47"/>
      <c r="BA10" s="47">
        <f>IF(AND('Master Data'!$E$36=""),"",'Master Data'!$E$36)</f>
        <v>49300</v>
      </c>
      <c r="BB10" s="47" t="str">
        <f>IF(AND(AX10&lt;$AZ$16),"",IF(AND(AX10&gt;$AZ$17),"",BA10))</f>
        <v/>
      </c>
      <c r="BC10" s="47">
        <f>IF(AND('Master Data'!$E$36=""),"",ROUND(17%*BA10,0))</f>
        <v>8381</v>
      </c>
      <c r="BD10" s="47" t="str">
        <f>IF(BB10="","",BC10)</f>
        <v/>
      </c>
      <c r="BE10" s="47"/>
      <c r="BF10" s="47"/>
      <c r="BG10" s="47">
        <f>IF(AND('Master Data'!$I$28='GA55 Check &amp; Edit'!$AP$6),"",IF(AND('Master Data'!$I$30='GA55 Check &amp; Edit'!$AN$5),IF($AZ$15&lt;18001,242,IF($AZ$15&lt;33501,402,IF($AZ$15&lt;54001,602,800)))))</f>
        <v>602</v>
      </c>
      <c r="BH10" s="47">
        <f>IFERROR(IF(OR('Master Data'!$I$28='GA55 Check &amp; Edit'!$AP$6),"",'Master Data'!$G$43),"")</f>
        <v>7000</v>
      </c>
      <c r="BI10" s="52">
        <f>IFERROR(IF(AND('Master Data'!$I$30='GA55 Check &amp; Edit'!$AN$6),ROUND((E9)*0.1,0),IF(AND('Master Data'!$I$28='GA55 Check &amp; Edit'!$AP$6),ROUND((E9+F9)*0.1,0),'Master Data'!$H$43)),"")</f>
        <v>3575</v>
      </c>
      <c r="BJ10" s="47">
        <f>BA10</f>
        <v>49300</v>
      </c>
      <c r="BK10" s="41"/>
      <c r="BL10" s="35">
        <f>MONTH(AZ17)</f>
        <v>2</v>
      </c>
      <c r="BM10" s="41"/>
      <c r="BN10" s="41"/>
      <c r="BO10" s="41"/>
      <c r="BP10" s="41"/>
      <c r="BQ10" s="41"/>
      <c r="BR10" s="41"/>
      <c r="BS10" s="968">
        <f>D8</f>
        <v>43891</v>
      </c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</row>
    <row r="11" spans="1:103" s="35" customFormat="1" ht="21" customHeight="1">
      <c r="A11" s="35">
        <f t="shared" si="0"/>
        <v>0</v>
      </c>
      <c r="B11" s="76">
        <f t="shared" si="3"/>
        <v>4</v>
      </c>
      <c r="C11" s="77">
        <f t="shared" si="4"/>
        <v>4</v>
      </c>
      <c r="D11" s="301">
        <f t="shared" si="1"/>
        <v>43983</v>
      </c>
      <c r="E11" s="302">
        <f>IFERROR(IF(D11="","",IF(AND(BQ15=""),"",IF(AND('Master Data'!$I$28='GA55 Check &amp; Edit'!$AP$6),VLOOKUP(D11,ram,13,0),VLOOKUP(D11,ram,4,0)))),"")</f>
        <v>49300</v>
      </c>
      <c r="F11" s="303">
        <f>IFERROR(IF(D11="","",IF(D11=$AX$24,"",IF(AND(D11=$AX$25),$BC$25,IF(AND(D11=$AX$26),$BC$26,IF(AND(D11=$AX$27),$BC$27,IF(AND(D11=$AX$28),"",IF(AND(D11=$AX$29),"",IF(AND('Master Data'!$I$28='GA55 Check &amp; Edit'!$AP$6),"",VLOOKUP(D11,ram,7,0))))))))),"")</f>
        <v>8381</v>
      </c>
      <c r="G11" s="303">
        <f>IF(AND('Master Data'!$I$28='GA55 Check &amp; Edit'!$AP$6),"",IF(AND(D11=""),"",IF(AND(D11=$AX$27),"",IF(AND(E11=""),"",ROUND('Master Data'!$E$30%*E11,0)))))</f>
        <v>3944</v>
      </c>
      <c r="H11" s="304">
        <f>IFERROR(IF(D11="","",IF(AND(E11=""),"",IF(AND(D11=$AX$27),"",IF(AND('Master Data'!$I$28='GA55 Check &amp; Edit'!$AP$6),"",'Master Data'!$B$43)))),"")</f>
        <v>0</v>
      </c>
      <c r="I11" s="304">
        <f>IFERROR(IF(D11="","",IF(AND(E11=""),"",IF(AND(D11=$AX$27),"",IF(AND('Master Data'!$I$28='GA55 Check &amp; Edit'!$AP$6),"",'Master Data'!$E$28)))),"")</f>
        <v>0</v>
      </c>
      <c r="J11" s="304" t="str">
        <f>IFERROR(IF(OR('Master Data'!$E$32=$AO$6,'Master Data'!$E$32=""),"",IF(D11="","",IF(AND(E11=""),"",IF(AND(D11=$AX$27),"",IF(AND('Master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304">
        <f>IFERROR(IF(D11="","",IF(AND(E11=""),"",IF(AND(D11=$AX$27),"",IF(AND('Master Data'!$I$28='GA55 Check &amp; Edit'!$AP$6),"",'Master Data'!$E$43)))),"")</f>
        <v>0</v>
      </c>
      <c r="L11" s="304">
        <f>IFERROR(IF(D11="","",IF(AND(E11=""),"",IF(AND(D11=$AX$27),"",IF(AND('Master Data'!$I$28='GA55 Check &amp; Edit'!$AP$6),"",'Master Data'!$F$43)))),"")</f>
        <v>0</v>
      </c>
      <c r="M11" s="305" t="str">
        <f>IFERROR(IF(D11="","",IF(AND('Master Data'!$I$28='GA55 Check &amp; Edit'!$AP$6),"",IF(AND('Master Data'!$I$24='GA55 Check &amp; Edit'!$AO$6),"",IF(AND(D11="Bonus"),VLOOKUP(D11,ram,4,0),"")))),"")</f>
        <v/>
      </c>
      <c r="N11" s="304" t="str">
        <f>IFERROR(IF(AND(D11=""),"",IF(AND(D11=$AX$25,'Master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Edit'!$AN$5),"",IF(AND('Master Data'!$I$30='GA55 Check &amp; Edit'!$AN$6,'Master Data'!$I$28='GA55 Check &amp; Edit'!$AP$6),ROUND((E11)*0.1,0),ROUND((E11+F11)*0.1,0))))))),"")</f>
        <v/>
      </c>
      <c r="O11" s="61">
        <f>IF(D11="","",IF('Master Data'!$H$18='GA55 Check &amp; Edit'!$AO$5,SUM(E11:N11),SUM(E11:M11)))</f>
        <v>61625</v>
      </c>
      <c r="P11" s="308">
        <f>IFERROR(IF(OR('Master Data'!$I$28='GA55 Check &amp; Edit'!$AP$6,D11=""),"",IF(AND(D11=$AX$27),"",IF(AND(E11=""),"",VLOOKUP(D11,ram,11,0)))),"")</f>
        <v>7000</v>
      </c>
      <c r="Q11" s="308">
        <f>IFERROR(IF(AND(D11=""),"",IF(AND(D11=$AX$24,'Master Data'!$I$30='GA55 Check &amp; Edit'!$AN$5),ROUND((M11)*0.75,0),IF(AND(D11=$AX$25,'Master Data'!$I$30='GA55 Check &amp; Edit'!$AN$6),ROUND((F11)*0.1,0),IF(AND(D11=$AX$26,'Master Data'!$I$30='GA55 Check &amp; Edit'!$AN$6),ROUND((F11)*0.1,0),IF(AND(D11=$AX$28,'Master Data'!$I$30='GA55 Check &amp; Edit'!$AN$6),ROUND((F11)*0.1,0),IF(AND('Master Data'!$I$30='GA55 Check &amp; Edit'!$AN$6,'Master Data'!$I$28='GA55 Check &amp; Edit'!$AP$6),ROUND((E11)*0.1,0),IF(AND('Master Data'!$I$30='GA55 Check &amp; Edit'!$AN$6,'Master Data'!$I$28='GA55 Check &amp; Edit'!$AP$5),ROUND((E11+F11)*0.1,0),IF(AND('Master Data'!$I$30='GA55 Check &amp; Edit'!$AN$5,'Master Data'!$I$28='GA55 Check &amp; Edit'!$AP$5),VLOOKUP(D11,ram,12,0))))))))),"")</f>
        <v>3575</v>
      </c>
      <c r="R11" s="308">
        <f>IFERROR(IF(OR('Master Data'!$I$28='GA55 Check &amp; Edit'!$AP$6,D11=""),"",IF(AND(D11=$AX$27),"",IF(AND(D11=$AX$30),"",IF(AND(E11=""),"",'Master Data'!$I$43)))),"")</f>
        <v>1880</v>
      </c>
      <c r="S11" s="308">
        <f>IFERROR(IF(OR('Master Data'!$I$28='GA55 Check &amp; Edit'!$AP$6),"",IF(D11="","",IF(E11="","",IF(AND(D11=$AX$27),"",IF(AND('Master Data'!$I$30='GA55 Check &amp; Edit'!$AN$5),VLOOKUP(D11,ram,10,0),"0"))))),"")</f>
        <v>658</v>
      </c>
      <c r="T11" s="308">
        <f>IFERROR(IF(OR('Master Data'!$I$28='GA55 Check &amp; Edit'!$AP$6,D11=""),"",IF(AND(D11=$AX$27),"",IF(AND(E11=""),"",'Master Data'!$K$43))),"")</f>
        <v>0</v>
      </c>
      <c r="U11" s="308">
        <f>IFERROR(IF(OR('Master Data'!$I$28='GA55 Check &amp; Edit'!$AP$6,D11=""),"",IF(AND(D11=$AX$27),"",IF(AND(E11=""),"",'Master Data'!$L$43))),"")</f>
        <v>0</v>
      </c>
      <c r="V11" s="308" t="str">
        <f>IFERROR(IF(D11="","",IF(AND('Master Data'!$I$28='GA55 Check &amp; Edit'!$AP$6),"",IF(AND('Master Data'!$I$24='GA55 Check &amp; Edit'!$AO$6),"0",IF(AND(D11="Bonus",'Master Data'!$I$30='GA55 Check &amp; Edit'!$AN$6),ROUND((M11)*0.75,0),"")))),"")</f>
        <v/>
      </c>
      <c r="W11" s="308">
        <f>IFERROR(IF(OR('Master Data'!$E$24='GA55 Check &amp; Edit'!$AQ$6,'Master Data'!$E$24='GA55 Check &amp; Edit'!$AQ$7),"",IF(AND(D11=$AX$27),"",IF(D11="","",IF(E11="","",VLOOKUP(D11,ram,8,0))))),"")</f>
        <v>0</v>
      </c>
      <c r="X11" s="308">
        <f>IFERROR(IF(D11="","",IF(AND(E11=""),"",IF(AND(D11=$AX$27),"",IF(OR('Master Data'!$I$28='GA55 Check &amp; Edit'!$AP$6,D11=""),"",IF('Master Data'!$N$36="NO",0,IF(D11='Master Data'!$N$40,'Master Data'!$G$43,0)))))),"")</f>
        <v>0</v>
      </c>
      <c r="Y11" s="308">
        <f>IFERROR(IF(D11="","",IF(AND(E11=""),"",IF(AND(D11=$AX$27),"",IF(OR('Master Data'!$I$28='GA55 Check &amp; Edit'!$AP$6,D11=""),"",$Y$7)))),"")</f>
        <v>0</v>
      </c>
      <c r="Z11" s="308">
        <f>IFERROR(IF(OR('Master Data'!$I$28='GA55 Check &amp; Edit'!$AP$6),"",IF(D11="","",IF(E11="","",VLOOKUP(D11,ram,9,0)))),"")</f>
        <v>1500</v>
      </c>
      <c r="AA11" s="308" t="str">
        <f>IFERROR(IF(OR('Master Data'!$I$28='GA55 Check &amp; Edit'!$AP$6,D11=""),"",IF(AND(E11=""),"",IF('GA55 Check &amp; Edit'!D11='GA55 Check &amp; Edit'!$AT$9,220,""))),"")</f>
        <v/>
      </c>
      <c r="AB11" s="36">
        <f>IFERROR(IF(D11="","",IF(AND(O11=""),"",IF(AND('Master Data'!$H$18='GA55 Check &amp; Edit'!$AO$5,'Master Data'!$I$30='GA55 Check &amp; Edit'!$AN$6),SUM(P11:AA11)+N11,SUM(P11:AA11)))),"")</f>
        <v>14613</v>
      </c>
      <c r="AC11" s="37">
        <f t="shared" si="2"/>
        <v>47012</v>
      </c>
      <c r="AD11" s="310"/>
      <c r="AE11" s="363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35" t="s">
        <v>21</v>
      </c>
      <c r="AS11" s="35" t="s">
        <v>20</v>
      </c>
      <c r="AT11" s="43">
        <v>43983</v>
      </c>
      <c r="AU11" s="35" t="s">
        <v>98</v>
      </c>
      <c r="AV11" s="41"/>
      <c r="AW11" s="51" t="s">
        <v>94</v>
      </c>
      <c r="AX11" s="54">
        <v>43862</v>
      </c>
      <c r="AY11" s="47"/>
      <c r="AZ11" s="53"/>
      <c r="BA11" s="47">
        <f>IF(AND('Master Data'!$E$36=""),"",'Master Data'!$E$36)</f>
        <v>49300</v>
      </c>
      <c r="BB11" s="47" t="str">
        <f>IF(AND(AX11&lt;$AZ$16),"",IF(AND(AX11&gt;$AZ$17),"",BA11))</f>
        <v/>
      </c>
      <c r="BC11" s="47">
        <f>IF(AND('Master Data'!$E$36=""),"",ROUND(17%*BA11,0))</f>
        <v>8381</v>
      </c>
      <c r="BD11" s="47" t="str">
        <f>IF(BB11="","",BC11)</f>
        <v/>
      </c>
      <c r="BE11" s="47"/>
      <c r="BF11" s="47"/>
      <c r="BG11" s="47">
        <f>IF(AND('Master Data'!$I$28='GA55 Check &amp; Edit'!$AP$6),"",IF(AND('Master Data'!$I$30='GA55 Check &amp; Edit'!$AN$5),IF($AZ$15&lt;18001,242,IF($AZ$15&lt;33501,402,IF($AZ$15&lt;54001,602,800)))))</f>
        <v>602</v>
      </c>
      <c r="BH11" s="47">
        <f>IFERROR(IF(OR('Master Data'!$I$28='GA55 Check &amp; Edit'!$AP$6),"",'Master Data'!$G$43),"")</f>
        <v>7000</v>
      </c>
      <c r="BI11" s="52">
        <f>IFERROR(IF(AND('Master Data'!$I$30='GA55 Check &amp; Edit'!$AN$6),ROUND((E9)*0.1,0),IF(AND('Master Data'!$I$28='GA55 Check &amp; Edit'!$AP$6),ROUND((E9+F9)*0.1,0),'Master Data'!$H$43)),"")</f>
        <v>3575</v>
      </c>
      <c r="BJ11" s="47">
        <f>BA11</f>
        <v>49300</v>
      </c>
      <c r="BK11" s="41"/>
      <c r="BL11" s="41"/>
      <c r="BM11" s="41"/>
      <c r="BN11" s="41"/>
      <c r="BO11" s="41"/>
      <c r="BP11" s="64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</row>
    <row r="12" spans="1:103" s="35" customFormat="1" ht="21" customHeight="1">
      <c r="A12" s="35">
        <f t="shared" si="0"/>
        <v>1</v>
      </c>
      <c r="B12" s="76">
        <f>IF(LEN(D12)&gt;=3,B11+1,0)</f>
        <v>5</v>
      </c>
      <c r="C12" s="77">
        <f>IF(B12=0,"",B12)</f>
        <v>5</v>
      </c>
      <c r="D12" s="301">
        <f t="shared" si="1"/>
        <v>44013</v>
      </c>
      <c r="E12" s="302">
        <f>IFERROR(IF(D12="","",IF(AND(BQ16=""),"",IF(AND('Master Data'!$I$28='GA55 Check &amp; Edit'!$AP$6),VLOOKUP(D12,ram,13,0),VLOOKUP(D12,ram,4,0)))),"")</f>
        <v>50800</v>
      </c>
      <c r="F12" s="303">
        <f>IFERROR(IF(D12="","",IF(D12=$AX$24,"",IF(AND(D12=$AX$25),$BC$25,IF(AND(D12=$AX$26),$BC$26,IF(AND(D12=$AX$27),$BC$27,IF(AND(D12=$AX$28),"",IF(AND(D12=$AX$29),"",IF(AND('Master Data'!$I$28='GA55 Check &amp; Edit'!$AP$6),"",VLOOKUP(D12,ram,7,0))))))))),"")</f>
        <v>8636</v>
      </c>
      <c r="G12" s="303">
        <f>IF(AND('Master Data'!$I$28='GA55 Check &amp; Edit'!$AP$6),"",IF(AND(D12=""),"",IF(AND(D12=$AX$27),"",IF(AND(E12=""),"",ROUND('Master Data'!$E$30%*E12,0)))))</f>
        <v>4064</v>
      </c>
      <c r="H12" s="304">
        <f>IFERROR(IF(D12="","",IF(AND(E12=""),"",IF(AND(D12=$AX$27),"",IF(AND('Master Data'!$I$28='GA55 Check &amp; Edit'!$AP$6),"",'Master Data'!$B$43)))),"")</f>
        <v>0</v>
      </c>
      <c r="I12" s="304">
        <f>IFERROR(IF(D12="","",IF(AND(E12=""),"",IF(AND(D12=$AX$27),"",IF(AND('Master Data'!$I$28='GA55 Check &amp; Edit'!$AP$6),"",'Master Data'!$E$28)))),"")</f>
        <v>0</v>
      </c>
      <c r="J12" s="304" t="str">
        <f>IFERROR(IF(OR('Master Data'!$E$32=$AO$6,'Master Data'!$E$32=""),"",IF(D12="","",IF(AND(E12=""),"",IF(AND(D12=$AX$27),"",IF(AND('Master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304">
        <f>IFERROR(IF(D12="","",IF(AND(E12=""),"",IF(AND(D12=$AX$27),"",IF(AND('Master Data'!$I$28='GA55 Check &amp; Edit'!$AP$6),"",'Master Data'!$E$43)))),"")</f>
        <v>0</v>
      </c>
      <c r="L12" s="304">
        <f>IFERROR(IF(D12="","",IF(AND(E12=""),"",IF(AND(D12=$AX$27),"",IF(AND('Master Data'!$I$28='GA55 Check &amp; Edit'!$AP$6),"",'Master Data'!$F$43)))),"")</f>
        <v>0</v>
      </c>
      <c r="M12" s="305" t="str">
        <f>IFERROR(IF(D12="","",IF(AND('Master Data'!$I$28='GA55 Check &amp; Edit'!$AP$6),"",IF(AND('Master Data'!$I$24='GA55 Check &amp; Edit'!$AO$6),"",IF(AND(D12="Bonus"),VLOOKUP(D12,ram,4,0),"")))),"")</f>
        <v/>
      </c>
      <c r="N12" s="304" t="str">
        <f>IFERROR(IF(AND(D12=""),"",IF(AND(D12=$AX$25,'Master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Edit'!$AN$5),"",IF(AND('Master Data'!$I$30='GA55 Check &amp; Edit'!$AN$6,'Master Data'!$I$28='GA55 Check &amp; Edit'!$AP$6),ROUND((E12)*0.1,0),ROUND((E12+F12)*0.1,0))))))),"")</f>
        <v/>
      </c>
      <c r="O12" s="61">
        <f>IF(D12="","",IF('Master Data'!$H$18='GA55 Check &amp; Edit'!$AO$5,SUM(E12:N12),SUM(E12:M12)))</f>
        <v>63500</v>
      </c>
      <c r="P12" s="308">
        <f>IFERROR(IF(OR('Master Data'!$I$28='GA55 Check &amp; Edit'!$AP$6,D12=""),"",IF(AND(D12=$AX$27),"",IF(AND(E12=""),"",VLOOKUP(D12,ram,11,0)))),"")</f>
        <v>7000</v>
      </c>
      <c r="Q12" s="308">
        <f>IFERROR(IF(AND(D12=""),"",IF(AND(D12=$AX$24,'Master Data'!$I$30='GA55 Check &amp; Edit'!$AN$5),ROUND((M12)*0.75,0),IF(AND(D12=$AX$25,'Master Data'!$I$30='GA55 Check &amp; Edit'!$AN$6),ROUND((F12)*0.1,0),IF(AND(D12=$AX$26,'Master Data'!$I$30='GA55 Check &amp; Edit'!$AN$6),ROUND((F12)*0.1,0),IF(AND(D12=$AX$28,'Master Data'!$I$30='GA55 Check &amp; Edit'!$AN$6),ROUND((F12)*0.1,0),IF(AND('Master Data'!$I$30='GA55 Check &amp; Edit'!$AN$6,'Master Data'!$I$28='GA55 Check &amp; Edit'!$AP$6),ROUND((E12)*0.1,0),IF(AND('Master Data'!$I$30='GA55 Check &amp; Edit'!$AN$6,'Master Data'!$I$28='GA55 Check &amp; Edit'!$AP$5),ROUND((E12+F12)*0.1,0),IF(AND('Master Data'!$I$30='GA55 Check &amp; Edit'!$AN$5,'Master Data'!$I$28='GA55 Check &amp; Edit'!$AP$5),VLOOKUP(D12,ram,12,0))))))))),"")</f>
        <v>3575</v>
      </c>
      <c r="R12" s="308">
        <f>IFERROR(IF(OR('Master Data'!$I$28='GA55 Check &amp; Edit'!$AP$6,D12=""),"",IF(AND(D12=$AX$27),"",IF(AND(D12=$AX$30),"",IF(AND(E12=""),"",'Master Data'!$I$43)))),"")</f>
        <v>1880</v>
      </c>
      <c r="S12" s="308">
        <f>IFERROR(IF(OR('Master Data'!$I$28='GA55 Check &amp; Edit'!$AP$6),"",IF(D12="","",IF(E12="","",IF(AND(D12=$AX$27),"",IF(AND('Master Data'!$I$30='GA55 Check &amp; Edit'!$AN$5),VLOOKUP(D12,ram,10,0),"0"))))),"")</f>
        <v>658</v>
      </c>
      <c r="T12" s="308">
        <f>IFERROR(IF(OR('Master Data'!$I$28='GA55 Check &amp; Edit'!$AP$6,D12=""),"",IF(AND(D12=$AX$27),"",IF(AND(E12=""),"",'Master Data'!$K$43))),"")</f>
        <v>0</v>
      </c>
      <c r="U12" s="308">
        <f>IFERROR(IF(OR('Master Data'!$I$28='GA55 Check &amp; Edit'!$AP$6,D12=""),"",IF(AND(D12=$AX$27),"",IF(AND(E12=""),"",'Master Data'!$L$43))),"")</f>
        <v>0</v>
      </c>
      <c r="V12" s="308" t="str">
        <f>IFERROR(IF(D12="","",IF(AND('Master Data'!$I$28='GA55 Check &amp; Edit'!$AP$6),"",IF(AND('Master Data'!$I$24='GA55 Check &amp; Edit'!$AO$6),"0",IF(AND(D12="Bonus",'Master Data'!$I$30='GA55 Check &amp; Edit'!$AN$6),ROUND((M12)*0.75,0),"")))),"")</f>
        <v/>
      </c>
      <c r="W12" s="308">
        <f>IFERROR(IF(OR('Master Data'!$E$24='GA55 Check &amp; Edit'!$AQ$6,'Master Data'!$E$24='GA55 Check &amp; Edit'!$AQ$7),"",IF(AND(D12=$AX$27),"",IF(D12="","",IF(E12="","",VLOOKUP(D12,ram,8,0))))),"")</f>
        <v>0</v>
      </c>
      <c r="X12" s="308">
        <f>IFERROR(IF(D12="","",IF(AND(E12=""),"",IF(AND(D12=$AX$27),"",IF(OR('Master Data'!$I$28='GA55 Check &amp; Edit'!$AP$6,D12=""),"",IF('Master Data'!$N$36="NO",0,IF(D12='Master Data'!$N$40,'Master Data'!$G$43,0)))))),"")</f>
        <v>0</v>
      </c>
      <c r="Y12" s="308">
        <f>IFERROR(IF(D12="","",IF(AND(E12=""),"",IF(AND(D12=$AX$27),"",IF(OR('Master Data'!$I$28='GA55 Check &amp; Edit'!$AP$6,D12=""),"",$Y$7)))),"")</f>
        <v>0</v>
      </c>
      <c r="Z12" s="308">
        <f>IFERROR(IF(OR('Master Data'!$I$28='GA55 Check &amp; Edit'!$AP$6),"",IF(D12="","",IF(E12="","",VLOOKUP(D12,ram,9,0)))),"")</f>
        <v>1500</v>
      </c>
      <c r="AA12" s="308" t="str">
        <f>IFERROR(IF(OR('Master Data'!$I$28='GA55 Check &amp; Edit'!$AP$6,D12=""),"",IF(AND(E12=""),"",IF('GA55 Check &amp; Edit'!D12='GA55 Check &amp; Edit'!$AT$9,220,""))),"")</f>
        <v/>
      </c>
      <c r="AB12" s="36">
        <f>IFERROR(IF(D12="","",IF(AND(O12=""),"",IF(AND('Master Data'!$H$18='GA55 Check &amp; Edit'!$AO$5,'Master Data'!$I$30='GA55 Check &amp; Edit'!$AN$6),SUM(P12:AA12)+N12,SUM(P12:AA12)))),"")</f>
        <v>14613</v>
      </c>
      <c r="AC12" s="37">
        <f t="shared" si="2"/>
        <v>48887</v>
      </c>
      <c r="AD12" s="310"/>
      <c r="AE12" s="363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35" t="s">
        <v>23</v>
      </c>
      <c r="AS12" s="35" t="s">
        <v>22</v>
      </c>
      <c r="AT12" s="43">
        <v>44013</v>
      </c>
      <c r="AU12" s="35" t="s">
        <v>99</v>
      </c>
      <c r="AV12" s="41"/>
      <c r="AW12" s="51" t="s">
        <v>18</v>
      </c>
      <c r="AX12" s="54">
        <v>43891</v>
      </c>
      <c r="AY12" s="47">
        <v>3</v>
      </c>
      <c r="AZ12" s="47"/>
      <c r="BA12" s="55">
        <f>IF(AND('Master Data'!$E$36=""),"",IF('Master Data'!N36='GA55 Check &amp; Edit'!AO5,BC9,'Master Data'!E36))</f>
        <v>23855</v>
      </c>
      <c r="BB12" s="68">
        <f>IF(AND(AX12&lt;$AZ$16),"",IF(AND(AX12&gt;$AZ$17),"",BA12))</f>
        <v>23855</v>
      </c>
      <c r="BC12" s="47">
        <f>IF(AND('Master Data'!$E$36=""),"",ROUND(17%*BA12,0))</f>
        <v>4055</v>
      </c>
      <c r="BD12" s="47">
        <f>IF(BB12="","",BC12)</f>
        <v>4055</v>
      </c>
      <c r="BE12" s="7">
        <f>IFERROR(IF(OR('Master Data'!I34&gt;11,'Master Data'!E34=AO5),ROUND('Master Data'!$E$36/31*5,0),IF(AND('Master Data'!I34&gt;=10,'Master Data'!E34=AO6),ROUND('Master Data'!$E$36/31*3,0),IF(AND('Master Data'!I34&gt;4,'Master Data'!D18=AO5),ROUND('Master Data'!$E$36/31*2,0),"0"))),"")</f>
        <v>4771</v>
      </c>
      <c r="BF12" s="55">
        <f>'Master Data'!B47</f>
        <v>0</v>
      </c>
      <c r="BG12" s="55">
        <f>IFERROR(IF(AND('Master Data'!$I$28='GA55 Check &amp; Edit'!$AP$6),"",IF(AND('Master Data'!$I$30='GA55 Check &amp; Edit'!$AN$5),IF($AZ$15&lt;18001,242,IF($AZ$15&lt;33501,402,IF($AZ$15&lt;54001,602,800))))),"")</f>
        <v>602</v>
      </c>
      <c r="BH12" s="55" t="str">
        <f>IF(AND('Master Data'!$E$36=""),"",IF('Master Data'!N36='GA55 Check &amp; Edit'!AO5,"0",'Master Data'!$G$43))</f>
        <v>0</v>
      </c>
      <c r="BI12" s="65" t="str">
        <f>IF(AND('Master Data'!$E$36=""),"",IF('Master Data'!N36='GA55 Check &amp; Edit'!AO5,"0",'Master Data'!$H$43))</f>
        <v>0</v>
      </c>
      <c r="BJ12" s="55">
        <f>BA12</f>
        <v>23855</v>
      </c>
      <c r="BK12" s="63">
        <v>43891</v>
      </c>
      <c r="BL12" s="63">
        <f>IFERROR(IF('Master Data'!$E$36="","",IF('Master Data'!$F$40="","",IF(AND($AZ$17&gt;$AZ$9),"",DATE(YEAR(AZ16),MONTH(AZ16),DAY(AZ16))))),"")</f>
        <v>43891</v>
      </c>
      <c r="BM12" s="57">
        <f>IFERROR(IF('Master Data'!$E$36="","",IF('Master Data'!$F$40="","",IF(AND($AZ$17&gt;$AZ$9),"",DATE(YEAR(AZ16),MONTH(AZ16),DAY(AZ16))))),"")</f>
        <v>43891</v>
      </c>
      <c r="BN12" s="57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""))))))))))))))))))))</f>
        <v>43891</v>
      </c>
      <c r="BO12" s="57">
        <f>IFERROR(IF(AND(BL12=$BK$24),$BM$24,IF(AND(BL12=$BK$25),$BM$25,IF(AND(BL12=$BK$26),$BM$26,IF(AND(BL12=$BK$27),$BM$27,IF(AND(BL12=$BK$28),$BM$28,IF(AND(BL12=$BK$29),$BM$29,IF(AND(BL12=$BK$30),$BM$30,BN12))))))),"")</f>
        <v>43891</v>
      </c>
      <c r="BP12" s="57"/>
      <c r="BQ12" s="57">
        <f>IFERROR(IF(BM12="","",IF(D8=$AX$27,$AX$27,IF(BM12&gt;$AZ$17,"",BM12))),"")</f>
        <v>43891</v>
      </c>
      <c r="BR12" s="57"/>
      <c r="BS12" s="59">
        <f ca="1">OFFSET(D6,MATCH(BO12,$D$8:$D$27,0)+1,MATCH(BO12,D8:N8,0))</f>
        <v>23855</v>
      </c>
      <c r="BT12" s="59"/>
      <c r="BU12" s="70"/>
      <c r="BV12" s="57"/>
      <c r="BW12" s="41"/>
      <c r="BX12" s="59">
        <f>IF(BB12="",0,BF12)</f>
        <v>0</v>
      </c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</row>
    <row r="13" spans="1:103" s="35" customFormat="1" ht="21" customHeight="1">
      <c r="A13" s="35">
        <f t="shared" si="0"/>
        <v>0</v>
      </c>
      <c r="B13" s="76">
        <f>IF(LEN(D13)&gt;=3,B12+1,0)</f>
        <v>6</v>
      </c>
      <c r="C13" s="77">
        <f t="shared" ref="C13:C28" si="5">IF(B13=0,"",B13)</f>
        <v>6</v>
      </c>
      <c r="D13" s="301">
        <f t="shared" si="1"/>
        <v>44044</v>
      </c>
      <c r="E13" s="302">
        <f>IFERROR(IF(D13="","",IF(AND(BQ17=""),"",IF(AND('Master Data'!$I$28='GA55 Check &amp; Edit'!$AP$6),VLOOKUP(D13,ram,13,0),VLOOKUP(D13,ram,4,0)))),"")</f>
        <v>50800</v>
      </c>
      <c r="F13" s="303">
        <f>IFERROR(IF(D13="","",IF(D13=$AX$24,"",IF(AND(D13=$AX$25),$BC$25,IF(AND(D13=$AX$26),$BC$26,IF(AND(D13=$AX$27),$BC$27,IF(AND(D13=$AX$28),"",IF(AND(D13=$AX$29),"",IF(AND('Master Data'!$I$28='GA55 Check &amp; Edit'!$AP$6),"",VLOOKUP(D13,ram,7,0))))))))),"")</f>
        <v>8636</v>
      </c>
      <c r="G13" s="303">
        <f>IF(AND('Master Data'!$I$28='GA55 Check &amp; Edit'!$AP$6),"",IF(AND(D13=""),"",IF(AND(D13=$AX$27),"",IF(AND(E13=""),"",ROUND('Master Data'!$E$30%*E13,0)))))</f>
        <v>4064</v>
      </c>
      <c r="H13" s="304">
        <f>IFERROR(IF(D13="","",IF(AND(E13=""),"",IF(AND(D13=$AX$27),"",IF(AND('Master Data'!$I$28='GA55 Check &amp; Edit'!$AP$6),"",'Master Data'!$B$43)))),"")</f>
        <v>0</v>
      </c>
      <c r="I13" s="304">
        <f>IFERROR(IF(D13="","",IF(AND(E13=""),"",IF(AND(D13=$AX$27),"",IF(AND('Master Data'!$I$28='GA55 Check &amp; Edit'!$AP$6),"",'Master Data'!$E$28)))),"")</f>
        <v>0</v>
      </c>
      <c r="J13" s="304" t="str">
        <f>IFERROR(IF(OR('Master Data'!$E$32=$AO$6,'Master Data'!$E$32=""),"",IF(D13="","",IF(AND(E13=""),"",IF(AND(D13=$AX$27),"",IF(AND('Master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304">
        <f>IFERROR(IF(D13="","",IF(AND(E13=""),"",IF(AND(D13=$AX$27),"",IF(AND('Master Data'!$I$28='GA55 Check &amp; Edit'!$AP$6),"",'Master Data'!$E$43)))),"")</f>
        <v>0</v>
      </c>
      <c r="L13" s="304">
        <f>IFERROR(IF(D13="","",IF(AND(E13=""),"",IF(AND(D13=$AX$27),"",IF(AND('Master Data'!$I$28='GA55 Check &amp; Edit'!$AP$6),"",'Master Data'!$F$43)))),"")</f>
        <v>0</v>
      </c>
      <c r="M13" s="305" t="str">
        <f>IFERROR(IF(D13="","",IF(AND('Master Data'!$I$28='GA55 Check &amp; Edit'!$AP$6),"",IF(AND('Master Data'!$I$24='GA55 Check &amp; Edit'!$AO$6),"",IF(AND(D13="Bonus"),VLOOKUP(D13,ram,4,0),"")))),"")</f>
        <v/>
      </c>
      <c r="N13" s="304" t="str">
        <f>IFERROR(IF(AND(D13=""),"",IF(AND(D13=$AX$25,'Master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Edit'!$AN$5),"",IF(AND('Master Data'!$I$30='GA55 Check &amp; Edit'!$AN$6,'Master Data'!$I$28='GA55 Check &amp; Edit'!$AP$6),ROUND((E13)*0.1,0),ROUND((E13+F13)*0.1,0))))))),"")</f>
        <v/>
      </c>
      <c r="O13" s="61">
        <f>IF(D13="","",IF('Master Data'!$H$18='GA55 Check &amp; Edit'!$AO$5,SUM(E13:N13),SUM(E13:M13)))</f>
        <v>63500</v>
      </c>
      <c r="P13" s="308">
        <f>IFERROR(IF(OR('Master Data'!$I$28='GA55 Check &amp; Edit'!$AP$6,D13=""),"",IF(AND(D13=$AX$27),"",IF(AND(E13=""),"",VLOOKUP(D13,ram,11,0)))),"")</f>
        <v>7000</v>
      </c>
      <c r="Q13" s="308">
        <f>IFERROR(IF(AND(D13=""),"",IF(AND(D13=$AX$24,'Master Data'!$I$30='GA55 Check &amp; Edit'!$AN$5),ROUND((M13)*0.75,0),IF(AND(D13=$AX$25,'Master Data'!$I$30='GA55 Check &amp; Edit'!$AN$6),ROUND((F13)*0.1,0),IF(AND(D13=$AX$26,'Master Data'!$I$30='GA55 Check &amp; Edit'!$AN$6),ROUND((F13)*0.1,0),IF(AND(D13=$AX$28,'Master Data'!$I$30='GA55 Check &amp; Edit'!$AN$6),ROUND((F13)*0.1,0),IF(AND('Master Data'!$I$30='GA55 Check &amp; Edit'!$AN$6,'Master Data'!$I$28='GA55 Check &amp; Edit'!$AP$6),ROUND((E13)*0.1,0),IF(AND('Master Data'!$I$30='GA55 Check &amp; Edit'!$AN$6,'Master Data'!$I$28='GA55 Check &amp; Edit'!$AP$5),ROUND((E13+F13)*0.1,0),IF(AND('Master Data'!$I$30='GA55 Check &amp; Edit'!$AN$5,'Master Data'!$I$28='GA55 Check &amp; Edit'!$AP$5),VLOOKUP(D13,ram,12,0))))))))),"")</f>
        <v>3575</v>
      </c>
      <c r="R13" s="308">
        <f>IFERROR(IF(OR('Master Data'!$I$28='GA55 Check &amp; Edit'!$AP$6,D13=""),"",IF(AND(D13=$AX$27),"",IF(AND(D13=$AX$30),"",IF(AND(E13=""),"",'Master Data'!$I$43)))),"")</f>
        <v>1880</v>
      </c>
      <c r="S13" s="308">
        <f>IFERROR(IF(OR('Master Data'!$I$28='GA55 Check &amp; Edit'!$AP$6),"",IF(D13="","",IF(E13="","",IF(AND(D13=$AX$27),"",IF(AND('Master Data'!$I$30='GA55 Check &amp; Edit'!$AN$5),VLOOKUP(D13,ram,10,0),"0"))))),"")</f>
        <v>658</v>
      </c>
      <c r="T13" s="308">
        <f>IFERROR(IF(OR('Master Data'!$I$28='GA55 Check &amp; Edit'!$AP$6,D13=""),"",IF(AND(D13=$AX$27),"",IF(AND(E13=""),"",'Master Data'!$K$43))),"")</f>
        <v>0</v>
      </c>
      <c r="U13" s="308">
        <f>IFERROR(IF(OR('Master Data'!$I$28='GA55 Check &amp; Edit'!$AP$6,D13=""),"",IF(AND(D13=$AX$27),"",IF(AND(E13=""),"",'Master Data'!$L$43))),"")</f>
        <v>0</v>
      </c>
      <c r="V13" s="308" t="str">
        <f>IFERROR(IF(D13="","",IF(AND('Master Data'!$I$28='GA55 Check &amp; Edit'!$AP$6),"",IF(AND('Master Data'!$I$24='GA55 Check &amp; Edit'!$AO$6),"0",IF(AND(D13="Bonus",'Master Data'!$I$30='GA55 Check &amp; Edit'!$AN$6),ROUND((M13)*0.75,0),"")))),"")</f>
        <v/>
      </c>
      <c r="W13" s="308">
        <f>IFERROR(IF(OR('Master Data'!$E$24='GA55 Check &amp; Edit'!$AQ$6,'Master Data'!$E$24='GA55 Check &amp; Edit'!$AQ$7),"",IF(AND(D13=$AX$27),"",IF(D13="","",IF(E13="","",VLOOKUP(D13,ram,8,0))))),"")</f>
        <v>0</v>
      </c>
      <c r="X13" s="308">
        <f>IFERROR(IF(D13="","",IF(AND(E13=""),"",IF(AND(D13=$AX$27),"",IF(OR('Master Data'!$I$28='GA55 Check &amp; Edit'!$AP$6,D13=""),"",IF('Master Data'!$N$36="NO",0,IF(D13='Master Data'!$N$40,'Master Data'!$G$43,0)))))),"")</f>
        <v>0</v>
      </c>
      <c r="Y13" s="308">
        <f>IFERROR(IF(D13="","",IF(AND(E13=""),"",IF(AND(D13=$AX$27),"",IF(OR('Master Data'!$I$28='GA55 Check &amp; Edit'!$AP$6,D13=""),"",$Y$7)))),"")</f>
        <v>0</v>
      </c>
      <c r="Z13" s="308">
        <f>IFERROR(IF(OR('Master Data'!$I$28='GA55 Check &amp; Edit'!$AP$6),"",IF(D13="","",IF(E13="","",VLOOKUP(D13,ram,9,0)))),"")</f>
        <v>1500</v>
      </c>
      <c r="AA13" s="308" t="str">
        <f>IFERROR(IF(OR('Master Data'!$I$28='GA55 Check &amp; Edit'!$AP$6,D13=""),"",IF(AND(E13=""),"",IF('GA55 Check &amp; Edit'!D13='GA55 Check &amp; Edit'!$AT$9,220,""))),"")</f>
        <v/>
      </c>
      <c r="AB13" s="36">
        <f>IFERROR(IF(D13="","",IF(AND(O13=""),"",IF(AND('Master Data'!$H$18='GA55 Check &amp; Edit'!$AO$5,'Master Data'!$I$30='GA55 Check &amp; Edit'!$AN$6),SUM(P13:AA13)+N13,SUM(P13:AA13)))),"")</f>
        <v>14613</v>
      </c>
      <c r="AC13" s="37">
        <f t="shared" si="2"/>
        <v>48887</v>
      </c>
      <c r="AD13" s="310"/>
      <c r="AE13" s="363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35" t="s">
        <v>24</v>
      </c>
      <c r="AT13" s="43">
        <v>44044</v>
      </c>
      <c r="AU13" s="35" t="s">
        <v>100</v>
      </c>
      <c r="AV13" s="59"/>
      <c r="AW13" s="51" t="s">
        <v>20</v>
      </c>
      <c r="AX13" s="54">
        <v>43922</v>
      </c>
      <c r="AY13" s="47">
        <v>4</v>
      </c>
      <c r="AZ13" s="47"/>
      <c r="BA13" s="55">
        <f>IF(AND('Master Data'!$E$36=""),"",IF(AND('Master Data'!$I$28='GA55 Check &amp; Edit'!$AP$6),'GA55 Check &amp; Edit'!$AZ$15,BU13))</f>
        <v>49300</v>
      </c>
      <c r="BB13" s="68">
        <f>IF(AND(AX13&lt;$AZ$16),"",IF(AND(AX13&gt;$AZ$17),"",BA13))</f>
        <v>49300</v>
      </c>
      <c r="BC13" s="47">
        <f>IF(AND('Master Data'!$E$36=""),"",ROUND(17%*BA13,0))</f>
        <v>8381</v>
      </c>
      <c r="BD13" s="47">
        <f>IF(BB13="","",BC13)</f>
        <v>8381</v>
      </c>
      <c r="BE13" s="47"/>
      <c r="BF13" s="55">
        <f>'Master Data'!C47</f>
        <v>1500</v>
      </c>
      <c r="BG13" s="55">
        <f>IF(AND('Master Data'!$I$28='GA55 Check &amp; Edit'!$AP$6),"",IF(AND('Master Data'!$I$30='GA55 Check &amp; Edit'!$AN$5),IF($AZ$15&lt;18001,242,IF($AZ$15&lt;33501,402,IF($AZ$15&lt;54001,602,800)))))</f>
        <v>602</v>
      </c>
      <c r="BH13" s="55">
        <f>IFERROR(IF(OR('Master Data'!$I$28='GA55 Check &amp; Edit'!$AP$6),"",'Master Data'!$G$43),"")</f>
        <v>7000</v>
      </c>
      <c r="BI13" s="65">
        <f>IFERROR(IF(AND('Master Data'!$I$30='GA55 Check &amp; Edit'!$AN$6),ROUND((E9)*0.1,0),IF(AND('Master Data'!$I$28='GA55 Check &amp; Edit'!$AP$6),ROUND((E9+F9)*0.1,0),'Master Data'!$H$43)),"")</f>
        <v>3575</v>
      </c>
      <c r="BJ13" s="55">
        <f>BA13</f>
        <v>49300</v>
      </c>
      <c r="BK13" s="63">
        <v>43922</v>
      </c>
      <c r="BL13" s="63">
        <f>IFERROR(IF('Master Data'!$E$36="","",IF('Master Data'!$F$40="","",IF(AND($AZ$17&gt;$AZ$9),"",DATE(YEAR(BL12),MONTH(BL12)+1,DAY(BL12))))),"")</f>
        <v>43922</v>
      </c>
      <c r="BM13" s="57">
        <f>IFERROR(IF('Master Data'!$E$36="","",IF('Master Data'!$F$40="","",IF(AND($AZ$17&gt;$AZ$9),"",DATE(YEAR(BM12),MONTH(BM12)+1,DAY(BM12))))),"")</f>
        <v>43922</v>
      </c>
      <c r="BN13" s="57">
        <f t="shared" ref="BN13:BN30" si="6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""))))))))))))))))))))</f>
        <v>43922</v>
      </c>
      <c r="BO13" s="57">
        <f t="shared" ref="BO13:BO30" si="7">IFERROR(IF(AND(BL13=$BK$24),$BM$24,IF(AND(BL13=$BK$25),$BM$25,IF(AND(BL13=$BK$26),$BM$26,IF(AND(BL13=$BK$27),$BM$27,IF(AND(BL13=$BK$28),$BM$28,IF(AND(BL13=$BK$29),$BM$29,IF(AND(BL13=$BK$30),$BM$30,BN13))))))),"")</f>
        <v>43922</v>
      </c>
      <c r="BP13" s="57"/>
      <c r="BQ13" s="57">
        <f t="shared" ref="BQ13:BQ29" si="8">IFERROR(IF(BM13="","",IF(D9=$AX$27,$AX$27,IF(BM13&gt;$AZ$17,"",BM13))),"")</f>
        <v>43922</v>
      </c>
      <c r="BR13" s="57"/>
      <c r="BS13" s="59">
        <f t="shared" ref="BS13:BS20" ca="1" si="9">OFFSET(D7,MATCH(BO13,$D$8:$D$27,0)+1,MATCH(BO13,D9:N9,0))</f>
        <v>49300</v>
      </c>
      <c r="BT13" s="59"/>
      <c r="BU13" s="70">
        <f>IF(AND('Master Data'!$E$36=""),"",IF(AND('Master Data'!$I$38='GA55 Check &amp; Edit'!AX13),'Master Data'!$I$36,'Master Data'!$E$36))</f>
        <v>49300</v>
      </c>
      <c r="BV13" s="41"/>
      <c r="BW13" s="41"/>
      <c r="BX13" s="59">
        <f t="shared" ref="BX13:BX30" si="10">IF(BB13="",0,BF13)</f>
        <v>1500</v>
      </c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</row>
    <row r="14" spans="1:103" s="35" customFormat="1" ht="21" customHeight="1">
      <c r="A14" s="35">
        <f t="shared" si="0"/>
        <v>1</v>
      </c>
      <c r="B14" s="76">
        <f t="shared" si="3"/>
        <v>7</v>
      </c>
      <c r="C14" s="77">
        <f t="shared" si="5"/>
        <v>7</v>
      </c>
      <c r="D14" s="301">
        <f t="shared" si="1"/>
        <v>44075</v>
      </c>
      <c r="E14" s="302">
        <f>IFERROR(IF(D14="","",IF(AND(BQ18=""),"",IF(AND('Master Data'!$I$28='GA55 Check &amp; Edit'!$AP$6),VLOOKUP(D14,ram,13,0),VLOOKUP(D14,ram,4,0)))),"")</f>
        <v>50800</v>
      </c>
      <c r="F14" s="303">
        <f>IFERROR(IF(D14="","",IF(D14=$AX$24,"",IF(AND(D14=$AX$25),$BC$25,IF(AND(D14=$AX$26),$BC$26,IF(AND(D14=$AX$27),$BC$27,IF(AND(D14=$AX$28),"",IF(AND(D14=$AX$29),"",IF(AND('Master Data'!$I$28='GA55 Check &amp; Edit'!$AP$6),"",VLOOKUP(D14,ram,7,0))))))))),"")</f>
        <v>8636</v>
      </c>
      <c r="G14" s="303">
        <f>IF(AND('Master Data'!$I$28='GA55 Check &amp; Edit'!$AP$6),"",IF(AND(D14=""),"",IF(AND(D14=$AX$27),"",IF(AND(E14=""),"",ROUND('Master Data'!$E$30%*E14,0)))))</f>
        <v>4064</v>
      </c>
      <c r="H14" s="304">
        <f>IFERROR(IF(D14="","",IF(AND(E14=""),"",IF(AND(D14=$AX$27),"",IF(AND('Master Data'!$I$28='GA55 Check &amp; Edit'!$AP$6),"",'Master Data'!$B$43)))),"")</f>
        <v>0</v>
      </c>
      <c r="I14" s="304">
        <f>IFERROR(IF(D14="","",IF(AND(E14=""),"",IF(AND(D14=$AX$27),"",IF(AND('Master Data'!$I$28='GA55 Check &amp; Edit'!$AP$6),"",'Master Data'!$E$28)))),"")</f>
        <v>0</v>
      </c>
      <c r="J14" s="304" t="str">
        <f>IFERROR(IF(OR('Master Data'!$E$32=$AO$6,'Master Data'!$E$32=""),"",IF(D14="","",IF(AND(E14=""),"",IF(AND(D14=$AX$27),"",IF(AND('Master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304">
        <f>IFERROR(IF(D14="","",IF(AND(E14=""),"",IF(AND(D14=$AX$27),"",IF(AND('Master Data'!$I$28='GA55 Check &amp; Edit'!$AP$6),"",'Master Data'!$E$43)))),"")</f>
        <v>0</v>
      </c>
      <c r="L14" s="304">
        <f>IFERROR(IF(D14="","",IF(AND(E14=""),"",IF(AND(D14=$AX$27),"",IF(AND('Master Data'!$I$28='GA55 Check &amp; Edit'!$AP$6),"",'Master Data'!$F$43)))),"")</f>
        <v>0</v>
      </c>
      <c r="M14" s="305" t="str">
        <f>IFERROR(IF(D14="","",IF(AND('Master Data'!$I$28='GA55 Check &amp; Edit'!$AP$6),"",IF(AND('Master Data'!$I$24='GA55 Check &amp; Edit'!$AO$6),"",IF(AND(D14="Bonus"),VLOOKUP(D14,ram,4,0),"")))),"")</f>
        <v/>
      </c>
      <c r="N14" s="304" t="str">
        <f>IFERROR(IF(AND(D14=""),"",IF(AND(D14=$AX$25,'Master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Edit'!$AN$5),"",IF(AND('Master Data'!$I$30='GA55 Check &amp; Edit'!$AN$6,'Master Data'!$I$28='GA55 Check &amp; Edit'!$AP$6),ROUND((E14)*0.1,0),ROUND((E14+F14)*0.1,0))))))),"")</f>
        <v/>
      </c>
      <c r="O14" s="61">
        <f>IF(D14="","",IF('Master Data'!$H$18='GA55 Check &amp; Edit'!$AO$5,SUM(E14:N14),SUM(E14:M14)))</f>
        <v>63500</v>
      </c>
      <c r="P14" s="308">
        <f>IFERROR(IF(OR('Master Data'!$I$28='GA55 Check &amp; Edit'!$AP$6,D14=""),"",IF(AND(D14=$AX$27),"",IF(AND(E14=""),"",VLOOKUP(D14,ram,11,0)))),"")</f>
        <v>7000</v>
      </c>
      <c r="Q14" s="308">
        <f>IFERROR(IF(AND(D14=""),"",IF(AND(D14=$AX$24,'Master Data'!$I$30='GA55 Check &amp; Edit'!$AN$5),ROUND((M14)*0.75,0),IF(AND(D14=$AX$25,'Master Data'!$I$30='GA55 Check &amp; Edit'!$AN$6),ROUND((F14)*0.1,0),IF(AND(D14=$AX$26,'Master Data'!$I$30='GA55 Check &amp; Edit'!$AN$6),ROUND((F14)*0.1,0),IF(AND(D14=$AX$28,'Master Data'!$I$30='GA55 Check &amp; Edit'!$AN$6),ROUND((F14)*0.1,0),IF(AND('Master Data'!$I$30='GA55 Check &amp; Edit'!$AN$6,'Master Data'!$I$28='GA55 Check &amp; Edit'!$AP$6),ROUND((E14)*0.1,0),IF(AND('Master Data'!$I$30='GA55 Check &amp; Edit'!$AN$6,'Master Data'!$I$28='GA55 Check &amp; Edit'!$AP$5),ROUND((E14+F14)*0.1,0),IF(AND('Master Data'!$I$30='GA55 Check &amp; Edit'!$AN$5,'Master Data'!$I$28='GA55 Check &amp; Edit'!$AP$5),VLOOKUP(D14,ram,12,0))))))))),"")</f>
        <v>3575</v>
      </c>
      <c r="R14" s="308">
        <f>IFERROR(IF(OR('Master Data'!$I$28='GA55 Check &amp; Edit'!$AP$6,D14=""),"",IF(AND(D14=$AX$27),"",IF(AND(D14=$AX$30),"",IF(AND(E14=""),"",'Master Data'!$I$43)))),"")</f>
        <v>1880</v>
      </c>
      <c r="S14" s="308">
        <f>IFERROR(IF(OR('Master Data'!$I$28='GA55 Check &amp; Edit'!$AP$6),"",IF(D14="","",IF(E14="","",IF(AND(D14=$AX$27),"",IF(AND('Master Data'!$I$30='GA55 Check &amp; Edit'!$AN$5),VLOOKUP(D14,ram,10,0),"0"))))),"")</f>
        <v>658</v>
      </c>
      <c r="T14" s="308">
        <f>IFERROR(IF(OR('Master Data'!$I$28='GA55 Check &amp; Edit'!$AP$6,D14=""),"",IF(AND(D14=$AX$27),"",IF(AND(E14=""),"",'Master Data'!$K$43))),"")</f>
        <v>0</v>
      </c>
      <c r="U14" s="308">
        <f>IFERROR(IF(OR('Master Data'!$I$28='GA55 Check &amp; Edit'!$AP$6,D14=""),"",IF(AND(D14=$AX$27),"",IF(AND(E14=""),"",'Master Data'!$L$43))),"")</f>
        <v>0</v>
      </c>
      <c r="V14" s="308" t="str">
        <f>IFERROR(IF(D14="","",IF(AND('Master Data'!$I$28='GA55 Check &amp; Edit'!$AP$6),"",IF(AND('Master Data'!$I$24='GA55 Check &amp; Edit'!$AO$6),"0",IF(AND(D14="Bonus",'Master Data'!$I$30='GA55 Check &amp; Edit'!$AN$6),ROUND((M14)*0.75,0),"")))),"")</f>
        <v/>
      </c>
      <c r="W14" s="308">
        <f>IFERROR(IF(OR('Master Data'!$E$24='GA55 Check &amp; Edit'!$AQ$6,'Master Data'!$E$24='GA55 Check &amp; Edit'!$AQ$7),"",IF(AND(D14=$AX$27),"",IF(D14="","",IF(E14="","",VLOOKUP(D14,ram,8,0))))),"")</f>
        <v>2117</v>
      </c>
      <c r="X14" s="308">
        <f>IFERROR(IF(D14="","",IF(AND(E14=""),"",IF(AND(D14=$AX$27),"",IF(OR('Master Data'!$I$28='GA55 Check &amp; Edit'!$AP$6,D14=""),"",IF('Master Data'!$N$36="NO",0,IF(D14='Master Data'!$N$40,'Master Data'!$G$43,0)))))),"")</f>
        <v>0</v>
      </c>
      <c r="Y14" s="308">
        <f>IFERROR(IF(D14="","",IF(AND(E14=""),"",IF(AND(D14=$AX$27),"",IF(OR('Master Data'!$I$28='GA55 Check &amp; Edit'!$AP$6,D14=""),"",$Y$7)))),"")</f>
        <v>0</v>
      </c>
      <c r="Z14" s="308">
        <f>IFERROR(IF(OR('Master Data'!$I$28='GA55 Check &amp; Edit'!$AP$6),"",IF(D14="","",IF(E14="","",VLOOKUP(D14,ram,9,0)))),"")</f>
        <v>1500</v>
      </c>
      <c r="AA14" s="308" t="str">
        <f>IFERROR(IF(OR('Master Data'!$I$28='GA55 Check &amp; Edit'!$AP$6,D14=""),"",IF(AND(E14=""),"",IF('GA55 Check &amp; Edit'!D14='GA55 Check &amp; Edit'!$AT$9,220,""))),"")</f>
        <v/>
      </c>
      <c r="AB14" s="36">
        <f>IFERROR(IF(D14="","",IF(AND(O14=""),"",IF(AND('Master Data'!$H$18='GA55 Check &amp; Edit'!$AO$5,'Master Data'!$I$30='GA55 Check &amp; Edit'!$AN$6),SUM(P14:AA14)+N14,SUM(P14:AA14)))),"")</f>
        <v>16730</v>
      </c>
      <c r="AC14" s="37">
        <f t="shared" si="2"/>
        <v>46770</v>
      </c>
      <c r="AD14" s="310"/>
      <c r="AE14" s="363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35" t="s">
        <v>26</v>
      </c>
      <c r="AT14" s="43">
        <v>44075</v>
      </c>
      <c r="AU14" s="35" t="s">
        <v>101</v>
      </c>
      <c r="AV14" s="41"/>
      <c r="AW14" s="51" t="s">
        <v>22</v>
      </c>
      <c r="AX14" s="54">
        <v>43952</v>
      </c>
      <c r="AY14" s="47">
        <v>5</v>
      </c>
      <c r="AZ14" s="47"/>
      <c r="BA14" s="55">
        <f>IF(AND('Master Data'!$E$36=""),"",IF(AND('Master Data'!$I$28='GA55 Check &amp; Edit'!$AP$6),'GA55 Check &amp; Edit'!$AZ$15,BU14))</f>
        <v>49300</v>
      </c>
      <c r="BB14" s="68">
        <f t="shared" ref="BB14:BB23" si="11">IF(AND(AX14&lt;$AZ$16),"",IF(AND(AX14&gt;$AZ$17),"",BA14))</f>
        <v>49300</v>
      </c>
      <c r="BC14" s="47">
        <f>IF(AND('Master Data'!$E$36=""),"",ROUND(17%*BA14,0))</f>
        <v>8381</v>
      </c>
      <c r="BD14" s="47">
        <f>IF(BB14="","",BC14)</f>
        <v>8381</v>
      </c>
      <c r="BE14" s="47"/>
      <c r="BF14" s="55">
        <f>'Master Data'!D47</f>
        <v>1500</v>
      </c>
      <c r="BG14" s="55">
        <f>IF(AND('Master Data'!$I$28='GA55 Check &amp; Edit'!$AP$6),"",IF(AND('Master Data'!$I$30='GA55 Check &amp; Edit'!$AN$5),IF($AZ$15&lt;18001,288,IF($AZ$15&lt;33501,478,IF($AZ$15&lt;54001,714,950)))))</f>
        <v>714</v>
      </c>
      <c r="BH14" s="55">
        <f>IFERROR(IF(OR('Master Data'!$I$28='GA55 Check &amp; Edit'!$AP$6),"",'Master Data'!$G$43),"")</f>
        <v>7000</v>
      </c>
      <c r="BI14" s="65">
        <f>IFERROR(IF(AND('Master Data'!$I$30='GA55 Check &amp; Edit'!$AN$6),ROUND((E10)*0.1,0),IF(AND('Master Data'!$I$28='GA55 Check &amp; Edit'!$AP$6),ROUND((E10+F10)*0.1,0),'Master Data'!$H$43)),"")</f>
        <v>3575</v>
      </c>
      <c r="BJ14" s="55">
        <f t="shared" ref="BJ14:BJ15" si="12">BA14</f>
        <v>49300</v>
      </c>
      <c r="BK14" s="63">
        <v>43952</v>
      </c>
      <c r="BL14" s="63">
        <f>IFERROR(IF('Master Data'!$E$36="","",IF('Master Data'!$F$40="","",IF(AND($AZ$17&gt;$AZ$9),"",DATE(YEAR(BL13),MONTH(BL13)+1,DAY(BL13))))),"")</f>
        <v>43952</v>
      </c>
      <c r="BM14" s="57">
        <f>IFERROR(IF('Master Data'!$E$36="","",IF('Master Data'!$F$40="","",IF(AND($AZ$17&gt;$AZ$9),"",DATE(YEAR(BM13),MONTH(BM13)+1,DAY(BM13))))),"")</f>
        <v>43952</v>
      </c>
      <c r="BN14" s="57">
        <f t="shared" si="6"/>
        <v>43952</v>
      </c>
      <c r="BO14" s="57">
        <f t="shared" si="7"/>
        <v>43952</v>
      </c>
      <c r="BP14" s="57"/>
      <c r="BQ14" s="57">
        <f t="shared" si="8"/>
        <v>43952</v>
      </c>
      <c r="BR14" s="57"/>
      <c r="BS14" s="59">
        <f t="shared" ca="1" si="9"/>
        <v>50800</v>
      </c>
      <c r="BT14" s="59"/>
      <c r="BU14" s="70">
        <f>IF(AND('Master Data'!$I$38='GA55 Check &amp; Edit'!AX14),'Master Data'!$I$36,BU13)</f>
        <v>49300</v>
      </c>
      <c r="BV14" s="41"/>
      <c r="BW14" s="41"/>
      <c r="BX14" s="59">
        <f t="shared" si="10"/>
        <v>1500</v>
      </c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</row>
    <row r="15" spans="1:103" s="35" customFormat="1" ht="21" customHeight="1">
      <c r="A15" s="35">
        <f t="shared" si="0"/>
        <v>0</v>
      </c>
      <c r="B15" s="76">
        <f t="shared" si="3"/>
        <v>8</v>
      </c>
      <c r="C15" s="77">
        <f t="shared" si="5"/>
        <v>8</v>
      </c>
      <c r="D15" s="301">
        <f t="shared" si="1"/>
        <v>44105</v>
      </c>
      <c r="E15" s="302">
        <f>IFERROR(IF(D15="","",IF(AND(BQ19=""),"",IF(AND('Master Data'!$I$28='GA55 Check &amp; Edit'!$AP$6),VLOOKUP(D15,ram,13,0),VLOOKUP(D15,ram,4,0)))),"")</f>
        <v>50800</v>
      </c>
      <c r="F15" s="303">
        <f>IFERROR(IF(D15="","",IF(D15=$AX$24,"",IF(AND(D15=$AX$25),$BC$25,IF(AND(D15=$AX$26),$BC$26,IF(AND(D15=$AX$27),$BC$27,IF(AND(D15=$AX$28),"",IF(AND(D15=$AX$29),"",IF(AND('Master Data'!$I$28='GA55 Check &amp; Edit'!$AP$6),"",VLOOKUP(D15,ram,7,0))))))))),"")</f>
        <v>8636</v>
      </c>
      <c r="G15" s="303">
        <f>IF(AND('Master Data'!$I$28='GA55 Check &amp; Edit'!$AP$6),"",IF(AND(D15=""),"",IF(AND(D15=$AX$27),"",IF(AND(E15=""),"",ROUND('Master Data'!$E$30%*E15,0)))))</f>
        <v>4064</v>
      </c>
      <c r="H15" s="304">
        <f>IFERROR(IF(D15="","",IF(AND(E15=""),"",IF(AND(D15=$AX$27),"",IF(AND('Master Data'!$I$28='GA55 Check &amp; Edit'!$AP$6),"",'Master Data'!$B$43)))),"")</f>
        <v>0</v>
      </c>
      <c r="I15" s="304">
        <f>IFERROR(IF(D15="","",IF(AND(E15=""),"",IF(AND(D15=$AX$27),"",IF(AND('Master Data'!$I$28='GA55 Check &amp; Edit'!$AP$6),"",'Master Data'!$E$28)))),"")</f>
        <v>0</v>
      </c>
      <c r="J15" s="304" t="str">
        <f>IFERROR(IF(OR('Master Data'!$E$32=$AO$6,'Master Data'!$E$32=""),"",IF(D15="","",IF(AND(E15=""),"",IF(AND(D15=$AX$27),"",IF(AND('Master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304">
        <f>IFERROR(IF(D15="","",IF(AND(E15=""),"",IF(AND(D15=$AX$27),"",IF(AND('Master Data'!$I$28='GA55 Check &amp; Edit'!$AP$6),"",'Master Data'!$E$43)))),"")</f>
        <v>0</v>
      </c>
      <c r="L15" s="304">
        <f>IFERROR(IF(D15="","",IF(AND(E15=""),"",IF(AND(D15=$AX$27),"",IF(AND('Master Data'!$I$28='GA55 Check &amp; Edit'!$AP$6),"",'Master Data'!$F$43)))),"")</f>
        <v>0</v>
      </c>
      <c r="M15" s="305" t="str">
        <f>IFERROR(IF(D15="","",IF(AND('Master Data'!$I$28='GA55 Check &amp; Edit'!$AP$6),"",IF(AND('Master Data'!$I$24='GA55 Check &amp; Edit'!$AO$6),"",IF(AND(D15="Bonus"),VLOOKUP(D15,ram,4,0),"")))),"")</f>
        <v/>
      </c>
      <c r="N15" s="304" t="str">
        <f>IFERROR(IF(AND(D15=""),"",IF(AND(D15=$AX$25,'Master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Edit'!$AN$5),"",IF(AND('Master Data'!$I$30='GA55 Check &amp; Edit'!$AN$6,'Master Data'!$I$28='GA55 Check &amp; Edit'!$AP$6),ROUND((E15)*0.1,0),ROUND((E15+F15)*0.1,0))))))),"")</f>
        <v/>
      </c>
      <c r="O15" s="61">
        <f>IF(D15="","",IF('Master Data'!$H$18='GA55 Check &amp; Edit'!$AO$5,SUM(E15:N15),SUM(E15:M15)))</f>
        <v>63500</v>
      </c>
      <c r="P15" s="308">
        <f>IFERROR(IF(OR('Master Data'!$I$28='GA55 Check &amp; Edit'!$AP$6,D15=""),"",IF(AND(D15=$AX$27),"",IF(AND(E15=""),"",VLOOKUP(D15,ram,11,0)))),"")</f>
        <v>7000</v>
      </c>
      <c r="Q15" s="308">
        <f>IFERROR(IF(AND(D15=""),"",IF(AND(D15=$AX$24,'Master Data'!$I$30='GA55 Check &amp; Edit'!$AN$5),ROUND((M15)*0.75,0),IF(AND(D15=$AX$25,'Master Data'!$I$30='GA55 Check &amp; Edit'!$AN$6),ROUND((F15)*0.1,0),IF(AND(D15=$AX$26,'Master Data'!$I$30='GA55 Check &amp; Edit'!$AN$6),ROUND((F15)*0.1,0),IF(AND(D15=$AX$28,'Master Data'!$I$30='GA55 Check &amp; Edit'!$AN$6),ROUND((F15)*0.1,0),IF(AND('Master Data'!$I$30='GA55 Check &amp; Edit'!$AN$6,'Master Data'!$I$28='GA55 Check &amp; Edit'!$AP$6),ROUND((E15)*0.1,0),IF(AND('Master Data'!$I$30='GA55 Check &amp; Edit'!$AN$6,'Master Data'!$I$28='GA55 Check &amp; Edit'!$AP$5),ROUND((E15+F15)*0.1,0),IF(AND('Master Data'!$I$30='GA55 Check &amp; Edit'!$AN$5,'Master Data'!$I$28='GA55 Check &amp; Edit'!$AP$5),VLOOKUP(D15,ram,12,0))))))))),"")</f>
        <v>3575</v>
      </c>
      <c r="R15" s="308">
        <f>IFERROR(IF(OR('Master Data'!$I$28='GA55 Check &amp; Edit'!$AP$6,D15=""),"",IF(AND(D15=$AX$27),"",IF(AND(D15=$AX$30),"",IF(AND(E15=""),"",'Master Data'!$I$43)))),"")</f>
        <v>1880</v>
      </c>
      <c r="S15" s="308">
        <f>IFERROR(IF(OR('Master Data'!$I$28='GA55 Check &amp; Edit'!$AP$6),"",IF(D15="","",IF(E15="","",IF(AND(D15=$AX$27),"",IF(AND('Master Data'!$I$30='GA55 Check &amp; Edit'!$AN$5),VLOOKUP(D15,ram,10,0),"0"))))),"")</f>
        <v>658</v>
      </c>
      <c r="T15" s="308">
        <f>IFERROR(IF(OR('Master Data'!$I$28='GA55 Check &amp; Edit'!$AP$6,D15=""),"",IF(AND(D15=$AX$27),"",IF(AND(E15=""),"",'Master Data'!$K$43))),"")</f>
        <v>0</v>
      </c>
      <c r="U15" s="308">
        <f>IFERROR(IF(OR('Master Data'!$I$28='GA55 Check &amp; Edit'!$AP$6,D15=""),"",IF(AND(D15=$AX$27),"",IF(AND(E15=""),"",'Master Data'!$L$43))),"")</f>
        <v>0</v>
      </c>
      <c r="V15" s="308" t="str">
        <f>IFERROR(IF(D15="","",IF(AND('Master Data'!$I$28='GA55 Check &amp; Edit'!$AP$6),"",IF(AND('Master Data'!$I$24='GA55 Check &amp; Edit'!$AO$6),"0",IF(AND(D15="Bonus",'Master Data'!$I$30='GA55 Check &amp; Edit'!$AN$6),ROUND((M15)*0.75,0),"")))),"")</f>
        <v/>
      </c>
      <c r="W15" s="308">
        <f>IFERROR(IF(OR('Master Data'!$E$24='GA55 Check &amp; Edit'!$AQ$6,'Master Data'!$E$24='GA55 Check &amp; Edit'!$AQ$7),"",IF(AND(D15=$AX$27),"",IF(D15="","",IF(E15="","",VLOOKUP(D15,ram,8,0))))),"")</f>
        <v>2048</v>
      </c>
      <c r="X15" s="308">
        <f>IFERROR(IF(D15="","",IF(AND(E15=""),"",IF(AND(D15=$AX$27),"",IF(OR('Master Data'!$I$28='GA55 Check &amp; Edit'!$AP$6,D15=""),"",IF('Master Data'!$N$36="NO",0,IF(D15='Master Data'!$N$40,'Master Data'!$G$43,0)))))),"")</f>
        <v>0</v>
      </c>
      <c r="Y15" s="308">
        <f>IFERROR(IF(D15="","",IF(AND(E15=""),"",IF(AND(D15=$AX$27),"",IF(OR('Master Data'!$I$28='GA55 Check &amp; Edit'!$AP$6,D15=""),"",$Y$7)))),"")</f>
        <v>0</v>
      </c>
      <c r="Z15" s="308">
        <f>IFERROR(IF(OR('Master Data'!$I$28='GA55 Check &amp; Edit'!$AP$6),"",IF(D15="","",IF(E15="","",VLOOKUP(D15,ram,9,0)))),"")</f>
        <v>1500</v>
      </c>
      <c r="AA15" s="308" t="str">
        <f>IFERROR(IF(OR('Master Data'!$I$28='GA55 Check &amp; Edit'!$AP$6,D15=""),"",IF(AND(E15=""),"",IF('GA55 Check &amp; Edit'!D15='GA55 Check &amp; Edit'!$AT$9,220,""))),"")</f>
        <v/>
      </c>
      <c r="AB15" s="36">
        <f>IFERROR(IF(D15="","",IF(AND(O15=""),"",IF(AND('Master Data'!$H$18='GA55 Check &amp; Edit'!$AO$5,'Master Data'!$I$30='GA55 Check &amp; Edit'!$AN$6),SUM(P15:AA15)+N15,SUM(P15:AA15)))),"")</f>
        <v>16661</v>
      </c>
      <c r="AC15" s="37">
        <f t="shared" si="2"/>
        <v>46839</v>
      </c>
      <c r="AD15" s="310"/>
      <c r="AE15" s="363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35" t="s">
        <v>30</v>
      </c>
      <c r="AT15" s="43">
        <v>44105</v>
      </c>
      <c r="AU15" s="35" t="s">
        <v>102</v>
      </c>
      <c r="AV15" s="41"/>
      <c r="AW15" s="51" t="s">
        <v>24</v>
      </c>
      <c r="AX15" s="54">
        <v>43983</v>
      </c>
      <c r="AY15" s="47">
        <v>6</v>
      </c>
      <c r="AZ15" s="55">
        <f>IF(AND('Master Data'!E36=""),"",'Master Data'!E36)</f>
        <v>49300</v>
      </c>
      <c r="BA15" s="55">
        <f>IF(AND('Master Data'!$E$36=""),"",IF(AND('Master Data'!$I$28='GA55 Check &amp; Edit'!$AP$6),'GA55 Check &amp; Edit'!$AZ$15,BU15))</f>
        <v>49300</v>
      </c>
      <c r="BB15" s="68">
        <f t="shared" si="11"/>
        <v>49300</v>
      </c>
      <c r="BC15" s="47">
        <f>IF(AND('Master Data'!$E$36=""),"",ROUND(17%*BA15,0))</f>
        <v>8381</v>
      </c>
      <c r="BD15" s="47">
        <f t="shared" ref="BD14:BD23" si="13">IF(BB15="","",BC15)</f>
        <v>8381</v>
      </c>
      <c r="BE15" s="47"/>
      <c r="BF15" s="55">
        <f>'Master Data'!E47</f>
        <v>1500</v>
      </c>
      <c r="BG15" s="55">
        <f>IF(AND('Master Data'!$I$28='GA55 Check &amp; Edit'!$AP$6),"",IF(AND('Master Data'!$I$30='GA55 Check &amp; Edit'!$AN$5),IF($AZ$15&lt;18001,265,IF($AZ$15&lt;33501,440,IF($AZ$15&lt;54001,658,875)))))</f>
        <v>658</v>
      </c>
      <c r="BH15" s="55">
        <f>IFERROR(IF(OR('Master Data'!$I$28='GA55 Check &amp; Edit'!$AP$6),"",'Master Data'!$G$43),"")</f>
        <v>7000</v>
      </c>
      <c r="BI15" s="65">
        <f>IFERROR(IF(AND('Master Data'!$I$30='GA55 Check &amp; Edit'!$AN$6),ROUND((E11)*0.1,0),IF(AND('Master Data'!$I$28='GA55 Check &amp; Edit'!$AP$6),ROUND((E11+F11)*0.1,0),'Master Data'!$H$43)),"")</f>
        <v>3575</v>
      </c>
      <c r="BJ15" s="55">
        <f t="shared" si="12"/>
        <v>49300</v>
      </c>
      <c r="BK15" s="63">
        <v>43983</v>
      </c>
      <c r="BL15" s="63">
        <f>IFERROR(IF('Master Data'!$E$36="","",IF('Master Data'!$F$40="","",IF(AND($AZ$17&gt;$AZ$9),"",DATE(YEAR(BL14),MONTH(BL14)+1,DAY(BL14))))),"")</f>
        <v>43983</v>
      </c>
      <c r="BM15" s="57">
        <f>IFERROR(IF('Master Data'!$E$36="","",IF('Master Data'!$F$40="","",IF(AND($AZ$17&gt;$AZ$9),"",DATE(YEAR(BM14),MONTH(BM14)+1,DAY(BM14))))),"")</f>
        <v>43983</v>
      </c>
      <c r="BN15" s="57">
        <f t="shared" si="6"/>
        <v>43983</v>
      </c>
      <c r="BO15" s="57">
        <f t="shared" si="7"/>
        <v>43983</v>
      </c>
      <c r="BP15" s="57"/>
      <c r="BQ15" s="57">
        <f t="shared" si="8"/>
        <v>43983</v>
      </c>
      <c r="BR15" s="57"/>
      <c r="BS15" s="59">
        <f t="shared" ca="1" si="9"/>
        <v>50800</v>
      </c>
      <c r="BT15" s="59"/>
      <c r="BU15" s="70">
        <f>IF(AND('Master Data'!$I$38='GA55 Check &amp; Edit'!AX15),'Master Data'!$I$36,BU14)</f>
        <v>49300</v>
      </c>
      <c r="BV15" s="41"/>
      <c r="BW15" s="41"/>
      <c r="BX15" s="59">
        <f t="shared" si="10"/>
        <v>1500</v>
      </c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</row>
    <row r="16" spans="1:103" s="35" customFormat="1" ht="21" customHeight="1">
      <c r="A16" s="35">
        <f t="shared" si="0"/>
        <v>1</v>
      </c>
      <c r="B16" s="76">
        <f t="shared" si="3"/>
        <v>9</v>
      </c>
      <c r="C16" s="77">
        <f t="shared" si="5"/>
        <v>9</v>
      </c>
      <c r="D16" s="301">
        <f t="shared" si="1"/>
        <v>44136</v>
      </c>
      <c r="E16" s="302">
        <f>IFERROR(IF(D16="","",IF(AND(BQ20=""),"",IF(AND('Master Data'!$I$28='GA55 Check &amp; Edit'!$AP$6),VLOOKUP(D16,ram,13,0),VLOOKUP(D16,ram,4,0)))),"")</f>
        <v>50800</v>
      </c>
      <c r="F16" s="303">
        <f>IFERROR(IF(D16="","",IF(D16=$AX$24,"",IF(AND(D16=$AX$25),$BC$25,IF(AND(D16=$AX$26),$BC$26,IF(AND(D16=$AX$27),$BC$27,IF(AND(D16=$AX$28),"",IF(AND(D16=$AX$29),"",IF(AND('Master Data'!$I$28='GA55 Check &amp; Edit'!$AP$6),"",VLOOKUP(D16,ram,7,0))))))))),"")</f>
        <v>8636</v>
      </c>
      <c r="G16" s="303">
        <f>IF(AND('Master Data'!$I$28='GA55 Check &amp; Edit'!$AP$6),"",IF(AND(D16=""),"",IF(AND(D16=$AX$27),"",IF(AND(E16=""),"",ROUND('Master Data'!$E$30%*E16,0)))))</f>
        <v>4064</v>
      </c>
      <c r="H16" s="304">
        <f>IFERROR(IF(D16="","",IF(AND(E16=""),"",IF(AND(D16=$AX$27),"",IF(AND('Master Data'!$I$28='GA55 Check &amp; Edit'!$AP$6),"",'Master Data'!$B$43)))),"")</f>
        <v>0</v>
      </c>
      <c r="I16" s="304">
        <f>IFERROR(IF(D16="","",IF(AND(E16=""),"",IF(AND(D16=$AX$27),"",IF(AND('Master Data'!$I$28='GA55 Check &amp; Edit'!$AP$6),"",'Master Data'!$E$28)))),"")</f>
        <v>0</v>
      </c>
      <c r="J16" s="304" t="str">
        <f>IFERROR(IF(OR('Master Data'!$E$32=$AO$6,'Master Data'!$E$32=""),"",IF(D16="","",IF(AND(E16=""),"",IF(AND(D16=$AX$27),"",IF(AND('Master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304">
        <f>IFERROR(IF(D16="","",IF(AND(E16=""),"",IF(AND(D16=$AX$27),"",IF(AND('Master Data'!$I$28='GA55 Check &amp; Edit'!$AP$6),"",'Master Data'!$E$43)))),"")</f>
        <v>0</v>
      </c>
      <c r="L16" s="304">
        <f>IFERROR(IF(D16="","",IF(AND(E16=""),"",IF(AND(D16=$AX$27),"",IF(AND('Master Data'!$I$28='GA55 Check &amp; Edit'!$AP$6),"",'Master Data'!$F$43)))),"")</f>
        <v>0</v>
      </c>
      <c r="M16" s="305" t="str">
        <f>IFERROR(IF(D16="","",IF(AND('Master Data'!$I$28='GA55 Check &amp; Edit'!$AP$6),"",IF(AND('Master Data'!$I$24='GA55 Check &amp; Edit'!$AO$6),"",IF(AND(D16="Bonus"),VLOOKUP(D16,ram,4,0),"")))),"")</f>
        <v/>
      </c>
      <c r="N16" s="304" t="str">
        <f>IFERROR(IF(AND(D16=""),"",IF(AND(D16=$AX$25,'Master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Edit'!$AN$5),"",IF(AND('Master Data'!$I$30='GA55 Check &amp; Edit'!$AN$6,'Master Data'!$I$28='GA55 Check &amp; Edit'!$AP$6),ROUND((E16)*0.1,0),ROUND((E16+F16)*0.1,0))))))),"")</f>
        <v/>
      </c>
      <c r="O16" s="61">
        <f>IF(D16="","",IF('Master Data'!$H$18='GA55 Check &amp; Edit'!$AO$5,SUM(E16:N16),SUM(E16:M16)))</f>
        <v>63500</v>
      </c>
      <c r="P16" s="308">
        <f>IFERROR(IF(OR('Master Data'!$I$28='GA55 Check &amp; Edit'!$AP$6,D16=""),"",IF(AND(D16=$AX$27),"",IF(AND(E16=""),"",VLOOKUP(D16,ram,11,0)))),"")</f>
        <v>7000</v>
      </c>
      <c r="Q16" s="308">
        <f>IFERROR(IF(AND(D16=""),"",IF(AND(D16=$AX$24,'Master Data'!$I$30='GA55 Check &amp; Edit'!$AN$5),ROUND((M16)*0.75,0),IF(AND(D16=$AX$25,'Master Data'!$I$30='GA55 Check &amp; Edit'!$AN$6),ROUND((F16)*0.1,0),IF(AND(D16=$AX$26,'Master Data'!$I$30='GA55 Check &amp; Edit'!$AN$6),ROUND((F16)*0.1,0),IF(AND(D16=$AX$28,'Master Data'!$I$30='GA55 Check &amp; Edit'!$AN$6),ROUND((F16)*0.1,0),IF(AND('Master Data'!$I$30='GA55 Check &amp; Edit'!$AN$6,'Master Data'!$I$28='GA55 Check &amp; Edit'!$AP$6),ROUND((E16)*0.1,0),IF(AND('Master Data'!$I$30='GA55 Check &amp; Edit'!$AN$6,'Master Data'!$I$28='GA55 Check &amp; Edit'!$AP$5),ROUND((E16+F16)*0.1,0),IF(AND('Master Data'!$I$30='GA55 Check &amp; Edit'!$AN$5,'Master Data'!$I$28='GA55 Check &amp; Edit'!$AP$5),VLOOKUP(D16,ram,12,0))))))))),"")</f>
        <v>3575</v>
      </c>
      <c r="R16" s="308">
        <f>IFERROR(IF(OR('Master Data'!$I$28='GA55 Check &amp; Edit'!$AP$6,D16=""),"",IF(AND(D16=$AX$27),"",IF(AND(D16=$AX$30),"",IF(AND(E16=""),"",'Master Data'!$I$43)))),"")</f>
        <v>1880</v>
      </c>
      <c r="S16" s="308">
        <f>IFERROR(IF(OR('Master Data'!$I$28='GA55 Check &amp; Edit'!$AP$6),"",IF(D16="","",IF(E16="","",IF(AND(D16=$AX$27),"",IF(AND('Master Data'!$I$30='GA55 Check &amp; Edit'!$AN$5),VLOOKUP(D16,ram,10,0),"0"))))),"")</f>
        <v>658</v>
      </c>
      <c r="T16" s="308">
        <f>IFERROR(IF(OR('Master Data'!$I$28='GA55 Check &amp; Edit'!$AP$6,D16=""),"",IF(AND(D16=$AX$27),"",IF(AND(E16=""),"",'Master Data'!$K$43))),"")</f>
        <v>0</v>
      </c>
      <c r="U16" s="308">
        <f>IFERROR(IF(OR('Master Data'!$I$28='GA55 Check &amp; Edit'!$AP$6,D16=""),"",IF(AND(D16=$AX$27),"",IF(AND(E16=""),"",'Master Data'!$L$43))),"")</f>
        <v>0</v>
      </c>
      <c r="V16" s="308" t="str">
        <f>IFERROR(IF(D16="","",IF(AND('Master Data'!$I$28='GA55 Check &amp; Edit'!$AP$6),"",IF(AND('Master Data'!$I$24='GA55 Check &amp; Edit'!$AO$6),"0",IF(AND(D16="Bonus",'Master Data'!$I$30='GA55 Check &amp; Edit'!$AN$6),ROUND((M16)*0.75,0),"")))),"")</f>
        <v/>
      </c>
      <c r="W16" s="308">
        <f>IFERROR(IF(OR('Master Data'!$E$24='GA55 Check &amp; Edit'!$AQ$6,'Master Data'!$E$24='GA55 Check &amp; Edit'!$AQ$7),"",IF(AND(D16=$AX$27),"",IF(D16="","",IF(E16="","",VLOOKUP(D16,ram,8,0))))),"")</f>
        <v>0</v>
      </c>
      <c r="X16" s="308">
        <f>IFERROR(IF(D16="","",IF(AND(E16=""),"",IF(AND(D16=$AX$27),"",IF(OR('Master Data'!$I$28='GA55 Check &amp; Edit'!$AP$6,D16=""),"",IF('Master Data'!$N$36="NO",0,IF(D16='Master Data'!$N$40,'Master Data'!$G$43,0)))))),"")</f>
        <v>0</v>
      </c>
      <c r="Y16" s="308">
        <f>IFERROR(IF(D16="","",IF(AND(E16=""),"",IF(AND(D16=$AX$27),"",IF(OR('Master Data'!$I$28='GA55 Check &amp; Edit'!$AP$6,D16=""),"",$Y$7)))),"")</f>
        <v>0</v>
      </c>
      <c r="Z16" s="308">
        <f>IFERROR(IF(OR('Master Data'!$I$28='GA55 Check &amp; Edit'!$AP$6),"",IF(D16="","",IF(E16="","",VLOOKUP(D16,ram,9,0)))),"")</f>
        <v>1500</v>
      </c>
      <c r="AA16" s="308" t="str">
        <f>IFERROR(IF(OR('Master Data'!$I$28='GA55 Check &amp; Edit'!$AP$6,D16=""),"",IF(AND(E16=""),"",IF('GA55 Check &amp; Edit'!D16='GA55 Check &amp; Edit'!$AT$9,220,""))),"")</f>
        <v/>
      </c>
      <c r="AB16" s="36">
        <f>IFERROR(IF(D16="","",IF(AND(O16=""),"",IF(AND('Master Data'!$H$18='GA55 Check &amp; Edit'!$AO$5,'Master Data'!$I$30='GA55 Check &amp; Edit'!$AN$6),SUM(P16:AA16)+N16,SUM(P16:AA16)))),"")</f>
        <v>14613</v>
      </c>
      <c r="AC16" s="37">
        <f t="shared" si="2"/>
        <v>48887</v>
      </c>
      <c r="AD16" s="310"/>
      <c r="AE16" s="363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35" t="s">
        <v>33</v>
      </c>
      <c r="AT16" s="43">
        <v>44136</v>
      </c>
      <c r="AU16" s="35" t="s">
        <v>103</v>
      </c>
      <c r="AV16" s="41"/>
      <c r="AW16" s="51" t="s">
        <v>26</v>
      </c>
      <c r="AX16" s="54">
        <v>44013</v>
      </c>
      <c r="AY16" s="47">
        <v>7</v>
      </c>
      <c r="AZ16" s="56">
        <f>IF(AND('Master Data'!F40=""),"",'Master Data'!F40)</f>
        <v>43891</v>
      </c>
      <c r="BA16" s="55">
        <f>IF(AND('Master Data'!$E$36=""),"",IF(AND('Master Data'!$I$28='GA55 Check &amp; Edit'!$AP$6),'GA55 Check &amp; Edit'!$AZ$15,BU16))</f>
        <v>50800</v>
      </c>
      <c r="BB16" s="68">
        <f t="shared" si="11"/>
        <v>50800</v>
      </c>
      <c r="BC16" s="47">
        <f>IF(AND('Master Data'!$E$36=""),"",ROUND(17%*BA16,0))</f>
        <v>8636</v>
      </c>
      <c r="BD16" s="47">
        <f t="shared" si="13"/>
        <v>8636</v>
      </c>
      <c r="BE16" s="47"/>
      <c r="BF16" s="55">
        <f>'Master Data'!F47</f>
        <v>1500</v>
      </c>
      <c r="BG16" s="55">
        <f>IF(AND('Master Data'!$I$28='GA55 Check &amp; Edit'!$AP$6),"",IF(AND('Master Data'!$I$30='GA55 Check &amp; Edit'!$AN$5),IF($AZ$18&lt;18001,265,IF($AZ$18&lt;33501,440,IF($AZ$18&lt;54001,658,875)))))</f>
        <v>658</v>
      </c>
      <c r="BH16" s="55">
        <f>IFERROR(IF(OR('Master Data'!$I$28='GA55 Check &amp; Edit'!$AP$6),"",'Master Data'!$G$43),"")</f>
        <v>7000</v>
      </c>
      <c r="BI16" s="65">
        <f>IFERROR(IF(AND('Master Data'!$I$30='GA55 Check &amp; Edit'!$AN$6),ROUND((E12)*0.1,0),IF(AND('Master Data'!$I$28='GA55 Check &amp; Edit'!$AP$6),ROUND((E12+F12)*0.1,0),'Master Data'!$H$43)),"")</f>
        <v>3575</v>
      </c>
      <c r="BJ16" s="55">
        <f>BA16</f>
        <v>50800</v>
      </c>
      <c r="BK16" s="63">
        <v>44013</v>
      </c>
      <c r="BL16" s="63">
        <f>IFERROR(IF('Master Data'!$E$36="","",IF('Master Data'!$F$40="","",IF(AND($AZ$17&gt;$AZ$9),"",DATE(YEAR(BL15),MONTH(BL15)+1,DAY(BL15))))),"")</f>
        <v>44013</v>
      </c>
      <c r="BM16" s="57">
        <f>IFERROR(IF('Master Data'!$E$36="","",IF('Master Data'!$F$40="","",IF(AND($AZ$17&gt;$AZ$9),"",DATE(YEAR(BM15),MONTH(BM15)+1,DAY(BM15))))),"")</f>
        <v>44013</v>
      </c>
      <c r="BN16" s="57">
        <f t="shared" si="6"/>
        <v>44013</v>
      </c>
      <c r="BO16" s="57">
        <f t="shared" si="7"/>
        <v>44013</v>
      </c>
      <c r="BP16" s="57"/>
      <c r="BQ16" s="57">
        <f t="shared" si="8"/>
        <v>44013</v>
      </c>
      <c r="BR16" s="57"/>
      <c r="BS16" s="59">
        <f t="shared" ca="1" si="9"/>
        <v>50800</v>
      </c>
      <c r="BT16" s="59"/>
      <c r="BU16" s="70">
        <f>IF(AND('Master Data'!$I$38='GA55 Check &amp; Edit'!AX16),'Master Data'!$I$36,AZ18)</f>
        <v>50800</v>
      </c>
      <c r="BV16" s="41"/>
      <c r="BW16" s="41"/>
      <c r="BX16" s="59">
        <f t="shared" si="10"/>
        <v>1500</v>
      </c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</row>
    <row r="17" spans="1:103" s="35" customFormat="1" ht="21" customHeight="1">
      <c r="A17" s="35">
        <f t="shared" si="0"/>
        <v>0</v>
      </c>
      <c r="B17" s="76">
        <f t="shared" si="3"/>
        <v>10</v>
      </c>
      <c r="C17" s="77">
        <f t="shared" si="5"/>
        <v>10</v>
      </c>
      <c r="D17" s="301">
        <f>IFERROR(IF(BO21="","",BO21),"")</f>
        <v>44166</v>
      </c>
      <c r="E17" s="302">
        <f>IFERROR(IF(D17="","",IF(AND(BQ21=""),"",IF(AND('Master Data'!$I$28='GA55 Check &amp; Edit'!$AP$6),VLOOKUP(D17,ram,13,0),VLOOKUP(D17,ram,4,0)))),"")</f>
        <v>50800</v>
      </c>
      <c r="F17" s="303">
        <f>IFERROR(IF(D17="","",IF(D17=$AX$24,"",IF(AND(D17=$AX$25),$BC$25,IF(AND(D17=$AX$26),$BC$26,IF(AND(D17=$AX$27),$BC$27,IF(AND(D17=$AX$28),"",IF(AND(D17=$AX$29),"",IF(AND('Master Data'!$I$28='GA55 Check &amp; Edit'!$AP$6),"",VLOOKUP(D17,ram,7,0))))))))),"")</f>
        <v>8636</v>
      </c>
      <c r="G17" s="303">
        <f>IF(AND('Master Data'!$I$28='GA55 Check &amp; Edit'!$AP$6),"",IF(AND(D17=""),"",IF(AND(D17=$AX$27),"",IF(AND(E17=""),"",ROUND('Master Data'!$E$30%*E17,0)))))</f>
        <v>4064</v>
      </c>
      <c r="H17" s="304">
        <f>IFERROR(IF(D17="","",IF(AND(E17=""),"",IF(AND(D17=$AX$27),"",IF(AND('Master Data'!$I$28='GA55 Check &amp; Edit'!$AP$6),"",'Master Data'!$B$43)))),"")</f>
        <v>0</v>
      </c>
      <c r="I17" s="304">
        <f>IFERROR(IF(D17="","",IF(AND(E17=""),"",IF(AND(D17=$AX$27),"",IF(AND('Master Data'!$I$28='GA55 Check &amp; Edit'!$AP$6),"",'Master Data'!$E$28)))),"")</f>
        <v>0</v>
      </c>
      <c r="J17" s="304" t="str">
        <f>IFERROR(IF(OR('Master Data'!$E$32=$AO$6,'Master Data'!$E$32=""),"",IF(D17="","",IF(AND(E17=""),"",IF(AND(D17=$AX$27),"",IF(AND('Master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304">
        <f>IFERROR(IF(D17="","",IF(AND(E17=""),"",IF(AND(D17=$AX$27),"",IF(AND('Master Data'!$I$28='GA55 Check &amp; Edit'!$AP$6),"",'Master Data'!$E$43)))),"")</f>
        <v>0</v>
      </c>
      <c r="L17" s="304">
        <f>IFERROR(IF(D17="","",IF(AND(E17=""),"",IF(AND(D17=$AX$27),"",IF(AND('Master Data'!$I$28='GA55 Check &amp; Edit'!$AP$6),"",'Master Data'!$F$43)))),"")</f>
        <v>0</v>
      </c>
      <c r="M17" s="305" t="str">
        <f>IFERROR(IF(D17="","",IF(AND('Master Data'!$I$28='GA55 Check &amp; Edit'!$AP$6),"",IF(AND('Master Data'!$I$24='GA55 Check &amp; Edit'!$AO$6),"",IF(AND(D17="Bonus"),VLOOKUP(D17,ram,4,0),"")))),"")</f>
        <v/>
      </c>
      <c r="N17" s="304" t="str">
        <f>IFERROR(IF(AND(D17=""),"",IF(AND(D17=$AX$25,'Master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Edit'!$AN$5),"",IF(AND('Master Data'!$I$30='GA55 Check &amp; Edit'!$AN$6,'Master Data'!$I$28='GA55 Check &amp; Edit'!$AP$6),ROUND((E17)*0.1,0),ROUND((E17+F17)*0.1,0))))))),"")</f>
        <v/>
      </c>
      <c r="O17" s="61">
        <f>IF(D17="","",IF('Master Data'!$H$18='GA55 Check &amp; Edit'!$AO$5,SUM(E17:N17),SUM(E17:M17)))</f>
        <v>63500</v>
      </c>
      <c r="P17" s="308">
        <f>IFERROR(IF(OR('Master Data'!$I$28='GA55 Check &amp; Edit'!$AP$6,D17=""),"",IF(AND(D17=$AX$27),"",IF(AND(E17=""),"",VLOOKUP(D17,ram,11,0)))),"")</f>
        <v>7000</v>
      </c>
      <c r="Q17" s="308">
        <f>IFERROR(IF(AND(D17=""),"",IF(AND(D17=$AX$24,'Master Data'!$I$30='GA55 Check &amp; Edit'!$AN$5),ROUND((M17)*0.75,0),IF(AND(D17=$AX$25,'Master Data'!$I$30='GA55 Check &amp; Edit'!$AN$6),ROUND((F17)*0.1,0),IF(AND(D17=$AX$26,'Master Data'!$I$30='GA55 Check &amp; Edit'!$AN$6),ROUND((F17)*0.1,0),IF(AND(D17=$AX$28,'Master Data'!$I$30='GA55 Check &amp; Edit'!$AN$6),ROUND((F17)*0.1,0),IF(AND('Master Data'!$I$30='GA55 Check &amp; Edit'!$AN$6,'Master Data'!$I$28='GA55 Check &amp; Edit'!$AP$6),ROUND((E17)*0.1,0),IF(AND('Master Data'!$I$30='GA55 Check &amp; Edit'!$AN$6,'Master Data'!$I$28='GA55 Check &amp; Edit'!$AP$5),ROUND((E17+F17)*0.1,0),IF(AND('Master Data'!$I$30='GA55 Check &amp; Edit'!$AN$5,'Master Data'!$I$28='GA55 Check &amp; Edit'!$AP$5),VLOOKUP(D17,ram,12,0))))))))),"")</f>
        <v>3575</v>
      </c>
      <c r="R17" s="308">
        <f>IFERROR(IF(OR('Master Data'!$I$28='GA55 Check &amp; Edit'!$AP$6,D17=""),"",IF(AND(D17=$AX$27),"",IF(AND(D17=$AX$30),"",IF(AND(E17=""),"",'Master Data'!$I$43)))),"")</f>
        <v>1880</v>
      </c>
      <c r="S17" s="308">
        <f>IFERROR(IF(OR('Master Data'!$I$28='GA55 Check &amp; Edit'!$AP$6),"",IF(D17="","",IF(E17="","",IF(AND(D17=$AX$27),"",IF(AND('Master Data'!$I$30='GA55 Check &amp; Edit'!$AN$5),VLOOKUP(D17,ram,10,0),"0"))))),"")</f>
        <v>658</v>
      </c>
      <c r="T17" s="308">
        <f>IFERROR(IF(OR('Master Data'!$I$28='GA55 Check &amp; Edit'!$AP$6,D17=""),"",IF(AND(D17=$AX$27),"",IF(AND(E17=""),"",'Master Data'!$K$43))),"")</f>
        <v>0</v>
      </c>
      <c r="U17" s="308">
        <f>IFERROR(IF(OR('Master Data'!$I$28='GA55 Check &amp; Edit'!$AP$6,D17=""),"",IF(AND(D17=$AX$27),"",IF(AND(E17=""),"",'Master Data'!$L$43))),"")</f>
        <v>0</v>
      </c>
      <c r="V17" s="308" t="str">
        <f>IFERROR(IF(D17="","",IF(AND('Master Data'!$I$28='GA55 Check &amp; Edit'!$AP$6),"",IF(AND('Master Data'!$I$24='GA55 Check &amp; Edit'!$AO$6),"0",IF(AND(D17="Bonus",'Master Data'!$I$30='GA55 Check &amp; Edit'!$AN$6),ROUND((M17)*0.75,0),"")))),"")</f>
        <v/>
      </c>
      <c r="W17" s="308">
        <f>IFERROR(IF(OR('Master Data'!$E$24='GA55 Check &amp; Edit'!$AQ$6,'Master Data'!$E$24='GA55 Check &amp; Edit'!$AQ$7),"",IF(AND(D17=$AX$27),"",IF(D17="","",IF(E17="","",VLOOKUP(D17,ram,8,0))))),"")</f>
        <v>0</v>
      </c>
      <c r="X17" s="308">
        <f>IFERROR(IF(D17="","",IF(AND(E17=""),"",IF(AND(D17=$AX$27),"",IF(OR('Master Data'!$I$28='GA55 Check &amp; Edit'!$AP$6,D17=""),"",IF('Master Data'!$N$36="NO",0,IF(D17='Master Data'!$N$40,'Master Data'!$G$43,0)))))),"")</f>
        <v>0</v>
      </c>
      <c r="Y17" s="308">
        <f>IFERROR(IF(D17="","",IF(AND(E17=""),"",IF(AND(D17=$AX$27),"",IF(OR('Master Data'!$I$28='GA55 Check &amp; Edit'!$AP$6,D17=""),"",$Y$7)))),"")</f>
        <v>0</v>
      </c>
      <c r="Z17" s="308">
        <f>IFERROR(IF(OR('Master Data'!$I$28='GA55 Check &amp; Edit'!$AP$6),"",IF(D17="","",IF(E17="","",VLOOKUP(D17,ram,9,0)))),"")</f>
        <v>1500</v>
      </c>
      <c r="AA17" s="308" t="str">
        <f>IFERROR(IF(OR('Master Data'!$I$28='GA55 Check &amp; Edit'!$AP$6,D17=""),"",IF(AND(E17=""),"",IF('GA55 Check &amp; Edit'!D17='GA55 Check &amp; Edit'!$AT$9,220,""))),"")</f>
        <v/>
      </c>
      <c r="AB17" s="36">
        <f>IFERROR(IF(D17="","",IF(AND(O17=""),"",IF(AND('Master Data'!$H$18='GA55 Check &amp; Edit'!$AO$5,'Master Data'!$I$30='GA55 Check &amp; Edit'!$AN$6),SUM(P17:AA17)+N17,SUM(P17:AA17)))),"")</f>
        <v>14613</v>
      </c>
      <c r="AC17" s="37">
        <f t="shared" si="2"/>
        <v>48887</v>
      </c>
      <c r="AD17" s="310"/>
      <c r="AE17" s="363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35" t="s">
        <v>4</v>
      </c>
      <c r="AT17" s="43">
        <v>44166</v>
      </c>
      <c r="AU17" s="35" t="s">
        <v>104</v>
      </c>
      <c r="AV17" s="41"/>
      <c r="AW17" s="51" t="s">
        <v>30</v>
      </c>
      <c r="AX17" s="54">
        <v>44044</v>
      </c>
      <c r="AY17" s="47">
        <v>8</v>
      </c>
      <c r="AZ17" s="56">
        <f>IF(AND('Master Data'!H40=""),"",'Master Data'!H40)</f>
        <v>44228</v>
      </c>
      <c r="BA17" s="55">
        <f>IF(AND('Master Data'!$E$36=""),"",IF(AND('Master Data'!$I$28='GA55 Check &amp; Edit'!$AP$6),'GA55 Check &amp; Edit'!$AZ$15,BU17))</f>
        <v>50800</v>
      </c>
      <c r="BB17" s="68">
        <f t="shared" si="11"/>
        <v>50800</v>
      </c>
      <c r="BC17" s="47">
        <f>IF(AND('Master Data'!$E$36=""),"",ROUND(17%*BA17,0))</f>
        <v>8636</v>
      </c>
      <c r="BD17" s="47">
        <f t="shared" si="13"/>
        <v>8636</v>
      </c>
      <c r="BE17" s="47"/>
      <c r="BF17" s="55">
        <f>'Master Data'!G47</f>
        <v>1500</v>
      </c>
      <c r="BG17" s="55">
        <f>IF(AND('Master Data'!$I$28='GA55 Check &amp; Edit'!$AP$6),"",IF(AND('Master Data'!$I$30='GA55 Check &amp; Edit'!$AN$5),IF($AZ$18&lt;18001,265,IF($AZ$18&lt;33501,440,IF($AZ$18&lt;54001,658,875)))))</f>
        <v>658</v>
      </c>
      <c r="BH17" s="55">
        <f>IFERROR(IF(OR('Master Data'!$I$28='GA55 Check &amp; Edit'!$AP$6),"",'Master Data'!$G$43),"")</f>
        <v>7000</v>
      </c>
      <c r="BI17" s="65">
        <f>IFERROR(IF(AND('Master Data'!$I$30='GA55 Check &amp; Edit'!$AN$6),ROUND((E13)*0.1,0),IF(AND('Master Data'!$I$28='GA55 Check &amp; Edit'!$AP$6),ROUND((E13+F13)*0.1,0),'Master Data'!$H$43)),"")</f>
        <v>3575</v>
      </c>
      <c r="BJ17" s="55">
        <f>BJ16</f>
        <v>50800</v>
      </c>
      <c r="BK17" s="63">
        <v>44044</v>
      </c>
      <c r="BL17" s="63">
        <f>IFERROR(IF('Master Data'!$E$36="","",IF('Master Data'!$F$40="","",IF(AND($AZ$17&gt;$AZ$9),"",DATE(YEAR(BL16),MONTH(BL16)+1,DAY(BL16))))),"")</f>
        <v>44044</v>
      </c>
      <c r="BM17" s="57">
        <f>IFERROR(IF('Master Data'!$E$36="","",IF('Master Data'!$F$40="","",IF(AND($AZ$17&gt;$AZ$9),"",DATE(YEAR(BM16),MONTH(BM16)+1,DAY(BM16))))),"")</f>
        <v>44044</v>
      </c>
      <c r="BN17" s="57">
        <f t="shared" si="6"/>
        <v>44044</v>
      </c>
      <c r="BO17" s="57">
        <f t="shared" si="7"/>
        <v>44044</v>
      </c>
      <c r="BP17" s="57"/>
      <c r="BQ17" s="57">
        <f t="shared" si="8"/>
        <v>44044</v>
      </c>
      <c r="BR17" s="57"/>
      <c r="BS17" s="59">
        <f t="shared" ca="1" si="9"/>
        <v>50800</v>
      </c>
      <c r="BT17" s="59"/>
      <c r="BU17" s="70">
        <f>IF(AND('Master Data'!$I$38='GA55 Check &amp; Edit'!AX17),'Master Data'!$I$36,BU16)</f>
        <v>50800</v>
      </c>
      <c r="BV17" s="41"/>
      <c r="BW17" s="41"/>
      <c r="BX17" s="59">
        <f t="shared" si="10"/>
        <v>1500</v>
      </c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</row>
    <row r="18" spans="1:103" s="35" customFormat="1" ht="21" customHeight="1">
      <c r="A18" s="35">
        <f t="shared" si="0"/>
        <v>1</v>
      </c>
      <c r="B18" s="76">
        <f t="shared" si="3"/>
        <v>11</v>
      </c>
      <c r="C18" s="77">
        <f t="shared" si="5"/>
        <v>11</v>
      </c>
      <c r="D18" s="301">
        <f t="shared" si="1"/>
        <v>44197</v>
      </c>
      <c r="E18" s="302">
        <f>IFERROR(IF(D18="","",IF(AND(BQ22=""),"",IF(AND('Master Data'!$I$28='GA55 Check &amp; Edit'!$AP$6),VLOOKUP(D18,ram,13,0),VLOOKUP(D18,ram,4,0)))),"")</f>
        <v>50800</v>
      </c>
      <c r="F18" s="303">
        <f>IFERROR(IF(D18="","",IF(D18=$AX$24,"",IF(AND(D18=$AX$25),$BC$25,IF(AND(D18=$AX$26),$BC$26,IF(AND(D18=$AX$27),$BC$27,IF(AND(D18=$AX$28),"",IF(AND(D18=$AX$29),"",IF(AND('Master Data'!$I$28='GA55 Check &amp; Edit'!$AP$6),"",VLOOKUP(D18,ram,7,0))))))))),"")</f>
        <v>8636</v>
      </c>
      <c r="G18" s="303">
        <f>IF(AND('Master Data'!$I$28='GA55 Check &amp; Edit'!$AP$6),"",IF(AND(D18=""),"",IF(AND(D18=$AX$27),"",IF(AND(E18=""),"",ROUND('Master Data'!$E$30%*E18,0)))))</f>
        <v>4064</v>
      </c>
      <c r="H18" s="304">
        <f>IFERROR(IF(D18="","",IF(AND(E18=""),"",IF(AND(D18=$AX$27),"",IF(AND('Master Data'!$I$28='GA55 Check &amp; Edit'!$AP$6),"",'Master Data'!$B$43)))),"")</f>
        <v>0</v>
      </c>
      <c r="I18" s="304">
        <f>IFERROR(IF(D18="","",IF(AND(E18=""),"",IF(AND(D18=$AX$27),"",IF(AND('Master Data'!$I$28='GA55 Check &amp; Edit'!$AP$6),"",'Master Data'!$E$28)))),"")</f>
        <v>0</v>
      </c>
      <c r="J18" s="304" t="str">
        <f>IFERROR(IF(OR('Master Data'!$E$32=$AO$6,'Master Data'!$E$32=""),"",IF(D18="","",IF(AND(E18=""),"",IF(AND(D18=$AX$27),"",IF(AND('Master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304">
        <f>IFERROR(IF(D18="","",IF(AND(E18=""),"",IF(AND(D18=$AX$27),"",IF(AND('Master Data'!$I$28='GA55 Check &amp; Edit'!$AP$6),"",'Master Data'!$E$43)))),"")</f>
        <v>0</v>
      </c>
      <c r="L18" s="304">
        <f>IFERROR(IF(D18="","",IF(AND(E18=""),"",IF(AND(D18=$AX$27),"",IF(AND('Master Data'!$I$28='GA55 Check &amp; Edit'!$AP$6),"",'Master Data'!$F$43)))),"")</f>
        <v>0</v>
      </c>
      <c r="M18" s="305" t="str">
        <f>IFERROR(IF(D18="","",IF(AND('Master Data'!$I$28='GA55 Check &amp; Edit'!$AP$6),"",IF(AND('Master Data'!$I$24='GA55 Check &amp; Edit'!$AO$6),"",IF(AND(D18="Bonus"),VLOOKUP(D18,ram,4,0),"")))),"")</f>
        <v/>
      </c>
      <c r="N18" s="304" t="str">
        <f>IFERROR(IF(AND(D18=""),"",IF(AND(D18=$AX$25,'Master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Edit'!$AN$5),"",IF(AND('Master Data'!$I$30='GA55 Check &amp; Edit'!$AN$6,'Master Data'!$I$28='GA55 Check &amp; Edit'!$AP$6),ROUND((E18)*0.1,0),ROUND((E18+F18)*0.1,0))))))),"")</f>
        <v/>
      </c>
      <c r="O18" s="61">
        <f>IF(D18="","",IF('Master Data'!$H$18='GA55 Check &amp; Edit'!$AO$5,SUM(E18:N18),SUM(E18:M18)))</f>
        <v>63500</v>
      </c>
      <c r="P18" s="308">
        <f>IFERROR(IF(OR('Master Data'!$I$28='GA55 Check &amp; Edit'!$AP$6,D18=""),"",IF(AND(D18=$AX$27),"",IF(AND(E18=""),"",VLOOKUP(D18,ram,11,0)))),"")</f>
        <v>7000</v>
      </c>
      <c r="Q18" s="308">
        <f>IFERROR(IF(AND(D18=""),"",IF(AND(D18=$AX$24,'Master Data'!$I$30='GA55 Check &amp; Edit'!$AN$5),ROUND((M18)*0.75,0),IF(AND(D18=$AX$25,'Master Data'!$I$30='GA55 Check &amp; Edit'!$AN$6),ROUND((F18)*0.1,0),IF(AND(D18=$AX$26,'Master Data'!$I$30='GA55 Check &amp; Edit'!$AN$6),ROUND((F18)*0.1,0),IF(AND(D18=$AX$28,'Master Data'!$I$30='GA55 Check &amp; Edit'!$AN$6),ROUND((F18)*0.1,0),IF(AND('Master Data'!$I$30='GA55 Check &amp; Edit'!$AN$6,'Master Data'!$I$28='GA55 Check &amp; Edit'!$AP$6),ROUND((E18)*0.1,0),IF(AND('Master Data'!$I$30='GA55 Check &amp; Edit'!$AN$6,'Master Data'!$I$28='GA55 Check &amp; Edit'!$AP$5),ROUND((E18+F18)*0.1,0),IF(AND('Master Data'!$I$30='GA55 Check &amp; Edit'!$AN$5,'Master Data'!$I$28='GA55 Check &amp; Edit'!$AP$5),VLOOKUP(D18,ram,12,0))))))))),"")</f>
        <v>3575</v>
      </c>
      <c r="R18" s="308">
        <f>IFERROR(IF(OR('Master Data'!$I$28='GA55 Check &amp; Edit'!$AP$6,D18=""),"",IF(AND(D18=$AX$27),"",IF(AND(D18=$AX$30),"",IF(AND(E18=""),"",'Master Data'!$I$43)))),"")</f>
        <v>1880</v>
      </c>
      <c r="S18" s="308">
        <f>IFERROR(IF(OR('Master Data'!$I$28='GA55 Check &amp; Edit'!$AP$6),"",IF(D18="","",IF(E18="","",IF(AND(D18=$AX$27),"",IF(AND('Master Data'!$I$30='GA55 Check &amp; Edit'!$AN$5),VLOOKUP(D18,ram,10,0),"0"))))),"")</f>
        <v>658</v>
      </c>
      <c r="T18" s="308">
        <f>IFERROR(IF(OR('Master Data'!$I$28='GA55 Check &amp; Edit'!$AP$6,D18=""),"",IF(AND(D18=$AX$27),"",IF(AND(E18=""),"",'Master Data'!$K$43))),"")</f>
        <v>0</v>
      </c>
      <c r="U18" s="308">
        <f>IFERROR(IF(OR('Master Data'!$I$28='GA55 Check &amp; Edit'!$AP$6,D18=""),"",IF(AND(D18=$AX$27),"",IF(AND(E18=""),"",'Master Data'!$L$43))),"")</f>
        <v>0</v>
      </c>
      <c r="V18" s="308" t="str">
        <f>IFERROR(IF(D18="","",IF(AND('Master Data'!$I$28='GA55 Check &amp; Edit'!$AP$6),"",IF(AND('Master Data'!$I$24='GA55 Check &amp; Edit'!$AO$6),"0",IF(AND(D18="Bonus",'Master Data'!$I$30='GA55 Check &amp; Edit'!$AN$6),ROUND((M18)*0.75,0),"")))),"")</f>
        <v/>
      </c>
      <c r="W18" s="308">
        <f>IFERROR(IF(OR('Master Data'!$E$24='GA55 Check &amp; Edit'!$AQ$6,'Master Data'!$E$24='GA55 Check &amp; Edit'!$AQ$7),"",IF(AND(D18=$AX$27),"",IF(D18="","",IF(E18="","",VLOOKUP(D18,ram,8,0))))),"")</f>
        <v>0</v>
      </c>
      <c r="X18" s="308">
        <f>IFERROR(IF(D18="","",IF(AND(E18=""),"",IF(AND(D18=$AX$27),"",IF(OR('Master Data'!$I$28='GA55 Check &amp; Edit'!$AP$6,D18=""),"",IF('Master Data'!$N$36="NO",0,IF(D18='Master Data'!$N$40,'Master Data'!$G$43,0)))))),"")</f>
        <v>0</v>
      </c>
      <c r="Y18" s="308">
        <f>IFERROR(IF(D18="","",IF(AND(E18=""),"",IF(AND(D18=$AX$27),"",IF(OR('Master Data'!$I$28='GA55 Check &amp; Edit'!$AP$6,D18=""),"",$Y$7)))),"")</f>
        <v>0</v>
      </c>
      <c r="Z18" s="308">
        <f>IFERROR(IF(OR('Master Data'!$I$28='GA55 Check &amp; Edit'!$AP$6),"",IF(D18="","",IF(E18="","",VLOOKUP(D18,ram,9,0)))),"")</f>
        <v>1500</v>
      </c>
      <c r="AA18" s="308" t="str">
        <f>IFERROR(IF(OR('Master Data'!$I$28='GA55 Check &amp; Edit'!$AP$6,D18=""),"",IF(AND(E18=""),"",IF('GA55 Check &amp; Edit'!D18='GA55 Check &amp; Edit'!$AT$9,220,""))),"")</f>
        <v/>
      </c>
      <c r="AB18" s="36">
        <f>IFERROR(IF(D18="","",IF(AND(O18=""),"",IF(AND('Master Data'!$H$18='GA55 Check &amp; Edit'!$AO$5,'Master Data'!$I$30='GA55 Check &amp; Edit'!$AN$6),SUM(P18:AA18)+N18,SUM(P18:AA18)))),"")</f>
        <v>14613</v>
      </c>
      <c r="AC18" s="37">
        <f t="shared" si="2"/>
        <v>48887</v>
      </c>
      <c r="AD18" s="310"/>
      <c r="AE18" s="363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35" t="s">
        <v>36</v>
      </c>
      <c r="AT18" s="43">
        <v>44197</v>
      </c>
      <c r="AU18" s="35" t="s">
        <v>105</v>
      </c>
      <c r="AV18" s="41"/>
      <c r="AW18" s="51" t="s">
        <v>33</v>
      </c>
      <c r="AX18" s="54">
        <v>44075</v>
      </c>
      <c r="AY18" s="47">
        <v>9</v>
      </c>
      <c r="AZ18" s="47">
        <f>IF(OR('Master Data'!I36="",'Master Data'!I38=""),MROUND(AZ15*1.03,100),IF('Master Data'!I38&lt;'GA55 Check &amp; Edit'!AX16,MROUND('Master Data'!I36*1.03,100),MROUND(AZ15*1.03,100)))</f>
        <v>50800</v>
      </c>
      <c r="BA18" s="55">
        <f>IF(AND('Master Data'!$E$36=""),"",IF(AND('Master Data'!$I$28='GA55 Check &amp; Edit'!$AP$6),'GA55 Check &amp; Edit'!$AZ$15,BU18))</f>
        <v>50800</v>
      </c>
      <c r="BB18" s="68">
        <f t="shared" si="11"/>
        <v>50800</v>
      </c>
      <c r="BC18" s="47">
        <f>IF(AND('Master Data'!$E$36=""),"",ROUND(17%*BA18,0))</f>
        <v>8636</v>
      </c>
      <c r="BD18" s="47">
        <f t="shared" si="13"/>
        <v>8636</v>
      </c>
      <c r="BE18" s="47">
        <f>IFERROR(IF(OR('Master Data'!I34&gt;11,'Master Data'!E34=AO5),ROUND(AZ21/30*2,0),IF(AND('Master Data'!I34&gt;=10,'Master Data'!E34=AO6),ROUND(AZ21/30*1,0),IF(AND('Master Data'!I34&gt;4,'Master Data'!D18=AO5),ROUND(AZ21/30*1,0),"0"))),"")</f>
        <v>2117</v>
      </c>
      <c r="BF18" s="55">
        <f>'Master Data'!H47</f>
        <v>1500</v>
      </c>
      <c r="BG18" s="55">
        <f>IF(AND('Master Data'!$I$28='GA55 Check &amp; Edit'!$AP$6),"",IF(AND('Master Data'!$I$30='GA55 Check &amp; Edit'!$AN$5),IF($AZ$18&lt;18001,265,IF($AZ$18&lt;33501,440,IF($AZ$18&lt;54001,658,875)))))</f>
        <v>658</v>
      </c>
      <c r="BH18" s="55">
        <f>IFERROR(IF(OR('Master Data'!$I$28='GA55 Check &amp; Edit'!$AP$6),"",'Master Data'!$G$43),"")</f>
        <v>7000</v>
      </c>
      <c r="BI18" s="65">
        <f>IFERROR(IF(AND('Master Data'!$I$30='GA55 Check &amp; Edit'!$AN$6),ROUND((E14)*0.1,0),IF(AND('Master Data'!$I$28='GA55 Check &amp; Edit'!$AP$6),ROUND((E14+F14)*0.1,0),'Master Data'!$H$43)),"")</f>
        <v>3575</v>
      </c>
      <c r="BJ18" s="55">
        <f t="shared" ref="BJ18:BJ23" si="14">BJ17</f>
        <v>50800</v>
      </c>
      <c r="BK18" s="63">
        <v>44075</v>
      </c>
      <c r="BL18" s="63">
        <f>IFERROR(IF('Master Data'!$E$36="","",IF('Master Data'!$F$40="","",IF(AND($AZ$17&gt;$AZ$9),"",DATE(YEAR(BL17),MONTH(BL17)+1,DAY(BL17))))),"")</f>
        <v>44075</v>
      </c>
      <c r="BM18" s="57">
        <f>IFERROR(IF('Master Data'!$E$36="","",IF('Master Data'!$F$40="","",IF(AND($AZ$17&gt;$AZ$9),"",DATE(YEAR(BM17),MONTH(BM17)+1,DAY(BM17))))),"")</f>
        <v>44075</v>
      </c>
      <c r="BN18" s="57">
        <f t="shared" si="6"/>
        <v>44075</v>
      </c>
      <c r="BO18" s="57">
        <f t="shared" si="7"/>
        <v>44075</v>
      </c>
      <c r="BP18" s="57"/>
      <c r="BQ18" s="57">
        <f t="shared" si="8"/>
        <v>44075</v>
      </c>
      <c r="BR18" s="57"/>
      <c r="BS18" s="59" t="str">
        <f t="shared" ca="1" si="9"/>
        <v/>
      </c>
      <c r="BT18" s="59"/>
      <c r="BU18" s="70">
        <f>IF(AND('Master Data'!$I$38='GA55 Check &amp; Edit'!AX18),'Master Data'!$I$36,BU17)</f>
        <v>50800</v>
      </c>
      <c r="BV18" s="57"/>
      <c r="BW18" s="41"/>
      <c r="BX18" s="59">
        <f t="shared" si="10"/>
        <v>1500</v>
      </c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</row>
    <row r="19" spans="1:103" s="35" customFormat="1" ht="21" customHeight="1">
      <c r="A19" s="35">
        <f t="shared" si="0"/>
        <v>0</v>
      </c>
      <c r="B19" s="76">
        <f t="shared" si="3"/>
        <v>12</v>
      </c>
      <c r="C19" s="77">
        <f t="shared" si="5"/>
        <v>12</v>
      </c>
      <c r="D19" s="301">
        <f>IFERROR(IF(BO23="","",BO23),"")</f>
        <v>44228</v>
      </c>
      <c r="E19" s="302">
        <f>IFERROR(IF(D19="","",IF(AND(BQ23=""),"",IF(AND('Master Data'!$I$28='GA55 Check &amp; Edit'!$AP$6),VLOOKUP(D19,ram,13,0),VLOOKUP(D19,ram,4,0)))),"")</f>
        <v>50800</v>
      </c>
      <c r="F19" s="303">
        <f>IFERROR(IF(D19="","",IF(D19=$AX$24,"",IF(AND(D19=$AX$25),$BC$25,IF(AND(D19=$AX$26),$BC$26,IF(AND(D19=$AX$27),$BC$27,IF(AND(D19=$AX$28),"",IF(AND(D19=$AX$29),"",IF(AND('Master Data'!$I$28='GA55 Check &amp; Edit'!$AP$6),"",VLOOKUP(D19,ram,7,0))))))))),"")</f>
        <v>8636</v>
      </c>
      <c r="G19" s="303">
        <f>IF(AND('Master Data'!$I$28='GA55 Check &amp; Edit'!$AP$6),"",IF(AND(D19=""),"",IF(AND(D19=$AX$27),"",IF(AND(E19=""),"",ROUND('Master Data'!$E$30%*E19,0)))))</f>
        <v>4064</v>
      </c>
      <c r="H19" s="304">
        <f>IFERROR(IF(D19="","",IF(AND(E19=""),"",IF(AND(D19=$AX$27),"",IF(AND('Master Data'!$I$28='GA55 Check &amp; Edit'!$AP$6),"",'Master Data'!$B$43)))),"")</f>
        <v>0</v>
      </c>
      <c r="I19" s="304">
        <f>IFERROR(IF(D19="","",IF(AND(E19=""),"",IF(AND(D19=$AX$27),"",IF(AND('Master Data'!$I$28='GA55 Check &amp; Edit'!$AP$6),"",'Master Data'!$E$28)))),"")</f>
        <v>0</v>
      </c>
      <c r="J19" s="304" t="str">
        <f>IFERROR(IF(OR('Master Data'!$E$32=$AO$6,'Master Data'!$E$32=""),"",IF(D19="","",IF(AND(E19=""),"",IF(AND(D19=$AX$27),"",IF(AND('Master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304">
        <f>IFERROR(IF(D19="","",IF(AND(E19=""),"",IF(AND(D19=$AX$27),"",IF(AND('Master Data'!$I$28='GA55 Check &amp; Edit'!$AP$6),"",'Master Data'!$E$43)))),"")</f>
        <v>0</v>
      </c>
      <c r="L19" s="304">
        <f>IFERROR(IF(D19="","",IF(AND(E19=""),"",IF(AND(D19=$AX$27),"",IF(AND('Master Data'!$I$28='GA55 Check &amp; Edit'!$AP$6),"",'Master Data'!$F$43)))),"")</f>
        <v>0</v>
      </c>
      <c r="M19" s="305" t="str">
        <f>IFERROR(IF(D19="","",IF(AND('Master Data'!$I$28='GA55 Check &amp; Edit'!$AP$6),"",IF(AND('Master Data'!$I$24='GA55 Check &amp; Edit'!$AO$6),"",IF(AND(D19="Bonus"),VLOOKUP(D19,ram,4,0),"")))),"")</f>
        <v/>
      </c>
      <c r="N19" s="304" t="str">
        <f>IFERROR(IF(AND(D19=""),"",IF(AND(D19=$AX$25,'Master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Edit'!$AN$5),"",IF(AND('Master Data'!$I$30='GA55 Check &amp; Edit'!$AN$6,'Master Data'!$I$28='GA55 Check &amp; Edit'!$AP$6),ROUND((E19)*0.1,0),ROUND((E19+F19)*0.1,0))))))),"")</f>
        <v/>
      </c>
      <c r="O19" s="61">
        <f>IF(D19="","",IF('Master Data'!$H$18='GA55 Check &amp; Edit'!$AO$5,SUM(E19:N19),SUM(E19:M19)))</f>
        <v>63500</v>
      </c>
      <c r="P19" s="308">
        <f>IFERROR(IF(OR('Master Data'!$I$28='GA55 Check &amp; Edit'!$AP$6,D19=""),"",IF(AND(D19=$AX$27),"",IF(AND(E19=""),"",VLOOKUP(D19,ram,11,0)))),"")</f>
        <v>7000</v>
      </c>
      <c r="Q19" s="308">
        <f>IFERROR(IF(AND(D19=""),"",IF(AND(D19=$AX$24,'Master Data'!$I$30='GA55 Check &amp; Edit'!$AN$5),ROUND((M19)*0.75,0),IF(AND(D19=$AX$25,'Master Data'!$I$30='GA55 Check &amp; Edit'!$AN$6),ROUND((F19)*0.1,0),IF(AND(D19=$AX$26,'Master Data'!$I$30='GA55 Check &amp; Edit'!$AN$6),ROUND((F19)*0.1,0),IF(AND(D19=$AX$28,'Master Data'!$I$30='GA55 Check &amp; Edit'!$AN$6),ROUND((F19)*0.1,0),IF(AND('Master Data'!$I$30='GA55 Check &amp; Edit'!$AN$6,'Master Data'!$I$28='GA55 Check &amp; Edit'!$AP$6),ROUND((E19)*0.1,0),IF(AND('Master Data'!$I$30='GA55 Check &amp; Edit'!$AN$6,'Master Data'!$I$28='GA55 Check &amp; Edit'!$AP$5),ROUND((E19+F19)*0.1,0),IF(AND('Master Data'!$I$30='GA55 Check &amp; Edit'!$AN$5,'Master Data'!$I$28='GA55 Check &amp; Edit'!$AP$5),VLOOKUP(D19,ram,12,0))))))))),"")</f>
        <v>3575</v>
      </c>
      <c r="R19" s="308">
        <f>IFERROR(IF(OR('Master Data'!$I$28='GA55 Check &amp; Edit'!$AP$6,D19=""),"",IF(AND(D19=$AX$27),"",IF(AND(D19=$AX$30),"",IF(AND(E19=""),"",'Master Data'!$I$43)))),"")</f>
        <v>1880</v>
      </c>
      <c r="S19" s="308">
        <f>IFERROR(IF(OR('Master Data'!$I$28='GA55 Check &amp; Edit'!$AP$6),"",IF(D19="","",IF(E19="","",IF(AND(D19=$AX$27),"",IF(AND('Master Data'!$I$30='GA55 Check &amp; Edit'!$AN$5),VLOOKUP(D19,ram,10,0),"0"))))),"")</f>
        <v>658</v>
      </c>
      <c r="T19" s="308">
        <f>IFERROR(IF(OR('Master Data'!$I$28='GA55 Check &amp; Edit'!$AP$6,D19=""),"",IF(AND(D19=$AX$27),"",IF(AND(E19=""),"",'Master Data'!$K$43))),"")</f>
        <v>0</v>
      </c>
      <c r="U19" s="308">
        <f>IFERROR(IF(OR('Master Data'!$I$28='GA55 Check &amp; Edit'!$AP$6,D19=""),"",IF(AND(D19=$AX$27),"",IF(AND(E19=""),"",'Master Data'!$L$43))),"")</f>
        <v>0</v>
      </c>
      <c r="V19" s="308" t="str">
        <f>IFERROR(IF(D19="","",IF(AND('Master Data'!$I$28='GA55 Check &amp; Edit'!$AP$6),"",IF(AND('Master Data'!$I$24='GA55 Check &amp; Edit'!$AO$6),"0",IF(AND(D19="Bonus",'Master Data'!$I$30='GA55 Check &amp; Edit'!$AN$6),ROUND((M19)*0.75,0),"")))),"")</f>
        <v/>
      </c>
      <c r="W19" s="308">
        <f>IFERROR(IF(OR('Master Data'!$E$24='GA55 Check &amp; Edit'!$AQ$6,'Master Data'!$E$24='GA55 Check &amp; Edit'!$AQ$7),"",IF(AND(D19=$AX$27),"",IF(D19="","",IF(E19="","",VLOOKUP(D19,ram,8,0))))),"")</f>
        <v>0</v>
      </c>
      <c r="X19" s="308">
        <f>IFERROR(IF(D19="","",IF(AND(E19=""),"",IF(AND(D19=$AX$27),"",IF(OR('Master Data'!$I$28='GA55 Check &amp; Edit'!$AP$6,D19=""),"",IF('Master Data'!$N$36="NO",0,IF(D19='Master Data'!$N$40,'Master Data'!$G$43,0)))))),"")</f>
        <v>0</v>
      </c>
      <c r="Y19" s="308">
        <f>IFERROR(IF(D19="","",IF(AND(E19=""),"",IF(AND(D19=$AX$27),"",IF(OR('Master Data'!$I$28='GA55 Check &amp; Edit'!$AP$6,D19=""),"",$Y$7)))),"")</f>
        <v>0</v>
      </c>
      <c r="Z19" s="308">
        <f>IFERROR(IF(OR('Master Data'!$I$28='GA55 Check &amp; Edit'!$AP$6),"",IF(D19="","",IF(E19="","",VLOOKUP(D19,ram,9,0)))),"")</f>
        <v>0</v>
      </c>
      <c r="AA19" s="308" t="str">
        <f>IFERROR(IF(OR('Master Data'!$I$28='GA55 Check &amp; Edit'!$AP$6,D19=""),"",IF(AND(E19=""),"",IF('GA55 Check &amp; Edit'!D19='GA55 Check &amp; Edit'!$AT$9,220,""))),"")</f>
        <v/>
      </c>
      <c r="AB19" s="36">
        <f>IFERROR(IF(D19="","",IF(AND(O19=""),"",IF(AND('Master Data'!$H$18='GA55 Check &amp; Edit'!$AO$5,'Master Data'!$I$30='GA55 Check &amp; Edit'!$AN$6),SUM(P19:AA19)+N19,SUM(P19:AA19)))),"")</f>
        <v>13113</v>
      </c>
      <c r="AC19" s="37">
        <f t="shared" si="2"/>
        <v>50387</v>
      </c>
      <c r="AD19" s="310"/>
      <c r="AE19" s="363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35" t="s">
        <v>39</v>
      </c>
      <c r="AT19" s="43">
        <v>44228</v>
      </c>
      <c r="AU19" s="35" t="s">
        <v>106</v>
      </c>
      <c r="AV19" s="41"/>
      <c r="AW19" s="51" t="s">
        <v>4</v>
      </c>
      <c r="AX19" s="54">
        <v>44105</v>
      </c>
      <c r="AY19" s="47">
        <v>10</v>
      </c>
      <c r="AZ19" s="47"/>
      <c r="BA19" s="55">
        <f>IF(AND('Master Data'!$E$36=""),"",IF(AND('Master Data'!$I$28='GA55 Check &amp; Edit'!$AP$6),'GA55 Check &amp; Edit'!$AZ$15,BU19))</f>
        <v>50800</v>
      </c>
      <c r="BB19" s="68">
        <f t="shared" si="11"/>
        <v>50800</v>
      </c>
      <c r="BC19" s="47">
        <f>IF(AND('Master Data'!$E$36=""),"",ROUND(17%*BA19,0))</f>
        <v>8636</v>
      </c>
      <c r="BD19" s="47">
        <f t="shared" si="13"/>
        <v>8636</v>
      </c>
      <c r="BE19" s="47">
        <f>IFERROR(IF(OR('Master Data'!I34&gt;11,'Master Data'!E34=AO5),ROUND(AZ21/31*2,0),IF(AND('Master Data'!I34&gt;=10,'Master Data'!E34=AO6),ROUND(AZ21/31*1,0),IF(AND('Master Data'!I34&gt;4,'Master Data'!D18=AO5),ROUND(AZ21/31*1,0),"0"))),"")</f>
        <v>2048</v>
      </c>
      <c r="BF19" s="66">
        <f>'Master Data'!I47</f>
        <v>1500</v>
      </c>
      <c r="BG19" s="55">
        <f>IF(AND('Master Data'!$I$28='GA55 Check &amp; Edit'!$AP$6),"",IF(AND('Master Data'!$I$30='GA55 Check &amp; Edit'!$AN$5),IF($AZ$18&lt;18001,265,IF($AZ$18&lt;33501,440,IF($AZ$18&lt;54001,658,875)))))</f>
        <v>658</v>
      </c>
      <c r="BH19" s="55">
        <f>IFERROR(IF(OR('Master Data'!$I$28='GA55 Check &amp; Edit'!$AP$6),"",'Master Data'!$G$43),"")</f>
        <v>7000</v>
      </c>
      <c r="BI19" s="65">
        <f>IFERROR(IF(AND('Master Data'!$I$30='GA55 Check &amp; Edit'!$AN$6),ROUND((E15)*0.1,0),IF(AND('Master Data'!$I$28='GA55 Check &amp; Edit'!$AP$6),ROUND((E15+F15)*0.1,0),'Master Data'!$H$43)),"")</f>
        <v>3575</v>
      </c>
      <c r="BJ19" s="55">
        <f t="shared" si="14"/>
        <v>50800</v>
      </c>
      <c r="BK19" s="63">
        <v>44105</v>
      </c>
      <c r="BL19" s="63">
        <f>IFERROR(IF('Master Data'!$E$36="","",IF('Master Data'!$F$40="","",IF(AND($AZ$17&gt;$AZ$9),"",DATE(YEAR(BL18),MONTH(BL18)+1,DAY(BL18))))),"")</f>
        <v>44105</v>
      </c>
      <c r="BM19" s="57">
        <f>IFERROR(IF('Master Data'!$E$36="","",IF('Master Data'!$F$40="","",IF(AND($AZ$17&gt;$AZ$9),"",DATE(YEAR(BM18),MONTH(BM18)+1,DAY(BM18))))),"")</f>
        <v>44105</v>
      </c>
      <c r="BN19" s="57">
        <f t="shared" si="6"/>
        <v>44105</v>
      </c>
      <c r="BO19" s="57">
        <f t="shared" si="7"/>
        <v>44105</v>
      </c>
      <c r="BP19" s="57"/>
      <c r="BQ19" s="57">
        <f t="shared" si="8"/>
        <v>44105</v>
      </c>
      <c r="BR19" s="57"/>
      <c r="BS19" s="59" t="str">
        <f t="shared" ca="1" si="9"/>
        <v/>
      </c>
      <c r="BT19" s="59"/>
      <c r="BU19" s="70">
        <f>IF(AND('Master Data'!$I$38='GA55 Check &amp; Edit'!AX19),'Master Data'!$I$36,BU18)</f>
        <v>50800</v>
      </c>
      <c r="BV19" s="57"/>
      <c r="BW19" s="41"/>
      <c r="BX19" s="59">
        <f t="shared" si="10"/>
        <v>1500</v>
      </c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</row>
    <row r="20" spans="1:103" s="35" customFormat="1" ht="21" customHeight="1">
      <c r="A20" s="35">
        <f t="shared" si="0"/>
        <v>1</v>
      </c>
      <c r="B20" s="76">
        <f>IF(LEN(D20)&gt;=3,B19+1,0)</f>
        <v>13</v>
      </c>
      <c r="C20" s="77">
        <f t="shared" si="5"/>
        <v>13</v>
      </c>
      <c r="D20" s="301" t="str">
        <f t="shared" si="1"/>
        <v>Bonus</v>
      </c>
      <c r="E20" s="302" t="str">
        <f>IFERROR(IF(D20="","",IF(AND(BQ24=""),"",IF(AND('Master Data'!$I$28='GA55 Check &amp; Edit'!$AP$6),VLOOKUP(D20,ram,13,0),VLOOKUP(D20,ram,4,0)))),"")</f>
        <v/>
      </c>
      <c r="F20" s="303" t="str">
        <f>IFERROR(IF(D20="","",IF(D20=$AX$24,"",IF(AND(D20=$AX$25),$BC$25,IF(AND(D20=$AX$26),$BC$26,IF(AND(D20=$AX$27),$BC$27,IF(AND(D20=$AX$28),"",IF(AND(D20=$AX$29),"",IF(AND('Master Data'!$I$28='GA55 Check &amp; Edit'!$AP$6),"",VLOOKUP(D20,ram,7,0))))))))),"")</f>
        <v/>
      </c>
      <c r="G20" s="303" t="str">
        <f>IF(AND('Master Data'!$I$28='GA55 Check &amp; Edit'!$AP$6),"",IF(AND(D20=""),"",IF(AND(D20=$AX$27),"",IF(AND(E20=""),"",ROUND('Master Data'!$E$30%*E20,0)))))</f>
        <v/>
      </c>
      <c r="H20" s="304" t="str">
        <f>IFERROR(IF(D20="","",IF(AND(E20=""),"",IF(AND(D20=$AX$27),"",IF(AND('Master Data'!$I$28='GA55 Check &amp; Edit'!$AP$6),"",'Master Data'!$B$43)))),"")</f>
        <v/>
      </c>
      <c r="I20" s="304" t="str">
        <f>IFERROR(IF(D20="","",IF(AND(E20=""),"",IF(AND(D20=$AX$27),"",IF(AND('Master Data'!$I$28='GA55 Check &amp; Edit'!$AP$6),"",'Master Data'!$E$28)))),"")</f>
        <v/>
      </c>
      <c r="J20" s="304" t="str">
        <f>IFERROR(IF(OR('Master Data'!$E$32=$AO$6,'Master Data'!$E$32=""),"",IF(D20="","",IF(AND(E20=""),"",IF(AND(D20=$AX$27),"",IF(AND('Master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304" t="str">
        <f>IFERROR(IF(D20="","",IF(AND(E20=""),"",IF(AND(D20=$AX$27),"",IF(AND('Master Data'!$I$28='GA55 Check &amp; Edit'!$AP$6),"",'Master Data'!$E$43)))),"")</f>
        <v/>
      </c>
      <c r="L20" s="304" t="str">
        <f>IFERROR(IF(D20="","",IF(AND(E20=""),"",IF(AND(D20=$AX$27),"",IF(AND('Master Data'!$I$28='GA55 Check &amp; Edit'!$AP$6),"",'Master Data'!$F$43)))),"")</f>
        <v/>
      </c>
      <c r="M20" s="305">
        <f>IFERROR(IF(D20="","",IF(AND('Master Data'!$I$28='GA55 Check &amp; Edit'!$AP$6),"",IF(AND('Master Data'!$I$24='GA55 Check &amp; Edit'!$AO$6),"",IF(AND(D20="Bonus"),VLOOKUP(D20,ram,4,0),"")))),"")</f>
        <v>6774</v>
      </c>
      <c r="N20" s="304" t="str">
        <f>IFERROR(IF(AND(D20=""),"",IF(AND(D20=$AX$25,'Master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Edit'!$AN$5),"",IF(AND('Master Data'!$I$30='GA55 Check &amp; Edit'!$AN$6,'Master Data'!$I$28='GA55 Check &amp; Edit'!$AP$6),ROUND((E20)*0.1,0),ROUND((E20+F20)*0.1,0))))))),"")</f>
        <v/>
      </c>
      <c r="O20" s="61">
        <f>IF(D20="","",IF('Master Data'!$H$18='GA55 Check &amp; Edit'!$AO$5,SUM(E20:N20),SUM(E20:M20)))</f>
        <v>6774</v>
      </c>
      <c r="P20" s="308" t="str">
        <f>IFERROR(IF(OR('Master Data'!$I$28='GA55 Check &amp; Edit'!$AP$6,D20=""),"",IF(AND(D20=$AX$27),"",IF(AND(E20=""),"",VLOOKUP(D20,ram,11,0)))),"")</f>
        <v/>
      </c>
      <c r="Q20" s="308">
        <f>IFERROR(IF(AND(D20=""),"",IF(AND(D20=$AX$24,'Master Data'!$I$30='GA55 Check &amp; Edit'!$AN$5),ROUND((M20)*0.75,0),IF(AND(D20=$AX$25,'Master Data'!$I$30='GA55 Check &amp; Edit'!$AN$6),ROUND((F20)*0.1,0),IF(AND(D20=$AX$26,'Master Data'!$I$30='GA55 Check &amp; Edit'!$AN$6),ROUND((F20)*0.1,0),IF(AND(D20=$AX$28,'Master Data'!$I$30='GA55 Check &amp; Edit'!$AN$6),ROUND((F20)*0.1,0),IF(AND('Master Data'!$I$30='GA55 Check &amp; Edit'!$AN$6,'Master Data'!$I$28='GA55 Check &amp; Edit'!$AP$6),ROUND((E20)*0.1,0),IF(AND('Master Data'!$I$30='GA55 Check &amp; Edit'!$AN$6,'Master Data'!$I$28='GA55 Check &amp; Edit'!$AP$5),ROUND((E20+F20)*0.1,0),IF(AND('Master Data'!$I$30='GA55 Check &amp; Edit'!$AN$5,'Master Data'!$I$28='GA55 Check &amp; Edit'!$AP$5),VLOOKUP(D20,ram,12,0))))))))),"")</f>
        <v>5081</v>
      </c>
      <c r="R20" s="308" t="str">
        <f>IFERROR(IF(OR('Master Data'!$I$28='GA55 Check &amp; Edit'!$AP$6,D20=""),"",IF(AND(D20=$AX$27),"",IF(AND(D20=$AX$30),"",IF(AND(E20=""),"",'Master Data'!$I$43)))),"")</f>
        <v/>
      </c>
      <c r="S20" s="308" t="str">
        <f>IFERROR(IF(OR('Master Data'!$I$28='GA55 Check &amp; Edit'!$AP$6),"",IF(D20="","",IF(E20="","",IF(AND(D20=$AX$27),"",IF(AND('Master Data'!$I$30='GA55 Check &amp; Edit'!$AN$5),VLOOKUP(D20,ram,10,0),"0"))))),"")</f>
        <v/>
      </c>
      <c r="T20" s="308" t="str">
        <f>IFERROR(IF(OR('Master Data'!$I$28='GA55 Check &amp; Edit'!$AP$6,D20=""),"",IF(AND(D20=$AX$27),"",IF(AND(E20=""),"",'Master Data'!$K$43))),"")</f>
        <v/>
      </c>
      <c r="U20" s="308" t="str">
        <f>IFERROR(IF(OR('Master Data'!$I$28='GA55 Check &amp; Edit'!$AP$6,D20=""),"",IF(AND(D20=$AX$27),"",IF(AND(E20=""),"",'Master Data'!$L$43))),"")</f>
        <v/>
      </c>
      <c r="V20" s="308" t="str">
        <f>IFERROR(IF(D20="","",IF(AND('Master Data'!$I$28='GA55 Check &amp; Edit'!$AP$6),"",IF(AND('Master Data'!$I$24='GA55 Check &amp; Edit'!$AO$6),"0",IF(AND(D20="Bonus",'Master Data'!$I$30='GA55 Check &amp; Edit'!$AN$6),ROUND((M20)*0.75,0),"")))),"")</f>
        <v/>
      </c>
      <c r="W20" s="308" t="str">
        <f>IFERROR(IF(OR('Master Data'!$E$24='GA55 Check &amp; Edit'!$AQ$6,'Master Data'!$E$24='GA55 Check &amp; Edit'!$AQ$7),"",IF(AND(D20=$AX$27),"",IF(D20="","",IF(E20="","",VLOOKUP(D20,ram,8,0))))),"")</f>
        <v/>
      </c>
      <c r="X20" s="308" t="str">
        <f>IFERROR(IF(D20="","",IF(AND(E20=""),"",IF(AND(D20=$AX$27),"",IF(OR('Master Data'!$I$28='GA55 Check &amp; Edit'!$AP$6,D20=""),"",IF('Master Data'!$N$36="NO",0,IF(D20='Master Data'!$N$40,'Master Data'!$G$43,0)))))),"")</f>
        <v/>
      </c>
      <c r="Y20" s="308" t="str">
        <f>IFERROR(IF(D20="","",IF(AND(E20=""),"",IF(AND(D20=$AX$27),"",IF(OR('Master Data'!$I$28='GA55 Check &amp; Edit'!$AP$6,D20=""),"",$Y$7)))),"")</f>
        <v/>
      </c>
      <c r="Z20" s="308"/>
      <c r="AA20" s="308" t="str">
        <f>IFERROR(IF(OR('Master Data'!$I$28='GA55 Check &amp; Edit'!$AP$6,D20=""),"",IF(AND(E20=""),"",IF('GA55 Check &amp; Edit'!D20='GA55 Check &amp; Edit'!$AT$9,220,""))),"")</f>
        <v/>
      </c>
      <c r="AB20" s="36">
        <f>IFERROR(IF(D20="","",IF(AND(O20=""),"",IF('Master Data'!$H$18='GA55 Check &amp; Edit'!$AO$5,SUM(P20:AA20),SUM(P20:AA20)))),"")</f>
        <v>5081</v>
      </c>
      <c r="AC20" s="37">
        <f t="shared" si="2"/>
        <v>1693</v>
      </c>
      <c r="AD20" s="310"/>
      <c r="AE20" s="363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35" t="s">
        <v>107</v>
      </c>
      <c r="AV20" s="41"/>
      <c r="AW20" s="51" t="s">
        <v>36</v>
      </c>
      <c r="AX20" s="54">
        <v>44136</v>
      </c>
      <c r="AY20" s="47">
        <v>11</v>
      </c>
      <c r="AZ20" s="47">
        <f>ROUND(17%*AZ18,0)+ROUND(AZ18*'Master Data'!E30%,0)</f>
        <v>12700</v>
      </c>
      <c r="BA20" s="55">
        <f>IF(AND('Master Data'!$E$36=""),"",IF(AND('Master Data'!$I$28='GA55 Check &amp; Edit'!$AP$6),'GA55 Check &amp; Edit'!$AZ$15,BU20))</f>
        <v>50800</v>
      </c>
      <c r="BB20" s="68">
        <f t="shared" si="11"/>
        <v>50800</v>
      </c>
      <c r="BC20" s="47">
        <f>IF(AND('Master Data'!$E$36=""),"",ROUND(17%*BA20,0))</f>
        <v>8636</v>
      </c>
      <c r="BD20" s="47">
        <f t="shared" si="13"/>
        <v>8636</v>
      </c>
      <c r="BE20" s="7">
        <f>IFERROR(IF('Master Data'!$N$34=$AO$5,0,IF(OR('Master Data'!$I$34&gt;11,'Master Data'!$E$34=$AO$5),ROUND($AZ$21/30*2,0),IF(AND('Master Data'!$I$34&gt;=10,'Master Data'!$E$34=$AO$6),ROUND($AZ$21/30*1,0),IF(AND('Master Data'!$I$34&gt;4,'Master Data'!$D$18=$AO$5),ROUND($AZ$21/30*1,0),"0")))),"")</f>
        <v>0</v>
      </c>
      <c r="BF20" s="67">
        <f>'Master Data'!J47</f>
        <v>1500</v>
      </c>
      <c r="BG20" s="55">
        <f>IF(AND('Master Data'!$I$28='GA55 Check &amp; Edit'!$AP$6),"",IF(AND('Master Data'!$I$30='GA55 Check &amp; Edit'!$AN$5),IF($AZ$18&lt;18001,265,IF($AZ$18&lt;33501,440,IF($AZ$18&lt;54001,658,875)))))</f>
        <v>658</v>
      </c>
      <c r="BH20" s="55">
        <f>IFERROR(IF(OR('Master Data'!$I$28='GA55 Check &amp; Edit'!$AP$6),"",'Master Data'!$G$43),"")</f>
        <v>7000</v>
      </c>
      <c r="BI20" s="65">
        <f>IFERROR(IF(AND('Master Data'!$I$30='GA55 Check &amp; Edit'!$AN$6),ROUND((E16)*0.1,0),IF(AND('Master Data'!$I$28='GA55 Check &amp; Edit'!$AP$6),ROUND((E16+F16)*0.1,0),'Master Data'!$H$43)),"")</f>
        <v>3575</v>
      </c>
      <c r="BJ20" s="55">
        <f t="shared" si="14"/>
        <v>50800</v>
      </c>
      <c r="BK20" s="63">
        <v>44136</v>
      </c>
      <c r="BL20" s="63">
        <f>IFERROR(IF('Master Data'!$E$36="","",IF('Master Data'!$F$40="","",IF(AND($AZ$17&gt;$AZ$9),"",DATE(YEAR(BL19),MONTH(BL19)+1,DAY(BL19))))),"")</f>
        <v>44136</v>
      </c>
      <c r="BM20" s="57">
        <f>IFERROR(IF('Master Data'!$E$36="","",IF('Master Data'!$F$40="","",IF(AND($AZ$17&gt;$AZ$9),"",DATE(YEAR(BM19),MONTH(BM19)+1,DAY(BM19))))),"")</f>
        <v>44136</v>
      </c>
      <c r="BN20" s="57">
        <f t="shared" si="6"/>
        <v>44136</v>
      </c>
      <c r="BO20" s="57">
        <f t="shared" si="7"/>
        <v>44136</v>
      </c>
      <c r="BP20" s="57"/>
      <c r="BQ20" s="57">
        <f t="shared" si="8"/>
        <v>44136</v>
      </c>
      <c r="BR20" s="57"/>
      <c r="BS20" s="59" t="str">
        <f t="shared" ca="1" si="9"/>
        <v/>
      </c>
      <c r="BT20" s="59"/>
      <c r="BU20" s="70">
        <f>IF(AND('Master Data'!$I$38='GA55 Check &amp; Edit'!AX20),'Master Data'!$I$36,BU19)</f>
        <v>50800</v>
      </c>
      <c r="BV20" s="57"/>
      <c r="BW20" s="41"/>
      <c r="BX20" s="59">
        <f t="shared" si="10"/>
        <v>1500</v>
      </c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</row>
    <row r="21" spans="1:103" s="35" customFormat="1" ht="21" customHeight="1">
      <c r="A21" s="35">
        <f t="shared" si="0"/>
        <v>0</v>
      </c>
      <c r="B21" s="76">
        <f t="shared" si="3"/>
        <v>14</v>
      </c>
      <c r="C21" s="77">
        <f t="shared" si="5"/>
        <v>14</v>
      </c>
      <c r="D21" s="301" t="str">
        <f t="shared" si="1"/>
        <v>DA Arrear jul 19 to dec 20</v>
      </c>
      <c r="E21" s="302" t="str">
        <f>IFERROR(IF(D21="","",IF(AND(BQ25=""),"",IF(AND('Master Data'!$I$28='GA55 Check &amp; Edit'!$AP$6),VLOOKUP(D21,ram,13,0),VLOOKUP(D21,ram,4,0)))),"")</f>
        <v/>
      </c>
      <c r="F21" s="303">
        <f>IFERROR(IF(D21="","",IF(D21=$AX$24,"",IF(AND(D21=$AX$25),$BC$25,IF(AND(D21=$AX$26),$BC$26,IF(AND(D21=$AX$27),$BC$27,IF(AND(D21=$AX$28),"",IF(AND(D21=$AX$29),"",IF(AND('Master Data'!$I$28='GA55 Check &amp; Edit'!$AP$6),"",VLOOKUP(D21,ram,7,0))))))))),"")</f>
        <v>14790</v>
      </c>
      <c r="G21" s="303" t="str">
        <f>IF(AND('Master Data'!$I$28='GA55 Check &amp; Edit'!$AP$6),"",IF(AND(D21=""),"",IF(AND(D21=$AX$27),"",IF(AND(E21=""),"",ROUND('Master Data'!$E$30%*E21,0)))))</f>
        <v/>
      </c>
      <c r="H21" s="304" t="str">
        <f>IFERROR(IF(D21="","",IF(AND(E21=""),"",IF(AND(D21=$AX$27),"",IF(AND('Master Data'!$I$28='GA55 Check &amp; Edit'!$AP$6),"",'Master Data'!$B$43)))),"")</f>
        <v/>
      </c>
      <c r="I21" s="304" t="str">
        <f>IFERROR(IF(D21="","",IF(AND(E21=""),"",IF(AND(D21=$AX$27),"",IF(AND('Master Data'!$I$28='GA55 Check &amp; Edit'!$AP$6),"",'Master Data'!$E$28)))),"")</f>
        <v/>
      </c>
      <c r="J21" s="304" t="str">
        <f>IFERROR(IF(OR('Master Data'!$E$32=$AO$6,'Master Data'!$E$32=""),"",IF(D21="","",IF(AND(E21=""),"",IF(AND(D21=$AX$27),"",IF(AND('Master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304" t="str">
        <f>IFERROR(IF(D21="","",IF(AND(E21=""),"",IF(AND(D21=$AX$27),"",IF(AND('Master Data'!$I$28='GA55 Check &amp; Edit'!$AP$6),"",'Master Data'!$E$43)))),"")</f>
        <v/>
      </c>
      <c r="L21" s="304" t="str">
        <f>IFERROR(IF(D21="","",IF(AND(E21=""),"",IF(AND(D21=$AX$27),"",IF(AND('Master Data'!$I$28='GA55 Check &amp; Edit'!$AP$6),"",'Master Data'!$F$43)))),"")</f>
        <v/>
      </c>
      <c r="M21" s="304"/>
      <c r="N21" s="304" t="str">
        <f>IFERROR(IF(AND(D21=""),"",IF(AND(D21=$AX$25,'Master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Edit'!$AN$5),"",IF(AND('Master Data'!$I$30='GA55 Check &amp; Edit'!$AN$6,'Master Data'!$I$28='GA55 Check &amp; Edit'!$AP$6),ROUND((E21)*0.1,0),ROUND((E21+F21)*0.1,0))))))),"")</f>
        <v/>
      </c>
      <c r="O21" s="61">
        <f>IF(D21="","",IF('Master Data'!$H$18='GA55 Check &amp; Edit'!$AO$5,SUM(E21:N21),SUM(E21:M21)))</f>
        <v>14790</v>
      </c>
      <c r="P21" s="308" t="str">
        <f>IFERROR(IF(OR('Master Data'!$I$28='GA55 Check &amp; Edit'!$AP$6,D21=""),"",IF(AND(D21=$AX$27),"",IF(AND(E21=""),"",VLOOKUP(D21,ram,11,0)))),"")</f>
        <v/>
      </c>
      <c r="Q21" s="308">
        <f>IFERROR(IF(AND(D21=""),"",IF(AND(D21=$AX$24,'Master Data'!$I$30='GA55 Check &amp; Edit'!$AN$5),ROUND((M21)*0.75,0),IF(AND(D21=$AX$25,'Master Data'!$I$30='GA55 Check &amp; Edit'!$AN$6),ROUND((F21)*0.1,0),IF(AND(D21=$AX$26,'Master Data'!$I$30='GA55 Check &amp; Edit'!$AN$6),ROUND((F21)*0.1,0),IF(AND(D21=$AX$28,'Master Data'!$I$30='GA55 Check &amp; Edit'!$AN$6),ROUND((F21)*0.1,0),IF(AND('Master Data'!$I$30='GA55 Check &amp; Edit'!$AN$6,'Master Data'!$I$28='GA55 Check &amp; Edit'!$AP$6),ROUND((E21)*0.1,0),IF(AND('Master Data'!$I$30='GA55 Check &amp; Edit'!$AN$6,'Master Data'!$I$28='GA55 Check &amp; Edit'!$AP$5),ROUND((E21+F21)*0.1,0),IF(AND('Master Data'!$I$30='GA55 Check &amp; Edit'!$AN$5,'Master Data'!$I$28='GA55 Check &amp; Edit'!$AP$5),VLOOKUP(D21,ram,12,0))))))))),"")</f>
        <v>14790</v>
      </c>
      <c r="R21" s="308" t="str">
        <f>IFERROR(IF(OR('Master Data'!$I$28='GA55 Check &amp; Edit'!$AP$6,D21=""),"",IF(AND(D21=$AX$27),"",IF(AND(D21=$AX$30),"",IF(AND(E21=""),"",'Master Data'!$I$43)))),"")</f>
        <v/>
      </c>
      <c r="S21" s="308" t="str">
        <f>IFERROR(IF(OR('Master Data'!$I$28='GA55 Check &amp; Edit'!$AP$6),"",IF(D21="","",IF(E21="","",IF(AND(D21=$AX$27),"",IF(AND('Master Data'!$I$30='GA55 Check &amp; Edit'!$AN$5),VLOOKUP(D21,ram,10,0),"0"))))),"")</f>
        <v/>
      </c>
      <c r="T21" s="308" t="str">
        <f>IFERROR(IF(OR('Master Data'!$I$28='GA55 Check &amp; Edit'!$AP$6,D21=""),"",IF(AND(D21=$AX$27),"",IF(AND(E21=""),"",'Master Data'!$K$43))),"")</f>
        <v/>
      </c>
      <c r="U21" s="308" t="str">
        <f>IFERROR(IF(OR('Master Data'!$I$28='GA55 Check &amp; Edit'!$AP$6,D21=""),"",IF(AND(D21=$AX$27),"",IF(AND(E21=""),"",'Master Data'!$L$43))),"")</f>
        <v/>
      </c>
      <c r="V21" s="308" t="str">
        <f>IFERROR(IF(D21="","",IF(AND('Master Data'!$I$28='GA55 Check &amp; Edit'!$AP$6),"",IF(AND('Master Data'!$I$24='GA55 Check &amp; Edit'!$AO$6),"0",IF(AND(D21="Bonus",'Master Data'!$I$30='GA55 Check &amp; Edit'!$AN$6),ROUND((M21)*0.75,0),"")))),"")</f>
        <v/>
      </c>
      <c r="W21" s="308" t="str">
        <f>IFERROR(IF(OR('Master Data'!$E$24='GA55 Check &amp; Edit'!$AQ$6,'Master Data'!$E$24='GA55 Check &amp; Edit'!$AQ$7),"",IF(AND(D21=$AX$27),"",IF(D21="","",IF(E21="","",VLOOKUP(D21,ram,8,0))))),"")</f>
        <v/>
      </c>
      <c r="X21" s="308" t="str">
        <f>IFERROR(IF(D21="","",IF(AND(E21=""),"",IF(AND(D21=$AX$27),"",IF(OR('Master Data'!$I$28='GA55 Check &amp; Edit'!$AP$6,D21=""),"",IF('Master Data'!$N$36="NO",0,IF(D21='Master Data'!$N$40,'Master Data'!$G$43,0)))))),"")</f>
        <v/>
      </c>
      <c r="Y21" s="308" t="str">
        <f>IFERROR(IF(D21="","",IF(AND(E21=""),"",IF(AND(D21=$AX$27),"",IF(OR('Master Data'!$I$28='GA55 Check &amp; Edit'!$AP$6,D21=""),"",$Y$7)))),"")</f>
        <v/>
      </c>
      <c r="Z21" s="308"/>
      <c r="AA21" s="308" t="str">
        <f>IFERROR(IF(OR('Master Data'!$I$28='GA55 Check &amp; Edit'!$AP$6,D21=""),"",IF(AND(E21=""),"",IF('GA55 Check &amp; Edit'!D21='GA55 Check &amp; Edit'!$AT$9,220,""))),"")</f>
        <v/>
      </c>
      <c r="AB21" s="36">
        <f>IFERROR(IF(D21="","",IF(AND(O21=""),"",IF(AND('Master Data'!$H$18='GA55 Check &amp; Edit'!$AO$5,'Master Data'!$I$30='GA55 Check &amp; Edit'!$AN$6),SUM(P21:AA21)+N21,SUM(P21:AA21)))),"")</f>
        <v>14790</v>
      </c>
      <c r="AC21" s="37">
        <f t="shared" si="2"/>
        <v>0</v>
      </c>
      <c r="AD21" s="310"/>
      <c r="AE21" s="363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35" t="s">
        <v>108</v>
      </c>
      <c r="AV21" s="41"/>
      <c r="AW21" s="51" t="s">
        <v>39</v>
      </c>
      <c r="AX21" s="54">
        <v>44166</v>
      </c>
      <c r="AY21" s="47">
        <v>12</v>
      </c>
      <c r="AZ21" s="47">
        <f>AZ18+AZ20</f>
        <v>63500</v>
      </c>
      <c r="BA21" s="55">
        <f>IF(AND('Master Data'!$E$36=""),"",IF(AND('Master Data'!$I$28='GA55 Check &amp; Edit'!$AP$6),'GA55 Check &amp; Edit'!$AZ$15,BU21))</f>
        <v>50800</v>
      </c>
      <c r="BB21" s="68">
        <f t="shared" si="11"/>
        <v>50800</v>
      </c>
      <c r="BC21" s="47">
        <f>IF(AND('Master Data'!$E$36=""),"",ROUND(17%*BA21,0))</f>
        <v>8636</v>
      </c>
      <c r="BD21" s="47">
        <f t="shared" si="13"/>
        <v>8636</v>
      </c>
      <c r="BE21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1" s="67">
        <f>'Master Data'!K47</f>
        <v>1500</v>
      </c>
      <c r="BG21" s="55">
        <f>IF(AND('Master Data'!$I$28='GA55 Check &amp; Edit'!$AP$6),"",IF(AND('Master Data'!$I$30='GA55 Check &amp; Edit'!$AN$5),IF($AZ$18&lt;18001,265,IF($AZ$18&lt;33501,440,IF($AZ$18&lt;54001,658,875)))))</f>
        <v>658</v>
      </c>
      <c r="BH21" s="55">
        <f>IFERROR(IF(OR('Master Data'!$I$28='GA55 Check &amp; Edit'!$AP$6),"",'Master Data'!$G$43),"")</f>
        <v>7000</v>
      </c>
      <c r="BI21" s="65">
        <f>IFERROR(IF(AND('Master Data'!$I$30='GA55 Check &amp; Edit'!$AN$6),ROUND((E17)*0.1,0),IF(AND('Master Data'!$I$28='GA55 Check &amp; Edit'!$AP$6),ROUND((E17+F17)*0.1,0),'Master Data'!$H$43)),"")</f>
        <v>3575</v>
      </c>
      <c r="BJ21" s="55">
        <f t="shared" si="14"/>
        <v>50800</v>
      </c>
      <c r="BK21" s="63">
        <v>44166</v>
      </c>
      <c r="BL21" s="63">
        <f>IFERROR(IF('Master Data'!$E$36="","",IF('Master Data'!$F$40="","",IF(AND($AZ$17&gt;$AZ$9),"",DATE(YEAR(BL20),MONTH(BL20)+1,DAY(BL20))))),"")</f>
        <v>44166</v>
      </c>
      <c r="BM21" s="57">
        <f>IFERROR(IF('Master Data'!$E$36="","",IF('Master Data'!$F$40="","",IF(AND($AZ$17&gt;$AZ$9),"",DATE(YEAR(BM20),MONTH(BM20)+1,DAY(BM20))))),"")</f>
        <v>44166</v>
      </c>
      <c r="BN21" s="57">
        <f t="shared" si="6"/>
        <v>44166</v>
      </c>
      <c r="BO21" s="57">
        <f t="shared" si="7"/>
        <v>44166</v>
      </c>
      <c r="BP21" s="57"/>
      <c r="BQ21" s="57">
        <f t="shared" si="8"/>
        <v>44166</v>
      </c>
      <c r="BR21" s="57"/>
      <c r="BS21" s="59"/>
      <c r="BT21" s="59"/>
      <c r="BU21" s="70">
        <f>IF(AND('Master Data'!$I$38='GA55 Check &amp; Edit'!AX21),'Master Data'!$I$36,BU20)</f>
        <v>50800</v>
      </c>
      <c r="BV21" s="57"/>
      <c r="BW21" s="41"/>
      <c r="BX21" s="59">
        <f t="shared" si="10"/>
        <v>1500</v>
      </c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</row>
    <row r="22" spans="1:103" s="35" customFormat="1" ht="21" customHeight="1">
      <c r="A22" s="35">
        <f t="shared" si="0"/>
        <v>1</v>
      </c>
      <c r="B22" s="76">
        <f t="shared" si="3"/>
        <v>15</v>
      </c>
      <c r="C22" s="77">
        <f t="shared" si="5"/>
        <v>15</v>
      </c>
      <c r="D22" s="301" t="str">
        <f t="shared" si="1"/>
        <v>DA Arrear jan 20 to feb 20</v>
      </c>
      <c r="E22" s="302" t="str">
        <f>IFERROR(IF(D22="","",IF(AND(BQ26=""),"",IF(AND('Master Data'!$I$28='GA55 Check &amp; Edit'!$AP$6),VLOOKUP(D22,ram,13,0),VLOOKUP(D22,ram,4,0)))),"")</f>
        <v/>
      </c>
      <c r="F22" s="303">
        <f>IFERROR(IF(D22="","",IF(D22=$AX$24,"",IF(AND(D22=$AX$25),$BC$25,IF(AND(D22=$AX$26),$BC$26,IF(AND(D22=$AX$27),$BC$27,IF(AND(D22=$AX$28),"",IF(AND(D22=$AX$29),"",IF(AND('Master Data'!$I$28='GA55 Check &amp; Edit'!$AP$6),"",VLOOKUP(D22,ram,7,0))))))))),"")</f>
        <v>4930</v>
      </c>
      <c r="G22" s="303" t="str">
        <f>IF(AND('Master Data'!$I$28='GA55 Check &amp; Edit'!$AP$6),"",IF(AND(D22=""),"",IF(AND(D22=$AX$27),"",IF(AND(E22=""),"",ROUND('Master Data'!$E$30%*E22,0)))))</f>
        <v/>
      </c>
      <c r="H22" s="304" t="str">
        <f>IFERROR(IF(D22="","",IF(AND(E22=""),"",IF(AND(D22=$AX$27),"",IF(AND('Master Data'!$I$28='GA55 Check &amp; Edit'!$AP$6),"",'Master Data'!$B$43)))),"")</f>
        <v/>
      </c>
      <c r="I22" s="304" t="str">
        <f>IFERROR(IF(D22="","",IF(AND(E22=""),"",IF(AND(D22=$AX$27),"",IF(AND('Master Data'!$I$28='GA55 Check &amp; Edit'!$AP$6),"",'Master Data'!$E$28)))),"")</f>
        <v/>
      </c>
      <c r="J22" s="304" t="str">
        <f>IFERROR(IF(OR('Master Data'!$E$32=$AO$6,'Master Data'!$E$32=""),"",IF(D22="","",IF(AND(E22=""),"",IF(AND(D22=$AX$27),"",IF(AND('Master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304" t="str">
        <f>IFERROR(IF(D22="","",IF(AND(E22=""),"",IF(AND(D22=$AX$27),"",IF(AND('Master Data'!$I$28='GA55 Check &amp; Edit'!$AP$6),"",'Master Data'!$E$43)))),"")</f>
        <v/>
      </c>
      <c r="L22" s="304" t="str">
        <f>IFERROR(IF(D22="","",IF(AND(E22=""),"",IF(AND(D22=$AX$27),"",IF(AND('Master Data'!$I$28='GA55 Check &amp; Edit'!$AP$6),"",'Master Data'!$F$43)))),"")</f>
        <v/>
      </c>
      <c r="M22" s="304"/>
      <c r="N22" s="304" t="str">
        <f>IFERROR(IF(AND(D22=""),"",IF(AND(D22=$AX$25,'Master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Edit'!$AN$5),"",IF(AND('Master Data'!$I$30='GA55 Check &amp; Edit'!$AN$6,'Master Data'!$I$28='GA55 Check &amp; Edit'!$AP$6),ROUND((E22)*0.1,0),ROUND((E22+F22)*0.1,0))))))),"")</f>
        <v/>
      </c>
      <c r="O22" s="61">
        <f>IF(D22="","",IF('Master Data'!$H$18='GA55 Check &amp; Edit'!$AO$5,SUM(E22:N22),SUM(E22:M22)))</f>
        <v>4930</v>
      </c>
      <c r="P22" s="308" t="str">
        <f>IFERROR(IF(OR('Master Data'!$I$28='GA55 Check &amp; Edit'!$AP$6,D22=""),"",IF(AND(D22=$AX$27),"",IF(AND(E22=""),"",VLOOKUP(D22,ram,11,0)))),"")</f>
        <v/>
      </c>
      <c r="Q22" s="308">
        <f>IFERROR(IF(AND(D22=""),"",IF(AND(D22=$AX$24,'Master Data'!$I$30='GA55 Check &amp; Edit'!$AN$5),ROUND((M22)*0.75,0),IF(AND(D22=$AX$25,'Master Data'!$I$30='GA55 Check &amp; Edit'!$AN$6),ROUND((F22)*0.1,0),IF(AND(D22=$AX$26,'Master Data'!$I$30='GA55 Check &amp; Edit'!$AN$6),ROUND((F22)*0.1,0),IF(AND(D22=$AX$28,'Master Data'!$I$30='GA55 Check &amp; Edit'!$AN$6),ROUND((F22)*0.1,0),IF(AND('Master Data'!$I$30='GA55 Check &amp; Edit'!$AN$6,'Master Data'!$I$28='GA55 Check &amp; Edit'!$AP$6),ROUND((E22)*0.1,0),IF(AND('Master Data'!$I$30='GA55 Check &amp; Edit'!$AN$6,'Master Data'!$I$28='GA55 Check &amp; Edit'!$AP$5),ROUND((E22+F22)*0.1,0),IF(AND('Master Data'!$I$30='GA55 Check &amp; Edit'!$AN$5,'Master Data'!$I$28='GA55 Check &amp; Edit'!$AP$5),VLOOKUP(D22,ram,12,0))))))))),"")</f>
        <v>4930</v>
      </c>
      <c r="R22" s="308" t="str">
        <f>IFERROR(IF(OR('Master Data'!$I$28='GA55 Check &amp; Edit'!$AP$6,D22=""),"",IF(AND(D22=$AX$27),"",IF(AND(D22=$AX$30),"",IF(AND(E22=""),"",'Master Data'!$I$43)))),"")</f>
        <v/>
      </c>
      <c r="S22" s="308" t="str">
        <f>IFERROR(IF(OR('Master Data'!$I$28='GA55 Check &amp; Edit'!$AP$6),"",IF(D22="","",IF(E22="","",IF(AND(D22=$AX$27),"",IF(AND('Master Data'!$I$30='GA55 Check &amp; Edit'!$AN$5),VLOOKUP(D22,ram,10,0),"0"))))),"")</f>
        <v/>
      </c>
      <c r="T22" s="308" t="str">
        <f>IFERROR(IF(OR('Master Data'!$I$28='GA55 Check &amp; Edit'!$AP$6,D22=""),"",IF(AND(D22=$AX$27),"",IF(AND(E22=""),"",'Master Data'!$K$43))),"")</f>
        <v/>
      </c>
      <c r="U22" s="308" t="str">
        <f>IFERROR(IF(OR('Master Data'!$I$28='GA55 Check &amp; Edit'!$AP$6,D22=""),"",IF(AND(D22=$AX$27),"",IF(AND(E22=""),"",'Master Data'!$L$43))),"")</f>
        <v/>
      </c>
      <c r="V22" s="308" t="str">
        <f>IFERROR(IF(D22="","",IF(AND('Master Data'!$I$28='GA55 Check &amp; Edit'!$AP$6),"",IF(AND('Master Data'!$I$24='GA55 Check &amp; Edit'!$AO$6),"0",IF(AND(D22="Bonus",'Master Data'!$I$30='GA55 Check &amp; Edit'!$AN$6),ROUND((M22)*0.75,0),"")))),"")</f>
        <v/>
      </c>
      <c r="W22" s="308" t="str">
        <f>IFERROR(IF(OR('Master Data'!$E$24='GA55 Check &amp; Edit'!$AQ$6,'Master Data'!$E$24='GA55 Check &amp; Edit'!$AQ$7),"",IF(AND(D22=$AX$27),"",IF(D22="","",IF(E22="","",VLOOKUP(D22,ram,8,0))))),"")</f>
        <v/>
      </c>
      <c r="X22" s="308" t="str">
        <f>IFERROR(IF(D22="","",IF(AND(E22=""),"",IF(AND(D22=$AX$27),"",IF(OR('Master Data'!$I$28='GA55 Check &amp; Edit'!$AP$6,D22=""),"",IF('Master Data'!$N$36="NO",0,IF(D22='Master Data'!$N$40,'Master Data'!$G$43,0)))))),"")</f>
        <v/>
      </c>
      <c r="Y22" s="308" t="str">
        <f>IFERROR(IF(D22="","",IF(AND(E22=""),"",IF(AND(D22=$AX$27),"",IF(OR('Master Data'!$I$28='GA55 Check &amp; Edit'!$AP$6,D22=""),"",$Y$7)))),"")</f>
        <v/>
      </c>
      <c r="Z22" s="308"/>
      <c r="AA22" s="308" t="str">
        <f>IFERROR(IF(OR('Master Data'!$I$28='GA55 Check &amp; Edit'!$AP$6,D22=""),"",IF(AND(E22=""),"",IF('GA55 Check &amp; Edit'!D22='GA55 Check &amp; Edit'!$AT$9,220,""))),"")</f>
        <v/>
      </c>
      <c r="AB22" s="36">
        <f>IFERROR(IF(D22="","",IF(AND(O22=""),"",IF(AND('Master Data'!$H$18='GA55 Check &amp; Edit'!$AO$5,'Master Data'!$I$30='GA55 Check &amp; Edit'!$AN$6),SUM(P22:AA22)+N22,SUM(P22:AA22)))),"")</f>
        <v>4930</v>
      </c>
      <c r="AC22" s="37">
        <f t="shared" si="2"/>
        <v>0</v>
      </c>
      <c r="AD22" s="310"/>
      <c r="AE22" s="363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R22" s="41"/>
      <c r="AS22" s="41"/>
      <c r="AT22" s="41"/>
      <c r="AU22" s="35" t="s">
        <v>109</v>
      </c>
      <c r="AV22" s="41"/>
      <c r="AW22" s="51" t="s">
        <v>5</v>
      </c>
      <c r="AX22" s="54">
        <v>44197</v>
      </c>
      <c r="AY22" s="47">
        <v>1</v>
      </c>
      <c r="AZ22" s="47"/>
      <c r="BA22" s="55">
        <f>IF(AND('Master Data'!$E$36=""),"",IF(AND('Master Data'!$I$28='GA55 Check &amp; Edit'!$AP$6),'GA55 Check &amp; Edit'!$AZ$15,BU22))</f>
        <v>50800</v>
      </c>
      <c r="BB22" s="68">
        <f t="shared" si="11"/>
        <v>50800</v>
      </c>
      <c r="BC22" s="47">
        <f>IF(AND('Master Data'!$E$36=""),"",ROUND(17%*BA22,0))</f>
        <v>8636</v>
      </c>
      <c r="BD22" s="47">
        <f t="shared" si="13"/>
        <v>8636</v>
      </c>
      <c r="BE22" s="7">
        <f>IFERROR(IF('Master Data'!$N$34=$AO$5,0,IF(OR('Master Data'!$I$34&gt;11,'Master Data'!$E$34=$AO$5),ROUND($AZ$21/31*2,0),IF(AND('Master Data'!$I$34&gt;=10,'Master Data'!$E$34=$AO$6),ROUND($AZ$21/31*1,0),IF(AND('Master Data'!$I$34&gt;4,'Master Data'!$D$18=$AO$5),ROUND($AZ$21/31*1,0),"0")))),"")</f>
        <v>0</v>
      </c>
      <c r="BF22" s="55">
        <f>'Master Data'!L47</f>
        <v>1500</v>
      </c>
      <c r="BG22" s="55">
        <f>IF(AND('Master Data'!$I$28='GA55 Check &amp; Edit'!$AP$6),"",IF(AND('Master Data'!$I$30='GA55 Check &amp; Edit'!$AN$5),IF($AZ$18&lt;18001,265,IF($AZ$18&lt;33501,440,IF($AZ$18&lt;54001,658,875)))))</f>
        <v>658</v>
      </c>
      <c r="BH22" s="55">
        <f>IFERROR(IF(OR('Master Data'!$I$28='GA55 Check &amp; Edit'!$AP$6),"",'Master Data'!$G$43),"")</f>
        <v>7000</v>
      </c>
      <c r="BI22" s="65">
        <f>IFERROR(IF(AND('Master Data'!$I$30='GA55 Check &amp; Edit'!$AN$6),ROUND((E18)*0.1,0),IF(AND('Master Data'!$I$28='GA55 Check &amp; Edit'!$AP$6),ROUND((E18+F18)*0.1,0),'Master Data'!$H$43)),"")</f>
        <v>3575</v>
      </c>
      <c r="BJ22" s="55">
        <f t="shared" si="14"/>
        <v>50800</v>
      </c>
      <c r="BK22" s="63">
        <v>44197</v>
      </c>
      <c r="BL22" s="63">
        <f>IFERROR(IF('Master Data'!$E$36="","",IF('Master Data'!$F$40="","",IF(AND($AZ$17&gt;$AZ$9),"",DATE(YEAR(BL21),MONTH(BL21)+1,DAY(BL21))))),"")</f>
        <v>44197</v>
      </c>
      <c r="BM22" s="57">
        <f>IFERROR(IF('Master Data'!$E$36="","",IF('Master Data'!$F$40="","",IF(AND($AZ$17&gt;$AZ$9),"",DATE(YEAR(BM21),MONTH(BM21)+1,DAY(BM21))))),"")</f>
        <v>44197</v>
      </c>
      <c r="BN22" s="57">
        <f t="shared" si="6"/>
        <v>44197</v>
      </c>
      <c r="BO22" s="57">
        <f t="shared" si="7"/>
        <v>44197</v>
      </c>
      <c r="BP22" s="57"/>
      <c r="BQ22" s="57">
        <f t="shared" si="8"/>
        <v>44197</v>
      </c>
      <c r="BR22" s="57"/>
      <c r="BS22" s="59"/>
      <c r="BT22" s="59"/>
      <c r="BU22" s="70">
        <f>IF(AND('Master Data'!$I$38='GA55 Check &amp; Edit'!AX22),'Master Data'!$I$36,BU21)</f>
        <v>50800</v>
      </c>
      <c r="BV22" s="57"/>
      <c r="BW22" s="41"/>
      <c r="BX22" s="59">
        <f t="shared" si="10"/>
        <v>1500</v>
      </c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</row>
    <row r="23" spans="1:103" s="35" customFormat="1" ht="21" customHeight="1">
      <c r="A23" s="35">
        <f t="shared" si="0"/>
        <v>0</v>
      </c>
      <c r="B23" s="76">
        <f t="shared" si="3"/>
        <v>16</v>
      </c>
      <c r="C23" s="77">
        <f t="shared" si="5"/>
        <v>16</v>
      </c>
      <c r="D23" s="301" t="str">
        <f t="shared" si="1"/>
        <v>PL Surrender</v>
      </c>
      <c r="E23" s="302">
        <f>IFERROR(IF(D23="","",IF(AND(BQ27=""),"",IF(AND('Master Data'!$I$28='GA55 Check &amp; Edit'!$AP$6),VLOOKUP(D23,ram,13,0),VLOOKUP(D23,ram,4,0)))),"")</f>
        <v>0</v>
      </c>
      <c r="F23" s="303">
        <f>IFERROR(IF(D23="","",IF(D23=$AX$24,"",IF(AND(D23=$AX$25),$BC$25,IF(AND(D23=$AX$26),$BC$26,IF(AND(D23=$AX$27),$BC$27,IF(AND(D23=$AX$28),"",IF(AND(D23=$AX$29),"",IF(AND('Master Data'!$I$28='GA55 Check &amp; Edit'!$AP$6),"",VLOOKUP(D23,ram,7,0))))))))),"")</f>
        <v>0</v>
      </c>
      <c r="G23" s="303" t="str">
        <f>IF(AND('Master Data'!$I$28='GA55 Check &amp; Edit'!$AP$6),"",IF(AND(D23=""),"",IF(AND(D23=$AX$27),"",IF(AND(E23=""),"",ROUND('Master Data'!$E$30%*E23,0)))))</f>
        <v/>
      </c>
      <c r="H23" s="304" t="str">
        <f>IFERROR(IF(D23="","",IF(AND(E23=""),"",IF(AND(D23=$AX$27),"",IF(AND('Master Data'!$I$28='GA55 Check &amp; Edit'!$AP$6),"",'Master Data'!$B$43)))),"")</f>
        <v/>
      </c>
      <c r="I23" s="304" t="str">
        <f>IFERROR(IF(D23="","",IF(AND(E23=""),"",IF(AND(D23=$AX$27),"",IF(AND('Master Data'!$I$28='GA55 Check &amp; Edit'!$AP$6),"",'Master Data'!$E$28)))),"")</f>
        <v/>
      </c>
      <c r="J23" s="304" t="str">
        <f>IFERROR(IF(OR('Master Data'!$E$32=$AO$6,'Master Data'!$E$32=""),"",IF(D23="","",IF(AND(E23=""),"",IF(AND(D23=$AX$27),"",IF(AND('Master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304" t="str">
        <f>IFERROR(IF(D23="","",IF(AND(E23=""),"",IF(AND(D23=$AX$27),"",IF(AND('Master Data'!$I$28='GA55 Check &amp; Edit'!$AP$6),"",'Master Data'!$E$43)))),"")</f>
        <v/>
      </c>
      <c r="L23" s="304" t="str">
        <f>IFERROR(IF(D23="","",IF(AND(E23=""),"",IF(AND(D23=$AX$27),"",IF(AND('Master Data'!$I$28='GA55 Check &amp; Edit'!$AP$6),"",'Master Data'!$F$43)))),"")</f>
        <v/>
      </c>
      <c r="M23" s="304"/>
      <c r="N23" s="304" t="str">
        <f>IFERROR(IF(AND(D23=""),"",IF(AND(D23=$AX$25,'Master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Edit'!$AN$5),"",IF(AND('Master Data'!$I$30='GA55 Check &amp; Edit'!$AN$6,'Master Data'!$I$28='GA55 Check &amp; Edit'!$AP$6),ROUND((E23)*0.1,0),ROUND((E23+F23)*0.1,0))))))),"")</f>
        <v/>
      </c>
      <c r="O23" s="61">
        <f>IF(D23="","",IF('Master Data'!$H$18='GA55 Check &amp; Edit'!$AO$5,SUM(E23:N23),SUM(E23:M23)))</f>
        <v>0</v>
      </c>
      <c r="P23" s="308" t="str">
        <f>IFERROR(IF(OR('Master Data'!$I$28='GA55 Check &amp; Edit'!$AP$6,D23=""),"",IF(AND(D23=$AX$27),"",IF(AND(E23=""),"",VLOOKUP(D23,ram,11,0)))),"")</f>
        <v/>
      </c>
      <c r="Q23" s="308">
        <f>IFERROR(IF(AND(D23=""),"",IF(AND(D23=$AX$24,'Master Data'!$I$30='GA55 Check &amp; Edit'!$AN$5),ROUND((M23)*0.75,0),IF(AND(D23=$AX$25,'Master Data'!$I$30='GA55 Check &amp; Edit'!$AN$6),ROUND((F23)*0.1,0),IF(AND(D23=$AX$26,'Master Data'!$I$30='GA55 Check &amp; Edit'!$AN$6),ROUND((F23)*0.1,0),IF(AND(D23=$AX$28,'Master Data'!$I$30='GA55 Check &amp; Edit'!$AN$6),ROUND((F23)*0.1,0),IF(AND('Master Data'!$I$30='GA55 Check &amp; Edit'!$AN$6,'Master Data'!$I$28='GA55 Check &amp; Edit'!$AP$6),ROUND((E23)*0.1,0),IF(AND('Master Data'!$I$30='GA55 Check &amp; Edit'!$AN$6,'Master Data'!$I$28='GA55 Check &amp; Edit'!$AP$5),ROUND((E23+F23)*0.1,0),IF(AND('Master Data'!$I$30='GA55 Check &amp; Edit'!$AN$5,'Master Data'!$I$28='GA55 Check &amp; Edit'!$AP$5),VLOOKUP(D23,ram,12,0))))))))),"")</f>
        <v>0</v>
      </c>
      <c r="R23" s="308" t="str">
        <f>IFERROR(IF(OR('Master Data'!$I$28='GA55 Check &amp; Edit'!$AP$6,D23=""),"",IF(AND(D23=$AX$27),"",IF(AND(D23=$AX$30),"",IF(AND(E23=""),"",'Master Data'!$I$43)))),"")</f>
        <v/>
      </c>
      <c r="S23" s="308" t="str">
        <f>IFERROR(IF(OR('Master Data'!$I$28='GA55 Check &amp; Edit'!$AP$6),"",IF(D23="","",IF(E23="","",IF(AND(D23=$AX$27),"",IF(AND('Master Data'!$I$30='GA55 Check &amp; Edit'!$AN$5),VLOOKUP(D23,ram,10,0),"0"))))),"")</f>
        <v/>
      </c>
      <c r="T23" s="308" t="str">
        <f>IFERROR(IF(OR('Master Data'!$I$28='GA55 Check &amp; Edit'!$AP$6,D23=""),"",IF(AND(D23=$AX$27),"",IF(AND(E23=""),"",'Master Data'!$K$43))),"")</f>
        <v/>
      </c>
      <c r="U23" s="308" t="str">
        <f>IFERROR(IF(OR('Master Data'!$I$28='GA55 Check &amp; Edit'!$AP$6,D23=""),"",IF(AND(D23=$AX$27),"",IF(AND(E23=""),"",'Master Data'!$L$43))),"")</f>
        <v/>
      </c>
      <c r="V23" s="308" t="str">
        <f>IFERROR(IF(D23="","",IF(AND('Master Data'!$I$28='GA55 Check &amp; Edit'!$AP$6),"",IF(AND('Master Data'!$I$24='GA55 Check &amp; Edit'!$AO$6),"0",IF(AND(D23="Bonus",'Master Data'!$I$30='GA55 Check &amp; Edit'!$AN$6),ROUND((M23)*0.75,0),"")))),"")</f>
        <v/>
      </c>
      <c r="W23" s="308" t="str">
        <f>IFERROR(IF(OR('Master Data'!$E$24='GA55 Check &amp; Edit'!$AQ$6,'Master Data'!$E$24='GA55 Check &amp; Edit'!$AQ$7),"",IF(AND(D23=$AX$27),"",IF(D23="","",IF(E23="","",VLOOKUP(D23,ram,8,0))))),"")</f>
        <v/>
      </c>
      <c r="X23" s="308" t="str">
        <f>IFERROR(IF(D23="","",IF(AND(E23=""),"",IF(AND(D23=$AX$27),"",IF(OR('Master Data'!$I$28='GA55 Check &amp; Edit'!$AP$6,D23=""),"",IF('Master Data'!$N$36="NO",0,IF(D23='Master Data'!$N$40,'Master Data'!$G$43,0)))))),"")</f>
        <v/>
      </c>
      <c r="Y23" s="308" t="str">
        <f>IFERROR(IF(D23="","",IF(AND(E23=""),"",IF(AND(D23=$AX$27),"",IF(OR('Master Data'!$I$28='GA55 Check &amp; Edit'!$AP$6,D23=""),"",$Y$7)))),"")</f>
        <v/>
      </c>
      <c r="Z23" s="308"/>
      <c r="AA23" s="308" t="str">
        <f>IFERROR(IF(OR('Master Data'!$I$28='GA55 Check &amp; Edit'!$AP$6,D23=""),"",IF(AND(E23=""),"",IF('GA55 Check &amp; Edit'!D23='GA55 Check &amp; Edit'!$AT$9,220,""))),"")</f>
        <v/>
      </c>
      <c r="AB23" s="36">
        <f>IFERROR(IF(D23="","",IF(AND(O23=""),"",IF(AND('Master Data'!$H$18='GA55 Check &amp; Edit'!$AO$5,'Master Data'!$I$30='GA55 Check &amp; Edit'!$AN$6),SUM(P23:AA23)+N23,SUM(P23:AA23)))),"")</f>
        <v>0</v>
      </c>
      <c r="AC23" s="37">
        <f t="shared" si="2"/>
        <v>0</v>
      </c>
      <c r="AD23" s="310"/>
      <c r="AE23" s="363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R23" s="41">
        <f>IF('Master Data'!I38&lt;'GA55 Check &amp; Edit'!AX16,MROUND('Master Data'!I36*1.03,100),MROUND(AZ15*1.03,100))</f>
        <v>0</v>
      </c>
      <c r="AS23" s="41"/>
      <c r="AT23" s="41"/>
      <c r="AU23" s="35" t="s">
        <v>110</v>
      </c>
      <c r="AV23" s="41"/>
      <c r="AW23" s="51" t="s">
        <v>94</v>
      </c>
      <c r="AX23" s="54">
        <v>44228</v>
      </c>
      <c r="AY23" s="47">
        <v>2</v>
      </c>
      <c r="AZ23" s="47"/>
      <c r="BA23" s="55">
        <f>IF(AND('Master Data'!$E$36=""),"",IF(AND('Master Data'!$I$28='GA55 Check &amp; Edit'!$AP$6),'GA55 Check &amp; Edit'!$AZ$15,BU23))</f>
        <v>50800</v>
      </c>
      <c r="BB23" s="68">
        <f t="shared" si="11"/>
        <v>50800</v>
      </c>
      <c r="BC23" s="47">
        <f>IF(AND('Master Data'!$E$36=""),"",ROUND(17%*BA23,0))</f>
        <v>8636</v>
      </c>
      <c r="BD23" s="47">
        <f>IF(BB23="","",BC23)</f>
        <v>8636</v>
      </c>
      <c r="BE23" s="7">
        <f>IFERROR(IF('Master Data'!$N$34=$AO$5,0,IF(OR('Master Data'!$I$34&gt;11,'Master Data'!$E$34=$AO$5),ROUND($AZ$21/28*2,0),IF(AND('Master Data'!$I$34&gt;=10,'Master Data'!$E$34=$AO$6),ROUND($AZ$21/28*1,0),IF(AND('Master Data'!$I$34&gt;4,'Master Data'!$D$18=$AO$5),ROUND($AZ$21/28*1,0),"0")))),"")</f>
        <v>0</v>
      </c>
      <c r="BF23" s="55">
        <f>'Master Data'!M47</f>
        <v>0</v>
      </c>
      <c r="BG23" s="55">
        <f>IF(AND('Master Data'!$I$28='GA55 Check &amp; Edit'!$AP$6),"",IF(AND('Master Data'!$I$30='GA55 Check &amp; Edit'!$AN$5),IF($AZ$18&lt;18001,265,IF($AZ$18&lt;33501,440,IF($AZ$18&lt;54001,658,875)))))</f>
        <v>658</v>
      </c>
      <c r="BH23" s="55">
        <f>IFERROR(IF(OR('Master Data'!$I$28='GA55 Check &amp; Edit'!$AP$6),"",'Master Data'!$G$43),"")</f>
        <v>7000</v>
      </c>
      <c r="BI23" s="65">
        <f>IFERROR(IF(AND('Master Data'!$I$30='GA55 Check &amp; Edit'!$AN$6),ROUND((E19)*0.1,0),IF(AND('Master Data'!$I$28='GA55 Check &amp; Edit'!$AP$6),ROUND((E19+F19)*0.1,0),'Master Data'!$H$43)),"")</f>
        <v>3575</v>
      </c>
      <c r="BJ23" s="55">
        <f t="shared" si="14"/>
        <v>50800</v>
      </c>
      <c r="BK23" s="63">
        <v>44228</v>
      </c>
      <c r="BL23" s="63">
        <f>IFERROR(IF('Master Data'!$E$36="","",IF('Master Data'!$F$40="","",IF(AND($AZ$17&gt;$AZ$9),"",DATE(YEAR(BL22),MONTH(BL22)+1,DAY(BL22))))),"")</f>
        <v>44228</v>
      </c>
      <c r="BM23" s="57">
        <f>IFERROR(IF('Master Data'!$E$36="","",IF('Master Data'!$F$40="","",IF(AND($AZ$17&gt;$AZ$9),"",DATE(YEAR(BM22),MONTH(BM22)+1,DAY(BM22))))),"")</f>
        <v>44228</v>
      </c>
      <c r="BN23" s="57">
        <f t="shared" si="6"/>
        <v>44228</v>
      </c>
      <c r="BO23" s="57">
        <f t="shared" si="7"/>
        <v>44228</v>
      </c>
      <c r="BP23" s="57"/>
      <c r="BQ23" s="57">
        <f>IFERROR(IF(BM23="","",IF(D19=$AX$27,$AX$27,IF(BM23&gt;$AZ$17,"",BM23))),"")</f>
        <v>44228</v>
      </c>
      <c r="BR23" s="57"/>
      <c r="BS23" s="59"/>
      <c r="BT23" s="59"/>
      <c r="BU23" s="70">
        <f>IF(AND('Master Data'!$I$38='GA55 Check &amp; Edit'!AX23),'Master Data'!$I$36,BU22)</f>
        <v>50800</v>
      </c>
      <c r="BV23" s="57"/>
      <c r="BW23" s="41"/>
      <c r="BX23" s="59">
        <f>IF(BB23="",0,BF23)</f>
        <v>0</v>
      </c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</row>
    <row r="24" spans="1:103" s="35" customFormat="1" ht="21" customHeight="1">
      <c r="A24" s="35">
        <f t="shared" si="0"/>
        <v>1</v>
      </c>
      <c r="B24" s="76">
        <f t="shared" si="3"/>
        <v>17</v>
      </c>
      <c r="C24" s="77">
        <f t="shared" si="5"/>
        <v>17</v>
      </c>
      <c r="D24" s="301" t="str">
        <f t="shared" si="1"/>
        <v>Other Arrear</v>
      </c>
      <c r="E24" s="302" t="str">
        <f>IFERROR(IF(D24="","",IF(AND(BQ28=""),"",IF(AND('Master Data'!$I$28='GA55 Check &amp; Edit'!$AP$6),VLOOKUP(D24,ram,13,0),VLOOKUP(D24,ram,4,0)))),"")</f>
        <v/>
      </c>
      <c r="F24" s="303" t="str">
        <f>IFERROR(IF(D24="","",IF(D24=$AX$24,"",IF(AND(D24=$AX$25),$BC$25,IF(AND(D24=$AX$26),$BC$26,IF(AND(D24=$AX$27),$BC$27,IF(AND(D24=$AX$28),"",IF(AND(D24=$AX$29),"",IF(AND('Master Data'!$I$28='GA55 Check &amp; Edit'!$AP$6),"",VLOOKUP(D24,ram,7,0))))))))),"")</f>
        <v/>
      </c>
      <c r="G24" s="303" t="str">
        <f>IF(AND('Master Data'!$I$28='GA55 Check &amp; Edit'!$AP$6),"",IF(AND(D24=""),"",IF(AND(D24=$AX$27),"",IF(AND(E24=""),"",ROUND('Master Data'!$E$30%*E24,0)))))</f>
        <v/>
      </c>
      <c r="H24" s="304" t="str">
        <f>IFERROR(IF(D24="","",IF(AND(E24=""),"",IF(AND(D24=$AX$27),"",IF(AND('Master Data'!$I$28='GA55 Check &amp; Edit'!$AP$6),"",'Master Data'!$B$43)))),"")</f>
        <v/>
      </c>
      <c r="I24" s="304" t="str">
        <f>IFERROR(IF(D24="","",IF(AND(E24=""),"",IF(AND(D24=$AX$27),"",IF(AND('Master Data'!$I$28='GA55 Check &amp; Edit'!$AP$6),"",'Master Data'!$E$28)))),"")</f>
        <v/>
      </c>
      <c r="J24" s="304" t="str">
        <f>IFERROR(IF(OR('Master Data'!$E$32=$AO$6,'Master Data'!$E$32=""),"",IF(D24="","",IF(AND(E24=""),"",IF(AND(D24=$AX$27),"",IF(AND('Master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304" t="str">
        <f>IFERROR(IF(D24="","",IF(AND(E24=""),"",IF(AND(D24=$AX$27),"",IF(AND('Master Data'!$I$28='GA55 Check &amp; Edit'!$AP$6),"",'Master Data'!$E$43)))),"")</f>
        <v/>
      </c>
      <c r="L24" s="304" t="str">
        <f>IFERROR(IF(D24="","",IF(AND(E24=""),"",IF(AND(D24=$AX$27),"",IF(AND('Master Data'!$I$28='GA55 Check &amp; Edit'!$AP$6),"",'Master Data'!$F$43)))),"")</f>
        <v/>
      </c>
      <c r="M24" s="304"/>
      <c r="N24" s="304" t="str">
        <f>IFERROR(IF(AND(D24=""),"",IF(AND(D24=$AX$25,'Master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Edit'!$AN$5),"",IF(AND('Master Data'!$I$30='GA55 Check &amp; Edit'!$AN$6,'Master Data'!$I$28='GA55 Check &amp; Edit'!$AP$6),ROUND((E24)*0.1,0),ROUND((E24+F24)*0.1,0))))))),"")</f>
        <v/>
      </c>
      <c r="O24" s="61">
        <f>IF(D24="","",IF('Master Data'!$H$18='GA55 Check &amp; Edit'!$AO$5,SUM(E24:N24),SUM(E24:M24)))</f>
        <v>0</v>
      </c>
      <c r="P24" s="308" t="str">
        <f>IFERROR(IF(OR('Master Data'!$I$28='GA55 Check &amp; Edit'!$AP$6,D24=""),"",IF(AND(D24=$AX$27),"",IF(AND(E24=""),"",VLOOKUP(D24,ram,11,0)))),"")</f>
        <v/>
      </c>
      <c r="Q24" s="308">
        <f>IFERROR(IF(AND(D24=""),"",IF(AND(D24=$AX$24,'Master Data'!$I$30='GA55 Check &amp; Edit'!$AN$5),ROUND((M24)*0.75,0),IF(AND(D24=$AX$25,'Master Data'!$I$30='GA55 Check &amp; Edit'!$AN$6),ROUND((F24)*0.1,0),IF(AND(D24=$AX$26,'Master Data'!$I$30='GA55 Check &amp; Edit'!$AN$6),ROUND((F24)*0.1,0),IF(AND(D24=$AX$28,'Master Data'!$I$30='GA55 Check &amp; Edit'!$AN$6),ROUND((F24)*0.1,0),IF(AND('Master Data'!$I$30='GA55 Check &amp; Edit'!$AN$6,'Master Data'!$I$28='GA55 Check &amp; Edit'!$AP$6),ROUND((E24)*0.1,0),IF(AND('Master Data'!$I$30='GA55 Check &amp; Edit'!$AN$6,'Master Data'!$I$28='GA55 Check &amp; Edit'!$AP$5),ROUND((E24+F24)*0.1,0),IF(AND('Master Data'!$I$30='GA55 Check &amp; Edit'!$AN$5,'Master Data'!$I$28='GA55 Check &amp; Edit'!$AP$5),VLOOKUP(D24,ram,12,0))))))))),"")</f>
        <v>0</v>
      </c>
      <c r="R24" s="308" t="str">
        <f>IFERROR(IF(OR('Master Data'!$I$28='GA55 Check &amp; Edit'!$AP$6,D24=""),"",IF(AND(D24=$AX$27),"",IF(AND(D24=$AX$30),"",IF(AND(E24=""),"",'Master Data'!$I$43)))),"")</f>
        <v/>
      </c>
      <c r="S24" s="308" t="str">
        <f>IFERROR(IF(OR('Master Data'!$I$28='GA55 Check &amp; Edit'!$AP$6),"",IF(D24="","",IF(E24="","",IF(AND(D24=$AX$27),"",IF(AND('Master Data'!$I$30='GA55 Check &amp; Edit'!$AN$5),VLOOKUP(D24,ram,10,0),"0"))))),"")</f>
        <v/>
      </c>
      <c r="T24" s="308" t="str">
        <f>IFERROR(IF(OR('Master Data'!$I$28='GA55 Check &amp; Edit'!$AP$6,D24=""),"",IF(AND(D24=$AX$27),"",IF(AND(E24=""),"",'Master Data'!$K$43))),"")</f>
        <v/>
      </c>
      <c r="U24" s="308" t="str">
        <f>IFERROR(IF(OR('Master Data'!$I$28='GA55 Check &amp; Edit'!$AP$6,D24=""),"",IF(AND(D24=$AX$27),"",IF(AND(E24=""),"",'Master Data'!$L$43))),"")</f>
        <v/>
      </c>
      <c r="V24" s="308" t="str">
        <f>IFERROR(IF(D24="","",IF(AND('Master Data'!$I$28='GA55 Check &amp; Edit'!$AP$6),"",IF(AND('Master Data'!$I$24='GA55 Check &amp; Edit'!$AO$6),"0",IF(AND(D24="Bonus",'Master Data'!$I$30='GA55 Check &amp; Edit'!$AN$6),ROUND((M24)*0.75,0),"")))),"")</f>
        <v/>
      </c>
      <c r="W24" s="308" t="str">
        <f>IFERROR(IF(OR('Master Data'!$E$24='GA55 Check &amp; Edit'!$AQ$6,'Master Data'!$E$24='GA55 Check &amp; Edit'!$AQ$7),"",IF(AND(D24=$AX$27),"",IF(D24="","",IF(E24="","",VLOOKUP(D24,ram,8,0))))),"")</f>
        <v/>
      </c>
      <c r="X24" s="308" t="str">
        <f>IFERROR(IF(D24="","",IF(AND(E24=""),"",IF(AND(D24=$AX$27),"",IF(OR('Master Data'!$I$28='GA55 Check &amp; Edit'!$AP$6,D24=""),"",IF('Master Data'!$N$36="NO",0,IF(D24='Master Data'!$N$40,'Master Data'!$G$43,0)))))),"")</f>
        <v/>
      </c>
      <c r="Y24" s="308" t="str">
        <f>IFERROR(IF(D24="","",IF(AND(E24=""),"",IF(AND(D24=$AX$27),"",IF(OR('Master Data'!$I$28='GA55 Check &amp; Edit'!$AP$6,D24=""),"",$Y$7)))),"")</f>
        <v/>
      </c>
      <c r="Z24" s="308"/>
      <c r="AA24" s="308" t="str">
        <f>IFERROR(IF(OR('Master Data'!$I$28='GA55 Check &amp; Edit'!$AP$6,D24=""),"",IF(AND(E24=""),"",IF('GA55 Check &amp; Edit'!D24='GA55 Check &amp; Edit'!$AT$9,220,""))),"")</f>
        <v/>
      </c>
      <c r="AB24" s="36">
        <f>IFERROR(IF(D24="","",IF(AND(O24=""),"",IF(AND('Master Data'!$H$18='GA55 Check &amp; Edit'!$AO$5,'Master Data'!$I$30='GA55 Check &amp; Edit'!$AN$6),SUM(P24:AA24)+N24,SUM(P24:AA24)))),"")</f>
        <v>0</v>
      </c>
      <c r="AC24" s="37">
        <f t="shared" si="2"/>
        <v>0</v>
      </c>
      <c r="AD24" s="310"/>
      <c r="AE24" s="363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R24" s="41"/>
      <c r="AS24" s="41">
        <f>MROUND('Master Data'!I36*1.03,100)</f>
        <v>0</v>
      </c>
      <c r="AT24" s="41"/>
      <c r="AU24" s="35" t="s">
        <v>111</v>
      </c>
      <c r="AV24" s="41"/>
      <c r="AW24" s="51"/>
      <c r="AX24" s="69" t="str">
        <f>BM24</f>
        <v>Bonus</v>
      </c>
      <c r="AY24" s="47"/>
      <c r="AZ24" s="47"/>
      <c r="BA24" s="47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68"/>
      <c r="BC24" s="47"/>
      <c r="BD24" s="47" t="str">
        <f>IF(BC24="","",BC24)</f>
        <v/>
      </c>
      <c r="BE24" s="47"/>
      <c r="BF24" s="47"/>
      <c r="BG24" s="47"/>
      <c r="BH24" s="47"/>
      <c r="BI24" s="52"/>
      <c r="BJ24" s="47"/>
      <c r="BK24" s="63">
        <v>44256</v>
      </c>
      <c r="BL24" s="63">
        <f>IFERROR(IF('Master Data'!$E$36="","",IF('Master Data'!$F$40="","",IF(AND($AZ$17&gt;$AZ$9),"",DATE(YEAR(BL23),MONTH(BL23)+1,DAY(BL23))))),"")</f>
        <v>44256</v>
      </c>
      <c r="BM24" s="35" t="s">
        <v>80</v>
      </c>
      <c r="BN24" s="57" t="str">
        <f t="shared" si="6"/>
        <v/>
      </c>
      <c r="BO24" s="57" t="str">
        <f t="shared" si="7"/>
        <v>Bonus</v>
      </c>
      <c r="BP24" s="57"/>
      <c r="BQ24" s="57" t="str">
        <f>IFERROR(IF(BM24="","",IF(D20=$AX$27,$AX$27,IF(D20=$AX$30,$AX$30,IF(BM24&gt;$AZ$17,"",BM24)))),"")</f>
        <v/>
      </c>
      <c r="BR24" s="57"/>
      <c r="BS24" s="59"/>
      <c r="BT24" s="59"/>
      <c r="BU24" s="70"/>
      <c r="BV24" s="57"/>
      <c r="BW24" s="41"/>
      <c r="BX24" s="59">
        <f t="shared" si="10"/>
        <v>0</v>
      </c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</row>
    <row r="25" spans="1:103" s="35" customFormat="1" ht="21" customHeight="1">
      <c r="A25" s="35">
        <f t="shared" si="0"/>
        <v>0</v>
      </c>
      <c r="B25" s="76">
        <f t="shared" si="3"/>
        <v>18</v>
      </c>
      <c r="C25" s="77">
        <f t="shared" si="5"/>
        <v>18</v>
      </c>
      <c r="D25" s="301" t="str">
        <f>IFERROR(IF(BO29="","",BO29),"")</f>
        <v xml:space="preserve">Other </v>
      </c>
      <c r="E25" s="302" t="str">
        <f>IFERROR(IF(D25="","",IF(AND(BQ29=""),"",IF(AND('Master Data'!$I$28='GA55 Check &amp; Edit'!$AP$6),VLOOKUP(D25,ram,13,0),VLOOKUP(D25,ram,4,0)))),"")</f>
        <v/>
      </c>
      <c r="F25" s="303" t="str">
        <f>IFERROR(IF(D25="","",IF(D25=$AX$24,"",IF(AND(D25=$AX$25),$BC$25,IF(AND(D25=$AX$26),$BC$26,IF(AND(D25=$AX$27),$BC$27,IF(AND(D25=$AX$28),"",IF(AND(D25=$AX$29),"",IF(AND('Master Data'!$I$28='GA55 Check &amp; Edit'!$AP$6),"",VLOOKUP(D25,ram,7,0))))))))),"")</f>
        <v/>
      </c>
      <c r="G25" s="303" t="str">
        <f>IF(AND('Master Data'!$I$28='GA55 Check &amp; Edit'!$AP$6),"",IF(AND(D25=""),"",IF(AND(D25=$AX$27),"",IF(AND(E25=""),"",ROUND('Master Data'!$E$30%*E25,0)))))</f>
        <v/>
      </c>
      <c r="H25" s="304" t="str">
        <f>IFERROR(IF(D25="","",IF(AND(E25=""),"",IF(AND(D25=$AX$27),"",IF(AND('Master Data'!$I$28='GA55 Check &amp; Edit'!$AP$6),"",'Master Data'!$B$43)))),"")</f>
        <v/>
      </c>
      <c r="I25" s="304" t="str">
        <f>IFERROR(IF(D25="","",IF(AND(E25=""),"",IF(AND(D25=$AX$27),"",IF(AND('Master Data'!$I$28='GA55 Check &amp; Edit'!$AP$6),"",'Master Data'!$E$28)))),"")</f>
        <v/>
      </c>
      <c r="J25" s="304" t="str">
        <f>IFERROR(IF(OR('Master Data'!$E$32=$AO$6,'Master Data'!$E$32=""),"",IF(D25="","",IF(AND(E25=""),"",IF(AND(D25=$AX$27),"",IF(AND('Master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304" t="str">
        <f>IFERROR(IF(D25="","",IF(AND(E25=""),"",IF(AND(D25=$AX$27),"",IF(AND('Master Data'!$I$28='GA55 Check &amp; Edit'!$AP$6),"",'Master Data'!$E$43)))),"")</f>
        <v/>
      </c>
      <c r="L25" s="304" t="str">
        <f>IFERROR(IF(D25="","",IF(AND(E25=""),"",IF(AND(D25=$AX$27),"",IF(AND('Master Data'!$I$28='GA55 Check &amp; Edit'!$AP$6),"",'Master Data'!$F$43)))),"")</f>
        <v/>
      </c>
      <c r="M25" s="304"/>
      <c r="N25" s="304" t="str">
        <f>IFERROR(IF(AND(D25=""),"",IF(AND(D25=$AX$25,'Master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Edit'!$AN$5),"",IF(AND('Master Data'!$I$30='GA55 Check &amp; Edit'!$AN$6,'Master Data'!$I$28='GA55 Check &amp; Edit'!$AP$6),ROUND((E25)*0.1,0),ROUND((E25+F25)*0.1,0))))))),"")</f>
        <v/>
      </c>
      <c r="O25" s="61">
        <f>IF(D25="","",IF('Master Data'!$H$18='GA55 Check &amp; Edit'!$AO$5,SUM(E25:N25),SUM(E25:M25)))</f>
        <v>0</v>
      </c>
      <c r="P25" s="308" t="str">
        <f>IFERROR(IF(OR('Master Data'!$I$28='GA55 Check &amp; Edit'!$AP$6,D25=""),"",IF(AND(D25=$AX$27),"",IF(AND(E25=""),"",VLOOKUP(D25,ram,11,0)))),"")</f>
        <v/>
      </c>
      <c r="Q25" s="308">
        <f>IFERROR(IF(AND(D25=""),"",IF(AND(D25=$AX$24,'Master Data'!$I$30='GA55 Check &amp; Edit'!$AN$5),ROUND((M25)*0.75,0),IF(AND(D25=$AX$25,'Master Data'!$I$30='GA55 Check &amp; Edit'!$AN$6),ROUND((F25)*0.1,0),IF(AND(D25=$AX$26,'Master Data'!$I$30='GA55 Check &amp; Edit'!$AN$6),ROUND((F25)*0.1,0),IF(AND(D25=$AX$28,'Master Data'!$I$30='GA55 Check &amp; Edit'!$AN$6),ROUND((F25)*0.1,0),IF(AND('Master Data'!$I$30='GA55 Check &amp; Edit'!$AN$6,'Master Data'!$I$28='GA55 Check &amp; Edit'!$AP$6),ROUND((E25)*0.1,0),IF(AND('Master Data'!$I$30='GA55 Check &amp; Edit'!$AN$6,'Master Data'!$I$28='GA55 Check &amp; Edit'!$AP$5),ROUND((E25+F25)*0.1,0),IF(AND('Master Data'!$I$30='GA55 Check &amp; Edit'!$AN$5,'Master Data'!$I$28='GA55 Check &amp; Edit'!$AP$5),VLOOKUP(D25,ram,12,0))))))))),"")</f>
        <v>0</v>
      </c>
      <c r="R25" s="308" t="str">
        <f>IFERROR(IF(OR('Master Data'!$I$28='GA55 Check &amp; Edit'!$AP$6,D25=""),"",IF(AND(D25=$AX$27),"",IF(AND(D25=$AX$30),"",IF(AND(E25=""),"",'Master Data'!$I$43)))),"")</f>
        <v/>
      </c>
      <c r="S25" s="308" t="str">
        <f>IFERROR(IF(OR('Master Data'!$I$28='GA55 Check &amp; Edit'!$AP$6),"",IF(D25="","",IF(E25="","",IF(AND(D25=$AX$27),"",IF(AND('Master Data'!$I$30='GA55 Check &amp; Edit'!$AN$5),VLOOKUP(D25,ram,10,0),"0"))))),"")</f>
        <v/>
      </c>
      <c r="T25" s="308" t="str">
        <f>IFERROR(IF(OR('Master Data'!$I$28='GA55 Check &amp; Edit'!$AP$6,D25=""),"",IF(AND(D25=$AX$27),"",IF(AND(E25=""),"",'Master Data'!$K$43))),"")</f>
        <v/>
      </c>
      <c r="U25" s="308" t="str">
        <f>IFERROR(IF(OR('Master Data'!$I$28='GA55 Check &amp; Edit'!$AP$6,D25=""),"",IF(AND(D25=$AX$27),"",IF(AND(E25=""),"",'Master Data'!$L$43))),"")</f>
        <v/>
      </c>
      <c r="V25" s="308" t="str">
        <f>IFERROR(IF(D25="","",IF(AND('Master Data'!$I$28='GA55 Check &amp; Edit'!$AP$6),"",IF(AND('Master Data'!$I$24='GA55 Check &amp; Edit'!$AO$6),"0",IF(AND(D25="Bonus",'Master Data'!$I$30='GA55 Check &amp; Edit'!$AN$6),ROUND((M25)*0.75,0),"")))),"")</f>
        <v/>
      </c>
      <c r="W25" s="308" t="str">
        <f>IFERROR(IF(OR('Master Data'!$E$24='GA55 Check &amp; Edit'!$AQ$6,'Master Data'!$E$24='GA55 Check &amp; Edit'!$AQ$7),"",IF(AND(D25=$AX$27),"",IF(D25="","",IF(E25="","",VLOOKUP(D25,ram,8,0))))),"")</f>
        <v/>
      </c>
      <c r="X25" s="308" t="str">
        <f>IFERROR(IF(D25="","",IF(AND(E25=""),"",IF(AND(D25=$AX$27),"",IF(OR('Master Data'!$I$28='GA55 Check &amp; Edit'!$AP$6,D25=""),"",IF('Master Data'!$N$36="NO",0,IF(D25='Master Data'!$N$40,'Master Data'!$G$43,0)))))),"")</f>
        <v/>
      </c>
      <c r="Y25" s="308" t="str">
        <f>IFERROR(IF(D25="","",IF(AND(E25=""),"",IF(AND(D25=$AX$27),"",IF(OR('Master Data'!$I$28='GA55 Check &amp; Edit'!$AP$6,D25=""),"",$Y$7)))),"")</f>
        <v/>
      </c>
      <c r="Z25" s="308"/>
      <c r="AA25" s="308" t="str">
        <f>IFERROR(IF(OR('Master Data'!$I$28='GA55 Check &amp; Edit'!$AP$6,D25=""),"",IF(AND(E25=""),"",IF('GA55 Check &amp; Edit'!D25='GA55 Check &amp; Edit'!$AT$9,220,""))),"")</f>
        <v/>
      </c>
      <c r="AB25" s="36">
        <f>IFERROR(IF(D25="","",IF(AND(O25=""),"",IF(AND('Master Data'!$H$18='GA55 Check &amp; Edit'!$AO$5,'Master Data'!$I$30='GA55 Check &amp; Edit'!$AN$6),SUM(P25:AA25)+N25,SUM(P25:AA25)))),"")</f>
        <v>0</v>
      </c>
      <c r="AC25" s="37">
        <f t="shared" si="2"/>
        <v>0</v>
      </c>
      <c r="AD25" s="310"/>
      <c r="AE25" s="363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57"/>
      <c r="AR25" s="41"/>
      <c r="AS25" s="41">
        <f>MROUND(AZ15*1.03,100)</f>
        <v>50800</v>
      </c>
      <c r="AT25" s="41"/>
      <c r="AU25" s="35" t="s">
        <v>112</v>
      </c>
      <c r="AV25" s="41"/>
      <c r="AW25" s="51"/>
      <c r="AX25" s="69" t="str">
        <f t="shared" ref="AX25:AX30" si="15">BM25</f>
        <v>DA Arrear jul 19 to dec 20</v>
      </c>
      <c r="AY25" s="47"/>
      <c r="AZ25" s="47"/>
      <c r="BA25" s="47"/>
      <c r="BB25" s="47"/>
      <c r="BC25" s="47">
        <f>IF('Master Data'!$I$28='GA55 Check &amp; Edit'!$AP$6,"",ROUND((BB32-BA32)*BC32,0))</f>
        <v>14790</v>
      </c>
      <c r="BD25" s="47">
        <f>IF(BC25="","",BC25)</f>
        <v>14790</v>
      </c>
      <c r="BE25" s="47"/>
      <c r="BF25" s="47"/>
      <c r="BG25" s="47"/>
      <c r="BH25" s="47"/>
      <c r="BI25" s="52">
        <f>BD25</f>
        <v>14790</v>
      </c>
      <c r="BJ25" s="47"/>
      <c r="BK25" s="63">
        <v>44287</v>
      </c>
      <c r="BL25" s="63">
        <f>IFERROR(IF('Master Data'!$E$36="","",IF('Master Data'!$F$40="","",IF(AND($AZ$17&gt;$AZ$9),"",DATE(YEAR(BL24),MONTH(BL24)+1,DAY(BL24))))),"")</f>
        <v>44287</v>
      </c>
      <c r="BM25" s="35" t="s">
        <v>323</v>
      </c>
      <c r="BN25" s="57" t="str">
        <f t="shared" si="6"/>
        <v/>
      </c>
      <c r="BO25" s="57" t="str">
        <f t="shared" si="7"/>
        <v>DA Arrear jul 19 to dec 20</v>
      </c>
      <c r="BP25" s="57"/>
      <c r="BQ25" s="57" t="str">
        <f t="shared" ref="BQ25:BQ30" si="16">IFERROR(IF(BM25="","",IF(D21=$AX$27,$AX$27,IF(D21=$AX$30,$AX$30,IF(BM25&gt;$AZ$17,"",BM25)))),"")</f>
        <v/>
      </c>
      <c r="BR25" s="41"/>
      <c r="BS25" s="59"/>
      <c r="BT25" s="59"/>
      <c r="BU25" s="70"/>
      <c r="BV25" s="57"/>
      <c r="BW25" s="41"/>
      <c r="BX25" s="59">
        <f t="shared" si="10"/>
        <v>0</v>
      </c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</row>
    <row r="26" spans="1:103" s="35" customFormat="1" ht="21" customHeight="1">
      <c r="A26" s="35">
        <f t="shared" si="0"/>
        <v>1</v>
      </c>
      <c r="B26" s="76">
        <f t="shared" si="3"/>
        <v>19</v>
      </c>
      <c r="C26" s="77">
        <f t="shared" si="5"/>
        <v>19</v>
      </c>
      <c r="D26" s="301" t="str">
        <f>IFERROR(IF(BO30="","",BO30),"")</f>
        <v>March 20 freeze salary</v>
      </c>
      <c r="E26" s="302">
        <f>IFERROR(IF(D26="","",IF(AND(BQ30=""),"",IF(AND('Master Data'!$I$28='GA55 Check &amp; Edit'!$AP$6),VLOOKUP(D26,ram,13,0),VLOOKUP(D26,ram,4,0)))),"")</f>
        <v>25445</v>
      </c>
      <c r="F26" s="303">
        <f>IFERROR(IF(D26="","",IF(D26=$AX$24,"",IF(AND(D26=$AX$25),$BC$25,IF(AND(D26=$AX$26),$BC$26,IF(AND(D26=$AX$27),$BC$27,IF(AND(D26=$AX$28),"",IF(AND(D26=$AX$29),"",IF(AND('Master Data'!$I$28='GA55 Check &amp; Edit'!$AP$6),"",VLOOKUP(D26,ram,7,0))))))))),"")</f>
        <v>4326</v>
      </c>
      <c r="G26" s="303">
        <f>IF(AND('Master Data'!$I$28='GA55 Check &amp; Edit'!$AP$6),"",IF(AND(D26=""),"",IF(AND(D26=$AX$27),"",IF(AND(E26=""),"",ROUND('Master Data'!$E$30%*E26,0)))))</f>
        <v>2036</v>
      </c>
      <c r="H26" s="304">
        <f>IFERROR(IF(D26="","",IF(AND(E26=""),"",IF(AND(D26=$AX$27),"",IF(AND('Master Data'!$I$28='GA55 Check &amp; Edit'!$AP$6),"",'Master Data'!$B$43)))),"")</f>
        <v>0</v>
      </c>
      <c r="I26" s="304">
        <f>IFERROR(IF(D26="","",IF(AND(E26=""),"",IF(AND(D26=$AX$27),"",IF(AND('Master Data'!$I$28='GA55 Check &amp; Edit'!$AP$6),"",'Master Data'!$E$28)))),"")</f>
        <v>0</v>
      </c>
      <c r="J26" s="304" t="str">
        <f>IFERROR(IF(OR('Master Data'!$E$32=$AO$6,'Master Data'!$E$32=""),"",IF(D26="","",IF(AND(E26=""),"",IF(AND(D26=$AX$27),"",IF(AND('Master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304">
        <f>IFERROR(IF(D26="","",IF(AND(E26=""),"",IF(AND(D26=$AX$27),"",IF(AND('Master Data'!$I$28='GA55 Check &amp; Edit'!$AP$6),"",'Master Data'!$E$43)))),"")</f>
        <v>0</v>
      </c>
      <c r="L26" s="304">
        <f>IFERROR(IF(D26="","",IF(AND(E26=""),"",IF(AND(D26=$AX$27),"",IF(AND('Master Data'!$I$28='GA55 Check &amp; Edit'!$AP$6),"",'Master Data'!$F$43)))),"")</f>
        <v>0</v>
      </c>
      <c r="M26" s="304"/>
      <c r="N26" s="304" t="str">
        <f>IFERROR(IF(AND(D26=""),"",IF(AND(D26=$AX$25,'Master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Edit'!$AN$5),"",IF(AND('Master Data'!$I$30='GA55 Check &amp; Edit'!$AN$6,'Master Data'!$I$28='GA55 Check &amp; Edit'!$AP$6),ROUND((E26)*0.1,0),ROUND((E26+F26)*0.1,0))))))),"")</f>
        <v/>
      </c>
      <c r="O26" s="61">
        <f>IF(D26="","",IF('Master Data'!$H$18='GA55 Check &amp; Edit'!$AO$5,SUM(E26:N26),SUM(E26:M26)))</f>
        <v>31807</v>
      </c>
      <c r="P26" s="308">
        <f>IFERROR(IF(OR('Master Data'!$I$28='GA55 Check &amp; Edit'!$AP$6,D26=""),"",IF(AND(D26=$AX$27),"",IF(AND(E26=""),"",VLOOKUP(D26,ram,11,0)))),"")</f>
        <v>0</v>
      </c>
      <c r="Q26" s="308">
        <f>IFERROR(IF(AND(D26=""),"",IF(AND(D26=$AX$24,'Master Data'!$I$30='GA55 Check &amp; Edit'!$AN$5),ROUND((M26)*0.75,0),IF(AND(D26=$AX$25,'Master Data'!$I$30='GA55 Check &amp; Edit'!$AN$6),ROUND((F26)*0.1,0),IF(AND(D26=$AX$26,'Master Data'!$I$30='GA55 Check &amp; Edit'!$AN$6),ROUND((F26)*0.1,0),IF(AND(D26=$AX$28,'Master Data'!$I$30='GA55 Check &amp; Edit'!$AN$6),ROUND((F26)*0.1,0),IF(AND('Master Data'!$I$30='GA55 Check &amp; Edit'!$AN$6,'Master Data'!$I$28='GA55 Check &amp; Edit'!$AP$6),ROUND((E26)*0.1,0),IF(AND('Master Data'!$I$30='GA55 Check &amp; Edit'!$AN$6,'Master Data'!$I$28='GA55 Check &amp; Edit'!$AP$5),ROUND((E26+F26)*0.1,0),IF(AND('Master Data'!$I$30='GA55 Check &amp; Edit'!$AN$5,'Master Data'!$I$28='GA55 Check &amp; Edit'!$AP$5),VLOOKUP(D26,ram,12,0))))))))),"")</f>
        <v>3575</v>
      </c>
      <c r="R26" s="308" t="str">
        <f>IFERROR(IF(OR('Master Data'!$I$28='GA55 Check &amp; Edit'!$AP$6,D26=""),"",IF(AND(D26=$AX$27),"",IF(AND(D26=$AX$30),"",IF(AND(E26=""),"",'Master Data'!$I$43)))),"")</f>
        <v/>
      </c>
      <c r="S26" s="308">
        <f>IFERROR(IF(OR('Master Data'!$I$28='GA55 Check &amp; Edit'!$AP$6),"",IF(D26="","",IF(E26="","",IF(AND(D26=$AX$27),"",IF(AND('Master Data'!$I$30='GA55 Check &amp; Edit'!$AN$5),VLOOKUP(D26,ram,10,0),"0"))))),"")</f>
        <v>0</v>
      </c>
      <c r="T26" s="308">
        <f>IFERROR(IF(OR('Master Data'!$I$28='GA55 Check &amp; Edit'!$AP$6,D26=""),"",IF(AND(D26=$AX$27),"",IF(AND(E26=""),"",'Master Data'!$K$43))),"")</f>
        <v>0</v>
      </c>
      <c r="U26" s="308">
        <f>IFERROR(IF(OR('Master Data'!$I$28='GA55 Check &amp; Edit'!$AP$6,D26=""),"",IF(AND(D26=$AX$27),"",IF(AND(E26=""),"",'Master Data'!$L$43))),"")</f>
        <v>0</v>
      </c>
      <c r="V26" s="308" t="str">
        <f>IFERROR(IF(D26="","",IF(AND('Master Data'!$I$28='GA55 Check &amp; Edit'!$AP$6),"",IF(AND('Master Data'!$I$24='GA55 Check &amp; Edit'!$AO$6),"0",IF(AND(D26="Bonus",'Master Data'!$I$30='GA55 Check &amp; Edit'!$AN$6),ROUND((M26)*0.75,0),"")))),"")</f>
        <v/>
      </c>
      <c r="W26" s="308">
        <f>IFERROR(IF(OR('Master Data'!$E$24='GA55 Check &amp; Edit'!$AQ$6,'Master Data'!$E$24='GA55 Check &amp; Edit'!$AQ$7),"",IF(AND(D26=$AX$27),"",IF(D26="","",IF(E26="","",VLOOKUP(D26,ram,8,0))))),"")</f>
        <v>0</v>
      </c>
      <c r="X26" s="308">
        <f>IFERROR(IF(D26="","",IF(AND(E26=""),"",IF(AND(D26=$AX$27),"",IF(OR('Master Data'!$I$28='GA55 Check &amp; Edit'!$AP$6,D26=""),"",IF('Master Data'!$N$36="NO",0,IF(D26='Master Data'!$N$40,'Master Data'!$G$43,0)))))),"")</f>
        <v>0</v>
      </c>
      <c r="Y26" s="308">
        <f>IFERROR(IF(D26="","",IF(AND(E26=""),"",IF(AND(D26=$AX$27),"",IF(OR('Master Data'!$I$28='GA55 Check &amp; Edit'!$AP$6,D26=""),"",$Y$7)))),"")</f>
        <v>0</v>
      </c>
      <c r="Z26" s="308"/>
      <c r="AA26" s="308" t="str">
        <f>IFERROR(IF(OR('Master Data'!$I$28='GA55 Check &amp; Edit'!$AP$6,D26=""),"",IF(AND(E26=""),"",IF('GA55 Check &amp; Edit'!D26='GA55 Check &amp; Edit'!$AT$9,220,""))),"")</f>
        <v/>
      </c>
      <c r="AB26" s="36">
        <f>IFERROR(IF(D26="","",IF(AND(O26=""),"",IF(AND('Master Data'!$H$18='GA55 Check &amp; Edit'!$AO$5,'Master Data'!$I$30='GA55 Check &amp; Edit'!$AN$6),SUM(P26:AA26)+N26,SUM(P26:AA26)))),"")</f>
        <v>3575</v>
      </c>
      <c r="AC26" s="37">
        <f t="shared" si="2"/>
        <v>28232</v>
      </c>
      <c r="AD26" s="310"/>
      <c r="AE26" s="363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58"/>
      <c r="AQ26" s="41"/>
      <c r="AR26" s="41"/>
      <c r="AS26" s="41"/>
      <c r="AT26" s="41"/>
      <c r="AU26" s="35" t="s">
        <v>113</v>
      </c>
      <c r="AV26" s="41"/>
      <c r="AW26" s="51"/>
      <c r="AX26" s="69" t="str">
        <f t="shared" si="15"/>
        <v>DA Arrear jan 20 to feb 20</v>
      </c>
      <c r="AY26" s="47"/>
      <c r="AZ26" s="47"/>
      <c r="BA26" s="47"/>
      <c r="BB26" s="47"/>
      <c r="BC26" s="47">
        <f>IF('Master Data'!$I$28='GA55 Check &amp; Edit'!$AP$6,"",ROUND((BB31-BA31)*BC31,0))</f>
        <v>4930</v>
      </c>
      <c r="BD26" s="47">
        <f>IF(BC26="","",BC26)</f>
        <v>4930</v>
      </c>
      <c r="BE26" s="47"/>
      <c r="BF26" s="47"/>
      <c r="BG26" s="47"/>
      <c r="BH26" s="47"/>
      <c r="BI26" s="52">
        <f>BD26</f>
        <v>4930</v>
      </c>
      <c r="BJ26" s="47"/>
      <c r="BK26" s="63">
        <v>44317</v>
      </c>
      <c r="BL26" s="63">
        <f>IFERROR(IF('Master Data'!$E$36="","",IF('Master Data'!$F$40="","",IF(AND($AZ$17&gt;$AZ$9),"",DATE(YEAR(BL25),MONTH(BL25)+1,DAY(BL25))))),"")</f>
        <v>44317</v>
      </c>
      <c r="BM26" s="35" t="s">
        <v>324</v>
      </c>
      <c r="BN26" s="57" t="str">
        <f t="shared" si="6"/>
        <v/>
      </c>
      <c r="BO26" s="57" t="str">
        <f t="shared" si="7"/>
        <v>DA Arrear jan 20 to feb 20</v>
      </c>
      <c r="BP26" s="57"/>
      <c r="BQ26" s="57" t="str">
        <f t="shared" si="16"/>
        <v/>
      </c>
      <c r="BR26" s="41"/>
      <c r="BS26" s="59"/>
      <c r="BT26" s="57"/>
      <c r="BU26" s="70"/>
      <c r="BV26" s="57"/>
      <c r="BW26" s="41"/>
      <c r="BX26" s="59">
        <f t="shared" si="10"/>
        <v>0</v>
      </c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</row>
    <row r="27" spans="1:103" s="35" customFormat="1" ht="21" customHeight="1">
      <c r="A27" s="35">
        <f t="shared" si="0"/>
        <v>0</v>
      </c>
      <c r="B27" s="76">
        <f t="shared" si="3"/>
        <v>0</v>
      </c>
      <c r="C27" s="77" t="str">
        <f t="shared" si="5"/>
        <v/>
      </c>
      <c r="D27" s="306"/>
      <c r="E27" s="302" t="str">
        <f>IFERROR(IF(D27="","",IF(AND(BQ31=""),"",IF(AND('Master Data'!$I$28='GA55 Check &amp; Edit'!$AP$6),VLOOKUP(D27,ram,13,0),VLOOKUP(D27,ram,4,0)))),"")</f>
        <v/>
      </c>
      <c r="F27" s="303" t="str">
        <f>IFERROR(IF(D27="","",IF(D27=$AX$24,"",IF(AND(D27=$AX$25),$BC$25,IF(AND(D27=$AX$26),$BC$26,IF(AND(D27=$AX$27),$BC$27,IF(AND(D27=$AX$28),"",IF(AND(D27=$AX$29),"",IF(AND('Master Data'!$I$28='GA55 Check &amp; Edit'!$AP$6),"",VLOOKUP(D27,ram,7,0))))))))),"")</f>
        <v/>
      </c>
      <c r="G27" s="303" t="str">
        <f>IF(AND('Master Data'!$I$28='GA55 Check &amp; Edit'!$AP$6),"",IF(AND(D27=""),"",IF(AND(D27=$AX$27),"",IF(AND(E27=""),"",ROUND('Master Data'!$E$30%*E27,0)))))</f>
        <v/>
      </c>
      <c r="H27" s="304" t="str">
        <f>IFERROR(IF(D27="","",IF(AND(E27=""),"",IF(AND(D27=$AX$27),"",IF(AND('Master Data'!$I$28='GA55 Check &amp; Edit'!$AP$6),"",'Master Data'!$B$43)))),"")</f>
        <v/>
      </c>
      <c r="I27" s="304" t="str">
        <f>IFERROR(IF(D27="","",IF(AND(E27=""),"",IF(AND(D27=$AX$27),"",IF(AND('Master Data'!$I$28='GA55 Check &amp; Edit'!$AP$6),"",'Master Data'!$E$28)))),"")</f>
        <v/>
      </c>
      <c r="J27" s="304" t="str">
        <f>IFERROR(IF(OR('Master Data'!$E$32=$AO$6,'Master Data'!$E$32=""),"",IF(D27="","",IF(AND(E27=""),"",IF(AND(D27=$AX$27),"",IF(AND('Master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304" t="str">
        <f>IFERROR(IF(D27="","",IF(AND(E27=""),"",IF(AND(D27=$AX$27),"",IF(AND('Master Data'!$I$28='GA55 Check &amp; Edit'!$AP$6),"",'Master Data'!$E$43)))),"")</f>
        <v/>
      </c>
      <c r="L27" s="304" t="str">
        <f>IFERROR(IF(D27="","",IF(AND(E27=""),"",IF(AND(D27=$AX$27),"",IF(AND('Master Data'!$I$28='GA55 Check &amp; Edit'!$AP$6),"",'Master Data'!$F$43)))),"")</f>
        <v/>
      </c>
      <c r="M27" s="304"/>
      <c r="N27" s="304" t="str">
        <f>IFERROR(IF(AND(D27=""),"",IF(AND(D27=$AX$25,'Master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Edit'!$AN$5),"",IF(AND('Master Data'!$I$30='GA55 Check &amp; Edit'!$AN$6,'Master Data'!$I$28='GA55 Check &amp; Edit'!$AP$6),ROUND((E27)*0.1,0),ROUND((E27+F27)*0.1,0))))))),"")</f>
        <v/>
      </c>
      <c r="O27" s="61" t="str">
        <f>IF(D27="","",IF('Master Data'!$H$18='GA55 Check &amp; Edit'!$AO$5,SUM(E27:N27),SUM(E27:M27)))</f>
        <v/>
      </c>
      <c r="P27" s="308"/>
      <c r="Q27" s="308" t="str">
        <f>IFERROR(IF(AND(D27=""),"",IF(AND(D27=$AX$24,'Master Data'!$I$30='GA55 Check &amp; Edit'!$AN$5),ROUND((M27)*0.75,0),IF(AND(D27=$AX$25,'Master Data'!$I$30='GA55 Check &amp; Edit'!$AN$6),ROUND((F27)*0.1,0),IF(AND(D27=$AX$26,'Master Data'!$I$30='GA55 Check &amp; Edit'!$AN$6),ROUND((F27)*0.1,0),IF(AND(D27=$AX$28,'Master Data'!$I$30='GA55 Check &amp; Edit'!$AN$6),ROUND((F27)*0.1,0),IF(AND('Master Data'!$I$30='GA55 Check &amp; Edit'!$AN$6,'Master Data'!$I$28='GA55 Check &amp; Edit'!$AP$6),ROUND((E27)*0.1,0),IF(AND('Master Data'!$I$30='GA55 Check &amp; Edit'!$AN$6,'Master Data'!$I$28='GA55 Check &amp; Edit'!$AP$5),ROUND((E27+F27)*0.1,0),IF(AND('Master Data'!$I$30='GA55 Check &amp; Edit'!$AN$5,'Master Data'!$I$28='GA55 Check &amp; Edit'!$AP$5),VLOOKUP(D27,ram,12,0))))))))),"")</f>
        <v/>
      </c>
      <c r="R27" s="308" t="str">
        <f>IFERROR(IF(OR('Master Data'!$I$28='GA55 Check &amp; Edit'!$AP$6,D27=""),"",IF(AND(D27=$AX$27),"",IF(AND(D27=$AX$30),"",IF(AND(E27=""),"",'Master Data'!$I$43)))),"")</f>
        <v/>
      </c>
      <c r="S27" s="308" t="str">
        <f>IFERROR(IF(OR('Master Data'!$I$28='GA55 Check &amp; Edit'!$AP$6),"",IF(D27="","",IF(E27="","",IF(AND(D27=$AX$27),"",IF(AND('Master Data'!$I$30='GA55 Check &amp; Edit'!$AN$5),VLOOKUP(D27,ram,10,0),"0"))))),"")</f>
        <v/>
      </c>
      <c r="T27" s="308" t="str">
        <f>IFERROR(IF(OR('Master Data'!$I$28='GA55 Check &amp; Edit'!$AP$6,D27=""),"",IF(AND(D27=$AX$27),"",IF(AND(E27=""),"",'Master Data'!$K$43))),"")</f>
        <v/>
      </c>
      <c r="U27" s="308" t="str">
        <f>IFERROR(IF(OR('Master Data'!$I$28='GA55 Check &amp; Edit'!$AP$6,D27=""),"",IF(AND(D27=$AX$27),"",IF(AND(E27=""),"",'Master Data'!$L$43))),"")</f>
        <v/>
      </c>
      <c r="V27" s="308" t="str">
        <f>IFERROR(IF(D27="","",IF(AND('Master Data'!$I$28='GA55 Check &amp; Edit'!$AP$6),"",IF(AND('Master Data'!$I$24='GA55 Check &amp; Edit'!$AO$6),"0",IF(AND(D27="Bonus",'Master Data'!$I$30='GA55 Check &amp; Edit'!$AN$6),ROUND((M27)*0.75,0),"")))),"")</f>
        <v/>
      </c>
      <c r="W27" s="308" t="str">
        <f>IFERROR(IF(OR('Master Data'!$E$24='GA55 Check &amp; Edit'!$AQ$6,'Master Data'!$E$24='GA55 Check &amp; Edit'!$AQ$7),"",IF(AND(D27=$AX$27),"",IF(D27="","",IF(E27="","",VLOOKUP(D27,ram,8,0))))),"")</f>
        <v/>
      </c>
      <c r="X27" s="308" t="str">
        <f>IFERROR(IF(D27="","",IF(AND(E27=""),"",IF(AND(D27=$AX$27),"",IF(OR('Master Data'!$I$28='GA55 Check &amp; Edit'!$AP$6,D27=""),"",IF('Master Data'!$N$36="NO",0,IF(D27='Master Data'!$N$40,'Master Data'!$G$43,0)))))),"")</f>
        <v/>
      </c>
      <c r="Y27" s="308" t="str">
        <f>IFERROR(IF(D27="","",IF(AND(E27=""),"",IF(AND(D27=$AX$27),"",IF(OR('Master Data'!$I$28='GA55 Check &amp; Edit'!$AP$6,D27=""),"",$Y$7)))),"")</f>
        <v/>
      </c>
      <c r="Z27" s="308"/>
      <c r="AA27" s="308" t="str">
        <f>IFERROR(IF(OR('Master Data'!$I$28='GA55 Check &amp; Edit'!$AP$6,D27=""),"",IF(AND(E27=""),"",IF('GA55 Check &amp; Edit'!D27='GA55 Check &amp; Edit'!$AT$9,220,""))),"")</f>
        <v/>
      </c>
      <c r="AB27" s="36" t="str">
        <f>IFERROR(IF(D27="","",IF(AND(O27=""),"",IF(AND('Master Data'!$H$18='GA55 Check &amp; Edit'!$AO$5,'Master Data'!$I$30='GA55 Check &amp; Edit'!$AN$6),SUM(P27:AA27)+N27,SUM(P27:AA27)))),"")</f>
        <v/>
      </c>
      <c r="AC27" s="37" t="str">
        <f t="shared" si="2"/>
        <v/>
      </c>
      <c r="AD27" s="310"/>
      <c r="AE27" s="364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35" t="s">
        <v>114</v>
      </c>
      <c r="AV27" s="41"/>
      <c r="AW27" s="51"/>
      <c r="AX27" s="69" t="str">
        <f t="shared" si="15"/>
        <v>PL Surrender</v>
      </c>
      <c r="AY27" s="47"/>
      <c r="AZ27" s="47"/>
      <c r="BA27" s="47">
        <f>IF('Master Data'!$I$28='GA55 Check &amp; Edit'!$AP$6,"",IF(OR('Master Data'!E22="NO",'Master Data'!E22=""),0,VLOOKUP('Master Data'!I22,AW12:BD29,5,0)/2))</f>
        <v>0</v>
      </c>
      <c r="BB27" s="47"/>
      <c r="BC27" s="47">
        <f>IF('Master Data'!$I$28='GA55 Check &amp; Edit'!$AP$6,"",IF(AND(BA27=""),"",ROUND(17%*BA27,0)))</f>
        <v>0</v>
      </c>
      <c r="BD27" s="47">
        <f>IF('Master Data'!$I$28='GA55 Check &amp; Edit'!$AP$6,"",IF(BC27="","",BC27))</f>
        <v>0</v>
      </c>
      <c r="BE27" s="47"/>
      <c r="BF27" s="47"/>
      <c r="BG27" s="47"/>
      <c r="BH27" s="47"/>
      <c r="BI27" s="52"/>
      <c r="BJ27" s="47"/>
      <c r="BK27" s="63">
        <v>44348</v>
      </c>
      <c r="BL27" s="63">
        <f>IFERROR(IF('Master Data'!$E$36="","",IF('Master Data'!$F$40="","",IF(AND($AZ$17&gt;$AZ$9),"",DATE(YEAR(BL26),MONTH(BL26)+1,DAY(BL26))))),"")</f>
        <v>44348</v>
      </c>
      <c r="BM27" s="35" t="s">
        <v>116</v>
      </c>
      <c r="BN27" s="57" t="str">
        <f t="shared" si="6"/>
        <v/>
      </c>
      <c r="BO27" s="57" t="str">
        <f t="shared" si="7"/>
        <v>PL Surrender</v>
      </c>
      <c r="BP27" s="57"/>
      <c r="BQ27" s="57" t="str">
        <f t="shared" si="16"/>
        <v>PL Surrender</v>
      </c>
      <c r="BR27" s="41"/>
      <c r="BS27" s="59"/>
      <c r="BT27" s="41"/>
      <c r="BU27" s="70"/>
      <c r="BV27" s="57"/>
      <c r="BW27" s="41"/>
      <c r="BX27" s="59">
        <f t="shared" si="10"/>
        <v>0</v>
      </c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</row>
    <row r="28" spans="1:103" s="35" customFormat="1" ht="21" customHeight="1" thickBot="1">
      <c r="A28" s="35">
        <f t="shared" si="0"/>
        <v>0</v>
      </c>
      <c r="B28" s="76">
        <f t="shared" si="3"/>
        <v>0</v>
      </c>
      <c r="C28" s="78" t="str">
        <f t="shared" si="5"/>
        <v/>
      </c>
      <c r="D28" s="307"/>
      <c r="E28" s="302" t="str">
        <f>IFERROR(IF(D28="","",IF(AND(BQ32=""),"",IF(AND('Master Data'!$I$28='GA55 Check &amp; Edit'!$AP$6),VLOOKUP(D28,ram,13,0),VLOOKUP(D28,ram,4,0)))),"")</f>
        <v/>
      </c>
      <c r="F28" s="303" t="str">
        <f>IFERROR(IF(D28="","",IF(D28=$AX$24,"",IF(AND(D28=$AX$25),$BC$25,IF(AND(D28=$AX$26),$BC$26,IF(AND(D28=$AX$27),$BC$27,IF(AND(D28=$AX$28),"",IF(AND(D28=$AX$29),"",IF(AND('Master Data'!$I$28='GA55 Check &amp; Edit'!$AP$6),"",VLOOKUP(D28,ram,7,0))))))))),"")</f>
        <v/>
      </c>
      <c r="G28" s="303" t="str">
        <f>IF(AND('Master Data'!$I$28='GA55 Check &amp; Edit'!$AP$6),"",IF(AND(D28=""),"",IF(AND(D28=$AX$27),"",IF(AND(E28=""),"",ROUND('Master Data'!$E$30%*E28,0)))))</f>
        <v/>
      </c>
      <c r="H28" s="304" t="str">
        <f>IFERROR(IF(D28="","",IF(AND(E28=""),"",IF(AND(D28=$AX$27),"",IF(AND('Master Data'!$I$28='GA55 Check &amp; Edit'!$AP$6),"",'Master Data'!$B$43)))),"")</f>
        <v/>
      </c>
      <c r="I28" s="304" t="str">
        <f>IFERROR(IF(D28="","",IF(AND(E28=""),"",IF(AND(D28=$AX$27),"",IF(AND('Master Data'!$I$28='GA55 Check &amp; Edit'!$AP$6),"",'Master Data'!$E$28)))),"")</f>
        <v/>
      </c>
      <c r="J28" s="304" t="str">
        <f>IFERROR(IF(OR('Master Data'!$E$32=$AO$6,'Master Data'!$E$32=""),"",IF(D28="","",IF(AND(E28=""),"",IF(AND(D28=$AX$27),"",IF(AND('Master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304" t="str">
        <f>IFERROR(IF(D28="","",IF(AND(E28=""),"",IF(AND(D28=$AX$27),"",IF(AND('Master Data'!$I$28='GA55 Check &amp; Edit'!$AP$6),"",'Master Data'!$E$43)))),"")</f>
        <v/>
      </c>
      <c r="L28" s="304" t="str">
        <f>IFERROR(IF(D28="","",IF(AND(E28=""),"",IF(AND(D28=$AX$27),"",IF(AND('Master Data'!$I$28='GA55 Check &amp; Edit'!$AP$6),"",'Master Data'!$F$43)))),"")</f>
        <v/>
      </c>
      <c r="M28" s="304"/>
      <c r="N28" s="304" t="str">
        <f>IFERROR(IF(AND(D28=""),"",IF(AND(D28=$AX$25,'Master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Edit'!$AN$5),"",IF(AND('Master Data'!$I$30='GA55 Check &amp; Edit'!$AN$6,'Master Data'!$I$28='GA55 Check &amp; Edit'!$AP$6),ROUND((E28)*0.1,0),ROUND((E28+F28)*0.1,0))))))),"")</f>
        <v/>
      </c>
      <c r="O28" s="61" t="str">
        <f>IF(D28="","",IF('Master Data'!$H$18='GA55 Check &amp; Edit'!$AO$5,SUM(E28:N28),SUM(E28:M28)))</f>
        <v/>
      </c>
      <c r="P28" s="309"/>
      <c r="Q28" s="308" t="str">
        <f>IFERROR(IF(AND(D28=""),"",IF(AND(D28=$AX$24,'Master Data'!$I$30='GA55 Check &amp; Edit'!$AN$5),ROUND((M28)*0.75,0),IF(AND(D28=$AX$25,'Master Data'!$I$30='GA55 Check &amp; Edit'!$AN$6),ROUND((F28)*0.1,0),IF(AND(D28=$AX$26,'Master Data'!$I$30='GA55 Check &amp; Edit'!$AN$6),ROUND((F28)*0.1,0),IF(AND(D28=$AX$28,'Master Data'!$I$30='GA55 Check &amp; Edit'!$AN$6),ROUND((F28)*0.1,0),IF(AND('Master Data'!$I$30='GA55 Check &amp; Edit'!$AN$6,'Master Data'!$I$28='GA55 Check &amp; Edit'!$AP$6),ROUND((E28)*0.1,0),IF(AND('Master Data'!$I$30='GA55 Check &amp; Edit'!$AN$6,'Master Data'!$I$28='GA55 Check &amp; Edit'!$AP$5),ROUND((E28+F28)*0.1,0),IF(AND('Master Data'!$I$30='GA55 Check &amp; Edit'!$AN$5,'Master Data'!$I$28='GA55 Check &amp; Edit'!$AP$5),VLOOKUP(D28,ram,12,0))))))))),"")</f>
        <v/>
      </c>
      <c r="R28" s="308" t="str">
        <f>IFERROR(IF(OR('Master Data'!$I$28='GA55 Check &amp; Edit'!$AP$6,D28=""),"",IF(AND(D28=$AX$27),"",IF(AND(D28=$AX$30),"",IF(AND(E28=""),"",'Master Data'!$I$43)))),"")</f>
        <v/>
      </c>
      <c r="S28" s="308" t="str">
        <f>IFERROR(IF(OR('Master Data'!$I$28='GA55 Check &amp; Edit'!$AP$6),"",IF(D28="","",IF(E28="","",IF(AND(D28=$AX$27),"",IF(AND('Master Data'!$I$30='GA55 Check &amp; Edit'!$AN$5),VLOOKUP(D28,ram,10,0),"0"))))),"")</f>
        <v/>
      </c>
      <c r="T28" s="308" t="str">
        <f>IFERROR(IF(OR('Master Data'!$I$28='GA55 Check &amp; Edit'!$AP$6,D28=""),"",IF(AND(D28=$AX$27),"",IF(AND(E28=""),"",'Master Data'!$K$43))),"")</f>
        <v/>
      </c>
      <c r="U28" s="308" t="str">
        <f>IFERROR(IF(OR('Master Data'!$I$28='GA55 Check &amp; Edit'!$AP$6,D28=""),"",IF(AND(D28=$AX$27),"",IF(AND(E28=""),"",'Master Data'!$L$43))),"")</f>
        <v/>
      </c>
      <c r="V28" s="308" t="str">
        <f>IFERROR(IF(D28="","",IF(AND('Master Data'!$I$28='GA55 Check &amp; Edit'!$AP$6),"",IF(AND('Master Data'!$I$24='GA55 Check &amp; Edit'!$AO$6),"0",IF(AND(D28="Bonus",'Master Data'!$I$30='GA55 Check &amp; Edit'!$AN$6),ROUND((M28)*0.75,0),"")))),"")</f>
        <v/>
      </c>
      <c r="W28" s="308" t="str">
        <f>IFERROR(IF(OR('Master Data'!$E$24='GA55 Check &amp; Edit'!$AQ$6,'Master Data'!$E$24='GA55 Check &amp; Edit'!$AQ$7),"",IF(AND(D28=$AX$27),"",IF(D28="","",IF(E28="","",VLOOKUP(D28,ram,8,0))))),"")</f>
        <v/>
      </c>
      <c r="X28" s="308" t="str">
        <f>IFERROR(IF(D28="","",IF(AND(E28=""),"",IF(AND(D28=$AX$27),"",IF(OR('Master Data'!$I$28='GA55 Check &amp; Edit'!$AP$6,D28=""),"",IF('Master Data'!$N$36="NO",0,IF(D28='Master Data'!$N$40,'Master Data'!$G$43,0)))))),"")</f>
        <v/>
      </c>
      <c r="Y28" s="308" t="str">
        <f>IFERROR(IF(D28="","",IF(AND(E28=""),"",IF(AND(D28=$AX$27),"",IF(OR('Master Data'!$I$28='GA55 Check &amp; Edit'!$AP$6,D28=""),"",$Y$7)))),"")</f>
        <v/>
      </c>
      <c r="Z28" s="308"/>
      <c r="AA28" s="308" t="str">
        <f>IFERROR(IF(OR('Master Data'!$I$28='GA55 Check &amp; Edit'!$AP$6,D28=""),"",IF(AND(E28=""),"",IF('GA55 Check &amp; Edit'!D28='GA55 Check &amp; Edit'!$AT$9,220,""))),"")</f>
        <v/>
      </c>
      <c r="AB28" s="36" t="str">
        <f>IFERROR(IF(D28="","",IF(AND(O28=""),"",IF(AND('Master Data'!$H$18='GA55 Check &amp; Edit'!$AO$5,'Master Data'!$I$30='GA55 Check &amp; Edit'!$AN$6),SUM(P28:AA28)+N28,SUM(P28:AA28)))),"")</f>
        <v/>
      </c>
      <c r="AC28" s="37" t="str">
        <f t="shared" si="2"/>
        <v/>
      </c>
      <c r="AD28" s="311"/>
      <c r="AE28" s="365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35" t="s">
        <v>115</v>
      </c>
      <c r="AV28" s="41"/>
      <c r="AW28" s="51"/>
      <c r="AX28" s="69" t="str">
        <f t="shared" si="15"/>
        <v>Other Arrear</v>
      </c>
      <c r="AY28" s="47"/>
      <c r="AZ28" s="47"/>
      <c r="BA28" s="47"/>
      <c r="BB28" s="47"/>
      <c r="BC28" s="47"/>
      <c r="BD28" s="47" t="str">
        <f t="shared" ref="BD25:BD28" si="17">IF(BC28="","",BC28)</f>
        <v/>
      </c>
      <c r="BE28" s="47"/>
      <c r="BF28" s="47"/>
      <c r="BG28" s="47"/>
      <c r="BH28" s="47"/>
      <c r="BI28" s="52"/>
      <c r="BJ28" s="47"/>
      <c r="BK28" s="63">
        <v>44378</v>
      </c>
      <c r="BL28" s="63">
        <f>IFERROR(IF('Master Data'!$E$36="","",IF('Master Data'!$F$40="","",IF(AND($AZ$17&gt;$AZ$9),"",DATE(YEAR(BL27),MONTH(BL27)+1,DAY(BL27))))),"")</f>
        <v>44378</v>
      </c>
      <c r="BM28" s="35" t="s">
        <v>119</v>
      </c>
      <c r="BN28" s="57" t="str">
        <f t="shared" si="6"/>
        <v/>
      </c>
      <c r="BO28" s="57" t="str">
        <f t="shared" si="7"/>
        <v>Other Arrear</v>
      </c>
      <c r="BP28" s="41"/>
      <c r="BQ28" s="57" t="str">
        <f t="shared" si="16"/>
        <v/>
      </c>
      <c r="BR28" s="41"/>
      <c r="BS28" s="59"/>
      <c r="BT28" s="41"/>
      <c r="BU28" s="70"/>
      <c r="BV28" s="57"/>
      <c r="BW28" s="41"/>
      <c r="BX28" s="59">
        <f t="shared" si="10"/>
        <v>0</v>
      </c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</row>
    <row r="29" spans="1:103" s="315" customFormat="1" thickBot="1">
      <c r="A29" s="38"/>
      <c r="B29" s="38"/>
      <c r="AW29" s="316"/>
      <c r="AX29" s="317" t="str">
        <f t="shared" si="15"/>
        <v xml:space="preserve">Other </v>
      </c>
      <c r="AY29" s="318"/>
      <c r="AZ29" s="318"/>
      <c r="BA29" s="318"/>
      <c r="BB29" s="318"/>
      <c r="BC29" s="318"/>
      <c r="BD29" s="318"/>
      <c r="BE29" s="318"/>
      <c r="BF29" s="318"/>
      <c r="BG29" s="318"/>
      <c r="BH29" s="318"/>
      <c r="BI29" s="319"/>
      <c r="BJ29" s="320"/>
      <c r="BK29" s="321">
        <v>44409</v>
      </c>
      <c r="BL29" s="321">
        <f>IFERROR(IF('Master Data'!$E$36="","",IF('Master Data'!$F$40="","",IF(AND($AZ$17&gt;$AZ$9),"",DATE(YEAR(BL28),MONTH(BL28)+1,DAY(BL28))))),"")</f>
        <v>44409</v>
      </c>
      <c r="BM29" s="141" t="s">
        <v>120</v>
      </c>
      <c r="BN29" s="57" t="str">
        <f t="shared" si="6"/>
        <v/>
      </c>
      <c r="BO29" s="57" t="str">
        <f t="shared" si="7"/>
        <v xml:space="preserve">Other </v>
      </c>
      <c r="BQ29" s="57" t="str">
        <f t="shared" si="16"/>
        <v/>
      </c>
      <c r="BU29" s="323"/>
      <c r="BV29" s="322"/>
      <c r="BX29" s="59">
        <f t="shared" si="10"/>
        <v>0</v>
      </c>
    </row>
    <row r="30" spans="1:103">
      <c r="AX30" s="44" t="str">
        <f t="shared" si="15"/>
        <v>March 20 freeze salary</v>
      </c>
      <c r="BA30" s="44">
        <f>IF(AND('Master Data'!$E$36=""),"",IF('Master Data'!N26='GA55 Check &amp; Edit'!AO5,'GA55 Check &amp; Edit'!AZ15-BC9,""))</f>
        <v>25445</v>
      </c>
      <c r="BB30" s="44">
        <f>IF(AND('Master Data'!$E$36=""),"",IF('Master Data'!N26='GA55 Check &amp; Edit'!AO5,BA30,""))</f>
        <v>25445</v>
      </c>
      <c r="BC30" s="47">
        <f>IF(OR('Master Data'!$E$36="",BA30=""),"",ROUND(17%*BA30,0))</f>
        <v>4326</v>
      </c>
      <c r="BD30" s="47">
        <f>IF(BB30="","",BC30)</f>
        <v>4326</v>
      </c>
      <c r="BI30" s="44">
        <f>IFERROR(IF(BA30="","",IF(AND('Master Data'!$I$30='GA55 Check &amp; Edit'!$AN$6),ROUND((E9)*0.1,0),IF(AND('Master Data'!$I$28='GA55 Check &amp; Edit'!$AP$6),ROUND((BA30+BC30)*0.1,0),'Master Data'!$H$43))),"")</f>
        <v>3575</v>
      </c>
      <c r="BK30" s="63">
        <v>44440</v>
      </c>
      <c r="BL30" s="321">
        <f>IFERROR(IF('Master Data'!$E$36="","",IF('Master Data'!$F$40="","",IF(AND($AZ$17&gt;$AZ$9),"",DATE(YEAR(BL29),MONTH(BL29)+1,DAY(BL29))))),"")</f>
        <v>44440</v>
      </c>
      <c r="BM30" s="35" t="s">
        <v>611</v>
      </c>
      <c r="BN30" s="57" t="str">
        <f t="shared" si="6"/>
        <v/>
      </c>
      <c r="BO30" s="57" t="str">
        <f t="shared" si="7"/>
        <v>March 20 freeze salary</v>
      </c>
      <c r="BQ30" s="57" t="str">
        <f t="shared" si="16"/>
        <v>March 20 freeze salary</v>
      </c>
      <c r="BV30" s="57"/>
      <c r="BX30" s="59">
        <f t="shared" si="10"/>
        <v>0</v>
      </c>
    </row>
    <row r="31" spans="1:103" hidden="1">
      <c r="BA31" s="44">
        <f>IF(AND('Master Data'!$E$36=""),"",ROUND(12%*AZ15,0))</f>
        <v>5916</v>
      </c>
      <c r="BB31" s="44">
        <f>IF(AND('Master Data'!$E$36=""),"",ROUND(17%*AZ15,0))</f>
        <v>8381</v>
      </c>
      <c r="BC31" s="44">
        <f>'Master Data'!N31</f>
        <v>2</v>
      </c>
    </row>
    <row r="32" spans="1:103" hidden="1">
      <c r="BA32" s="44">
        <f>IF(AND('Master Data'!$E$36=""),"",ROUND(12%*AZ15,0))</f>
        <v>5916</v>
      </c>
      <c r="BB32" s="44">
        <f>IF(AND('Master Data'!$E$36=""),"",ROUND(17%*AZ15,0))</f>
        <v>8381</v>
      </c>
      <c r="BC32" s="44">
        <f>'Master Data'!N28</f>
        <v>6</v>
      </c>
    </row>
    <row r="33" spans="50:50" hidden="1"/>
    <row r="34" spans="50:50" hidden="1"/>
    <row r="35" spans="50:50" hidden="1"/>
    <row r="36" spans="50:50" hidden="1"/>
    <row r="37" spans="50:50" hidden="1"/>
    <row r="38" spans="50:50" hidden="1"/>
    <row r="39" spans="50:50" hidden="1"/>
    <row r="40" spans="50:50" hidden="1"/>
    <row r="41" spans="50:50" hidden="1">
      <c r="AX41" s="44">
        <f>IFERROR(IF(D23="","",IF(AND(D23=AX34),VLOOKUP(D23,ram,4,0),IF(AND('Master Data'!$I$28='GA55 Check &amp; Edit'!$AP$6),'Master Data'!$E$36,VLOOKUP(D23,ram,4,0)))),"")</f>
        <v>0</v>
      </c>
    </row>
  </sheetData>
  <sheetProtection password="C1FB" sheet="1" objects="1" scenarios="1" formatCells="0" formatColumn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</mergeCells>
  <conditionalFormatting sqref="B8:C28">
    <cfRule type="cellIs" dxfId="8" priority="22" operator="equal">
      <formula>0</formula>
    </cfRule>
  </conditionalFormatting>
  <conditionalFormatting sqref="B9:AE28">
    <cfRule type="expression" dxfId="7" priority="21">
      <formula>$B8=0</formula>
    </cfRule>
  </conditionalFormatting>
  <conditionalFormatting sqref="B8:AE28">
    <cfRule type="expression" dxfId="6" priority="20">
      <formula>$A8=0</formula>
    </cfRule>
  </conditionalFormatting>
  <conditionalFormatting sqref="B28:AE28">
    <cfRule type="expression" dxfId="5" priority="13">
      <formula>$B23=0</formula>
    </cfRule>
  </conditionalFormatting>
  <conditionalFormatting sqref="B27:AE27">
    <cfRule type="expression" dxfId="4" priority="12">
      <formula>$B23=0</formula>
    </cfRule>
  </conditionalFormatting>
  <conditionalFormatting sqref="B26:AE26 R27:U28 W27:AB28 E27:O28">
    <cfRule type="expression" dxfId="3" priority="11">
      <formula>$B23=0</formula>
    </cfRule>
  </conditionalFormatting>
  <conditionalFormatting sqref="B25:AE25 R27:U28 W27:AB28 E27:O28 D26:AC26">
    <cfRule type="expression" dxfId="2" priority="10">
      <formula>$B23=0</formula>
    </cfRule>
  </conditionalFormatting>
  <conditionalFormatting sqref="M8:M20">
    <cfRule type="expression" dxfId="1" priority="1">
      <formula>$B7=0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30"/>
  <sheetViews>
    <sheetView showGridLines="0" showRowColHeaders="0" topLeftCell="B10" workbookViewId="0">
      <selection activeCell="I25" sqref="I25"/>
    </sheetView>
  </sheetViews>
  <sheetFormatPr defaultColWidth="0" defaultRowHeight="15" zeroHeight="1"/>
  <cols>
    <col min="1" max="1" width="9" style="35" customWidth="1"/>
    <col min="2" max="2" width="3.5" style="35" customWidth="1"/>
    <col min="3" max="3" width="59" style="35" customWidth="1"/>
    <col min="4" max="4" width="6.25" style="35" customWidth="1"/>
    <col min="5" max="5" width="18.625" style="35" customWidth="1"/>
    <col min="6" max="6" width="3.375" style="35" customWidth="1"/>
    <col min="7" max="7" width="70.75" style="35" customWidth="1"/>
    <col min="8" max="8" width="8.125" style="35" customWidth="1"/>
    <col min="9" max="9" width="16.625" style="35" customWidth="1"/>
    <col min="10" max="10" width="3.375" style="35" customWidth="1"/>
    <col min="11" max="11" width="9" style="35" customWidth="1"/>
    <col min="12" max="16384" width="9" style="35" hidden="1"/>
  </cols>
  <sheetData>
    <row r="1" spans="1:11" ht="37.5" customHeight="1">
      <c r="A1" s="517" t="s">
        <v>595</v>
      </c>
      <c r="B1" s="518"/>
      <c r="C1" s="518"/>
      <c r="D1" s="239"/>
      <c r="E1" s="239"/>
      <c r="F1" s="239"/>
      <c r="G1" s="239"/>
      <c r="H1" s="239"/>
      <c r="I1" s="239"/>
      <c r="J1" s="239"/>
      <c r="K1" s="239"/>
    </row>
    <row r="2" spans="1:11" ht="18.75" customHeight="1">
      <c r="A2" s="239"/>
      <c r="B2" s="519" t="s">
        <v>596</v>
      </c>
      <c r="C2" s="519"/>
      <c r="D2" s="239"/>
      <c r="E2" s="239"/>
      <c r="F2" s="239"/>
      <c r="G2" s="239"/>
      <c r="H2" s="239"/>
      <c r="I2" s="239"/>
      <c r="J2" s="239"/>
      <c r="K2" s="239"/>
    </row>
    <row r="3" spans="1:11" ht="27" customHeight="1">
      <c r="A3" s="239"/>
      <c r="B3" s="239"/>
      <c r="C3" s="520" t="s">
        <v>130</v>
      </c>
      <c r="D3" s="520"/>
      <c r="E3" s="520"/>
      <c r="F3" s="520"/>
      <c r="G3" s="520"/>
      <c r="H3" s="520"/>
      <c r="I3" s="520"/>
      <c r="J3" s="239"/>
      <c r="K3" s="239"/>
    </row>
    <row r="4" spans="1:11" ht="15.75" customHeight="1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1" ht="15.75" customHeight="1" thickBot="1">
      <c r="A5" s="239"/>
      <c r="B5" s="240"/>
      <c r="C5" s="241"/>
      <c r="D5" s="241"/>
      <c r="E5" s="241"/>
      <c r="F5" s="241"/>
      <c r="G5" s="241"/>
      <c r="H5" s="241"/>
      <c r="I5" s="241"/>
      <c r="J5" s="240"/>
      <c r="K5" s="239"/>
    </row>
    <row r="6" spans="1:11" ht="24.95" customHeight="1" thickTop="1" thickBot="1">
      <c r="A6" s="239"/>
      <c r="B6" s="242"/>
      <c r="C6" s="192" t="s">
        <v>129</v>
      </c>
      <c r="D6" s="74" t="s">
        <v>91</v>
      </c>
      <c r="E6" s="399">
        <f>IF(D6="Yes",'HRA Calculation'!J10,0)</f>
        <v>0</v>
      </c>
      <c r="F6" s="521"/>
      <c r="G6" s="499" t="s">
        <v>360</v>
      </c>
      <c r="H6" s="499"/>
      <c r="I6" s="243"/>
      <c r="J6" s="503"/>
      <c r="K6" s="239"/>
    </row>
    <row r="7" spans="1:11" ht="24.95" customHeight="1" thickTop="1">
      <c r="A7" s="239"/>
      <c r="B7" s="242"/>
      <c r="C7" s="505" t="s">
        <v>342</v>
      </c>
      <c r="D7" s="506"/>
      <c r="E7" s="243">
        <v>50000</v>
      </c>
      <c r="F7" s="521"/>
      <c r="G7" s="524" t="s">
        <v>361</v>
      </c>
      <c r="H7" s="525"/>
      <c r="I7" s="243"/>
      <c r="J7" s="503"/>
      <c r="K7" s="239"/>
    </row>
    <row r="8" spans="1:11" ht="24.95" customHeight="1">
      <c r="A8" s="239"/>
      <c r="B8" s="242"/>
      <c r="C8" s="507" t="s">
        <v>343</v>
      </c>
      <c r="D8" s="508"/>
      <c r="E8" s="243"/>
      <c r="F8" s="521"/>
      <c r="G8" s="499" t="s">
        <v>384</v>
      </c>
      <c r="H8" s="499"/>
      <c r="I8" s="243"/>
      <c r="J8" s="503"/>
      <c r="K8" s="239"/>
    </row>
    <row r="9" spans="1:11" ht="24.95" customHeight="1">
      <c r="A9" s="239"/>
      <c r="B9" s="242"/>
      <c r="C9" s="507" t="s">
        <v>344</v>
      </c>
      <c r="D9" s="508"/>
      <c r="E9" s="243"/>
      <c r="F9" s="521"/>
      <c r="G9" s="499" t="s">
        <v>362</v>
      </c>
      <c r="H9" s="499"/>
      <c r="I9" s="243"/>
      <c r="J9" s="503"/>
      <c r="K9" s="239"/>
    </row>
    <row r="10" spans="1:11" ht="24.95" customHeight="1">
      <c r="A10" s="239"/>
      <c r="B10" s="242"/>
      <c r="C10" s="507" t="s">
        <v>345</v>
      </c>
      <c r="D10" s="508"/>
      <c r="E10" s="243"/>
      <c r="F10" s="521"/>
      <c r="G10" s="499" t="s">
        <v>612</v>
      </c>
      <c r="H10" s="499"/>
      <c r="I10" s="243"/>
      <c r="J10" s="503"/>
      <c r="K10" s="239"/>
    </row>
    <row r="11" spans="1:11" ht="33" customHeight="1">
      <c r="A11" s="239"/>
      <c r="B11" s="242"/>
      <c r="C11" s="507" t="s">
        <v>346</v>
      </c>
      <c r="D11" s="508"/>
      <c r="E11" s="243"/>
      <c r="F11" s="521"/>
      <c r="G11" s="522" t="s">
        <v>363</v>
      </c>
      <c r="H11" s="522"/>
      <c r="I11" s="243"/>
      <c r="J11" s="503"/>
      <c r="K11" s="239"/>
    </row>
    <row r="12" spans="1:11" ht="24.95" customHeight="1">
      <c r="A12" s="239"/>
      <c r="B12" s="242"/>
      <c r="C12" s="507" t="s">
        <v>347</v>
      </c>
      <c r="D12" s="508"/>
      <c r="E12" s="243"/>
      <c r="F12" s="521"/>
      <c r="G12" s="499" t="s">
        <v>364</v>
      </c>
      <c r="H12" s="499"/>
      <c r="I12" s="243"/>
      <c r="J12" s="503"/>
      <c r="K12" s="239"/>
    </row>
    <row r="13" spans="1:11" ht="24.95" customHeight="1">
      <c r="A13" s="239"/>
      <c r="B13" s="242"/>
      <c r="C13" s="509" t="s">
        <v>348</v>
      </c>
      <c r="D13" s="510"/>
      <c r="E13" s="243"/>
      <c r="F13" s="521"/>
      <c r="G13" s="499" t="s">
        <v>576</v>
      </c>
      <c r="H13" s="499"/>
      <c r="I13" s="243"/>
      <c r="J13" s="503"/>
      <c r="K13" s="239"/>
    </row>
    <row r="14" spans="1:11" ht="24.95" customHeight="1">
      <c r="A14" s="239"/>
      <c r="B14" s="242"/>
      <c r="C14" s="511" t="s">
        <v>375</v>
      </c>
      <c r="D14" s="512"/>
      <c r="E14" s="243"/>
      <c r="F14" s="521"/>
      <c r="G14" s="523" t="s">
        <v>365</v>
      </c>
      <c r="H14" s="523"/>
      <c r="I14" s="243">
        <v>50000</v>
      </c>
      <c r="J14" s="503"/>
      <c r="K14" s="239"/>
    </row>
    <row r="15" spans="1:11" ht="24.95" customHeight="1">
      <c r="A15" s="239"/>
      <c r="B15" s="242"/>
      <c r="C15" s="500" t="s">
        <v>376</v>
      </c>
      <c r="D15" s="501"/>
      <c r="E15" s="243"/>
      <c r="F15" s="521"/>
      <c r="G15" s="499" t="s">
        <v>366</v>
      </c>
      <c r="H15" s="499"/>
      <c r="I15" s="243"/>
      <c r="J15" s="503"/>
      <c r="K15" s="239"/>
    </row>
    <row r="16" spans="1:11" ht="24.95" customHeight="1">
      <c r="A16" s="239"/>
      <c r="B16" s="242"/>
      <c r="C16" s="513" t="s">
        <v>377</v>
      </c>
      <c r="D16" s="514"/>
      <c r="E16" s="243"/>
      <c r="F16" s="521"/>
      <c r="G16" s="499" t="s">
        <v>367</v>
      </c>
      <c r="H16" s="499"/>
      <c r="I16" s="243"/>
      <c r="J16" s="503"/>
      <c r="K16" s="239"/>
    </row>
    <row r="17" spans="1:11" ht="24.95" customHeight="1">
      <c r="A17" s="239"/>
      <c r="B17" s="242"/>
      <c r="C17" s="500" t="s">
        <v>349</v>
      </c>
      <c r="D17" s="501"/>
      <c r="E17" s="243"/>
      <c r="F17" s="521"/>
      <c r="G17" s="499" t="s">
        <v>368</v>
      </c>
      <c r="H17" s="499"/>
      <c r="I17" s="243"/>
      <c r="J17" s="503"/>
      <c r="K17" s="239"/>
    </row>
    <row r="18" spans="1:11" ht="24.95" customHeight="1">
      <c r="A18" s="239"/>
      <c r="B18" s="242"/>
      <c r="C18" s="500" t="s">
        <v>378</v>
      </c>
      <c r="D18" s="501"/>
      <c r="E18" s="243"/>
      <c r="F18" s="521"/>
      <c r="G18" s="499" t="s">
        <v>369</v>
      </c>
      <c r="H18" s="499"/>
      <c r="I18" s="243"/>
      <c r="J18" s="503"/>
      <c r="K18" s="239"/>
    </row>
    <row r="19" spans="1:11" ht="24.95" customHeight="1">
      <c r="A19" s="239"/>
      <c r="B19" s="242"/>
      <c r="C19" s="500" t="s">
        <v>350</v>
      </c>
      <c r="D19" s="501"/>
      <c r="E19" s="243"/>
      <c r="F19" s="521"/>
      <c r="G19" s="499" t="s">
        <v>370</v>
      </c>
      <c r="H19" s="499"/>
      <c r="I19" s="396">
        <f>SUM(E25)+ ROUND(I25/2,0)</f>
        <v>0</v>
      </c>
      <c r="J19" s="503"/>
      <c r="K19" s="239"/>
    </row>
    <row r="20" spans="1:11" ht="24.95" customHeight="1">
      <c r="A20" s="239"/>
      <c r="B20" s="242"/>
      <c r="C20" s="500" t="s">
        <v>379</v>
      </c>
      <c r="D20" s="501"/>
      <c r="E20" s="243"/>
      <c r="F20" s="521"/>
      <c r="G20" s="499" t="s">
        <v>371</v>
      </c>
      <c r="H20" s="499"/>
      <c r="I20" s="243"/>
      <c r="J20" s="503"/>
      <c r="K20" s="239"/>
    </row>
    <row r="21" spans="1:11" ht="24.95" customHeight="1">
      <c r="A21" s="239"/>
      <c r="B21" s="242"/>
      <c r="C21" s="500" t="s">
        <v>380</v>
      </c>
      <c r="D21" s="501"/>
      <c r="E21" s="243"/>
      <c r="F21" s="521"/>
      <c r="G21" s="504" t="s">
        <v>385</v>
      </c>
      <c r="H21" s="504"/>
      <c r="I21" s="243">
        <v>1500</v>
      </c>
      <c r="J21" s="503"/>
      <c r="K21" s="239"/>
    </row>
    <row r="22" spans="1:11" ht="24.95" customHeight="1">
      <c r="A22" s="239"/>
      <c r="B22" s="242"/>
      <c r="C22" s="500" t="s">
        <v>381</v>
      </c>
      <c r="D22" s="501"/>
      <c r="E22" s="243"/>
      <c r="F22" s="521"/>
      <c r="G22" s="499" t="s">
        <v>372</v>
      </c>
      <c r="H22" s="499"/>
      <c r="I22" s="243"/>
      <c r="J22" s="503"/>
      <c r="K22" s="239"/>
    </row>
    <row r="23" spans="1:11" ht="24.95" customHeight="1" thickBot="1">
      <c r="A23" s="239"/>
      <c r="B23" s="242"/>
      <c r="C23" s="500" t="s">
        <v>382</v>
      </c>
      <c r="D23" s="501"/>
      <c r="E23" s="243"/>
      <c r="F23" s="521"/>
      <c r="G23" s="515" t="s">
        <v>387</v>
      </c>
      <c r="H23" s="516"/>
      <c r="I23" s="243"/>
      <c r="J23" s="503"/>
      <c r="K23" s="239"/>
    </row>
    <row r="24" spans="1:11" ht="24.95" customHeight="1" thickTop="1" thickBot="1">
      <c r="A24" s="239"/>
      <c r="B24" s="242"/>
      <c r="C24" s="500" t="s">
        <v>351</v>
      </c>
      <c r="D24" s="501"/>
      <c r="E24" s="243"/>
      <c r="F24" s="521"/>
      <c r="G24" s="79" t="s">
        <v>383</v>
      </c>
      <c r="H24" s="20" t="s">
        <v>91</v>
      </c>
      <c r="I24" s="243">
        <f>IF(H24="Yes",form10E!M28,0)</f>
        <v>0</v>
      </c>
      <c r="J24" s="503"/>
      <c r="K24" s="239"/>
    </row>
    <row r="25" spans="1:11" ht="24.95" customHeight="1" thickTop="1">
      <c r="A25" s="239"/>
      <c r="B25" s="242"/>
      <c r="C25" s="392" t="s">
        <v>608</v>
      </c>
      <c r="D25" s="392"/>
      <c r="E25" s="395"/>
      <c r="F25" s="393"/>
      <c r="G25" s="79" t="s">
        <v>609</v>
      </c>
      <c r="H25" s="79"/>
      <c r="I25" s="395"/>
      <c r="J25" s="394"/>
      <c r="K25" s="239"/>
    </row>
    <row r="26" spans="1:11" ht="16.5" customHeight="1">
      <c r="A26" s="239"/>
      <c r="B26" s="240"/>
      <c r="C26" s="502"/>
      <c r="D26" s="502"/>
      <c r="E26" s="502"/>
      <c r="F26" s="502"/>
      <c r="G26" s="502"/>
      <c r="H26" s="502"/>
      <c r="I26" s="502"/>
      <c r="J26" s="240"/>
      <c r="K26" s="239"/>
    </row>
    <row r="27" spans="1:11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</row>
    <row r="28" spans="1:11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</row>
    <row r="29" spans="1:11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</row>
    <row r="30" spans="1:11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</row>
  </sheetData>
  <sheetProtection password="C1FB" sheet="1" objects="1" scenarios="1" selectLockedCells="1"/>
  <mergeCells count="42">
    <mergeCell ref="A1:C1"/>
    <mergeCell ref="B2:C2"/>
    <mergeCell ref="C3:I3"/>
    <mergeCell ref="F6:F24"/>
    <mergeCell ref="G20:H20"/>
    <mergeCell ref="G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7:H7"/>
    <mergeCell ref="C26:I26"/>
    <mergeCell ref="J6:J24"/>
    <mergeCell ref="G21:H21"/>
    <mergeCell ref="G22:H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23:H23"/>
    <mergeCell ref="G17:H17"/>
    <mergeCell ref="G18:H18"/>
    <mergeCell ref="G19:H19"/>
    <mergeCell ref="C23:D23"/>
    <mergeCell ref="C24:D24"/>
    <mergeCell ref="C18:D18"/>
    <mergeCell ref="C19:D19"/>
    <mergeCell ref="C20:D20"/>
    <mergeCell ref="C21:D21"/>
    <mergeCell ref="C22:D22"/>
  </mergeCells>
  <dataValidations count="4">
    <dataValidation type="list" allowBlank="1" showInputMessage="1" showErrorMessage="1" error="केवल हाँ अथवा ना सलेक्ट करें।" sqref="D6 H24">
      <formula1>ye</formula1>
    </dataValidation>
    <dataValidation type="custom" allowBlank="1" showInputMessage="1" showErrorMessage="1" errorTitle="write Digit in only" error="Please input Data in Digit Only" sqref="I6:I25">
      <formula1>ISNUMBER(I6)=TRUE</formula1>
    </dataValidation>
    <dataValidation type="custom" allowBlank="1" showInputMessage="1" showErrorMessage="1" errorTitle="Write in Digit only" error="Please input Data  in Digit / Number only" sqref="E7:E25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</dataValidations>
  <hyperlinks>
    <hyperlink ref="A1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showRowColHeaders="0" workbookViewId="0">
      <selection activeCell="J9" sqref="J9"/>
    </sheetView>
  </sheetViews>
  <sheetFormatPr defaultColWidth="0" defaultRowHeight="15" zeroHeight="1"/>
  <cols>
    <col min="1" max="1" width="7" style="35" customWidth="1"/>
    <col min="2" max="2" width="3.875" style="35" customWidth="1"/>
    <col min="3" max="3" width="20.75" style="35" customWidth="1"/>
    <col min="4" max="4" width="10" style="35" customWidth="1"/>
    <col min="5" max="5" width="11.875" style="35" customWidth="1"/>
    <col min="6" max="6" width="11.375" style="35" customWidth="1"/>
    <col min="7" max="7" width="10" style="35" customWidth="1"/>
    <col min="8" max="8" width="3.25" style="35" customWidth="1"/>
    <col min="9" max="9" width="48.375" style="35" customWidth="1"/>
    <col min="10" max="10" width="17.25" style="35" customWidth="1"/>
    <col min="11" max="11" width="4.625" style="35" customWidth="1"/>
    <col min="12" max="12" width="4.375" style="35" customWidth="1"/>
    <col min="13" max="13" width="8.125" style="35" customWidth="1"/>
    <col min="14" max="16" width="9" style="35" hidden="1" customWidth="1"/>
    <col min="17" max="17" width="3.5" style="35" hidden="1" customWidth="1"/>
    <col min="18" max="22" width="0" style="35" hidden="1" customWidth="1"/>
    <col min="23" max="16384" width="9" style="35" hidden="1"/>
  </cols>
  <sheetData>
    <row r="1" spans="1:22" ht="55.5" customHeight="1" thickBo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22" s="161" customFormat="1" ht="26.25" customHeight="1" thickBot="1">
      <c r="A2" s="160"/>
      <c r="B2" s="526"/>
      <c r="C2" s="542" t="s">
        <v>359</v>
      </c>
      <c r="D2" s="543"/>
      <c r="E2" s="543"/>
      <c r="F2" s="543"/>
      <c r="G2" s="543"/>
      <c r="H2" s="543"/>
      <c r="I2" s="543"/>
      <c r="J2" s="543"/>
      <c r="K2" s="544"/>
      <c r="L2" s="539"/>
      <c r="M2" s="160"/>
    </row>
    <row r="3" spans="1:22" s="161" customFormat="1" ht="26.25" customHeight="1">
      <c r="A3" s="160"/>
      <c r="B3" s="527"/>
      <c r="C3" s="162"/>
      <c r="D3" s="163"/>
      <c r="E3" s="163"/>
      <c r="F3" s="163"/>
      <c r="G3" s="163"/>
      <c r="H3" s="546"/>
      <c r="I3" s="163"/>
      <c r="J3" s="163"/>
      <c r="K3" s="164"/>
      <c r="L3" s="540"/>
      <c r="M3" s="160"/>
    </row>
    <row r="4" spans="1:22" s="161" customFormat="1" ht="35.25" customHeight="1">
      <c r="A4" s="160"/>
      <c r="B4" s="527"/>
      <c r="C4" s="165" t="s">
        <v>303</v>
      </c>
      <c r="D4" s="244" t="s">
        <v>304</v>
      </c>
      <c r="E4" s="245" t="s">
        <v>322</v>
      </c>
      <c r="F4" s="246" t="s">
        <v>79</v>
      </c>
      <c r="G4" s="166"/>
      <c r="H4" s="547"/>
      <c r="I4" s="532" t="s">
        <v>416</v>
      </c>
      <c r="J4" s="532"/>
      <c r="K4" s="533"/>
      <c r="L4" s="540"/>
      <c r="M4" s="160"/>
    </row>
    <row r="5" spans="1:22" s="161" customFormat="1" ht="24.95" customHeight="1">
      <c r="A5" s="160"/>
      <c r="B5" s="527"/>
      <c r="C5" s="167" t="s">
        <v>305</v>
      </c>
      <c r="D5" s="146" t="s">
        <v>306</v>
      </c>
      <c r="E5" s="168">
        <f>IF('GA55 Check &amp; Edit'!BB12="","",IF(D5="Y",'GA55 Check &amp; Edit'!BA12+'GA55 Check &amp; Edit'!BC12,0))</f>
        <v>27910</v>
      </c>
      <c r="F5" s="168">
        <f>IF(E5="","",IF(D5="Y",ROUND('Master Data'!$E$30%*'GA55 Check &amp; Edit'!BA12,0),"0"))</f>
        <v>1908</v>
      </c>
      <c r="G5" s="169"/>
      <c r="H5" s="547"/>
      <c r="I5" s="532"/>
      <c r="J5" s="532"/>
      <c r="K5" s="533"/>
      <c r="L5" s="540"/>
      <c r="M5" s="160"/>
    </row>
    <row r="6" spans="1:22" s="161" customFormat="1" ht="24.95" customHeight="1">
      <c r="A6" s="160"/>
      <c r="B6" s="527"/>
      <c r="C6" s="170" t="s">
        <v>307</v>
      </c>
      <c r="D6" s="147" t="s">
        <v>306</v>
      </c>
      <c r="E6" s="168">
        <f>IF('GA55 Check &amp; Edit'!BB13="","",IF(D6="Y",'GA55 Check &amp; Edit'!BA13+'GA55 Check &amp; Edit'!BC13,0))</f>
        <v>57681</v>
      </c>
      <c r="F6" s="168">
        <f>IF(E6="","",IF(D6="Y",ROUND('Master Data'!$E$30%*'GA55 Check &amp; Edit'!BA13,0),"0"))</f>
        <v>3944</v>
      </c>
      <c r="G6" s="169"/>
      <c r="H6" s="547"/>
      <c r="I6" s="530" t="s">
        <v>337</v>
      </c>
      <c r="J6" s="530"/>
      <c r="K6" s="531"/>
      <c r="L6" s="540"/>
      <c r="M6" s="160"/>
    </row>
    <row r="7" spans="1:22" s="161" customFormat="1" ht="24.95" customHeight="1">
      <c r="A7" s="160"/>
      <c r="B7" s="527"/>
      <c r="C7" s="170" t="s">
        <v>308</v>
      </c>
      <c r="D7" s="147" t="s">
        <v>306</v>
      </c>
      <c r="E7" s="168">
        <f>IF('GA55 Check &amp; Edit'!BB14="","",IF(D7="Y",'GA55 Check &amp; Edit'!BA14+'GA55 Check &amp; Edit'!BC14,0))</f>
        <v>57681</v>
      </c>
      <c r="F7" s="168">
        <f>IF(E7="","",IF(D7="Y",ROUND('Master Data'!$E$30%*'GA55 Check &amp; Edit'!BA14,0),"0"))</f>
        <v>3944</v>
      </c>
      <c r="G7" s="169"/>
      <c r="H7" s="547"/>
      <c r="I7" s="530"/>
      <c r="J7" s="530"/>
      <c r="K7" s="531"/>
      <c r="L7" s="540"/>
      <c r="M7" s="160"/>
    </row>
    <row r="8" spans="1:22" s="161" customFormat="1" ht="24.95" customHeight="1">
      <c r="A8" s="160"/>
      <c r="B8" s="527"/>
      <c r="C8" s="170" t="s">
        <v>309</v>
      </c>
      <c r="D8" s="147" t="s">
        <v>306</v>
      </c>
      <c r="E8" s="168">
        <f>IF('GA55 Check &amp; Edit'!BB15="","",IF(D8="Y",'GA55 Check &amp; Edit'!BA15+'GA55 Check &amp; Edit'!BC15,0))</f>
        <v>57681</v>
      </c>
      <c r="F8" s="168">
        <f>IF(E8="","",IF(D8="Y",ROUND('Master Data'!$E$30%*'GA55 Check &amp; Edit'!BA15,0),"0"))</f>
        <v>3944</v>
      </c>
      <c r="G8" s="169"/>
      <c r="H8" s="547"/>
      <c r="I8" s="166"/>
      <c r="J8" s="166"/>
      <c r="K8" s="171"/>
      <c r="L8" s="540"/>
      <c r="M8" s="160"/>
    </row>
    <row r="9" spans="1:22" s="161" customFormat="1" ht="24.95" customHeight="1">
      <c r="A9" s="160"/>
      <c r="B9" s="527"/>
      <c r="C9" s="170" t="s">
        <v>310</v>
      </c>
      <c r="D9" s="147" t="s">
        <v>306</v>
      </c>
      <c r="E9" s="168">
        <f>IF('GA55 Check &amp; Edit'!BB16="","",IF(D9="Y",'GA55 Check &amp; Edit'!BA16+'GA55 Check &amp; Edit'!BC16,0))</f>
        <v>59436</v>
      </c>
      <c r="F9" s="168">
        <f>IF(E9="","",IF(D9="Y",ROUND('Master Data'!$E$30%*'GA55 Check &amp; Edit'!BA16,0),"0"))</f>
        <v>4064</v>
      </c>
      <c r="G9" s="169"/>
      <c r="H9" s="547"/>
      <c r="I9" s="150" t="s">
        <v>319</v>
      </c>
      <c r="J9" s="190">
        <v>7500</v>
      </c>
      <c r="K9" s="171"/>
      <c r="L9" s="540"/>
      <c r="M9" s="160"/>
    </row>
    <row r="10" spans="1:22" s="161" customFormat="1" ht="24.95" customHeight="1">
      <c r="A10" s="160"/>
      <c r="B10" s="527"/>
      <c r="C10" s="170" t="s">
        <v>311</v>
      </c>
      <c r="D10" s="147" t="s">
        <v>306</v>
      </c>
      <c r="E10" s="168">
        <f>IF('GA55 Check &amp; Edit'!BB17="","",IF(D10="Y",'GA55 Check &amp; Edit'!BA17+'GA55 Check &amp; Edit'!BC17,0))</f>
        <v>59436</v>
      </c>
      <c r="F10" s="168">
        <f>IF(E10="","",IF(D10="Y",ROUND('Master Data'!$E$30%*'GA55 Check &amp; Edit'!BA17,0),"0"))</f>
        <v>4064</v>
      </c>
      <c r="G10" s="169"/>
      <c r="H10" s="547"/>
      <c r="I10" s="151" t="s">
        <v>318</v>
      </c>
      <c r="J10" s="156">
        <f>IF((J9*D17)&gt;E19*10%, MIN(ROUND(J9*D17-(E19)*10%,0),J19,J13),0)</f>
        <v>17407</v>
      </c>
      <c r="K10" s="171"/>
      <c r="L10" s="540"/>
      <c r="M10" s="160"/>
      <c r="R10" s="534"/>
      <c r="S10" s="534"/>
      <c r="T10" s="534"/>
      <c r="U10" s="534"/>
      <c r="V10" s="534"/>
    </row>
    <row r="11" spans="1:22" s="161" customFormat="1" ht="24.95" customHeight="1">
      <c r="A11" s="160"/>
      <c r="B11" s="527"/>
      <c r="C11" s="170" t="s">
        <v>312</v>
      </c>
      <c r="D11" s="147" t="s">
        <v>306</v>
      </c>
      <c r="E11" s="168">
        <f>IF('GA55 Check &amp; Edit'!BB18="","",IF(D11="Y",'GA55 Check &amp; Edit'!BA18+'GA55 Check &amp; Edit'!BC18,0))</f>
        <v>59436</v>
      </c>
      <c r="F11" s="168">
        <f>IF(E11="","",IF(D11="Y",ROUND('Master Data'!$E$30%*'GA55 Check &amp; Edit'!BA18,0),"0"))</f>
        <v>4064</v>
      </c>
      <c r="G11" s="169"/>
      <c r="H11" s="547"/>
      <c r="I11" s="545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Seventeen Thousand Four Hundred Seven Rupees</v>
      </c>
      <c r="J11" s="545"/>
      <c r="K11" s="171"/>
      <c r="L11" s="540"/>
      <c r="M11" s="160"/>
      <c r="R11" s="534"/>
      <c r="S11" s="534"/>
      <c r="T11" s="534"/>
      <c r="U11" s="534"/>
      <c r="V11" s="534"/>
    </row>
    <row r="12" spans="1:22" s="161" customFormat="1" ht="24.95" customHeight="1">
      <c r="A12" s="160"/>
      <c r="B12" s="527"/>
      <c r="C12" s="170" t="s">
        <v>313</v>
      </c>
      <c r="D12" s="147" t="s">
        <v>306</v>
      </c>
      <c r="E12" s="168">
        <f>IF('GA55 Check &amp; Edit'!BB19="","",IF(D12="Y",'GA55 Check &amp; Edit'!BA19+'GA55 Check &amp; Edit'!BC19,0))</f>
        <v>59436</v>
      </c>
      <c r="F12" s="168">
        <f>IF(E12="","",IF(D12="Y",ROUND('Master Data'!$E$30%*'GA55 Check &amp; Edit'!BA19,0),"0"))</f>
        <v>4064</v>
      </c>
      <c r="G12" s="169"/>
      <c r="H12" s="547"/>
      <c r="I12" s="166"/>
      <c r="J12" s="166"/>
      <c r="K12" s="171"/>
      <c r="L12" s="540"/>
      <c r="M12" s="160"/>
    </row>
    <row r="13" spans="1:22" s="161" customFormat="1" ht="24.95" customHeight="1">
      <c r="A13" s="160"/>
      <c r="B13" s="527"/>
      <c r="C13" s="170" t="s">
        <v>314</v>
      </c>
      <c r="D13" s="147" t="s">
        <v>306</v>
      </c>
      <c r="E13" s="168">
        <f>IF('GA55 Check &amp; Edit'!BB20="","",IF(D13="Y",'GA55 Check &amp; Edit'!BA20+'GA55 Check &amp; Edit'!BC20,0))</f>
        <v>59436</v>
      </c>
      <c r="F13" s="168">
        <f>IF(E13="","",IF(D13="Y",ROUND('Master Data'!$E$30%*'GA55 Check &amp; Edit'!BA20,0),"0"))</f>
        <v>4064</v>
      </c>
      <c r="G13" s="169"/>
      <c r="H13" s="547"/>
      <c r="I13" s="157" t="s">
        <v>333</v>
      </c>
      <c r="J13" s="172">
        <f>F19</f>
        <v>48288</v>
      </c>
      <c r="K13" s="171"/>
      <c r="L13" s="540"/>
      <c r="M13" s="160"/>
      <c r="R13" s="82"/>
      <c r="S13" s="82"/>
      <c r="T13" s="82"/>
      <c r="U13" s="82"/>
    </row>
    <row r="14" spans="1:22" s="161" customFormat="1" ht="24.95" customHeight="1">
      <c r="A14" s="160"/>
      <c r="B14" s="527"/>
      <c r="C14" s="170" t="s">
        <v>315</v>
      </c>
      <c r="D14" s="147" t="s">
        <v>306</v>
      </c>
      <c r="E14" s="168">
        <f>IF('GA55 Check &amp; Edit'!BB21="","",IF(D14="Y",'GA55 Check &amp; Edit'!BA21+'GA55 Check &amp; Edit'!BC21,0))</f>
        <v>59436</v>
      </c>
      <c r="F14" s="168">
        <f>IF(E14="","",IF(D14="Y",ROUND('Master Data'!$E$30%*'GA55 Check &amp; Edit'!BA21,0),"0"))</f>
        <v>4064</v>
      </c>
      <c r="G14" s="169"/>
      <c r="H14" s="547"/>
      <c r="I14" s="152" t="s">
        <v>320</v>
      </c>
      <c r="J14" s="173">
        <f>ROUND(((10%*E19)+F19),0)</f>
        <v>120881</v>
      </c>
      <c r="K14" s="171"/>
      <c r="L14" s="540"/>
      <c r="M14" s="160"/>
      <c r="R14" s="82"/>
      <c r="S14" s="82"/>
      <c r="T14" s="82"/>
      <c r="U14" s="82"/>
    </row>
    <row r="15" spans="1:22" s="161" customFormat="1" ht="24.95" customHeight="1">
      <c r="A15" s="160"/>
      <c r="B15" s="527"/>
      <c r="C15" s="170" t="s">
        <v>316</v>
      </c>
      <c r="D15" s="147" t="s">
        <v>306</v>
      </c>
      <c r="E15" s="168">
        <f>IF('GA55 Check &amp; Edit'!BB22="","",IF(D15="Y",'GA55 Check &amp; Edit'!BA22+'GA55 Check &amp; Edit'!BC22,0))</f>
        <v>59436</v>
      </c>
      <c r="F15" s="168">
        <f>IF(E15="","",IF(D15="Y",ROUND('Master Data'!$E$30%*'GA55 Check &amp; Edit'!BA22,0),"0"))</f>
        <v>4064</v>
      </c>
      <c r="G15" s="169"/>
      <c r="H15" s="547"/>
      <c r="I15" s="174"/>
      <c r="J15" s="174"/>
      <c r="K15" s="175"/>
      <c r="L15" s="540"/>
      <c r="M15" s="160"/>
      <c r="Q15" s="176"/>
      <c r="R15" s="47"/>
      <c r="S15" s="47"/>
      <c r="T15" s="47"/>
      <c r="U15" s="47"/>
    </row>
    <row r="16" spans="1:22" s="161" customFormat="1" ht="24.95" customHeight="1">
      <c r="A16" s="160"/>
      <c r="B16" s="527"/>
      <c r="C16" s="177" t="s">
        <v>317</v>
      </c>
      <c r="D16" s="148" t="s">
        <v>306</v>
      </c>
      <c r="E16" s="168">
        <f>IF('GA55 Check &amp; Edit'!BB23="","",IF(D16="Y",'GA55 Check &amp; Edit'!BA23+'GA55 Check &amp; Edit'!BC23,0))</f>
        <v>59436</v>
      </c>
      <c r="F16" s="168">
        <f>IF(E16="","",IF(D16="Y",ROUND('Master Data'!$E$30%*'GA55 Check &amp; Edit'!BA23,0),"0"))</f>
        <v>4064</v>
      </c>
      <c r="G16" s="169"/>
      <c r="H16" s="547"/>
      <c r="I16" s="152" t="s">
        <v>331</v>
      </c>
      <c r="J16" s="178">
        <f>ROUND(J14/D17,0)</f>
        <v>10073</v>
      </c>
      <c r="K16" s="175"/>
      <c r="L16" s="540"/>
      <c r="M16" s="160"/>
      <c r="Q16" s="176" t="s">
        <v>336</v>
      </c>
      <c r="R16" s="154"/>
      <c r="S16" s="154"/>
      <c r="T16" s="154"/>
      <c r="U16" s="154"/>
    </row>
    <row r="17" spans="1:21" s="161" customFormat="1" ht="24.95" customHeight="1">
      <c r="A17" s="160"/>
      <c r="B17" s="527"/>
      <c r="C17" s="170" t="s">
        <v>82</v>
      </c>
      <c r="D17" s="189">
        <f>COUNTIF(D5:D16, "Y")</f>
        <v>12</v>
      </c>
      <c r="E17" s="179">
        <f>SUM(E5:E16)</f>
        <v>676441</v>
      </c>
      <c r="F17" s="179">
        <f>SUM(F5:F16)</f>
        <v>46252</v>
      </c>
      <c r="G17" s="166"/>
      <c r="H17" s="547"/>
      <c r="I17" s="166"/>
      <c r="J17" s="166"/>
      <c r="K17" s="171"/>
      <c r="L17" s="540"/>
      <c r="M17" s="160"/>
      <c r="Q17" s="176" t="s">
        <v>329</v>
      </c>
      <c r="R17" s="154"/>
      <c r="S17" s="154"/>
      <c r="T17" s="154"/>
      <c r="U17" s="154"/>
    </row>
    <row r="18" spans="1:21" s="161" customFormat="1" ht="32.25" customHeight="1">
      <c r="A18" s="160"/>
      <c r="B18" s="527"/>
      <c r="C18" s="535" t="s">
        <v>321</v>
      </c>
      <c r="D18" s="536"/>
      <c r="E18" s="168">
        <f>'GA55 Only Print'!C27+'GA55 Only Print'!D27-E17</f>
        <v>49491</v>
      </c>
      <c r="F18" s="179">
        <f>'GA55 Only Print'!E27-F17</f>
        <v>2036</v>
      </c>
      <c r="G18" s="180"/>
      <c r="H18" s="547"/>
      <c r="I18" s="157" t="s">
        <v>332</v>
      </c>
      <c r="J18" s="158" t="s">
        <v>328</v>
      </c>
      <c r="K18" s="181"/>
      <c r="L18" s="540"/>
      <c r="M18" s="160"/>
      <c r="Q18" s="176" t="s">
        <v>334</v>
      </c>
      <c r="R18" s="154"/>
      <c r="S18" s="154"/>
      <c r="T18" s="154"/>
      <c r="U18" s="154"/>
    </row>
    <row r="19" spans="1:21" s="161" customFormat="1" ht="24.95" customHeight="1">
      <c r="A19" s="160"/>
      <c r="B19" s="527"/>
      <c r="C19" s="537" t="s">
        <v>82</v>
      </c>
      <c r="D19" s="538"/>
      <c r="E19" s="182">
        <f>E17+E18</f>
        <v>725932</v>
      </c>
      <c r="F19" s="183">
        <f>F17+F18</f>
        <v>48288</v>
      </c>
      <c r="G19" s="180"/>
      <c r="H19" s="547"/>
      <c r="I19" s="157" t="str">
        <f>IF(J18="","",IF(J18=Q16,"First select city in above unlock cell",IF(J18="Other cities","40 % Salary + DA","50 % Salary + DA")))</f>
        <v>40 % Salary + DA</v>
      </c>
      <c r="J19" s="184">
        <f>IF(J18="","",IF(J18=Q16,"------",IF(J18="Other cities",ROUND(40 %* E19,0),ROUND(50 %*E19,0))))</f>
        <v>290373</v>
      </c>
      <c r="K19" s="171"/>
      <c r="L19" s="540"/>
      <c r="M19" s="160"/>
      <c r="Q19" s="176" t="s">
        <v>330</v>
      </c>
      <c r="R19" s="154"/>
      <c r="S19" s="154"/>
      <c r="T19" s="154"/>
      <c r="U19" s="154"/>
    </row>
    <row r="20" spans="1:21" s="161" customFormat="1" ht="18" customHeight="1" thickBot="1">
      <c r="A20" s="160"/>
      <c r="B20" s="527"/>
      <c r="C20" s="185"/>
      <c r="D20" s="186"/>
      <c r="E20" s="186"/>
      <c r="F20" s="186"/>
      <c r="G20" s="186"/>
      <c r="H20" s="548"/>
      <c r="I20" s="186"/>
      <c r="J20" s="186"/>
      <c r="K20" s="187"/>
      <c r="L20" s="540"/>
      <c r="M20" s="160"/>
      <c r="Q20" s="176" t="s">
        <v>335</v>
      </c>
      <c r="R20" s="154"/>
      <c r="S20" s="154"/>
      <c r="T20" s="154"/>
      <c r="U20" s="154"/>
    </row>
    <row r="21" spans="1:21" s="161" customFormat="1" ht="23.25" customHeight="1" thickBot="1">
      <c r="A21" s="160"/>
      <c r="B21" s="528"/>
      <c r="C21" s="529"/>
      <c r="D21" s="529"/>
      <c r="E21" s="529"/>
      <c r="F21" s="529"/>
      <c r="G21" s="529"/>
      <c r="H21" s="529"/>
      <c r="I21" s="529"/>
      <c r="J21" s="529"/>
      <c r="K21" s="529"/>
      <c r="L21" s="541"/>
      <c r="M21" s="160"/>
      <c r="Q21" s="176" t="s">
        <v>328</v>
      </c>
      <c r="R21" s="154"/>
      <c r="S21" s="154"/>
      <c r="T21" s="154"/>
      <c r="U21" s="154"/>
    </row>
    <row r="22" spans="1:21" s="161" customFormat="1" ht="42" customHeight="1">
      <c r="A22" s="160"/>
      <c r="B22" s="160"/>
      <c r="C22" s="149"/>
      <c r="D22" s="149"/>
      <c r="E22" s="149"/>
      <c r="F22" s="149"/>
      <c r="G22" s="149"/>
      <c r="H22" s="149"/>
      <c r="I22" s="149"/>
      <c r="J22" s="166"/>
      <c r="K22" s="160"/>
      <c r="L22" s="160"/>
      <c r="M22" s="160"/>
      <c r="Q22" s="176"/>
      <c r="R22" s="154"/>
      <c r="S22" s="154"/>
      <c r="T22" s="154"/>
      <c r="U22" s="154"/>
    </row>
    <row r="23" spans="1:21" hidden="1">
      <c r="Q23" s="69"/>
      <c r="R23" s="154"/>
      <c r="S23" s="154"/>
      <c r="T23" s="154"/>
      <c r="U23" s="154"/>
    </row>
    <row r="24" spans="1:21" hidden="1">
      <c r="Q24" s="69"/>
      <c r="R24" s="154"/>
      <c r="S24" s="154"/>
      <c r="T24" s="188"/>
      <c r="U24" s="154"/>
    </row>
    <row r="25" spans="1:21" hidden="1">
      <c r="Q25" s="69"/>
      <c r="R25" s="154"/>
      <c r="S25" s="154"/>
      <c r="T25" s="154"/>
      <c r="U25" s="154"/>
    </row>
    <row r="26" spans="1:21" hidden="1">
      <c r="Q26" s="69"/>
      <c r="R26" s="154"/>
      <c r="S26" s="154"/>
      <c r="T26" s="154"/>
      <c r="U26" s="154"/>
    </row>
    <row r="27" spans="1:21" hidden="1">
      <c r="Q27" s="69"/>
      <c r="R27" s="154"/>
      <c r="S27" s="154"/>
      <c r="T27" s="154"/>
      <c r="U27" s="154"/>
    </row>
    <row r="28" spans="1:21" hidden="1">
      <c r="Q28" s="69"/>
      <c r="R28" s="155"/>
      <c r="S28" s="154"/>
      <c r="T28" s="155"/>
      <c r="U28" s="154"/>
    </row>
    <row r="29" spans="1:21" hidden="1">
      <c r="Q29" s="69"/>
      <c r="R29" s="154"/>
      <c r="S29" s="154"/>
      <c r="T29" s="154"/>
      <c r="U29" s="154"/>
    </row>
    <row r="30" spans="1:21" hidden="1">
      <c r="Q30" s="69"/>
      <c r="R30" s="154"/>
      <c r="S30" s="154"/>
      <c r="T30" s="154"/>
      <c r="U30" s="154"/>
    </row>
    <row r="31" spans="1:21" hidden="1">
      <c r="Q31" s="69"/>
      <c r="R31" s="154"/>
      <c r="S31" s="154"/>
      <c r="T31" s="154"/>
      <c r="U31" s="154"/>
    </row>
    <row r="32" spans="1:21" hidden="1">
      <c r="Q32" s="69"/>
      <c r="R32" s="154"/>
      <c r="S32" s="154"/>
      <c r="T32" s="154"/>
      <c r="U32" s="47"/>
    </row>
    <row r="33" spans="17:21" hidden="1">
      <c r="Q33" s="69"/>
      <c r="R33" s="47"/>
      <c r="S33" s="47"/>
      <c r="T33" s="47"/>
      <c r="U33" s="47"/>
    </row>
    <row r="34" spans="17:21" hidden="1">
      <c r="Q34" s="69"/>
      <c r="R34" s="69"/>
      <c r="S34" s="69"/>
      <c r="T34" s="69"/>
      <c r="U34" s="69"/>
    </row>
    <row r="35" spans="17:21" hidden="1">
      <c r="Q35" s="69"/>
      <c r="R35" s="69"/>
      <c r="S35" s="69"/>
      <c r="T35" s="69"/>
      <c r="U35" s="69"/>
    </row>
  </sheetData>
  <sheetProtection password="C1FB" sheet="1" objects="1" scenarios="1" selectLockedCells="1"/>
  <mergeCells count="12">
    <mergeCell ref="B2:B21"/>
    <mergeCell ref="C21:K21"/>
    <mergeCell ref="I6:K7"/>
    <mergeCell ref="I4:K5"/>
    <mergeCell ref="R10:V10"/>
    <mergeCell ref="R11:V11"/>
    <mergeCell ref="C18:D18"/>
    <mergeCell ref="C19:D19"/>
    <mergeCell ref="L2:L21"/>
    <mergeCell ref="C2:K2"/>
    <mergeCell ref="I11:J11"/>
    <mergeCell ref="H3:H20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view="pageBreakPreview" zoomScaleSheetLayoutView="100" workbookViewId="0">
      <selection activeCell="AD13" sqref="AD13"/>
    </sheetView>
  </sheetViews>
  <sheetFormatPr defaultColWidth="9.125" defaultRowHeight="15.75"/>
  <cols>
    <col min="1" max="1" width="4" style="81" customWidth="1"/>
    <col min="2" max="2" width="12.125" style="81" customWidth="1"/>
    <col min="3" max="3" width="7.75" style="81" customWidth="1"/>
    <col min="4" max="4" width="6.625" style="81" customWidth="1"/>
    <col min="5" max="5" width="5.625" style="81" customWidth="1"/>
    <col min="6" max="6" width="5.75" style="81" customWidth="1"/>
    <col min="7" max="7" width="5.375" style="81" customWidth="1"/>
    <col min="8" max="8" width="5.25" style="81" customWidth="1"/>
    <col min="9" max="9" width="6.25" style="81" customWidth="1"/>
    <col min="10" max="10" width="6.375" style="81" customWidth="1"/>
    <col min="11" max="12" width="5.875" style="81" customWidth="1"/>
    <col min="13" max="13" width="7.625" style="81" customWidth="1"/>
    <col min="14" max="14" width="5.25" style="81" customWidth="1"/>
    <col min="15" max="15" width="5.375" style="81" customWidth="1"/>
    <col min="16" max="16" width="5.25" style="81" customWidth="1"/>
    <col min="17" max="17" width="5.625" style="81" customWidth="1"/>
    <col min="18" max="18" width="5.75" style="81" customWidth="1"/>
    <col min="19" max="20" width="5.25" style="81" customWidth="1"/>
    <col min="21" max="21" width="5.5" style="81" customWidth="1"/>
    <col min="22" max="22" width="5.625" style="81" customWidth="1"/>
    <col min="23" max="25" width="5.75" style="81" customWidth="1"/>
    <col min="26" max="26" width="7.75" style="81" customWidth="1"/>
    <col min="27" max="27" width="8" style="107" customWidth="1"/>
    <col min="28" max="28" width="7.125" style="107" customWidth="1"/>
    <col min="29" max="29" width="8.25" style="35" customWidth="1"/>
    <col min="30" max="32" width="9.125" style="35" customWidth="1"/>
    <col min="33" max="33" width="22.625" style="81" customWidth="1"/>
    <col min="34" max="34" width="9.125" style="35" customWidth="1"/>
    <col min="35" max="35" width="10.875" style="35" customWidth="1"/>
    <col min="36" max="51" width="9.125" style="35" customWidth="1"/>
    <col min="52" max="52" width="11.25" style="35" customWidth="1"/>
    <col min="53" max="85" width="9.125" style="35" customWidth="1"/>
    <col min="86" max="86" width="8.375" style="35" customWidth="1"/>
    <col min="87" max="271" width="9.125" style="35" customWidth="1"/>
    <col min="272" max="16384" width="9.125" style="35"/>
  </cols>
  <sheetData>
    <row r="1" spans="1:33" ht="27.75" customHeight="1">
      <c r="A1" s="80"/>
      <c r="B1" s="564" t="str">
        <f>IF(AND('Master Data'!D4=""),"",CONCATENATE("Office Name :- ",PROPER('Master Data'!D4)))</f>
        <v>Office Name :- Mahatma Gandhi Govt. School (English Medium) Bar, Pali</v>
      </c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51"/>
      <c r="AB1" s="551"/>
      <c r="AC1" s="552"/>
    </row>
    <row r="2" spans="1:33" s="82" customFormat="1" ht="25.5" customHeight="1">
      <c r="A2" s="553" t="s">
        <v>117</v>
      </c>
      <c r="B2" s="554"/>
      <c r="C2" s="554"/>
      <c r="D2" s="555" t="str">
        <f>UPPER(IF('Master Data'!D6="","",'Master Data'!D6))</f>
        <v>HEERALAL JAT</v>
      </c>
      <c r="E2" s="555"/>
      <c r="F2" s="555"/>
      <c r="G2" s="555"/>
      <c r="H2" s="555"/>
      <c r="I2" s="559" t="s">
        <v>28</v>
      </c>
      <c r="J2" s="559"/>
      <c r="K2" s="559"/>
      <c r="L2" s="559"/>
      <c r="M2" s="556" t="str">
        <f>UPPER(IF('Master Data'!H6="","",'Master Data'!H6))</f>
        <v>SR TEACHER</v>
      </c>
      <c r="N2" s="556"/>
      <c r="O2" s="556"/>
      <c r="P2" s="556"/>
      <c r="Q2" s="554" t="s">
        <v>31</v>
      </c>
      <c r="R2" s="554"/>
      <c r="S2" s="554"/>
      <c r="T2" s="554"/>
      <c r="U2" s="556" t="str">
        <f>UPPER(IF('Master Data'!D8="","",'Master Data'!D8))</f>
        <v>M.G.G.S. BAR</v>
      </c>
      <c r="V2" s="556"/>
      <c r="W2" s="556"/>
      <c r="X2" s="556"/>
      <c r="Y2" s="556"/>
      <c r="Z2" s="556"/>
      <c r="AA2" s="556"/>
      <c r="AB2" s="557" t="s">
        <v>131</v>
      </c>
      <c r="AC2" s="558"/>
      <c r="AG2" s="83"/>
    </row>
    <row r="3" spans="1:33" s="82" customFormat="1" ht="23.25" customHeight="1">
      <c r="A3" s="575" t="s">
        <v>132</v>
      </c>
      <c r="B3" s="576"/>
      <c r="C3" s="577" t="str">
        <f>UPPER(IF('Master Data'!D12="","",'Master Data'!D12))</f>
        <v>ABCDE1234H</v>
      </c>
      <c r="D3" s="577"/>
      <c r="E3" s="577"/>
      <c r="F3" s="108" t="s">
        <v>133</v>
      </c>
      <c r="G3" s="577">
        <f>IF(AND('Master Data'!H14=""),"",'Master Data'!H14)</f>
        <v>123456</v>
      </c>
      <c r="H3" s="577"/>
      <c r="I3" s="577"/>
      <c r="J3" s="84" t="s">
        <v>6</v>
      </c>
      <c r="K3" s="550">
        <f>IF(AND('Master Data'!D14=""),"",'Master Data'!D14)</f>
        <v>11</v>
      </c>
      <c r="L3" s="550"/>
      <c r="M3" s="550"/>
      <c r="N3" s="550"/>
      <c r="O3" s="549" t="s">
        <v>40</v>
      </c>
      <c r="P3" s="549"/>
      <c r="Q3" s="549"/>
      <c r="R3" s="550">
        <f>IF(AND('Master Data'!D16=""),"",'Master Data'!D16)</f>
        <v>12134545454541</v>
      </c>
      <c r="S3" s="550"/>
      <c r="T3" s="550"/>
      <c r="U3" s="550"/>
      <c r="V3" s="550"/>
      <c r="W3" s="565" t="s">
        <v>134</v>
      </c>
      <c r="X3" s="565"/>
      <c r="Y3" s="565"/>
      <c r="Z3" s="565"/>
      <c r="AA3" s="566">
        <f>IF(AND('Master Data'!H16=""),"",'Master Data'!H16)</f>
        <v>121212121212121</v>
      </c>
      <c r="AB3" s="566"/>
      <c r="AC3" s="567"/>
      <c r="AG3" s="83"/>
    </row>
    <row r="4" spans="1:33" s="85" customFormat="1" ht="21.75" customHeight="1">
      <c r="A4" s="568" t="s">
        <v>135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70"/>
      <c r="N4" s="571" t="s">
        <v>136</v>
      </c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72" t="str">
        <f>'GA55 Check &amp; Edit'!AC6</f>
        <v>NET PAY</v>
      </c>
      <c r="AB4" s="573" t="str">
        <f>'GA55 Check &amp; Edit'!AD6</f>
        <v>TV.NO.</v>
      </c>
      <c r="AC4" s="574" t="str">
        <f>'GA55 Check &amp; Edit'!AE6</f>
        <v>Enc.  DATE</v>
      </c>
      <c r="AG4" s="42"/>
    </row>
    <row r="5" spans="1:33" s="88" customFormat="1" ht="47.25" customHeight="1">
      <c r="A5" s="86" t="str">
        <f>IF(AND('GA55 Check &amp; Edit'!C6=""),"",'GA55 Check &amp; Edit'!C6)</f>
        <v>S.N.</v>
      </c>
      <c r="B5" s="87" t="str">
        <f>IF(AND('GA55 Check &amp; Edit'!D6=""),"",'GA55 Check &amp; Edit'!D6)</f>
        <v>Month</v>
      </c>
      <c r="C5" s="87" t="str">
        <f>IF(AND('GA55 Check &amp; Edit'!E6=""),"",'GA55 Check &amp; Edit'!E6)</f>
        <v>Basic with Grade Pay</v>
      </c>
      <c r="D5" s="87" t="str">
        <f>IF(AND('GA55 Check &amp; Edit'!F6=""),"",'GA55 Check &amp; Edit'!F6)</f>
        <v>DA</v>
      </c>
      <c r="E5" s="87" t="str">
        <f>IF(AND('GA55 Check &amp; Edit'!G6=""),"",'GA55 Check &amp; Edit'!G6)</f>
        <v>HRA</v>
      </c>
      <c r="F5" s="87" t="str">
        <f>IF(AND('GA55 Check &amp; Edit'!H6=""),"",'GA55 Check &amp; Edit'!H6)</f>
        <v>Wash All.</v>
      </c>
      <c r="G5" s="87" t="str">
        <f>IF(AND('GA55 Check &amp; Edit'!I6=""),"",'GA55 Check &amp; Edit'!I6)</f>
        <v>Handi. All.</v>
      </c>
      <c r="H5" s="87" t="str">
        <f>IF(AND('GA55 Check &amp; Edit'!J6=""),"",'GA55 Check &amp; Edit'!J6)</f>
        <v>CCA</v>
      </c>
      <c r="I5" s="87" t="str">
        <f>IF(AND('GA55 Check &amp; Edit'!K6=""),"",'GA55 Check &amp; Edit'!K6)</f>
        <v>other-1</v>
      </c>
      <c r="J5" s="87" t="str">
        <f>IF(AND('GA55 Check &amp; Edit'!L6=""),"",'GA55 Check &amp; Edit'!L6)</f>
        <v>other-2</v>
      </c>
      <c r="K5" s="87" t="str">
        <f>IF(AND('GA55 Check &amp; Edit'!M6=""),"",'GA55 Check &amp; Edit'!M6)</f>
        <v>Bonus</v>
      </c>
      <c r="L5" s="87" t="str">
        <f>IF(AND('GA55 Check &amp; Edit'!N6=""),"",'GA55 Check &amp; Edit'!N6)</f>
        <v>N.P.S. By Govt.</v>
      </c>
      <c r="M5" s="87" t="str">
        <f>IF(AND('GA55 Check &amp; Edit'!O6=""),"",'GA55 Check &amp; Edit'!O6)</f>
        <v>TOTAL</v>
      </c>
      <c r="N5" s="87" t="str">
        <f>IF(AND('GA55 Check &amp; Edit'!P6=""),"",'GA55 Check &amp; Edit'!P6)</f>
        <v>SI</v>
      </c>
      <c r="O5" s="87" t="str">
        <f>IF(AND('GA55 Check &amp; Edit'!Q6=""),"",'GA55 Check &amp; Edit'!Q6)</f>
        <v>GPF / NPS</v>
      </c>
      <c r="P5" s="87" t="str">
        <f>IF(AND('GA55 Check &amp; Edit'!R6=""),"",'GA55 Check &amp; Edit'!R6)</f>
        <v>L.I.C.</v>
      </c>
      <c r="Q5" s="87" t="str">
        <f>IF(AND('GA55 Check &amp; Edit'!S6=""),"",'GA55 Check &amp; Edit'!S6)</f>
        <v>RPMF</v>
      </c>
      <c r="R5" s="87" t="str">
        <f>IF(AND('GA55 Check &amp; Edit'!T6=""),"",'GA55 Check &amp; Edit'!T6)</f>
        <v>SI Loan</v>
      </c>
      <c r="S5" s="87" t="str">
        <f>IF(AND('GA55 Check &amp; Edit'!U6=""),"",'GA55 Check &amp; Edit'!U6)</f>
        <v>GPF Loan</v>
      </c>
      <c r="T5" s="87" t="str">
        <f>IF(AND('GA55 Check &amp; Edit'!V6=""),"",'GA55 Check &amp; Edit'!V6)</f>
        <v>GPF 2004 (NPS)</v>
      </c>
      <c r="U5" s="87" t="str">
        <f>IF(AND('GA55 Check &amp; Edit'!W6=""),"",'GA55 Check &amp; Edit'!W6)</f>
        <v>Corona CM Found</v>
      </c>
      <c r="V5" s="87" t="str">
        <f>IF(AND('GA55 Check &amp; Edit'!X6=""),"",'GA55 Check &amp; Edit'!X6)</f>
        <v>SI Arrear</v>
      </c>
      <c r="W5" s="87" t="str">
        <f>IF(AND('GA55 Check &amp; Edit'!Y6=""),"",'GA55 Check &amp; Edit'!Y6)</f>
        <v>Other 1</v>
      </c>
      <c r="X5" s="87" t="str">
        <f>IF(AND('GA55 Check &amp; Edit'!Z6=""),"",'GA55 Check &amp; Edit'!Z6)</f>
        <v>Income Tax</v>
      </c>
      <c r="Y5" s="87" t="str">
        <f>IF(AND('GA55 Check &amp; Edit'!AA6=""),"",'GA55 Check &amp; Edit'!AA6)</f>
        <v>G.I. + S. Tax</v>
      </c>
      <c r="Z5" s="87" t="str">
        <f>IF(AND('GA55 Check &amp; Edit'!AB6=""),"",'GA55 Check &amp; Edit'!AB6)</f>
        <v>Total Ded.</v>
      </c>
      <c r="AA5" s="572"/>
      <c r="AB5" s="573"/>
      <c r="AC5" s="574"/>
      <c r="AG5" s="89"/>
    </row>
    <row r="6" spans="1:33" ht="21.95" customHeight="1">
      <c r="A6" s="90">
        <v>1</v>
      </c>
      <c r="B6" s="153">
        <f>IF(AND('GA55 Check &amp; Edit'!D8=""),"",'GA55 Check &amp; Edit'!D8)</f>
        <v>43891</v>
      </c>
      <c r="C6" s="91">
        <f>IF(AND('GA55 Check &amp; Edit'!E8=""),"",'GA55 Check &amp; Edit'!E8)</f>
        <v>23855</v>
      </c>
      <c r="D6" s="91">
        <f>IF(AND('GA55 Check &amp; Edit'!F8=""),"",'GA55 Check &amp; Edit'!F8)</f>
        <v>4055</v>
      </c>
      <c r="E6" s="91">
        <f>IF(AND('GA55 Check &amp; Edit'!G8=""),"",'GA55 Check &amp; Edit'!G8)</f>
        <v>1908</v>
      </c>
      <c r="F6" s="91">
        <f>IF(AND('GA55 Check &amp; Edit'!H8=""),"",'GA55 Check &amp; Edit'!H8)</f>
        <v>0</v>
      </c>
      <c r="G6" s="91">
        <f>IF(AND('GA55 Check &amp; Edit'!I8=""),"",'GA55 Check &amp; Edit'!I8)</f>
        <v>0</v>
      </c>
      <c r="H6" s="91" t="str">
        <f>IF(AND('GA55 Check &amp; Edit'!J8=""),"",'GA55 Check &amp; Edit'!J8)</f>
        <v/>
      </c>
      <c r="I6" s="91">
        <f>IF(AND('GA55 Check &amp; Edit'!K8=""),"",'GA55 Check &amp; Edit'!K8)</f>
        <v>0</v>
      </c>
      <c r="J6" s="91">
        <f>IF(AND('GA55 Check &amp; Edit'!L8=""),"",'GA55 Check &amp; Edit'!L8)</f>
        <v>0</v>
      </c>
      <c r="K6" s="91" t="str">
        <f>IF(AND('GA55 Check &amp; Edit'!M8=""),"",'GA55 Check &amp; Edit'!M8)</f>
        <v/>
      </c>
      <c r="L6" s="91" t="str">
        <f>IF(AND('GA55 Check &amp; Edit'!N8=""),"",'GA55 Check &amp; Edit'!N8)</f>
        <v/>
      </c>
      <c r="M6" s="91">
        <f>IF(AND('GA55 Check &amp; Edit'!O8=""),"",'GA55 Check &amp; Edit'!O8)</f>
        <v>29818</v>
      </c>
      <c r="N6" s="91" t="str">
        <f>IF(AND('GA55 Check &amp; Edit'!P8=""),"",'GA55 Check &amp; Edit'!P8)</f>
        <v>0</v>
      </c>
      <c r="O6" s="91" t="str">
        <f>IF(AND('GA55 Check &amp; Edit'!Q8=""),"",'GA55 Check &amp; Edit'!Q8)</f>
        <v>0</v>
      </c>
      <c r="P6" s="91">
        <f>IF(AND('GA55 Check &amp; Edit'!R8=""),"",'GA55 Check &amp; Edit'!R8)</f>
        <v>1880</v>
      </c>
      <c r="Q6" s="91">
        <f>IF(AND('GA55 Check &amp; Edit'!S8=""),"",'GA55 Check &amp; Edit'!S8)</f>
        <v>602</v>
      </c>
      <c r="R6" s="91">
        <f>IF(AND('GA55 Check &amp; Edit'!T8=""),"",'GA55 Check &amp; Edit'!T8)</f>
        <v>0</v>
      </c>
      <c r="S6" s="91">
        <f>IF(AND('GA55 Check &amp; Edit'!U8=""),"",'GA55 Check &amp; Edit'!U8)</f>
        <v>0</v>
      </c>
      <c r="T6" s="91" t="str">
        <f>IF(AND('GA55 Check &amp; Edit'!V8=""),"",'GA55 Check &amp; Edit'!V8)</f>
        <v/>
      </c>
      <c r="U6" s="91">
        <f>IF(AND('GA55 Check &amp; Edit'!W8=""),"",'GA55 Check &amp; Edit'!W8)</f>
        <v>4771</v>
      </c>
      <c r="V6" s="91">
        <f>IF(AND('GA55 Check &amp; Edit'!X8=""),"",'GA55 Check &amp; Edit'!X8)</f>
        <v>0</v>
      </c>
      <c r="W6" s="91">
        <f>IF(AND('GA55 Check &amp; Edit'!Y8=""),"",'GA55 Check &amp; Edit'!Y8)</f>
        <v>0</v>
      </c>
      <c r="X6" s="91">
        <f>IF(AND('GA55 Check &amp; Edit'!Z8=""),"",'GA55 Check &amp; Edit'!Z8)</f>
        <v>0</v>
      </c>
      <c r="Y6" s="91" t="str">
        <f>IF(AND('GA55 Check &amp; Edit'!AA8=""),"",'GA55 Check &amp; Edit'!AA8)</f>
        <v/>
      </c>
      <c r="Z6" s="91">
        <f>IF(AND('GA55 Check &amp; Edit'!AB8=""),"",'GA55 Check &amp; Edit'!AB8)</f>
        <v>7253</v>
      </c>
      <c r="AA6" s="91">
        <f>IF(AND('GA55 Check &amp; Edit'!AC8=""),"",'GA55 Check &amp; Edit'!AC8)</f>
        <v>22565</v>
      </c>
      <c r="AB6" s="91" t="str">
        <f>IF(AND('GA55 Check &amp; Edit'!AD8=""),"",'GA55 Check &amp; Edit'!AD8)</f>
        <v/>
      </c>
      <c r="AC6" s="366" t="str">
        <f>IF(AND('GA55 Check &amp; Edit'!AE8=""),"",'GA55 Check &amp; Edit'!AE8)</f>
        <v/>
      </c>
    </row>
    <row r="7" spans="1:33" ht="21.95" customHeight="1">
      <c r="A7" s="90">
        <v>2</v>
      </c>
      <c r="B7" s="153">
        <f>IF(AND('GA55 Check &amp; Edit'!D9=""),"",'GA55 Check &amp; Edit'!D9)</f>
        <v>43922</v>
      </c>
      <c r="C7" s="91">
        <f>IF(AND('GA55 Check &amp; Edit'!E9=""),"",'GA55 Check &amp; Edit'!E9)</f>
        <v>49300</v>
      </c>
      <c r="D7" s="91">
        <f>IF(AND('GA55 Check &amp; Edit'!F9=""),"",'GA55 Check &amp; Edit'!F9)</f>
        <v>8381</v>
      </c>
      <c r="E7" s="91">
        <f>IF(AND('GA55 Check &amp; Edit'!G9=""),"",'GA55 Check &amp; Edit'!G9)</f>
        <v>3944</v>
      </c>
      <c r="F7" s="91">
        <f>IF(AND('GA55 Check &amp; Edit'!H9=""),"",'GA55 Check &amp; Edit'!H9)</f>
        <v>0</v>
      </c>
      <c r="G7" s="91">
        <f>IF(AND('GA55 Check &amp; Edit'!I9=""),"",'GA55 Check &amp; Edit'!I9)</f>
        <v>0</v>
      </c>
      <c r="H7" s="91" t="str">
        <f>IF(AND('GA55 Check &amp; Edit'!J9=""),"",'GA55 Check &amp; Edit'!J9)</f>
        <v/>
      </c>
      <c r="I7" s="91">
        <f>IF(AND('GA55 Check &amp; Edit'!K9=""),"",'GA55 Check &amp; Edit'!K9)</f>
        <v>0</v>
      </c>
      <c r="J7" s="91">
        <f>IF(AND('GA55 Check &amp; Edit'!L9=""),"",'GA55 Check &amp; Edit'!L9)</f>
        <v>0</v>
      </c>
      <c r="K7" s="91" t="str">
        <f>IF(AND('GA55 Check &amp; Edit'!M9=""),"",'GA55 Check &amp; Edit'!M9)</f>
        <v/>
      </c>
      <c r="L7" s="91" t="str">
        <f>IF(AND('GA55 Check &amp; Edit'!N9=""),"",'GA55 Check &amp; Edit'!N9)</f>
        <v/>
      </c>
      <c r="M7" s="91">
        <f>IF(AND('GA55 Check &amp; Edit'!O9=""),"",'GA55 Check &amp; Edit'!O9)</f>
        <v>61625</v>
      </c>
      <c r="N7" s="91">
        <f>IF(AND('GA55 Check &amp; Edit'!P9=""),"",'GA55 Check &amp; Edit'!P9)</f>
        <v>7000</v>
      </c>
      <c r="O7" s="91">
        <f>IF(AND('GA55 Check &amp; Edit'!Q9=""),"",'GA55 Check &amp; Edit'!Q9)</f>
        <v>3575</v>
      </c>
      <c r="P7" s="91">
        <f>IF(AND('GA55 Check &amp; Edit'!R9=""),"",'GA55 Check &amp; Edit'!R9)</f>
        <v>1880</v>
      </c>
      <c r="Q7" s="91">
        <f>IF(AND('GA55 Check &amp; Edit'!S9=""),"",'GA55 Check &amp; Edit'!S9)</f>
        <v>602</v>
      </c>
      <c r="R7" s="91">
        <f>IF(AND('GA55 Check &amp; Edit'!T9=""),"",'GA55 Check &amp; Edit'!T9)</f>
        <v>0</v>
      </c>
      <c r="S7" s="91">
        <f>IF(AND('GA55 Check &amp; Edit'!U9=""),"",'GA55 Check &amp; Edit'!U9)</f>
        <v>0</v>
      </c>
      <c r="T7" s="91" t="str">
        <f>IF(AND('GA55 Check &amp; Edit'!V9=""),"",'GA55 Check &amp; Edit'!V9)</f>
        <v/>
      </c>
      <c r="U7" s="91">
        <f>IF(AND('GA55 Check &amp; Edit'!W9=""),"",'GA55 Check &amp; Edit'!W9)</f>
        <v>0</v>
      </c>
      <c r="V7" s="91">
        <f>IF(AND('GA55 Check &amp; Edit'!X9=""),"",'GA55 Check &amp; Edit'!X9)</f>
        <v>0</v>
      </c>
      <c r="W7" s="91">
        <f>IF(AND('GA55 Check &amp; Edit'!Y9=""),"",'GA55 Check &amp; Edit'!Y9)</f>
        <v>0</v>
      </c>
      <c r="X7" s="91">
        <f>IF(AND('GA55 Check &amp; Edit'!Z9=""),"",'GA55 Check &amp; Edit'!Z9)</f>
        <v>1500</v>
      </c>
      <c r="Y7" s="91">
        <f>IF(AND('GA55 Check &amp; Edit'!AA9=""),"",'GA55 Check &amp; Edit'!AA9)</f>
        <v>220</v>
      </c>
      <c r="Z7" s="91">
        <f>IF(AND('GA55 Check &amp; Edit'!AB9=""),"",'GA55 Check &amp; Edit'!AB9)</f>
        <v>14777</v>
      </c>
      <c r="AA7" s="91">
        <f>IF(AND('GA55 Check &amp; Edit'!AC9=""),"",'GA55 Check &amp; Edit'!AC9)</f>
        <v>46848</v>
      </c>
      <c r="AB7" s="91" t="str">
        <f>IF(AND('GA55 Check &amp; Edit'!AD9=""),"",'GA55 Check &amp; Edit'!AD9)</f>
        <v/>
      </c>
      <c r="AC7" s="366" t="str">
        <f>IF(AND('GA55 Check &amp; Edit'!AE9=""),"",'GA55 Check &amp; Edit'!AE9)</f>
        <v/>
      </c>
    </row>
    <row r="8" spans="1:33" ht="21.95" customHeight="1">
      <c r="A8" s="90">
        <v>3</v>
      </c>
      <c r="B8" s="153">
        <f>IF(AND('GA55 Check &amp; Edit'!D10=""),"",'GA55 Check &amp; Edit'!D10)</f>
        <v>43952</v>
      </c>
      <c r="C8" s="91">
        <f>IF(AND('GA55 Check &amp; Edit'!E10=""),"",'GA55 Check &amp; Edit'!E10)</f>
        <v>49300</v>
      </c>
      <c r="D8" s="91">
        <f>IF(AND('GA55 Check &amp; Edit'!F10=""),"",'GA55 Check &amp; Edit'!F10)</f>
        <v>8381</v>
      </c>
      <c r="E8" s="91">
        <f>IF(AND('GA55 Check &amp; Edit'!G10=""),"",'GA55 Check &amp; Edit'!G10)</f>
        <v>3944</v>
      </c>
      <c r="F8" s="91">
        <f>IF(AND('GA55 Check &amp; Edit'!H10=""),"",'GA55 Check &amp; Edit'!H10)</f>
        <v>0</v>
      </c>
      <c r="G8" s="91">
        <f>IF(AND('GA55 Check &amp; Edit'!I10=""),"",'GA55 Check &amp; Edit'!I10)</f>
        <v>0</v>
      </c>
      <c r="H8" s="91" t="str">
        <f>IF(AND('GA55 Check &amp; Edit'!J10=""),"",'GA55 Check &amp; Edit'!J10)</f>
        <v/>
      </c>
      <c r="I8" s="91">
        <f>IF(AND('GA55 Check &amp; Edit'!K10=""),"",'GA55 Check &amp; Edit'!K10)</f>
        <v>0</v>
      </c>
      <c r="J8" s="91">
        <f>IF(AND('GA55 Check &amp; Edit'!L10=""),"",'GA55 Check &amp; Edit'!L10)</f>
        <v>0</v>
      </c>
      <c r="K8" s="91" t="str">
        <f>IF(AND('GA55 Check &amp; Edit'!M10=""),"",'GA55 Check &amp; Edit'!M10)</f>
        <v/>
      </c>
      <c r="L8" s="91" t="str">
        <f>IF(AND('GA55 Check &amp; Edit'!N10=""),"",'GA55 Check &amp; Edit'!N10)</f>
        <v/>
      </c>
      <c r="M8" s="91">
        <f>IF(AND('GA55 Check &amp; Edit'!O10=""),"",'GA55 Check &amp; Edit'!O10)</f>
        <v>61625</v>
      </c>
      <c r="N8" s="91">
        <f>IF(AND('GA55 Check &amp; Edit'!P10=""),"",'GA55 Check &amp; Edit'!P10)</f>
        <v>7000</v>
      </c>
      <c r="O8" s="91">
        <f>IF(AND('GA55 Check &amp; Edit'!Q10=""),"",'GA55 Check &amp; Edit'!Q10)</f>
        <v>3575</v>
      </c>
      <c r="P8" s="91">
        <f>IF(AND('GA55 Check &amp; Edit'!R10=""),"",'GA55 Check &amp; Edit'!R10)</f>
        <v>1880</v>
      </c>
      <c r="Q8" s="91">
        <f>IF(AND('GA55 Check &amp; Edit'!S10=""),"",'GA55 Check &amp; Edit'!S10)</f>
        <v>714</v>
      </c>
      <c r="R8" s="91">
        <f>IF(AND('GA55 Check &amp; Edit'!T10=""),"",'GA55 Check &amp; Edit'!T10)</f>
        <v>0</v>
      </c>
      <c r="S8" s="91">
        <f>IF(AND('GA55 Check &amp; Edit'!U10=""),"",'GA55 Check &amp; Edit'!U10)</f>
        <v>0</v>
      </c>
      <c r="T8" s="91" t="str">
        <f>IF(AND('GA55 Check &amp; Edit'!V10=""),"",'GA55 Check &amp; Edit'!V10)</f>
        <v/>
      </c>
      <c r="U8" s="91">
        <f>IF(AND('GA55 Check &amp; Edit'!W10=""),"",'GA55 Check &amp; Edit'!W10)</f>
        <v>0</v>
      </c>
      <c r="V8" s="91">
        <f>IF(AND('GA55 Check &amp; Edit'!X10=""),"",'GA55 Check &amp; Edit'!X10)</f>
        <v>7000</v>
      </c>
      <c r="W8" s="91">
        <f>IF(AND('GA55 Check &amp; Edit'!Y10=""),"",'GA55 Check &amp; Edit'!Y10)</f>
        <v>0</v>
      </c>
      <c r="X8" s="91">
        <f>IF(AND('GA55 Check &amp; Edit'!Z10=""),"",'GA55 Check &amp; Edit'!Z10)</f>
        <v>1500</v>
      </c>
      <c r="Y8" s="91" t="str">
        <f>IF(AND('GA55 Check &amp; Edit'!AA10=""),"",'GA55 Check &amp; Edit'!AA10)</f>
        <v/>
      </c>
      <c r="Z8" s="91">
        <f>IF(AND('GA55 Check &amp; Edit'!AB10=""),"",'GA55 Check &amp; Edit'!AB10)</f>
        <v>21669</v>
      </c>
      <c r="AA8" s="91">
        <f>IF(AND('GA55 Check &amp; Edit'!AC10=""),"",'GA55 Check &amp; Edit'!AC10)</f>
        <v>39956</v>
      </c>
      <c r="AB8" s="91" t="str">
        <f>IF(AND('GA55 Check &amp; Edit'!AD10=""),"",'GA55 Check &amp; Edit'!AD10)</f>
        <v/>
      </c>
      <c r="AC8" s="366" t="str">
        <f>IF(AND('GA55 Check &amp; Edit'!AE10=""),"",'GA55 Check &amp; Edit'!AE10)</f>
        <v/>
      </c>
    </row>
    <row r="9" spans="1:33" ht="21.95" customHeight="1">
      <c r="A9" s="90">
        <v>4</v>
      </c>
      <c r="B9" s="153">
        <f>IF(AND('GA55 Check &amp; Edit'!D11=""),"",'GA55 Check &amp; Edit'!D11)</f>
        <v>43983</v>
      </c>
      <c r="C9" s="91">
        <f>IF(AND('GA55 Check &amp; Edit'!E11=""),"",'GA55 Check &amp; Edit'!E11)</f>
        <v>49300</v>
      </c>
      <c r="D9" s="91">
        <f>IF(AND('GA55 Check &amp; Edit'!F11=""),"",'GA55 Check &amp; Edit'!F11)</f>
        <v>8381</v>
      </c>
      <c r="E9" s="91">
        <f>IF(AND('GA55 Check &amp; Edit'!G11=""),"",'GA55 Check &amp; Edit'!G11)</f>
        <v>3944</v>
      </c>
      <c r="F9" s="91">
        <f>IF(AND('GA55 Check &amp; Edit'!H11=""),"",'GA55 Check &amp; Edit'!H11)</f>
        <v>0</v>
      </c>
      <c r="G9" s="91">
        <f>IF(AND('GA55 Check &amp; Edit'!I11=""),"",'GA55 Check &amp; Edit'!I11)</f>
        <v>0</v>
      </c>
      <c r="H9" s="91" t="str">
        <f>IF(AND('GA55 Check &amp; Edit'!J11=""),"",'GA55 Check &amp; Edit'!J11)</f>
        <v/>
      </c>
      <c r="I9" s="91">
        <f>IF(AND('GA55 Check &amp; Edit'!K11=""),"",'GA55 Check &amp; Edit'!K11)</f>
        <v>0</v>
      </c>
      <c r="J9" s="91">
        <f>IF(AND('GA55 Check &amp; Edit'!L11=""),"",'GA55 Check &amp; Edit'!L11)</f>
        <v>0</v>
      </c>
      <c r="K9" s="91" t="str">
        <f>IF(AND('GA55 Check &amp; Edit'!M11=""),"",'GA55 Check &amp; Edit'!M11)</f>
        <v/>
      </c>
      <c r="L9" s="91" t="str">
        <f>IF(AND('GA55 Check &amp; Edit'!N11=""),"",'GA55 Check &amp; Edit'!N11)</f>
        <v/>
      </c>
      <c r="M9" s="91">
        <f>IF(AND('GA55 Check &amp; Edit'!O11=""),"",'GA55 Check &amp; Edit'!O11)</f>
        <v>61625</v>
      </c>
      <c r="N9" s="91">
        <f>IF(AND('GA55 Check &amp; Edit'!P11=""),"",'GA55 Check &amp; Edit'!P11)</f>
        <v>7000</v>
      </c>
      <c r="O9" s="91">
        <f>IF(AND('GA55 Check &amp; Edit'!Q11=""),"",'GA55 Check &amp; Edit'!Q11)</f>
        <v>3575</v>
      </c>
      <c r="P9" s="91">
        <f>IF(AND('GA55 Check &amp; Edit'!R11=""),"",'GA55 Check &amp; Edit'!R11)</f>
        <v>1880</v>
      </c>
      <c r="Q9" s="91">
        <f>IF(AND('GA55 Check &amp; Edit'!S11=""),"",'GA55 Check &amp; Edit'!S11)</f>
        <v>658</v>
      </c>
      <c r="R9" s="91">
        <f>IF(AND('GA55 Check &amp; Edit'!T11=""),"",'GA55 Check &amp; Edit'!T11)</f>
        <v>0</v>
      </c>
      <c r="S9" s="91">
        <f>IF(AND('GA55 Check &amp; Edit'!U11=""),"",'GA55 Check &amp; Edit'!U11)</f>
        <v>0</v>
      </c>
      <c r="T9" s="91" t="str">
        <f>IF(AND('GA55 Check &amp; Edit'!V11=""),"",'GA55 Check &amp; Edit'!V11)</f>
        <v/>
      </c>
      <c r="U9" s="91">
        <f>IF(AND('GA55 Check &amp; Edit'!W11=""),"",'GA55 Check &amp; Edit'!W11)</f>
        <v>0</v>
      </c>
      <c r="V9" s="91">
        <f>IF(AND('GA55 Check &amp; Edit'!X11=""),"",'GA55 Check &amp; Edit'!X11)</f>
        <v>0</v>
      </c>
      <c r="W9" s="91">
        <f>IF(AND('GA55 Check &amp; Edit'!Y11=""),"",'GA55 Check &amp; Edit'!Y11)</f>
        <v>0</v>
      </c>
      <c r="X9" s="91">
        <f>IF(AND('GA55 Check &amp; Edit'!Z11=""),"",'GA55 Check &amp; Edit'!Z11)</f>
        <v>1500</v>
      </c>
      <c r="Y9" s="91" t="str">
        <f>IF(AND('GA55 Check &amp; Edit'!AA11=""),"",'GA55 Check &amp; Edit'!AA11)</f>
        <v/>
      </c>
      <c r="Z9" s="91">
        <f>IF(AND('GA55 Check &amp; Edit'!AB11=""),"",'GA55 Check &amp; Edit'!AB11)</f>
        <v>14613</v>
      </c>
      <c r="AA9" s="91">
        <f>IF(AND('GA55 Check &amp; Edit'!AC11=""),"",'GA55 Check &amp; Edit'!AC11)</f>
        <v>47012</v>
      </c>
      <c r="AB9" s="91" t="str">
        <f>IF(AND('GA55 Check &amp; Edit'!AD11=""),"",'GA55 Check &amp; Edit'!AD11)</f>
        <v/>
      </c>
      <c r="AC9" s="366" t="str">
        <f>IF(AND('GA55 Check &amp; Edit'!AE11=""),"",'GA55 Check &amp; Edit'!AE11)</f>
        <v/>
      </c>
    </row>
    <row r="10" spans="1:33" ht="21.95" customHeight="1">
      <c r="A10" s="90">
        <v>5</v>
      </c>
      <c r="B10" s="153">
        <f>IF(AND('GA55 Check &amp; Edit'!D12=""),"",'GA55 Check &amp; Edit'!D12)</f>
        <v>44013</v>
      </c>
      <c r="C10" s="91">
        <f>IF(AND('GA55 Check &amp; Edit'!E12=""),"",'GA55 Check &amp; Edit'!E12)</f>
        <v>50800</v>
      </c>
      <c r="D10" s="91">
        <f>IF(AND('GA55 Check &amp; Edit'!F12=""),"",'GA55 Check &amp; Edit'!F12)</f>
        <v>8636</v>
      </c>
      <c r="E10" s="91">
        <f>IF(AND('GA55 Check &amp; Edit'!G12=""),"",'GA55 Check &amp; Edit'!G12)</f>
        <v>4064</v>
      </c>
      <c r="F10" s="91">
        <f>IF(AND('GA55 Check &amp; Edit'!H12=""),"",'GA55 Check &amp; Edit'!H12)</f>
        <v>0</v>
      </c>
      <c r="G10" s="91">
        <f>IF(AND('GA55 Check &amp; Edit'!I12=""),"",'GA55 Check &amp; Edit'!I12)</f>
        <v>0</v>
      </c>
      <c r="H10" s="91" t="str">
        <f>IF(AND('GA55 Check &amp; Edit'!J12=""),"",'GA55 Check &amp; Edit'!J12)</f>
        <v/>
      </c>
      <c r="I10" s="91">
        <f>IF(AND('GA55 Check &amp; Edit'!K12=""),"",'GA55 Check &amp; Edit'!K12)</f>
        <v>0</v>
      </c>
      <c r="J10" s="91">
        <f>IF(AND('GA55 Check &amp; Edit'!L12=""),"",'GA55 Check &amp; Edit'!L12)</f>
        <v>0</v>
      </c>
      <c r="K10" s="91" t="str">
        <f>IF(AND('GA55 Check &amp; Edit'!M12=""),"",'GA55 Check &amp; Edit'!M12)</f>
        <v/>
      </c>
      <c r="L10" s="91" t="str">
        <f>IF(AND('GA55 Check &amp; Edit'!N12=""),"",'GA55 Check &amp; Edit'!N12)</f>
        <v/>
      </c>
      <c r="M10" s="91">
        <f>IF(AND('GA55 Check &amp; Edit'!O12=""),"",'GA55 Check &amp; Edit'!O12)</f>
        <v>63500</v>
      </c>
      <c r="N10" s="91">
        <f>IF(AND('GA55 Check &amp; Edit'!P12=""),"",'GA55 Check &amp; Edit'!P12)</f>
        <v>7000</v>
      </c>
      <c r="O10" s="91">
        <f>IF(AND('GA55 Check &amp; Edit'!Q12=""),"",'GA55 Check &amp; Edit'!Q12)</f>
        <v>3575</v>
      </c>
      <c r="P10" s="91">
        <f>IF(AND('GA55 Check &amp; Edit'!R12=""),"",'GA55 Check &amp; Edit'!R12)</f>
        <v>1880</v>
      </c>
      <c r="Q10" s="91">
        <f>IF(AND('GA55 Check &amp; Edit'!S12=""),"",'GA55 Check &amp; Edit'!S12)</f>
        <v>658</v>
      </c>
      <c r="R10" s="91">
        <f>IF(AND('GA55 Check &amp; Edit'!T12=""),"",'GA55 Check &amp; Edit'!T12)</f>
        <v>0</v>
      </c>
      <c r="S10" s="91">
        <f>IF(AND('GA55 Check &amp; Edit'!U12=""),"",'GA55 Check &amp; Edit'!U12)</f>
        <v>0</v>
      </c>
      <c r="T10" s="91" t="str">
        <f>IF(AND('GA55 Check &amp; Edit'!V12=""),"",'GA55 Check &amp; Edit'!V12)</f>
        <v/>
      </c>
      <c r="U10" s="91">
        <f>IF(AND('GA55 Check &amp; Edit'!W12=""),"",'GA55 Check &amp; Edit'!W12)</f>
        <v>0</v>
      </c>
      <c r="V10" s="91">
        <f>IF(AND('GA55 Check &amp; Edit'!X12=""),"",'GA55 Check &amp; Edit'!X12)</f>
        <v>0</v>
      </c>
      <c r="W10" s="91">
        <f>IF(AND('GA55 Check &amp; Edit'!Y12=""),"",'GA55 Check &amp; Edit'!Y12)</f>
        <v>0</v>
      </c>
      <c r="X10" s="91">
        <f>IF(AND('GA55 Check &amp; Edit'!Z12=""),"",'GA55 Check &amp; Edit'!Z12)</f>
        <v>1500</v>
      </c>
      <c r="Y10" s="91" t="str">
        <f>IF(AND('GA55 Check &amp; Edit'!AA12=""),"",'GA55 Check &amp; Edit'!AA12)</f>
        <v/>
      </c>
      <c r="Z10" s="91">
        <f>IF(AND('GA55 Check &amp; Edit'!AB12=""),"",'GA55 Check &amp; Edit'!AB12)</f>
        <v>14613</v>
      </c>
      <c r="AA10" s="91">
        <f>IF(AND('GA55 Check &amp; Edit'!AC12=""),"",'GA55 Check &amp; Edit'!AC12)</f>
        <v>48887</v>
      </c>
      <c r="AB10" s="91" t="str">
        <f>IF(AND('GA55 Check &amp; Edit'!AD12=""),"",'GA55 Check &amp; Edit'!AD12)</f>
        <v/>
      </c>
      <c r="AC10" s="366" t="str">
        <f>IF(AND('GA55 Check &amp; Edit'!AE12=""),"",'GA55 Check &amp; Edit'!AE12)</f>
        <v/>
      </c>
    </row>
    <row r="11" spans="1:33" ht="21.95" customHeight="1">
      <c r="A11" s="90">
        <v>6</v>
      </c>
      <c r="B11" s="153">
        <f>IF(AND('GA55 Check &amp; Edit'!D13=""),"",'GA55 Check &amp; Edit'!D13)</f>
        <v>44044</v>
      </c>
      <c r="C11" s="91">
        <f>IF(AND('GA55 Check &amp; Edit'!E13=""),"",'GA55 Check &amp; Edit'!E13)</f>
        <v>50800</v>
      </c>
      <c r="D11" s="91">
        <f>IF(AND('GA55 Check &amp; Edit'!F13=""),"",'GA55 Check &amp; Edit'!F13)</f>
        <v>8636</v>
      </c>
      <c r="E11" s="91">
        <f>IF(AND('GA55 Check &amp; Edit'!G13=""),"",'GA55 Check &amp; Edit'!G13)</f>
        <v>4064</v>
      </c>
      <c r="F11" s="91">
        <f>IF(AND('GA55 Check &amp; Edit'!H13=""),"",'GA55 Check &amp; Edit'!H13)</f>
        <v>0</v>
      </c>
      <c r="G11" s="91">
        <f>IF(AND('GA55 Check &amp; Edit'!I13=""),"",'GA55 Check &amp; Edit'!I13)</f>
        <v>0</v>
      </c>
      <c r="H11" s="91" t="str">
        <f>IF(AND('GA55 Check &amp; Edit'!J13=""),"",'GA55 Check &amp; Edit'!J13)</f>
        <v/>
      </c>
      <c r="I11" s="91">
        <f>IF(AND('GA55 Check &amp; Edit'!K13=""),"",'GA55 Check &amp; Edit'!K13)</f>
        <v>0</v>
      </c>
      <c r="J11" s="91">
        <f>IF(AND('GA55 Check &amp; Edit'!L13=""),"",'GA55 Check &amp; Edit'!L13)</f>
        <v>0</v>
      </c>
      <c r="K11" s="91" t="str">
        <f>IF(AND('GA55 Check &amp; Edit'!M13=""),"",'GA55 Check &amp; Edit'!M13)</f>
        <v/>
      </c>
      <c r="L11" s="91" t="str">
        <f>IF(AND('GA55 Check &amp; Edit'!N13=""),"",'GA55 Check &amp; Edit'!N13)</f>
        <v/>
      </c>
      <c r="M11" s="91">
        <f>IF(AND('GA55 Check &amp; Edit'!O13=""),"",'GA55 Check &amp; Edit'!O13)</f>
        <v>63500</v>
      </c>
      <c r="N11" s="91">
        <f>IF(AND('GA55 Check &amp; Edit'!P13=""),"",'GA55 Check &amp; Edit'!P13)</f>
        <v>7000</v>
      </c>
      <c r="O11" s="91">
        <f>IF(AND('GA55 Check &amp; Edit'!Q13=""),"",'GA55 Check &amp; Edit'!Q13)</f>
        <v>3575</v>
      </c>
      <c r="P11" s="91">
        <f>IF(AND('GA55 Check &amp; Edit'!R13=""),"",'GA55 Check &amp; Edit'!R13)</f>
        <v>1880</v>
      </c>
      <c r="Q11" s="91">
        <f>IF(AND('GA55 Check &amp; Edit'!S13=""),"",'GA55 Check &amp; Edit'!S13)</f>
        <v>658</v>
      </c>
      <c r="R11" s="91">
        <f>IF(AND('GA55 Check &amp; Edit'!T13=""),"",'GA55 Check &amp; Edit'!T13)</f>
        <v>0</v>
      </c>
      <c r="S11" s="91">
        <f>IF(AND('GA55 Check &amp; Edit'!U13=""),"",'GA55 Check &amp; Edit'!U13)</f>
        <v>0</v>
      </c>
      <c r="T11" s="91" t="str">
        <f>IF(AND('GA55 Check &amp; Edit'!V13=""),"",'GA55 Check &amp; Edit'!V13)</f>
        <v/>
      </c>
      <c r="U11" s="91">
        <f>IF(AND('GA55 Check &amp; Edit'!W13=""),"",'GA55 Check &amp; Edit'!W13)</f>
        <v>0</v>
      </c>
      <c r="V11" s="91">
        <f>IF(AND('GA55 Check &amp; Edit'!X13=""),"",'GA55 Check &amp; Edit'!X13)</f>
        <v>0</v>
      </c>
      <c r="W11" s="91">
        <f>IF(AND('GA55 Check &amp; Edit'!Y13=""),"",'GA55 Check &amp; Edit'!Y13)</f>
        <v>0</v>
      </c>
      <c r="X11" s="91">
        <f>IF(AND('GA55 Check &amp; Edit'!Z13=""),"",'GA55 Check &amp; Edit'!Z13)</f>
        <v>1500</v>
      </c>
      <c r="Y11" s="91" t="str">
        <f>IF(AND('GA55 Check &amp; Edit'!AA13=""),"",'GA55 Check &amp; Edit'!AA13)</f>
        <v/>
      </c>
      <c r="Z11" s="91">
        <f>IF(AND('GA55 Check &amp; Edit'!AB13=""),"",'GA55 Check &amp; Edit'!AB13)</f>
        <v>14613</v>
      </c>
      <c r="AA11" s="91">
        <f>IF(AND('GA55 Check &amp; Edit'!AC13=""),"",'GA55 Check &amp; Edit'!AC13)</f>
        <v>48887</v>
      </c>
      <c r="AB11" s="91" t="str">
        <f>IF(AND('GA55 Check &amp; Edit'!AD13=""),"",'GA55 Check &amp; Edit'!AD13)</f>
        <v/>
      </c>
      <c r="AC11" s="366" t="str">
        <f>IF(AND('GA55 Check &amp; Edit'!AE13=""),"",'GA55 Check &amp; Edit'!AE13)</f>
        <v/>
      </c>
    </row>
    <row r="12" spans="1:33" ht="21.95" customHeight="1">
      <c r="A12" s="90">
        <v>7</v>
      </c>
      <c r="B12" s="153">
        <f>IF(AND('GA55 Check &amp; Edit'!D14=""),"",'GA55 Check &amp; Edit'!D14)</f>
        <v>44075</v>
      </c>
      <c r="C12" s="91">
        <f>IF(AND('GA55 Check &amp; Edit'!E14=""),"",'GA55 Check &amp; Edit'!E14)</f>
        <v>50800</v>
      </c>
      <c r="D12" s="91">
        <f>IF(AND('GA55 Check &amp; Edit'!F14=""),"",'GA55 Check &amp; Edit'!F14)</f>
        <v>8636</v>
      </c>
      <c r="E12" s="91">
        <f>IF(AND('GA55 Check &amp; Edit'!G14=""),"",'GA55 Check &amp; Edit'!G14)</f>
        <v>4064</v>
      </c>
      <c r="F12" s="91">
        <f>IF(AND('GA55 Check &amp; Edit'!H14=""),"",'GA55 Check &amp; Edit'!H14)</f>
        <v>0</v>
      </c>
      <c r="G12" s="91">
        <f>IF(AND('GA55 Check &amp; Edit'!I14=""),"",'GA55 Check &amp; Edit'!I14)</f>
        <v>0</v>
      </c>
      <c r="H12" s="91" t="str">
        <f>IF(AND('GA55 Check &amp; Edit'!J14=""),"",'GA55 Check &amp; Edit'!J14)</f>
        <v/>
      </c>
      <c r="I12" s="91">
        <f>IF(AND('GA55 Check &amp; Edit'!K14=""),"",'GA55 Check &amp; Edit'!K14)</f>
        <v>0</v>
      </c>
      <c r="J12" s="91">
        <f>IF(AND('GA55 Check &amp; Edit'!L14=""),"",'GA55 Check &amp; Edit'!L14)</f>
        <v>0</v>
      </c>
      <c r="K12" s="91" t="str">
        <f>IF(AND('GA55 Check &amp; Edit'!M14=""),"",'GA55 Check &amp; Edit'!M14)</f>
        <v/>
      </c>
      <c r="L12" s="91" t="str">
        <f>IF(AND('GA55 Check &amp; Edit'!N14=""),"",'GA55 Check &amp; Edit'!N14)</f>
        <v/>
      </c>
      <c r="M12" s="91">
        <f>IF(AND('GA55 Check &amp; Edit'!O14=""),"",'GA55 Check &amp; Edit'!O14)</f>
        <v>63500</v>
      </c>
      <c r="N12" s="91">
        <f>IF(AND('GA55 Check &amp; Edit'!P14=""),"",'GA55 Check &amp; Edit'!P14)</f>
        <v>7000</v>
      </c>
      <c r="O12" s="91">
        <f>IF(AND('GA55 Check &amp; Edit'!Q14=""),"",'GA55 Check &amp; Edit'!Q14)</f>
        <v>3575</v>
      </c>
      <c r="P12" s="91">
        <f>IF(AND('GA55 Check &amp; Edit'!R14=""),"",'GA55 Check &amp; Edit'!R14)</f>
        <v>1880</v>
      </c>
      <c r="Q12" s="91">
        <f>IF(AND('GA55 Check &amp; Edit'!S14=""),"",'GA55 Check &amp; Edit'!S14)</f>
        <v>658</v>
      </c>
      <c r="R12" s="91">
        <f>IF(AND('GA55 Check &amp; Edit'!T14=""),"",'GA55 Check &amp; Edit'!T14)</f>
        <v>0</v>
      </c>
      <c r="S12" s="91">
        <f>IF(AND('GA55 Check &amp; Edit'!U14=""),"",'GA55 Check &amp; Edit'!U14)</f>
        <v>0</v>
      </c>
      <c r="T12" s="91" t="str">
        <f>IF(AND('GA55 Check &amp; Edit'!V14=""),"",'GA55 Check &amp; Edit'!V14)</f>
        <v/>
      </c>
      <c r="U12" s="91">
        <f>IF(AND('GA55 Check &amp; Edit'!W14=""),"",'GA55 Check &amp; Edit'!W14)</f>
        <v>2117</v>
      </c>
      <c r="V12" s="91">
        <f>IF(AND('GA55 Check &amp; Edit'!X14=""),"",'GA55 Check &amp; Edit'!X14)</f>
        <v>0</v>
      </c>
      <c r="W12" s="91">
        <f>IF(AND('GA55 Check &amp; Edit'!Y14=""),"",'GA55 Check &amp; Edit'!Y14)</f>
        <v>0</v>
      </c>
      <c r="X12" s="91">
        <f>IF(AND('GA55 Check &amp; Edit'!Z14=""),"",'GA55 Check &amp; Edit'!Z14)</f>
        <v>1500</v>
      </c>
      <c r="Y12" s="91" t="str">
        <f>IF(AND('GA55 Check &amp; Edit'!AA14=""),"",'GA55 Check &amp; Edit'!AA14)</f>
        <v/>
      </c>
      <c r="Z12" s="91">
        <f>IF(AND('GA55 Check &amp; Edit'!AB14=""),"",'GA55 Check &amp; Edit'!AB14)</f>
        <v>16730</v>
      </c>
      <c r="AA12" s="91">
        <f>IF(AND('GA55 Check &amp; Edit'!AC14=""),"",'GA55 Check &amp; Edit'!AC14)</f>
        <v>46770</v>
      </c>
      <c r="AB12" s="91" t="str">
        <f>IF(AND('GA55 Check &amp; Edit'!AD14=""),"",'GA55 Check &amp; Edit'!AD14)</f>
        <v/>
      </c>
      <c r="AC12" s="366" t="str">
        <f>IF(AND('GA55 Check &amp; Edit'!AE14=""),"",'GA55 Check &amp; Edit'!AE14)</f>
        <v/>
      </c>
    </row>
    <row r="13" spans="1:33" ht="21.95" customHeight="1">
      <c r="A13" s="90">
        <v>8</v>
      </c>
      <c r="B13" s="153">
        <f>IF(AND('GA55 Check &amp; Edit'!D15=""),"",'GA55 Check &amp; Edit'!D15)</f>
        <v>44105</v>
      </c>
      <c r="C13" s="91">
        <f>IF(AND('GA55 Check &amp; Edit'!E15=""),"",'GA55 Check &amp; Edit'!E15)</f>
        <v>50800</v>
      </c>
      <c r="D13" s="91">
        <f>IF(AND('GA55 Check &amp; Edit'!F15=""),"",'GA55 Check &amp; Edit'!F15)</f>
        <v>8636</v>
      </c>
      <c r="E13" s="91">
        <f>IF(AND('GA55 Check &amp; Edit'!G15=""),"",'GA55 Check &amp; Edit'!G15)</f>
        <v>4064</v>
      </c>
      <c r="F13" s="91">
        <f>IF(AND('GA55 Check &amp; Edit'!H15=""),"",'GA55 Check &amp; Edit'!H15)</f>
        <v>0</v>
      </c>
      <c r="G13" s="91">
        <f>IF(AND('GA55 Check &amp; Edit'!I15=""),"",'GA55 Check &amp; Edit'!I15)</f>
        <v>0</v>
      </c>
      <c r="H13" s="91" t="str">
        <f>IF(AND('GA55 Check &amp; Edit'!J15=""),"",'GA55 Check &amp; Edit'!J15)</f>
        <v/>
      </c>
      <c r="I13" s="91">
        <f>IF(AND('GA55 Check &amp; Edit'!K15=""),"",'GA55 Check &amp; Edit'!K15)</f>
        <v>0</v>
      </c>
      <c r="J13" s="91">
        <f>IF(AND('GA55 Check &amp; Edit'!L15=""),"",'GA55 Check &amp; Edit'!L15)</f>
        <v>0</v>
      </c>
      <c r="K13" s="91" t="str">
        <f>IF(AND('GA55 Check &amp; Edit'!M15=""),"",'GA55 Check &amp; Edit'!M15)</f>
        <v/>
      </c>
      <c r="L13" s="91" t="str">
        <f>IF(AND('GA55 Check &amp; Edit'!N15=""),"",'GA55 Check &amp; Edit'!N15)</f>
        <v/>
      </c>
      <c r="M13" s="91">
        <f>IF(AND('GA55 Check &amp; Edit'!O15=""),"",'GA55 Check &amp; Edit'!O15)</f>
        <v>63500</v>
      </c>
      <c r="N13" s="91">
        <f>IF(AND('GA55 Check &amp; Edit'!P15=""),"",'GA55 Check &amp; Edit'!P15)</f>
        <v>7000</v>
      </c>
      <c r="O13" s="91">
        <f>IF(AND('GA55 Check &amp; Edit'!Q15=""),"",'GA55 Check &amp; Edit'!Q15)</f>
        <v>3575</v>
      </c>
      <c r="P13" s="91">
        <f>IF(AND('GA55 Check &amp; Edit'!R15=""),"",'GA55 Check &amp; Edit'!R15)</f>
        <v>1880</v>
      </c>
      <c r="Q13" s="91">
        <f>IF(AND('GA55 Check &amp; Edit'!S15=""),"",'GA55 Check &amp; Edit'!S15)</f>
        <v>658</v>
      </c>
      <c r="R13" s="91">
        <f>IF(AND('GA55 Check &amp; Edit'!T15=""),"",'GA55 Check &amp; Edit'!T15)</f>
        <v>0</v>
      </c>
      <c r="S13" s="91">
        <f>IF(AND('GA55 Check &amp; Edit'!U15=""),"",'GA55 Check &amp; Edit'!U15)</f>
        <v>0</v>
      </c>
      <c r="T13" s="91" t="str">
        <f>IF(AND('GA55 Check &amp; Edit'!V15=""),"",'GA55 Check &amp; Edit'!V15)</f>
        <v/>
      </c>
      <c r="U13" s="91">
        <f>IF(AND('GA55 Check &amp; Edit'!W15=""),"",'GA55 Check &amp; Edit'!W15)</f>
        <v>2048</v>
      </c>
      <c r="V13" s="91">
        <f>IF(AND('GA55 Check &amp; Edit'!X15=""),"",'GA55 Check &amp; Edit'!X15)</f>
        <v>0</v>
      </c>
      <c r="W13" s="91">
        <f>IF(AND('GA55 Check &amp; Edit'!Y15=""),"",'GA55 Check &amp; Edit'!Y15)</f>
        <v>0</v>
      </c>
      <c r="X13" s="91">
        <f>IF(AND('GA55 Check &amp; Edit'!Z15=""),"",'GA55 Check &amp; Edit'!Z15)</f>
        <v>1500</v>
      </c>
      <c r="Y13" s="91" t="str">
        <f>IF(AND('GA55 Check &amp; Edit'!AA15=""),"",'GA55 Check &amp; Edit'!AA15)</f>
        <v/>
      </c>
      <c r="Z13" s="91">
        <f>IF(AND('GA55 Check &amp; Edit'!AB15=""),"",'GA55 Check &amp; Edit'!AB15)</f>
        <v>16661</v>
      </c>
      <c r="AA13" s="91">
        <f>IF(AND('GA55 Check &amp; Edit'!AC15=""),"",'GA55 Check &amp; Edit'!AC15)</f>
        <v>46839</v>
      </c>
      <c r="AB13" s="91" t="str">
        <f>IF(AND('GA55 Check &amp; Edit'!AD15=""),"",'GA55 Check &amp; Edit'!AD15)</f>
        <v/>
      </c>
      <c r="AC13" s="366" t="str">
        <f>IF(AND('GA55 Check &amp; Edit'!AE15=""),"",'GA55 Check &amp; Edit'!AE15)</f>
        <v/>
      </c>
    </row>
    <row r="14" spans="1:33" ht="21.95" customHeight="1">
      <c r="A14" s="90">
        <v>9</v>
      </c>
      <c r="B14" s="153">
        <f>IF(AND('GA55 Check &amp; Edit'!D16=""),"",'GA55 Check &amp; Edit'!D16)</f>
        <v>44136</v>
      </c>
      <c r="C14" s="91">
        <f>IF(AND('GA55 Check &amp; Edit'!E16=""),"",'GA55 Check &amp; Edit'!E16)</f>
        <v>50800</v>
      </c>
      <c r="D14" s="91">
        <f>IF(AND('GA55 Check &amp; Edit'!F16=""),"",'GA55 Check &amp; Edit'!F16)</f>
        <v>8636</v>
      </c>
      <c r="E14" s="91">
        <f>IF(AND('GA55 Check &amp; Edit'!G16=""),"",'GA55 Check &amp; Edit'!G16)</f>
        <v>4064</v>
      </c>
      <c r="F14" s="91">
        <f>IF(AND('GA55 Check &amp; Edit'!H16=""),"",'GA55 Check &amp; Edit'!H16)</f>
        <v>0</v>
      </c>
      <c r="G14" s="91">
        <f>IF(AND('GA55 Check &amp; Edit'!I16=""),"",'GA55 Check &amp; Edit'!I16)</f>
        <v>0</v>
      </c>
      <c r="H14" s="91" t="str">
        <f>IF(AND('GA55 Check &amp; Edit'!J16=""),"",'GA55 Check &amp; Edit'!J16)</f>
        <v/>
      </c>
      <c r="I14" s="91">
        <f>IF(AND('GA55 Check &amp; Edit'!K16=""),"",'GA55 Check &amp; Edit'!K16)</f>
        <v>0</v>
      </c>
      <c r="J14" s="91">
        <f>IF(AND('GA55 Check &amp; Edit'!L16=""),"",'GA55 Check &amp; Edit'!L16)</f>
        <v>0</v>
      </c>
      <c r="K14" s="91" t="str">
        <f>IF(AND('GA55 Check &amp; Edit'!M16=""),"",'GA55 Check &amp; Edit'!M16)</f>
        <v/>
      </c>
      <c r="L14" s="91" t="str">
        <f>IF(AND('GA55 Check &amp; Edit'!N16=""),"",'GA55 Check &amp; Edit'!N16)</f>
        <v/>
      </c>
      <c r="M14" s="91">
        <f>IF(AND('GA55 Check &amp; Edit'!O16=""),"",'GA55 Check &amp; Edit'!O16)</f>
        <v>63500</v>
      </c>
      <c r="N14" s="91">
        <f>IF(AND('GA55 Check &amp; Edit'!P16=""),"",'GA55 Check &amp; Edit'!P16)</f>
        <v>7000</v>
      </c>
      <c r="O14" s="91">
        <f>IF(AND('GA55 Check &amp; Edit'!Q16=""),"",'GA55 Check &amp; Edit'!Q16)</f>
        <v>3575</v>
      </c>
      <c r="P14" s="91">
        <f>IF(AND('GA55 Check &amp; Edit'!R16=""),"",'GA55 Check &amp; Edit'!R16)</f>
        <v>1880</v>
      </c>
      <c r="Q14" s="91">
        <f>IF(AND('GA55 Check &amp; Edit'!S16=""),"",'GA55 Check &amp; Edit'!S16)</f>
        <v>658</v>
      </c>
      <c r="R14" s="91">
        <f>IF(AND('GA55 Check &amp; Edit'!T16=""),"",'GA55 Check &amp; Edit'!T16)</f>
        <v>0</v>
      </c>
      <c r="S14" s="91">
        <f>IF(AND('GA55 Check &amp; Edit'!U16=""),"",'GA55 Check &amp; Edit'!U16)</f>
        <v>0</v>
      </c>
      <c r="T14" s="91" t="str">
        <f>IF(AND('GA55 Check &amp; Edit'!V16=""),"",'GA55 Check &amp; Edit'!V16)</f>
        <v/>
      </c>
      <c r="U14" s="91">
        <f>IF(AND('GA55 Check &amp; Edit'!W16=""),"",'GA55 Check &amp; Edit'!W16)</f>
        <v>0</v>
      </c>
      <c r="V14" s="91">
        <f>IF(AND('GA55 Check &amp; Edit'!X16=""),"",'GA55 Check &amp; Edit'!X16)</f>
        <v>0</v>
      </c>
      <c r="W14" s="91">
        <f>IF(AND('GA55 Check &amp; Edit'!Y16=""),"",'GA55 Check &amp; Edit'!Y16)</f>
        <v>0</v>
      </c>
      <c r="X14" s="91">
        <f>IF(AND('GA55 Check &amp; Edit'!Z16=""),"",'GA55 Check &amp; Edit'!Z16)</f>
        <v>1500</v>
      </c>
      <c r="Y14" s="91" t="str">
        <f>IF(AND('GA55 Check &amp; Edit'!AA16=""),"",'GA55 Check &amp; Edit'!AA16)</f>
        <v/>
      </c>
      <c r="Z14" s="91">
        <f>IF(AND('GA55 Check &amp; Edit'!AB16=""),"",'GA55 Check &amp; Edit'!AB16)</f>
        <v>14613</v>
      </c>
      <c r="AA14" s="91">
        <f>IF(AND('GA55 Check &amp; Edit'!AC16=""),"",'GA55 Check &amp; Edit'!AC16)</f>
        <v>48887</v>
      </c>
      <c r="AB14" s="91" t="str">
        <f>IF(AND('GA55 Check &amp; Edit'!AD16=""),"",'GA55 Check &amp; Edit'!AD16)</f>
        <v/>
      </c>
      <c r="AC14" s="366" t="str">
        <f>IF(AND('GA55 Check &amp; Edit'!AE16=""),"",'GA55 Check &amp; Edit'!AE16)</f>
        <v/>
      </c>
      <c r="AF14" s="92"/>
    </row>
    <row r="15" spans="1:33" ht="21.95" customHeight="1">
      <c r="A15" s="90">
        <v>10</v>
      </c>
      <c r="B15" s="153">
        <f>IF(AND('GA55 Check &amp; Edit'!D17=""),"",'GA55 Check &amp; Edit'!D17)</f>
        <v>44166</v>
      </c>
      <c r="C15" s="91">
        <f>IF(AND('GA55 Check &amp; Edit'!E17=""),"",'GA55 Check &amp; Edit'!E17)</f>
        <v>50800</v>
      </c>
      <c r="D15" s="91">
        <f>IF(AND('GA55 Check &amp; Edit'!F17=""),"",'GA55 Check &amp; Edit'!F17)</f>
        <v>8636</v>
      </c>
      <c r="E15" s="91">
        <f>IF(AND('GA55 Check &amp; Edit'!G17=""),"",'GA55 Check &amp; Edit'!G17)</f>
        <v>4064</v>
      </c>
      <c r="F15" s="91">
        <f>IF(AND('GA55 Check &amp; Edit'!H17=""),"",'GA55 Check &amp; Edit'!H17)</f>
        <v>0</v>
      </c>
      <c r="G15" s="91">
        <f>IF(AND('GA55 Check &amp; Edit'!I17=""),"",'GA55 Check &amp; Edit'!I17)</f>
        <v>0</v>
      </c>
      <c r="H15" s="91" t="str">
        <f>IF(AND('GA55 Check &amp; Edit'!J17=""),"",'GA55 Check &amp; Edit'!J17)</f>
        <v/>
      </c>
      <c r="I15" s="91">
        <f>IF(AND('GA55 Check &amp; Edit'!K17=""),"",'GA55 Check &amp; Edit'!K17)</f>
        <v>0</v>
      </c>
      <c r="J15" s="91">
        <f>IF(AND('GA55 Check &amp; Edit'!L17=""),"",'GA55 Check &amp; Edit'!L17)</f>
        <v>0</v>
      </c>
      <c r="K15" s="91" t="str">
        <f>IF(AND('GA55 Check &amp; Edit'!M17=""),"",'GA55 Check &amp; Edit'!M17)</f>
        <v/>
      </c>
      <c r="L15" s="91" t="str">
        <f>IF(AND('GA55 Check &amp; Edit'!N17=""),"",'GA55 Check &amp; Edit'!N17)</f>
        <v/>
      </c>
      <c r="M15" s="91">
        <f>IF(AND('GA55 Check &amp; Edit'!O17=""),"",'GA55 Check &amp; Edit'!O17)</f>
        <v>63500</v>
      </c>
      <c r="N15" s="91">
        <f>IF(AND('GA55 Check &amp; Edit'!P17=""),"",'GA55 Check &amp; Edit'!P17)</f>
        <v>7000</v>
      </c>
      <c r="O15" s="91">
        <f>IF(AND('GA55 Check &amp; Edit'!Q17=""),"",'GA55 Check &amp; Edit'!Q17)</f>
        <v>3575</v>
      </c>
      <c r="P15" s="91">
        <f>IF(AND('GA55 Check &amp; Edit'!R17=""),"",'GA55 Check &amp; Edit'!R17)</f>
        <v>1880</v>
      </c>
      <c r="Q15" s="91">
        <f>IF(AND('GA55 Check &amp; Edit'!S17=""),"",'GA55 Check &amp; Edit'!S17)</f>
        <v>658</v>
      </c>
      <c r="R15" s="91">
        <f>IF(AND('GA55 Check &amp; Edit'!T17=""),"",'GA55 Check &amp; Edit'!T17)</f>
        <v>0</v>
      </c>
      <c r="S15" s="91">
        <f>IF(AND('GA55 Check &amp; Edit'!U17=""),"",'GA55 Check &amp; Edit'!U17)</f>
        <v>0</v>
      </c>
      <c r="T15" s="91" t="str">
        <f>IF(AND('GA55 Check &amp; Edit'!V17=""),"",'GA55 Check &amp; Edit'!V17)</f>
        <v/>
      </c>
      <c r="U15" s="91">
        <f>IF(AND('GA55 Check &amp; Edit'!W17=""),"",'GA55 Check &amp; Edit'!W17)</f>
        <v>0</v>
      </c>
      <c r="V15" s="91">
        <f>IF(AND('GA55 Check &amp; Edit'!X17=""),"",'GA55 Check &amp; Edit'!X17)</f>
        <v>0</v>
      </c>
      <c r="W15" s="91">
        <f>IF(AND('GA55 Check &amp; Edit'!Y17=""),"",'GA55 Check &amp; Edit'!Y17)</f>
        <v>0</v>
      </c>
      <c r="X15" s="91">
        <f>IF(AND('GA55 Check &amp; Edit'!Z17=""),"",'GA55 Check &amp; Edit'!Z17)</f>
        <v>1500</v>
      </c>
      <c r="Y15" s="91" t="str">
        <f>IF(AND('GA55 Check &amp; Edit'!AA17=""),"",'GA55 Check &amp; Edit'!AA17)</f>
        <v/>
      </c>
      <c r="Z15" s="91">
        <f>IF(AND('GA55 Check &amp; Edit'!AB17=""),"",'GA55 Check &amp; Edit'!AB17)</f>
        <v>14613</v>
      </c>
      <c r="AA15" s="91">
        <f>IF(AND('GA55 Check &amp; Edit'!AC17=""),"",'GA55 Check &amp; Edit'!AC17)</f>
        <v>48887</v>
      </c>
      <c r="AB15" s="91" t="str">
        <f>IF(AND('GA55 Check &amp; Edit'!AD17=""),"",'GA55 Check &amp; Edit'!AD17)</f>
        <v/>
      </c>
      <c r="AC15" s="366" t="str">
        <f>IF(AND('GA55 Check &amp; Edit'!AE17=""),"",'GA55 Check &amp; Edit'!AE17)</f>
        <v/>
      </c>
    </row>
    <row r="16" spans="1:33" ht="21.95" customHeight="1">
      <c r="A16" s="90">
        <v>11</v>
      </c>
      <c r="B16" s="153">
        <f>IF(AND('GA55 Check &amp; Edit'!D18=""),"",'GA55 Check &amp; Edit'!D18)</f>
        <v>44197</v>
      </c>
      <c r="C16" s="91">
        <f>IF(AND('GA55 Check &amp; Edit'!E18=""),"",'GA55 Check &amp; Edit'!E18)</f>
        <v>50800</v>
      </c>
      <c r="D16" s="91">
        <f>IF(AND('GA55 Check &amp; Edit'!F18=""),"",'GA55 Check &amp; Edit'!F18)</f>
        <v>8636</v>
      </c>
      <c r="E16" s="91">
        <f>IF(AND('GA55 Check &amp; Edit'!G18=""),"",'GA55 Check &amp; Edit'!G18)</f>
        <v>4064</v>
      </c>
      <c r="F16" s="91">
        <f>IF(AND('GA55 Check &amp; Edit'!H18=""),"",'GA55 Check &amp; Edit'!H18)</f>
        <v>0</v>
      </c>
      <c r="G16" s="91">
        <f>IF(AND('GA55 Check &amp; Edit'!I18=""),"",'GA55 Check &amp; Edit'!I18)</f>
        <v>0</v>
      </c>
      <c r="H16" s="91" t="str">
        <f>IF(AND('GA55 Check &amp; Edit'!J18=""),"",'GA55 Check &amp; Edit'!J18)</f>
        <v/>
      </c>
      <c r="I16" s="91">
        <f>IF(AND('GA55 Check &amp; Edit'!K18=""),"",'GA55 Check &amp; Edit'!K18)</f>
        <v>0</v>
      </c>
      <c r="J16" s="91">
        <f>IF(AND('GA55 Check &amp; Edit'!L18=""),"",'GA55 Check &amp; Edit'!L18)</f>
        <v>0</v>
      </c>
      <c r="K16" s="91" t="str">
        <f>IF(AND('GA55 Check &amp; Edit'!M18=""),"",'GA55 Check &amp; Edit'!M18)</f>
        <v/>
      </c>
      <c r="L16" s="91" t="str">
        <f>IF(AND('GA55 Check &amp; Edit'!N18=""),"",'GA55 Check &amp; Edit'!N18)</f>
        <v/>
      </c>
      <c r="M16" s="91">
        <f>IF(AND('GA55 Check &amp; Edit'!O18=""),"",'GA55 Check &amp; Edit'!O18)</f>
        <v>63500</v>
      </c>
      <c r="N16" s="91">
        <f>IF(AND('GA55 Check &amp; Edit'!P18=""),"",'GA55 Check &amp; Edit'!P18)</f>
        <v>7000</v>
      </c>
      <c r="O16" s="91">
        <f>IF(AND('GA55 Check &amp; Edit'!Q18=""),"",'GA55 Check &amp; Edit'!Q18)</f>
        <v>3575</v>
      </c>
      <c r="P16" s="91">
        <f>IF(AND('GA55 Check &amp; Edit'!R18=""),"",'GA55 Check &amp; Edit'!R18)</f>
        <v>1880</v>
      </c>
      <c r="Q16" s="91">
        <f>IF(AND('GA55 Check &amp; Edit'!S18=""),"",'GA55 Check &amp; Edit'!S18)</f>
        <v>658</v>
      </c>
      <c r="R16" s="91">
        <f>IF(AND('GA55 Check &amp; Edit'!T18=""),"",'GA55 Check &amp; Edit'!T18)</f>
        <v>0</v>
      </c>
      <c r="S16" s="91">
        <f>IF(AND('GA55 Check &amp; Edit'!U18=""),"",'GA55 Check &amp; Edit'!U18)</f>
        <v>0</v>
      </c>
      <c r="T16" s="91" t="str">
        <f>IF(AND('GA55 Check &amp; Edit'!V18=""),"",'GA55 Check &amp; Edit'!V18)</f>
        <v/>
      </c>
      <c r="U16" s="91">
        <f>IF(AND('GA55 Check &amp; Edit'!W18=""),"",'GA55 Check &amp; Edit'!W18)</f>
        <v>0</v>
      </c>
      <c r="V16" s="91">
        <f>IF(AND('GA55 Check &amp; Edit'!X18=""),"",'GA55 Check &amp; Edit'!X18)</f>
        <v>0</v>
      </c>
      <c r="W16" s="91">
        <f>IF(AND('GA55 Check &amp; Edit'!Y18=""),"",'GA55 Check &amp; Edit'!Y18)</f>
        <v>0</v>
      </c>
      <c r="X16" s="91">
        <f>IF(AND('GA55 Check &amp; Edit'!Z18=""),"",'GA55 Check &amp; Edit'!Z18)</f>
        <v>1500</v>
      </c>
      <c r="Y16" s="91" t="str">
        <f>IF(AND('GA55 Check &amp; Edit'!AA18=""),"",'GA55 Check &amp; Edit'!AA18)</f>
        <v/>
      </c>
      <c r="Z16" s="91">
        <f>IF(AND('GA55 Check &amp; Edit'!AB18=""),"",'GA55 Check &amp; Edit'!AB18)</f>
        <v>14613</v>
      </c>
      <c r="AA16" s="91">
        <f>IF(AND('GA55 Check &amp; Edit'!AC18=""),"",'GA55 Check &amp; Edit'!AC18)</f>
        <v>48887</v>
      </c>
      <c r="AB16" s="91" t="str">
        <f>IF(AND('GA55 Check &amp; Edit'!AD18=""),"",'GA55 Check &amp; Edit'!AD18)</f>
        <v/>
      </c>
      <c r="AC16" s="366" t="str">
        <f>IF(AND('GA55 Check &amp; Edit'!AE18=""),"",'GA55 Check &amp; Edit'!AE18)</f>
        <v/>
      </c>
    </row>
    <row r="17" spans="1:29" ht="21.95" customHeight="1">
      <c r="A17" s="90">
        <v>12</v>
      </c>
      <c r="B17" s="153">
        <f>IF(AND('GA55 Check &amp; Edit'!D19=""),"",'GA55 Check &amp; Edit'!D19)</f>
        <v>44228</v>
      </c>
      <c r="C17" s="91">
        <f>IF(AND('GA55 Check &amp; Edit'!E19=""),"",'GA55 Check &amp; Edit'!E19)</f>
        <v>50800</v>
      </c>
      <c r="D17" s="91">
        <f>IF(AND('GA55 Check &amp; Edit'!F19=""),"",'GA55 Check &amp; Edit'!F19)</f>
        <v>8636</v>
      </c>
      <c r="E17" s="91">
        <f>IF(AND('GA55 Check &amp; Edit'!G19=""),"",'GA55 Check &amp; Edit'!G19)</f>
        <v>4064</v>
      </c>
      <c r="F17" s="91">
        <f>IF(AND('GA55 Check &amp; Edit'!H19=""),"",'GA55 Check &amp; Edit'!H19)</f>
        <v>0</v>
      </c>
      <c r="G17" s="91">
        <f>IF(AND('GA55 Check &amp; Edit'!I19=""),"",'GA55 Check &amp; Edit'!I19)</f>
        <v>0</v>
      </c>
      <c r="H17" s="91" t="str">
        <f>IF(AND('GA55 Check &amp; Edit'!J19=""),"",'GA55 Check &amp; Edit'!J19)</f>
        <v/>
      </c>
      <c r="I17" s="91">
        <f>IF(AND('GA55 Check &amp; Edit'!K19=""),"",'GA55 Check &amp; Edit'!K19)</f>
        <v>0</v>
      </c>
      <c r="J17" s="91">
        <f>IF(AND('GA55 Check &amp; Edit'!L19=""),"",'GA55 Check &amp; Edit'!L19)</f>
        <v>0</v>
      </c>
      <c r="K17" s="91" t="str">
        <f>IF(AND('GA55 Check &amp; Edit'!M19=""),"",'GA55 Check &amp; Edit'!M19)</f>
        <v/>
      </c>
      <c r="L17" s="91" t="str">
        <f>IF(AND('GA55 Check &amp; Edit'!N19=""),"",'GA55 Check &amp; Edit'!N19)</f>
        <v/>
      </c>
      <c r="M17" s="91">
        <f>IF(AND('GA55 Check &amp; Edit'!O19=""),"",'GA55 Check &amp; Edit'!O19)</f>
        <v>63500</v>
      </c>
      <c r="N17" s="91">
        <f>IF(AND('GA55 Check &amp; Edit'!P19=""),"",'GA55 Check &amp; Edit'!P19)</f>
        <v>7000</v>
      </c>
      <c r="O17" s="91">
        <f>IF(AND('GA55 Check &amp; Edit'!Q19=""),"",'GA55 Check &amp; Edit'!Q19)</f>
        <v>3575</v>
      </c>
      <c r="P17" s="91">
        <f>IF(AND('GA55 Check &amp; Edit'!R19=""),"",'GA55 Check &amp; Edit'!R19)</f>
        <v>1880</v>
      </c>
      <c r="Q17" s="91">
        <f>IF(AND('GA55 Check &amp; Edit'!S19=""),"",'GA55 Check &amp; Edit'!S19)</f>
        <v>658</v>
      </c>
      <c r="R17" s="91">
        <f>IF(AND('GA55 Check &amp; Edit'!T19=""),"",'GA55 Check &amp; Edit'!T19)</f>
        <v>0</v>
      </c>
      <c r="S17" s="91">
        <f>IF(AND('GA55 Check &amp; Edit'!U19=""),"",'GA55 Check &amp; Edit'!U19)</f>
        <v>0</v>
      </c>
      <c r="T17" s="91" t="str">
        <f>IF(AND('GA55 Check &amp; Edit'!V19=""),"",'GA55 Check &amp; Edit'!V19)</f>
        <v/>
      </c>
      <c r="U17" s="91">
        <f>IF(AND('GA55 Check &amp; Edit'!W19=""),"",'GA55 Check &amp; Edit'!W19)</f>
        <v>0</v>
      </c>
      <c r="V17" s="91">
        <f>IF(AND('GA55 Check &amp; Edit'!X19=""),"",'GA55 Check &amp; Edit'!X19)</f>
        <v>0</v>
      </c>
      <c r="W17" s="91">
        <f>IF(AND('GA55 Check &amp; Edit'!Y19=""),"",'GA55 Check &amp; Edit'!Y19)</f>
        <v>0</v>
      </c>
      <c r="X17" s="91">
        <f>IF(AND('GA55 Check &amp; Edit'!Z19=""),"",'GA55 Check &amp; Edit'!Z19)</f>
        <v>0</v>
      </c>
      <c r="Y17" s="91" t="str">
        <f>IF(AND('GA55 Check &amp; Edit'!AA19=""),"",'GA55 Check &amp; Edit'!AA19)</f>
        <v/>
      </c>
      <c r="Z17" s="91">
        <f>IF(AND('GA55 Check &amp; Edit'!AB19=""),"",'GA55 Check &amp; Edit'!AB19)</f>
        <v>13113</v>
      </c>
      <c r="AA17" s="91">
        <f>IF(AND('GA55 Check &amp; Edit'!AC19=""),"",'GA55 Check &amp; Edit'!AC19)</f>
        <v>50387</v>
      </c>
      <c r="AB17" s="91" t="str">
        <f>IF(AND('GA55 Check &amp; Edit'!AD19=""),"",'GA55 Check &amp; Edit'!AD19)</f>
        <v/>
      </c>
      <c r="AC17" s="366" t="str">
        <f>IF(AND('GA55 Check &amp; Edit'!AE19=""),"",'GA55 Check &amp; Edit'!AE19)</f>
        <v/>
      </c>
    </row>
    <row r="18" spans="1:29" ht="21.95" customHeight="1">
      <c r="A18" s="90">
        <v>13</v>
      </c>
      <c r="B18" s="153" t="str">
        <f>IF(AND('GA55 Check &amp; Edit'!D20=""),"",'GA55 Check &amp; Edit'!D20)</f>
        <v>Bonus</v>
      </c>
      <c r="C18" s="91" t="str">
        <f>IF(AND('GA55 Check &amp; Edit'!E20=""),"",'GA55 Check &amp; Edit'!E20)</f>
        <v/>
      </c>
      <c r="D18" s="91" t="str">
        <f>IF(AND('GA55 Check &amp; Edit'!F20=""),"",'GA55 Check &amp; Edit'!F20)</f>
        <v/>
      </c>
      <c r="E18" s="91" t="str">
        <f>IF(AND('GA55 Check &amp; Edit'!G20=""),"",'GA55 Check &amp; Edit'!G20)</f>
        <v/>
      </c>
      <c r="F18" s="91" t="str">
        <f>IF(AND('GA55 Check &amp; Edit'!H20=""),"",'GA55 Check &amp; Edit'!H20)</f>
        <v/>
      </c>
      <c r="G18" s="91" t="str">
        <f>IF(AND('GA55 Check &amp; Edit'!I20=""),"",'GA55 Check &amp; Edit'!I20)</f>
        <v/>
      </c>
      <c r="H18" s="91" t="str">
        <f>IF(AND('GA55 Check &amp; Edit'!J20=""),"",'GA55 Check &amp; Edit'!J20)</f>
        <v/>
      </c>
      <c r="I18" s="91" t="str">
        <f>IF(AND('GA55 Check &amp; Edit'!K20=""),"",'GA55 Check &amp; Edit'!K20)</f>
        <v/>
      </c>
      <c r="J18" s="91" t="str">
        <f>IF(AND('GA55 Check &amp; Edit'!L20=""),"",'GA55 Check &amp; Edit'!L20)</f>
        <v/>
      </c>
      <c r="K18" s="91">
        <f>IF(AND('GA55 Check &amp; Edit'!M20=""),"",'GA55 Check &amp; Edit'!M20)</f>
        <v>6774</v>
      </c>
      <c r="L18" s="91" t="str">
        <f>IF(AND('GA55 Check &amp; Edit'!N20=""),"",'GA55 Check &amp; Edit'!N20)</f>
        <v/>
      </c>
      <c r="M18" s="91">
        <f>IF(AND('GA55 Check &amp; Edit'!O20=""),"",'GA55 Check &amp; Edit'!O20)</f>
        <v>6774</v>
      </c>
      <c r="N18" s="91" t="str">
        <f>IF(AND('GA55 Check &amp; Edit'!P20=""),"",'GA55 Check &amp; Edit'!P20)</f>
        <v/>
      </c>
      <c r="O18" s="91">
        <f>IF(AND('GA55 Check &amp; Edit'!Q20=""),"",'GA55 Check &amp; Edit'!Q20)</f>
        <v>5081</v>
      </c>
      <c r="P18" s="91" t="str">
        <f>IF(AND('GA55 Check &amp; Edit'!R20=""),"",'GA55 Check &amp; Edit'!R20)</f>
        <v/>
      </c>
      <c r="Q18" s="91" t="str">
        <f>IF(AND('GA55 Check &amp; Edit'!S20=""),"",'GA55 Check &amp; Edit'!S20)</f>
        <v/>
      </c>
      <c r="R18" s="91" t="str">
        <f>IF(AND('GA55 Check &amp; Edit'!T20=""),"",'GA55 Check &amp; Edit'!T20)</f>
        <v/>
      </c>
      <c r="S18" s="91" t="str">
        <f>IF(AND('GA55 Check &amp; Edit'!U20=""),"",'GA55 Check &amp; Edit'!U20)</f>
        <v/>
      </c>
      <c r="T18" s="91" t="str">
        <f>IF(AND('GA55 Check &amp; Edit'!V20=""),"",'GA55 Check &amp; Edit'!V20)</f>
        <v/>
      </c>
      <c r="U18" s="91" t="str">
        <f>IF(AND('GA55 Check &amp; Edit'!W20=""),"",'GA55 Check &amp; Edit'!W20)</f>
        <v/>
      </c>
      <c r="V18" s="91" t="str">
        <f>IF(AND('GA55 Check &amp; Edit'!X20=""),"",'GA55 Check &amp; Edit'!X20)</f>
        <v/>
      </c>
      <c r="W18" s="91" t="str">
        <f>IF(AND('GA55 Check &amp; Edit'!Y20=""),"",'GA55 Check &amp; Edit'!Y20)</f>
        <v/>
      </c>
      <c r="X18" s="91" t="str">
        <f>IF(AND('GA55 Check &amp; Edit'!Z20=""),"",'GA55 Check &amp; Edit'!Z20)</f>
        <v/>
      </c>
      <c r="Y18" s="91" t="str">
        <f>IF(AND('GA55 Check &amp; Edit'!AA20=""),"",'GA55 Check &amp; Edit'!AA20)</f>
        <v/>
      </c>
      <c r="Z18" s="91">
        <f>IF(AND('GA55 Check &amp; Edit'!AB20=""),"",'GA55 Check &amp; Edit'!AB20)</f>
        <v>5081</v>
      </c>
      <c r="AA18" s="91">
        <f>IF(AND('GA55 Check &amp; Edit'!AC20=""),"",'GA55 Check &amp; Edit'!AC20)</f>
        <v>1693</v>
      </c>
      <c r="AB18" s="91" t="str">
        <f>IF(AND('GA55 Check &amp; Edit'!AD20=""),"",'GA55 Check &amp; Edit'!AD20)</f>
        <v/>
      </c>
      <c r="AC18" s="366" t="str">
        <f>IF(AND('GA55 Check &amp; Edit'!AE20=""),"",'GA55 Check &amp; Edit'!AE20)</f>
        <v/>
      </c>
    </row>
    <row r="19" spans="1:29" ht="21.95" customHeight="1">
      <c r="A19" s="90">
        <v>14</v>
      </c>
      <c r="B19" s="153" t="str">
        <f>IF(AND('GA55 Check &amp; Edit'!D21=""),"",'GA55 Check &amp; Edit'!D21)</f>
        <v>DA Arrear jul 19 to dec 20</v>
      </c>
      <c r="C19" s="91" t="str">
        <f>IF(AND('GA55 Check &amp; Edit'!E21=""),"",'GA55 Check &amp; Edit'!E21)</f>
        <v/>
      </c>
      <c r="D19" s="91">
        <f>IF(AND('GA55 Check &amp; Edit'!F21=""),"",'GA55 Check &amp; Edit'!F21)</f>
        <v>14790</v>
      </c>
      <c r="E19" s="91" t="str">
        <f>IF(AND('GA55 Check &amp; Edit'!G21=""),"",'GA55 Check &amp; Edit'!G21)</f>
        <v/>
      </c>
      <c r="F19" s="91" t="str">
        <f>IF(AND('GA55 Check &amp; Edit'!H21=""),"",'GA55 Check &amp; Edit'!H21)</f>
        <v/>
      </c>
      <c r="G19" s="91" t="str">
        <f>IF(AND('GA55 Check &amp; Edit'!I21=""),"",'GA55 Check &amp; Edit'!I21)</f>
        <v/>
      </c>
      <c r="H19" s="91" t="str">
        <f>IF(AND('GA55 Check &amp; Edit'!J21=""),"",'GA55 Check &amp; Edit'!J21)</f>
        <v/>
      </c>
      <c r="I19" s="91" t="str">
        <f>IF(AND('GA55 Check &amp; Edit'!K21=""),"",'GA55 Check &amp; Edit'!K21)</f>
        <v/>
      </c>
      <c r="J19" s="91" t="str">
        <f>IF(AND('GA55 Check &amp; Edit'!L21=""),"",'GA55 Check &amp; Edit'!L21)</f>
        <v/>
      </c>
      <c r="K19" s="91" t="str">
        <f>IF(AND('GA55 Check &amp; Edit'!M21=""),"",'GA55 Check &amp; Edit'!M21)</f>
        <v/>
      </c>
      <c r="L19" s="91" t="str">
        <f>IF(AND('GA55 Check &amp; Edit'!N21=""),"",'GA55 Check &amp; Edit'!N21)</f>
        <v/>
      </c>
      <c r="M19" s="91">
        <f>IF(AND('GA55 Check &amp; Edit'!O21=""),"",'GA55 Check &amp; Edit'!O21)</f>
        <v>14790</v>
      </c>
      <c r="N19" s="91" t="str">
        <f>IF(AND('GA55 Check &amp; Edit'!P21=""),"",'GA55 Check &amp; Edit'!P21)</f>
        <v/>
      </c>
      <c r="O19" s="91">
        <f>IF(AND('GA55 Check &amp; Edit'!Q21=""),"",'GA55 Check &amp; Edit'!Q21)</f>
        <v>14790</v>
      </c>
      <c r="P19" s="91" t="str">
        <f>IF(AND('GA55 Check &amp; Edit'!R21=""),"",'GA55 Check &amp; Edit'!R21)</f>
        <v/>
      </c>
      <c r="Q19" s="91" t="str">
        <f>IF(AND('GA55 Check &amp; Edit'!S21=""),"",'GA55 Check &amp; Edit'!S21)</f>
        <v/>
      </c>
      <c r="R19" s="91" t="str">
        <f>IF(AND('GA55 Check &amp; Edit'!T21=""),"",'GA55 Check &amp; Edit'!T21)</f>
        <v/>
      </c>
      <c r="S19" s="91" t="str">
        <f>IF(AND('GA55 Check &amp; Edit'!U21=""),"",'GA55 Check &amp; Edit'!U21)</f>
        <v/>
      </c>
      <c r="T19" s="91" t="str">
        <f>IF(AND('GA55 Check &amp; Edit'!V21=""),"",'GA55 Check &amp; Edit'!V21)</f>
        <v/>
      </c>
      <c r="U19" s="91" t="str">
        <f>IF(AND('GA55 Check &amp; Edit'!W21=""),"",'GA55 Check &amp; Edit'!W21)</f>
        <v/>
      </c>
      <c r="V19" s="91" t="str">
        <f>IF(AND('GA55 Check &amp; Edit'!X21=""),"",'GA55 Check &amp; Edit'!X21)</f>
        <v/>
      </c>
      <c r="W19" s="91" t="str">
        <f>IF(AND('GA55 Check &amp; Edit'!Y21=""),"",'GA55 Check &amp; Edit'!Y21)</f>
        <v/>
      </c>
      <c r="X19" s="91" t="str">
        <f>IF(AND('GA55 Check &amp; Edit'!Z21=""),"",'GA55 Check &amp; Edit'!Z21)</f>
        <v/>
      </c>
      <c r="Y19" s="91" t="str">
        <f>IF(AND('GA55 Check &amp; Edit'!AA21=""),"",'GA55 Check &amp; Edit'!AA21)</f>
        <v/>
      </c>
      <c r="Z19" s="91">
        <f>IF(AND('GA55 Check &amp; Edit'!AB21=""),"",'GA55 Check &amp; Edit'!AB21)</f>
        <v>14790</v>
      </c>
      <c r="AA19" s="91">
        <f>IF(AND('GA55 Check &amp; Edit'!AC21=""),"",'GA55 Check &amp; Edit'!AC21)</f>
        <v>0</v>
      </c>
      <c r="AB19" s="91" t="str">
        <f>IF(AND('GA55 Check &amp; Edit'!AD21=""),"",'GA55 Check &amp; Edit'!AD21)</f>
        <v/>
      </c>
      <c r="AC19" s="366" t="str">
        <f>IF(AND('GA55 Check &amp; Edit'!AE21=""),"",'GA55 Check &amp; Edit'!AE21)</f>
        <v/>
      </c>
    </row>
    <row r="20" spans="1:29" ht="21.95" customHeight="1">
      <c r="A20" s="90">
        <v>15</v>
      </c>
      <c r="B20" s="153" t="str">
        <f>IF(AND('GA55 Check &amp; Edit'!D22=""),"",'GA55 Check &amp; Edit'!D22)</f>
        <v>DA Arrear jan 20 to feb 20</v>
      </c>
      <c r="C20" s="91" t="str">
        <f>IF(AND('GA55 Check &amp; Edit'!E22=""),"",'GA55 Check &amp; Edit'!E22)</f>
        <v/>
      </c>
      <c r="D20" s="91">
        <f>IF(AND('GA55 Check &amp; Edit'!F22=""),"",'GA55 Check &amp; Edit'!F22)</f>
        <v>4930</v>
      </c>
      <c r="E20" s="91" t="str">
        <f>IF(AND('GA55 Check &amp; Edit'!G22=""),"",'GA55 Check &amp; Edit'!G22)</f>
        <v/>
      </c>
      <c r="F20" s="91" t="str">
        <f>IF(AND('GA55 Check &amp; Edit'!H22=""),"",'GA55 Check &amp; Edit'!H22)</f>
        <v/>
      </c>
      <c r="G20" s="91" t="str">
        <f>IF(AND('GA55 Check &amp; Edit'!I22=""),"",'GA55 Check &amp; Edit'!I22)</f>
        <v/>
      </c>
      <c r="H20" s="91" t="str">
        <f>IF(AND('GA55 Check &amp; Edit'!J22=""),"",'GA55 Check &amp; Edit'!J22)</f>
        <v/>
      </c>
      <c r="I20" s="91" t="str">
        <f>IF(AND('GA55 Check &amp; Edit'!K22=""),"",'GA55 Check &amp; Edit'!K22)</f>
        <v/>
      </c>
      <c r="J20" s="91" t="str">
        <f>IF(AND('GA55 Check &amp; Edit'!L22=""),"",'GA55 Check &amp; Edit'!L22)</f>
        <v/>
      </c>
      <c r="K20" s="91" t="str">
        <f>IF(AND('GA55 Check &amp; Edit'!M22=""),"",'GA55 Check &amp; Edit'!M22)</f>
        <v/>
      </c>
      <c r="L20" s="91" t="str">
        <f>IF(AND('GA55 Check &amp; Edit'!N22=""),"",'GA55 Check &amp; Edit'!N22)</f>
        <v/>
      </c>
      <c r="M20" s="91">
        <f>IF(AND('GA55 Check &amp; Edit'!O22=""),"",'GA55 Check &amp; Edit'!O22)</f>
        <v>4930</v>
      </c>
      <c r="N20" s="91" t="str">
        <f>IF(AND('GA55 Check &amp; Edit'!P22=""),"",'GA55 Check &amp; Edit'!P22)</f>
        <v/>
      </c>
      <c r="O20" s="91">
        <f>IF(AND('GA55 Check &amp; Edit'!Q22=""),"",'GA55 Check &amp; Edit'!Q22)</f>
        <v>4930</v>
      </c>
      <c r="P20" s="91" t="str">
        <f>IF(AND('GA55 Check &amp; Edit'!R22=""),"",'GA55 Check &amp; Edit'!R22)</f>
        <v/>
      </c>
      <c r="Q20" s="91" t="str">
        <f>IF(AND('GA55 Check &amp; Edit'!S22=""),"",'GA55 Check &amp; Edit'!S22)</f>
        <v/>
      </c>
      <c r="R20" s="91" t="str">
        <f>IF(AND('GA55 Check &amp; Edit'!T22=""),"",'GA55 Check &amp; Edit'!T22)</f>
        <v/>
      </c>
      <c r="S20" s="91" t="str">
        <f>IF(AND('GA55 Check &amp; Edit'!U22=""),"",'GA55 Check &amp; Edit'!U22)</f>
        <v/>
      </c>
      <c r="T20" s="91" t="str">
        <f>IF(AND('GA55 Check &amp; Edit'!V22=""),"",'GA55 Check &amp; Edit'!V22)</f>
        <v/>
      </c>
      <c r="U20" s="91" t="str">
        <f>IF(AND('GA55 Check &amp; Edit'!W22=""),"",'GA55 Check &amp; Edit'!W22)</f>
        <v/>
      </c>
      <c r="V20" s="91" t="str">
        <f>IF(AND('GA55 Check &amp; Edit'!X22=""),"",'GA55 Check &amp; Edit'!X22)</f>
        <v/>
      </c>
      <c r="W20" s="91" t="str">
        <f>IF(AND('GA55 Check &amp; Edit'!Y22=""),"",'GA55 Check &amp; Edit'!Y22)</f>
        <v/>
      </c>
      <c r="X20" s="91" t="str">
        <f>IF(AND('GA55 Check &amp; Edit'!Z22=""),"",'GA55 Check &amp; Edit'!Z22)</f>
        <v/>
      </c>
      <c r="Y20" s="91" t="str">
        <f>IF(AND('GA55 Check &amp; Edit'!AA22=""),"",'GA55 Check &amp; Edit'!AA22)</f>
        <v/>
      </c>
      <c r="Z20" s="91">
        <f>IF(AND('GA55 Check &amp; Edit'!AB22=""),"",'GA55 Check &amp; Edit'!AB22)</f>
        <v>4930</v>
      </c>
      <c r="AA20" s="91">
        <f>IF(AND('GA55 Check &amp; Edit'!AC22=""),"",'GA55 Check &amp; Edit'!AC22)</f>
        <v>0</v>
      </c>
      <c r="AB20" s="91" t="str">
        <f>IF(AND('GA55 Check &amp; Edit'!AD22=""),"",'GA55 Check &amp; Edit'!AD22)</f>
        <v/>
      </c>
      <c r="AC20" s="366" t="str">
        <f>IF(AND('GA55 Check &amp; Edit'!AE22=""),"",'GA55 Check &amp; Edit'!AE22)</f>
        <v/>
      </c>
    </row>
    <row r="21" spans="1:29" ht="21.95" customHeight="1">
      <c r="A21" s="90">
        <v>16</v>
      </c>
      <c r="B21" s="153" t="str">
        <f>IF(AND('GA55 Check &amp; Edit'!D23=""),"",'GA55 Check &amp; Edit'!D23)</f>
        <v>PL Surrender</v>
      </c>
      <c r="C21" s="91">
        <f>IF(AND('GA55 Check &amp; Edit'!E23=""),"",'GA55 Check &amp; Edit'!E23)</f>
        <v>0</v>
      </c>
      <c r="D21" s="91">
        <f>IF(AND('GA55 Check &amp; Edit'!F23=""),"",'GA55 Check &amp; Edit'!F23)</f>
        <v>0</v>
      </c>
      <c r="E21" s="91" t="str">
        <f>IF(AND('GA55 Check &amp; Edit'!G23=""),"",'GA55 Check &amp; Edit'!G23)</f>
        <v/>
      </c>
      <c r="F21" s="91" t="str">
        <f>IF(AND('GA55 Check &amp; Edit'!H23=""),"",'GA55 Check &amp; Edit'!H23)</f>
        <v/>
      </c>
      <c r="G21" s="91" t="str">
        <f>IF(AND('GA55 Check &amp; Edit'!I23=""),"",'GA55 Check &amp; Edit'!I23)</f>
        <v/>
      </c>
      <c r="H21" s="91" t="str">
        <f>IF(AND('GA55 Check &amp; Edit'!J23=""),"",'GA55 Check &amp; Edit'!J23)</f>
        <v/>
      </c>
      <c r="I21" s="91" t="str">
        <f>IF(AND('GA55 Check &amp; Edit'!K23=""),"",'GA55 Check &amp; Edit'!K23)</f>
        <v/>
      </c>
      <c r="J21" s="91" t="str">
        <f>IF(AND('GA55 Check &amp; Edit'!L23=""),"",'GA55 Check &amp; Edit'!L23)</f>
        <v/>
      </c>
      <c r="K21" s="91" t="str">
        <f>IF(AND('GA55 Check &amp; Edit'!M23=""),"",'GA55 Check &amp; Edit'!M23)</f>
        <v/>
      </c>
      <c r="L21" s="91" t="str">
        <f>IF(AND('GA55 Check &amp; Edit'!N23=""),"",'GA55 Check &amp; Edit'!N23)</f>
        <v/>
      </c>
      <c r="M21" s="91">
        <f>IF(AND('GA55 Check &amp; Edit'!O23=""),"",'GA55 Check &amp; Edit'!O23)</f>
        <v>0</v>
      </c>
      <c r="N21" s="91" t="str">
        <f>IF(AND('GA55 Check &amp; Edit'!P23=""),"",'GA55 Check &amp; Edit'!P23)</f>
        <v/>
      </c>
      <c r="O21" s="91">
        <f>IF(AND('GA55 Check &amp; Edit'!Q23=""),"",'GA55 Check &amp; Edit'!Q23)</f>
        <v>0</v>
      </c>
      <c r="P21" s="91" t="str">
        <f>IF(AND('GA55 Check &amp; Edit'!R23=""),"",'GA55 Check &amp; Edit'!R23)</f>
        <v/>
      </c>
      <c r="Q21" s="91" t="str">
        <f>IF(AND('GA55 Check &amp; Edit'!S23=""),"",'GA55 Check &amp; Edit'!S23)</f>
        <v/>
      </c>
      <c r="R21" s="91" t="str">
        <f>IF(AND('GA55 Check &amp; Edit'!T23=""),"",'GA55 Check &amp; Edit'!T23)</f>
        <v/>
      </c>
      <c r="S21" s="91" t="str">
        <f>IF(AND('GA55 Check &amp; Edit'!U23=""),"",'GA55 Check &amp; Edit'!U23)</f>
        <v/>
      </c>
      <c r="T21" s="91" t="str">
        <f>IF(AND('GA55 Check &amp; Edit'!V23=""),"",'GA55 Check &amp; Edit'!V23)</f>
        <v/>
      </c>
      <c r="U21" s="91" t="str">
        <f>IF(AND('GA55 Check &amp; Edit'!W23=""),"",'GA55 Check &amp; Edit'!W23)</f>
        <v/>
      </c>
      <c r="V21" s="91" t="str">
        <f>IF(AND('GA55 Check &amp; Edit'!X23=""),"",'GA55 Check &amp; Edit'!X23)</f>
        <v/>
      </c>
      <c r="W21" s="91" t="str">
        <f>IF(AND('GA55 Check &amp; Edit'!Y23=""),"",'GA55 Check &amp; Edit'!Y23)</f>
        <v/>
      </c>
      <c r="X21" s="91" t="str">
        <f>IF(AND('GA55 Check &amp; Edit'!Z23=""),"",'GA55 Check &amp; Edit'!Z23)</f>
        <v/>
      </c>
      <c r="Y21" s="91" t="str">
        <f>IF(AND('GA55 Check &amp; Edit'!AA23=""),"",'GA55 Check &amp; Edit'!AA23)</f>
        <v/>
      </c>
      <c r="Z21" s="91">
        <f>IF(AND('GA55 Check &amp; Edit'!AB23=""),"",'GA55 Check &amp; Edit'!AB23)</f>
        <v>0</v>
      </c>
      <c r="AA21" s="91">
        <f>IF(AND('GA55 Check &amp; Edit'!AC23=""),"",'GA55 Check &amp; Edit'!AC23)</f>
        <v>0</v>
      </c>
      <c r="AB21" s="91" t="str">
        <f>IF(AND('GA55 Check &amp; Edit'!AD23=""),"",'GA55 Check &amp; Edit'!AD23)</f>
        <v/>
      </c>
      <c r="AC21" s="366" t="str">
        <f>IF(AND('GA55 Check &amp; Edit'!AE23=""),"",'GA55 Check &amp; Edit'!AE23)</f>
        <v/>
      </c>
    </row>
    <row r="22" spans="1:29" ht="21.95" customHeight="1">
      <c r="A22" s="90">
        <v>17</v>
      </c>
      <c r="B22" s="153" t="str">
        <f>IF(AND('GA55 Check &amp; Edit'!D24=""),"",'GA55 Check &amp; Edit'!D24)</f>
        <v>Other Arrear</v>
      </c>
      <c r="C22" s="91" t="str">
        <f>IF(AND('GA55 Check &amp; Edit'!E24=""),"",'GA55 Check &amp; Edit'!E24)</f>
        <v/>
      </c>
      <c r="D22" s="91" t="str">
        <f>IF(AND('GA55 Check &amp; Edit'!F24=""),"",'GA55 Check &amp; Edit'!F24)</f>
        <v/>
      </c>
      <c r="E22" s="91" t="str">
        <f>IF(AND('GA55 Check &amp; Edit'!G24=""),"",'GA55 Check &amp; Edit'!G24)</f>
        <v/>
      </c>
      <c r="F22" s="91" t="str">
        <f>IF(AND('GA55 Check &amp; Edit'!H24=""),"",'GA55 Check &amp; Edit'!H24)</f>
        <v/>
      </c>
      <c r="G22" s="91" t="str">
        <f>IF(AND('GA55 Check &amp; Edit'!I24=""),"",'GA55 Check &amp; Edit'!I24)</f>
        <v/>
      </c>
      <c r="H22" s="91" t="str">
        <f>IF(AND('GA55 Check &amp; Edit'!J24=""),"",'GA55 Check &amp; Edit'!J24)</f>
        <v/>
      </c>
      <c r="I22" s="91" t="str">
        <f>IF(AND('GA55 Check &amp; Edit'!K24=""),"",'GA55 Check &amp; Edit'!K24)</f>
        <v/>
      </c>
      <c r="J22" s="91" t="str">
        <f>IF(AND('GA55 Check &amp; Edit'!L24=""),"",'GA55 Check &amp; Edit'!L24)</f>
        <v/>
      </c>
      <c r="K22" s="91" t="str">
        <f>IF(AND('GA55 Check &amp; Edit'!M24=""),"",'GA55 Check &amp; Edit'!M24)</f>
        <v/>
      </c>
      <c r="L22" s="91" t="str">
        <f>IF(AND('GA55 Check &amp; Edit'!N24=""),"",'GA55 Check &amp; Edit'!N24)</f>
        <v/>
      </c>
      <c r="M22" s="91">
        <f>IF(AND('GA55 Check &amp; Edit'!O24=""),"",'GA55 Check &amp; Edit'!O24)</f>
        <v>0</v>
      </c>
      <c r="N22" s="91" t="str">
        <f>IF(AND('GA55 Check &amp; Edit'!P24=""),"",'GA55 Check &amp; Edit'!P24)</f>
        <v/>
      </c>
      <c r="O22" s="91">
        <f>IF(AND('GA55 Check &amp; Edit'!Q24=""),"",'GA55 Check &amp; Edit'!Q24)</f>
        <v>0</v>
      </c>
      <c r="P22" s="91" t="str">
        <f>IF(AND('GA55 Check &amp; Edit'!R24=""),"",'GA55 Check &amp; Edit'!R24)</f>
        <v/>
      </c>
      <c r="Q22" s="91" t="str">
        <f>IF(AND('GA55 Check &amp; Edit'!S24=""),"",'GA55 Check &amp; Edit'!S24)</f>
        <v/>
      </c>
      <c r="R22" s="91" t="str">
        <f>IF(AND('GA55 Check &amp; Edit'!T24=""),"",'GA55 Check &amp; Edit'!T24)</f>
        <v/>
      </c>
      <c r="S22" s="91" t="str">
        <f>IF(AND('GA55 Check &amp; Edit'!U24=""),"",'GA55 Check &amp; Edit'!U24)</f>
        <v/>
      </c>
      <c r="T22" s="91" t="str">
        <f>IF(AND('GA55 Check &amp; Edit'!V24=""),"",'GA55 Check &amp; Edit'!V24)</f>
        <v/>
      </c>
      <c r="U22" s="91" t="str">
        <f>IF(AND('GA55 Check &amp; Edit'!W24=""),"",'GA55 Check &amp; Edit'!W24)</f>
        <v/>
      </c>
      <c r="V22" s="91" t="str">
        <f>IF(AND('GA55 Check &amp; Edit'!X24=""),"",'GA55 Check &amp; Edit'!X24)</f>
        <v/>
      </c>
      <c r="W22" s="91" t="str">
        <f>IF(AND('GA55 Check &amp; Edit'!Y24=""),"",'GA55 Check &amp; Edit'!Y24)</f>
        <v/>
      </c>
      <c r="X22" s="91" t="str">
        <f>IF(AND('GA55 Check &amp; Edit'!Z24=""),"",'GA55 Check &amp; Edit'!Z24)</f>
        <v/>
      </c>
      <c r="Y22" s="91" t="str">
        <f>IF(AND('GA55 Check &amp; Edit'!AA24=""),"",'GA55 Check &amp; Edit'!AA24)</f>
        <v/>
      </c>
      <c r="Z22" s="91">
        <f>IF(AND('GA55 Check &amp; Edit'!AB24=""),"",'GA55 Check &amp; Edit'!AB24)</f>
        <v>0</v>
      </c>
      <c r="AA22" s="91">
        <f>IF(AND('GA55 Check &amp; Edit'!AC24=""),"",'GA55 Check &amp; Edit'!AC24)</f>
        <v>0</v>
      </c>
      <c r="AB22" s="91" t="str">
        <f>IF(AND('GA55 Check &amp; Edit'!AD24=""),"",'GA55 Check &amp; Edit'!AD24)</f>
        <v/>
      </c>
      <c r="AC22" s="366" t="str">
        <f>IF(AND('GA55 Check &amp; Edit'!AE24=""),"",'GA55 Check &amp; Edit'!AE24)</f>
        <v/>
      </c>
    </row>
    <row r="23" spans="1:29" ht="21.95" customHeight="1">
      <c r="A23" s="90">
        <v>18</v>
      </c>
      <c r="B23" s="153" t="str">
        <f>IF(AND('GA55 Check &amp; Edit'!D25=""),"",'GA55 Check &amp; Edit'!D25)</f>
        <v xml:space="preserve">Other </v>
      </c>
      <c r="C23" s="91" t="str">
        <f>IF(AND('GA55 Check &amp; Edit'!E25=""),"",'GA55 Check &amp; Edit'!E25)</f>
        <v/>
      </c>
      <c r="D23" s="91" t="str">
        <f>IF(AND('GA55 Check &amp; Edit'!F25=""),"",'GA55 Check &amp; Edit'!F25)</f>
        <v/>
      </c>
      <c r="E23" s="91" t="str">
        <f>IF(AND('GA55 Check &amp; Edit'!G25=""),"",'GA55 Check &amp; Edit'!G25)</f>
        <v/>
      </c>
      <c r="F23" s="91" t="str">
        <f>IF(AND('GA55 Check &amp; Edit'!H25=""),"",'GA55 Check &amp; Edit'!H25)</f>
        <v/>
      </c>
      <c r="G23" s="91" t="str">
        <f>IF(AND('GA55 Check &amp; Edit'!I25=""),"",'GA55 Check &amp; Edit'!I25)</f>
        <v/>
      </c>
      <c r="H23" s="91" t="str">
        <f>IF(AND('GA55 Check &amp; Edit'!J25=""),"",'GA55 Check &amp; Edit'!J25)</f>
        <v/>
      </c>
      <c r="I23" s="91" t="str">
        <f>IF(AND('GA55 Check &amp; Edit'!K25=""),"",'GA55 Check &amp; Edit'!K25)</f>
        <v/>
      </c>
      <c r="J23" s="91" t="str">
        <f>IF(AND('GA55 Check &amp; Edit'!L25=""),"",'GA55 Check &amp; Edit'!L25)</f>
        <v/>
      </c>
      <c r="K23" s="91" t="str">
        <f>IF(AND('GA55 Check &amp; Edit'!M25=""),"",'GA55 Check &amp; Edit'!M25)</f>
        <v/>
      </c>
      <c r="L23" s="91" t="str">
        <f>IF(AND('GA55 Check &amp; Edit'!N25=""),"",'GA55 Check &amp; Edit'!N25)</f>
        <v/>
      </c>
      <c r="M23" s="91">
        <f>IF(AND('GA55 Check &amp; Edit'!O25=""),"",'GA55 Check &amp; Edit'!O25)</f>
        <v>0</v>
      </c>
      <c r="N23" s="91" t="str">
        <f>IF(AND('GA55 Check &amp; Edit'!P25=""),"",'GA55 Check &amp; Edit'!P25)</f>
        <v/>
      </c>
      <c r="O23" s="91">
        <f>IF(AND('GA55 Check &amp; Edit'!Q25=""),"",'GA55 Check &amp; Edit'!Q25)</f>
        <v>0</v>
      </c>
      <c r="P23" s="91" t="str">
        <f>IF(AND('GA55 Check &amp; Edit'!R25=""),"",'GA55 Check &amp; Edit'!R25)</f>
        <v/>
      </c>
      <c r="Q23" s="91" t="str">
        <f>IF(AND('GA55 Check &amp; Edit'!S25=""),"",'GA55 Check &amp; Edit'!S25)</f>
        <v/>
      </c>
      <c r="R23" s="91" t="str">
        <f>IF(AND('GA55 Check &amp; Edit'!T25=""),"",'GA55 Check &amp; Edit'!T25)</f>
        <v/>
      </c>
      <c r="S23" s="91" t="str">
        <f>IF(AND('GA55 Check &amp; Edit'!U25=""),"",'GA55 Check &amp; Edit'!U25)</f>
        <v/>
      </c>
      <c r="T23" s="91" t="str">
        <f>IF(AND('GA55 Check &amp; Edit'!V25=""),"",'GA55 Check &amp; Edit'!V25)</f>
        <v/>
      </c>
      <c r="U23" s="91" t="str">
        <f>IF(AND('GA55 Check &amp; Edit'!W25=""),"",'GA55 Check &amp; Edit'!W25)</f>
        <v/>
      </c>
      <c r="V23" s="91" t="str">
        <f>IF(AND('GA55 Check &amp; Edit'!X25=""),"",'GA55 Check &amp; Edit'!X25)</f>
        <v/>
      </c>
      <c r="W23" s="91" t="str">
        <f>IF(AND('GA55 Check &amp; Edit'!Y25=""),"",'GA55 Check &amp; Edit'!Y25)</f>
        <v/>
      </c>
      <c r="X23" s="91" t="str">
        <f>IF(AND('GA55 Check &amp; Edit'!Z25=""),"",'GA55 Check &amp; Edit'!Z25)</f>
        <v/>
      </c>
      <c r="Y23" s="91" t="str">
        <f>IF(AND('GA55 Check &amp; Edit'!AA25=""),"",'GA55 Check &amp; Edit'!AA25)</f>
        <v/>
      </c>
      <c r="Z23" s="91">
        <f>IF(AND('GA55 Check &amp; Edit'!AB25=""),"",'GA55 Check &amp; Edit'!AB25)</f>
        <v>0</v>
      </c>
      <c r="AA23" s="91">
        <f>IF(AND('GA55 Check &amp; Edit'!AC25=""),"",'GA55 Check &amp; Edit'!AC25)</f>
        <v>0</v>
      </c>
      <c r="AB23" s="91" t="str">
        <f>IF(AND('GA55 Check &amp; Edit'!AD25=""),"",'GA55 Check &amp; Edit'!AD25)</f>
        <v/>
      </c>
      <c r="AC23" s="366" t="str">
        <f>IF(AND('GA55 Check &amp; Edit'!AE25=""),"",'GA55 Check &amp; Edit'!AE25)</f>
        <v/>
      </c>
    </row>
    <row r="24" spans="1:29" ht="21.95" customHeight="1">
      <c r="A24" s="90">
        <v>19</v>
      </c>
      <c r="B24" s="153" t="str">
        <f>IF(AND('GA55 Check &amp; Edit'!D26=""),"",'GA55 Check &amp; Edit'!D26)</f>
        <v>March 20 freeze salary</v>
      </c>
      <c r="C24" s="91">
        <f>IF(AND('GA55 Check &amp; Edit'!E26=""),"",'GA55 Check &amp; Edit'!E26)</f>
        <v>25445</v>
      </c>
      <c r="D24" s="91">
        <f>IF(AND('GA55 Check &amp; Edit'!F26=""),"",'GA55 Check &amp; Edit'!F26)</f>
        <v>4326</v>
      </c>
      <c r="E24" s="91">
        <f>IF(AND('GA55 Check &amp; Edit'!G26=""),"",'GA55 Check &amp; Edit'!G26)</f>
        <v>2036</v>
      </c>
      <c r="F24" s="91">
        <f>IF(AND('GA55 Check &amp; Edit'!H26=""),"",'GA55 Check &amp; Edit'!H26)</f>
        <v>0</v>
      </c>
      <c r="G24" s="91">
        <f>IF(AND('GA55 Check &amp; Edit'!I26=""),"",'GA55 Check &amp; Edit'!I26)</f>
        <v>0</v>
      </c>
      <c r="H24" s="91" t="str">
        <f>IF(AND('GA55 Check &amp; Edit'!J26=""),"",'GA55 Check &amp; Edit'!J26)</f>
        <v/>
      </c>
      <c r="I24" s="91">
        <f>IF(AND('GA55 Check &amp; Edit'!K26=""),"",'GA55 Check &amp; Edit'!K26)</f>
        <v>0</v>
      </c>
      <c r="J24" s="91">
        <f>IF(AND('GA55 Check &amp; Edit'!L26=""),"",'GA55 Check &amp; Edit'!L26)</f>
        <v>0</v>
      </c>
      <c r="K24" s="91" t="str">
        <f>IF(AND('GA55 Check &amp; Edit'!M26=""),"",'GA55 Check &amp; Edit'!M26)</f>
        <v/>
      </c>
      <c r="L24" s="91" t="str">
        <f>IF(AND('GA55 Check &amp; Edit'!N26=""),"",'GA55 Check &amp; Edit'!N26)</f>
        <v/>
      </c>
      <c r="M24" s="91">
        <f>IF(AND('GA55 Check &amp; Edit'!O26=""),"",'GA55 Check &amp; Edit'!O26)</f>
        <v>31807</v>
      </c>
      <c r="N24" s="91">
        <f>IF(AND('GA55 Check &amp; Edit'!P26=""),"",'GA55 Check &amp; Edit'!P26)</f>
        <v>0</v>
      </c>
      <c r="O24" s="91">
        <f>IF(AND('GA55 Check &amp; Edit'!Q26=""),"",'GA55 Check &amp; Edit'!Q26)</f>
        <v>3575</v>
      </c>
      <c r="P24" s="91" t="str">
        <f>IF(AND('GA55 Check &amp; Edit'!R26=""),"",'GA55 Check &amp; Edit'!R26)</f>
        <v/>
      </c>
      <c r="Q24" s="91">
        <f>IF(AND('GA55 Check &amp; Edit'!S26=""),"",'GA55 Check &amp; Edit'!S26)</f>
        <v>0</v>
      </c>
      <c r="R24" s="91">
        <f>IF(AND('GA55 Check &amp; Edit'!T26=""),"",'GA55 Check &amp; Edit'!T26)</f>
        <v>0</v>
      </c>
      <c r="S24" s="91">
        <f>IF(AND('GA55 Check &amp; Edit'!U26=""),"",'GA55 Check &amp; Edit'!U26)</f>
        <v>0</v>
      </c>
      <c r="T24" s="91" t="str">
        <f>IF(AND('GA55 Check &amp; Edit'!V26=""),"",'GA55 Check &amp; Edit'!V26)</f>
        <v/>
      </c>
      <c r="U24" s="91">
        <f>IF(AND('GA55 Check &amp; Edit'!W26=""),"",'GA55 Check &amp; Edit'!W26)</f>
        <v>0</v>
      </c>
      <c r="V24" s="91">
        <f>IF(AND('GA55 Check &amp; Edit'!X26=""),"",'GA55 Check &amp; Edit'!X26)</f>
        <v>0</v>
      </c>
      <c r="W24" s="91">
        <f>IF(AND('GA55 Check &amp; Edit'!Y26=""),"",'GA55 Check &amp; Edit'!Y26)</f>
        <v>0</v>
      </c>
      <c r="X24" s="91" t="str">
        <f>IF(AND('GA55 Check &amp; Edit'!Z26=""),"",'GA55 Check &amp; Edit'!Z26)</f>
        <v/>
      </c>
      <c r="Y24" s="91" t="str">
        <f>IF(AND('GA55 Check &amp; Edit'!AA26=""),"",'GA55 Check &amp; Edit'!AA26)</f>
        <v/>
      </c>
      <c r="Z24" s="91">
        <f>IF(AND('GA55 Check &amp; Edit'!AB26=""),"",'GA55 Check &amp; Edit'!AB26)</f>
        <v>3575</v>
      </c>
      <c r="AA24" s="91">
        <f>IF(AND('GA55 Check &amp; Edit'!AC26=""),"",'GA55 Check &amp; Edit'!AC26)</f>
        <v>28232</v>
      </c>
      <c r="AB24" s="91" t="str">
        <f>IF(AND('GA55 Check &amp; Edit'!AD26=""),"",'GA55 Check &amp; Edit'!AD26)</f>
        <v/>
      </c>
      <c r="AC24" s="366" t="str">
        <f>IF(AND('GA55 Check &amp; Edit'!AE26=""),"",'GA55 Check &amp; Edit'!AE26)</f>
        <v/>
      </c>
    </row>
    <row r="25" spans="1:29" ht="21.95" customHeight="1">
      <c r="A25" s="90">
        <v>20</v>
      </c>
      <c r="B25" s="153" t="str">
        <f>IF(AND('GA55 Check &amp; Edit'!D27=""),"",'GA55 Check &amp; Edit'!D27)</f>
        <v/>
      </c>
      <c r="C25" s="91" t="str">
        <f>IF(AND('GA55 Check &amp; Edit'!E27=""),"",'GA55 Check &amp; Edit'!E27)</f>
        <v/>
      </c>
      <c r="D25" s="91" t="str">
        <f>IF(AND('GA55 Check &amp; Edit'!F27=""),"",'GA55 Check &amp; Edit'!F27)</f>
        <v/>
      </c>
      <c r="E25" s="91" t="str">
        <f>IF(AND('GA55 Check &amp; Edit'!G27=""),"",'GA55 Check &amp; Edit'!G27)</f>
        <v/>
      </c>
      <c r="F25" s="91" t="str">
        <f>IF(AND('GA55 Check &amp; Edit'!H27=""),"",'GA55 Check &amp; Edit'!H27)</f>
        <v/>
      </c>
      <c r="G25" s="91" t="str">
        <f>IF(AND('GA55 Check &amp; Edit'!I27=""),"",'GA55 Check &amp; Edit'!I27)</f>
        <v/>
      </c>
      <c r="H25" s="91" t="str">
        <f>IF(AND('GA55 Check &amp; Edit'!J27=""),"",'GA55 Check &amp; Edit'!J27)</f>
        <v/>
      </c>
      <c r="I25" s="91" t="str">
        <f>IF(AND('GA55 Check &amp; Edit'!K27=""),"",'GA55 Check &amp; Edit'!K27)</f>
        <v/>
      </c>
      <c r="J25" s="91" t="str">
        <f>IF(AND('GA55 Check &amp; Edit'!L27=""),"",'GA55 Check &amp; Edit'!L27)</f>
        <v/>
      </c>
      <c r="K25" s="91" t="str">
        <f>IF(AND('GA55 Check &amp; Edit'!M27=""),"",'GA55 Check &amp; Edit'!M27)</f>
        <v/>
      </c>
      <c r="L25" s="91" t="str">
        <f>IF(AND('GA55 Check &amp; Edit'!N27=""),"",'GA55 Check &amp; Edit'!N27)</f>
        <v/>
      </c>
      <c r="M25" s="91" t="str">
        <f>IF(AND('GA55 Check &amp; Edit'!O27=""),"",'GA55 Check &amp; Edit'!O27)</f>
        <v/>
      </c>
      <c r="N25" s="91" t="str">
        <f>IF(AND('GA55 Check &amp; Edit'!P27=""),"",'GA55 Check &amp; Edit'!P27)</f>
        <v/>
      </c>
      <c r="O25" s="91" t="str">
        <f>IF(AND('GA55 Check &amp; Edit'!Q27=""),"",'GA55 Check &amp; Edit'!Q27)</f>
        <v/>
      </c>
      <c r="P25" s="91" t="str">
        <f>IF(AND('GA55 Check &amp; Edit'!R27=""),"",'GA55 Check &amp; Edit'!R27)</f>
        <v/>
      </c>
      <c r="Q25" s="91" t="str">
        <f>IF(AND('GA55 Check &amp; Edit'!S27=""),"",'GA55 Check &amp; Edit'!S27)</f>
        <v/>
      </c>
      <c r="R25" s="91" t="str">
        <f>IF(AND('GA55 Check &amp; Edit'!T27=""),"",'GA55 Check &amp; Edit'!T27)</f>
        <v/>
      </c>
      <c r="S25" s="91" t="str">
        <f>IF(AND('GA55 Check &amp; Edit'!U27=""),"",'GA55 Check &amp; Edit'!U27)</f>
        <v/>
      </c>
      <c r="T25" s="91" t="str">
        <f>IF(AND('GA55 Check &amp; Edit'!V27=""),"",'GA55 Check &amp; Edit'!V27)</f>
        <v/>
      </c>
      <c r="U25" s="91" t="str">
        <f>IF(AND('GA55 Check &amp; Edit'!W27=""),"",'GA55 Check &amp; Edit'!W27)</f>
        <v/>
      </c>
      <c r="V25" s="91" t="str">
        <f>IF(AND('GA55 Check &amp; Edit'!X27=""),"",'GA55 Check &amp; Edit'!X27)</f>
        <v/>
      </c>
      <c r="W25" s="91" t="str">
        <f>IF(AND('GA55 Check &amp; Edit'!Y27=""),"",'GA55 Check &amp; Edit'!Y27)</f>
        <v/>
      </c>
      <c r="X25" s="91" t="str">
        <f>IF(AND('GA55 Check &amp; Edit'!Z27=""),"",'GA55 Check &amp; Edit'!Z27)</f>
        <v/>
      </c>
      <c r="Y25" s="91" t="str">
        <f>IF(AND('GA55 Check &amp; Edit'!AA27=""),"",'GA55 Check &amp; Edit'!AA27)</f>
        <v/>
      </c>
      <c r="Z25" s="91" t="str">
        <f>IF(AND('GA55 Check &amp; Edit'!AB27=""),"",'GA55 Check &amp; Edit'!AB27)</f>
        <v/>
      </c>
      <c r="AA25" s="91" t="str">
        <f>IF(AND('GA55 Check &amp; Edit'!AC27=""),"",'GA55 Check &amp; Edit'!AC27)</f>
        <v/>
      </c>
      <c r="AB25" s="91" t="str">
        <f>IF(AND('GA55 Check &amp; Edit'!AD27=""),"",'GA55 Check &amp; Edit'!AD27)</f>
        <v/>
      </c>
      <c r="AC25" s="366" t="str">
        <f>IF(AND('GA55 Check &amp; Edit'!AE27=""),"",'GA55 Check &amp; Edit'!AE27)</f>
        <v/>
      </c>
    </row>
    <row r="26" spans="1:29" ht="21.95" customHeight="1">
      <c r="A26" s="90">
        <v>21</v>
      </c>
      <c r="B26" s="153" t="str">
        <f>IF(AND('GA55 Check &amp; Edit'!D28=""),"",'GA55 Check &amp; Edit'!D28)</f>
        <v/>
      </c>
      <c r="C26" s="91" t="str">
        <f>IF(AND('GA55 Check &amp; Edit'!E28=""),"",'GA55 Check &amp; Edit'!E28)</f>
        <v/>
      </c>
      <c r="D26" s="91" t="str">
        <f>IF(AND('GA55 Check &amp; Edit'!F28=""),"",'GA55 Check &amp; Edit'!F28)</f>
        <v/>
      </c>
      <c r="E26" s="91" t="str">
        <f>IF(AND('GA55 Check &amp; Edit'!G28=""),"",'GA55 Check &amp; Edit'!G28)</f>
        <v/>
      </c>
      <c r="F26" s="91" t="str">
        <f>IF(AND('GA55 Check &amp; Edit'!H28=""),"",'GA55 Check &amp; Edit'!H28)</f>
        <v/>
      </c>
      <c r="G26" s="91" t="str">
        <f>IF(AND('GA55 Check &amp; Edit'!I28=""),"",'GA55 Check &amp; Edit'!I28)</f>
        <v/>
      </c>
      <c r="H26" s="91" t="str">
        <f>IF(AND('GA55 Check &amp; Edit'!J28=""),"",'GA55 Check &amp; Edit'!J28)</f>
        <v/>
      </c>
      <c r="I26" s="91" t="str">
        <f>IF(AND('GA55 Check &amp; Edit'!K28=""),"",'GA55 Check &amp; Edit'!K28)</f>
        <v/>
      </c>
      <c r="J26" s="91" t="str">
        <f>IF(AND('GA55 Check &amp; Edit'!L28=""),"",'GA55 Check &amp; Edit'!L28)</f>
        <v/>
      </c>
      <c r="K26" s="91" t="str">
        <f>IF(AND('GA55 Check &amp; Edit'!M28=""),"",'GA55 Check &amp; Edit'!M28)</f>
        <v/>
      </c>
      <c r="L26" s="91" t="str">
        <f>IF(AND('GA55 Check &amp; Edit'!N28=""),"",'GA55 Check &amp; Edit'!N28)</f>
        <v/>
      </c>
      <c r="M26" s="91" t="str">
        <f>IF(AND('GA55 Check &amp; Edit'!O28=""),"",'GA55 Check &amp; Edit'!O28)</f>
        <v/>
      </c>
      <c r="N26" s="91" t="str">
        <f>IF(AND('GA55 Check &amp; Edit'!P28=""),"",'GA55 Check &amp; Edit'!P28)</f>
        <v/>
      </c>
      <c r="O26" s="91" t="str">
        <f>IF(AND('GA55 Check &amp; Edit'!Q28=""),"",'GA55 Check &amp; Edit'!Q28)</f>
        <v/>
      </c>
      <c r="P26" s="91" t="str">
        <f>IF(AND('GA55 Check &amp; Edit'!R28=""),"",'GA55 Check &amp; Edit'!R28)</f>
        <v/>
      </c>
      <c r="Q26" s="91" t="str">
        <f>IF(AND('GA55 Check &amp; Edit'!S28=""),"",'GA55 Check &amp; Edit'!S28)</f>
        <v/>
      </c>
      <c r="R26" s="91" t="str">
        <f>IF(AND('GA55 Check &amp; Edit'!T28=""),"",'GA55 Check &amp; Edit'!T28)</f>
        <v/>
      </c>
      <c r="S26" s="91" t="str">
        <f>IF(AND('GA55 Check &amp; Edit'!U28=""),"",'GA55 Check &amp; Edit'!U28)</f>
        <v/>
      </c>
      <c r="T26" s="91" t="str">
        <f>IF(AND('GA55 Check &amp; Edit'!V28=""),"",'GA55 Check &amp; Edit'!V28)</f>
        <v/>
      </c>
      <c r="U26" s="91" t="str">
        <f>IF(AND('GA55 Check &amp; Edit'!W28=""),"",'GA55 Check &amp; Edit'!W28)</f>
        <v/>
      </c>
      <c r="V26" s="91" t="str">
        <f>IF(AND('GA55 Check &amp; Edit'!X28=""),"",'GA55 Check &amp; Edit'!X28)</f>
        <v/>
      </c>
      <c r="W26" s="91" t="str">
        <f>IF(AND('GA55 Check &amp; Edit'!Y28=""),"",'GA55 Check &amp; Edit'!Y28)</f>
        <v/>
      </c>
      <c r="X26" s="91" t="str">
        <f>IF(AND('GA55 Check &amp; Edit'!Z28=""),"",'GA55 Check &amp; Edit'!Z28)</f>
        <v/>
      </c>
      <c r="Y26" s="91" t="str">
        <f>IF(AND('GA55 Check &amp; Edit'!AA28=""),"",'GA55 Check &amp; Edit'!AA28)</f>
        <v/>
      </c>
      <c r="Z26" s="91" t="str">
        <f>IF(AND('GA55 Check &amp; Edit'!AB28=""),"",'GA55 Check &amp; Edit'!AB28)</f>
        <v/>
      </c>
      <c r="AA26" s="91" t="str">
        <f>IF(AND('GA55 Check &amp; Edit'!AC28=""),"",'GA55 Check &amp; Edit'!AC28)</f>
        <v/>
      </c>
      <c r="AB26" s="91" t="str">
        <f>IF(AND('GA55 Check &amp; Edit'!AD28=""),"",'GA55 Check &amp; Edit'!AD28)</f>
        <v/>
      </c>
      <c r="AC26" s="366" t="str">
        <f>IF(AND('GA55 Check &amp; Edit'!AE28=""),"",'GA55 Check &amp; Edit'!AE28)</f>
        <v/>
      </c>
    </row>
    <row r="27" spans="1:29" ht="28.5" customHeight="1">
      <c r="A27" s="93"/>
      <c r="B27" s="94" t="s">
        <v>137</v>
      </c>
      <c r="C27" s="95">
        <f>IF(AND($D$2=""),"",SUM(C6:C26))</f>
        <v>603600</v>
      </c>
      <c r="D27" s="95">
        <f>IF(AND($D$2=""),"",SUM(D6:D26))</f>
        <v>122332</v>
      </c>
      <c r="E27" s="95">
        <f t="shared" ref="E27:AA27" si="0">IF(AND($D$2=""),"",SUM(E6:E26))</f>
        <v>48288</v>
      </c>
      <c r="F27" s="95">
        <f t="shared" si="0"/>
        <v>0</v>
      </c>
      <c r="G27" s="95">
        <f t="shared" si="0"/>
        <v>0</v>
      </c>
      <c r="H27" s="95">
        <f t="shared" si="0"/>
        <v>0</v>
      </c>
      <c r="I27" s="95">
        <f t="shared" si="0"/>
        <v>0</v>
      </c>
      <c r="J27" s="95">
        <f t="shared" si="0"/>
        <v>0</v>
      </c>
      <c r="K27" s="95">
        <f t="shared" si="0"/>
        <v>6774</v>
      </c>
      <c r="L27" s="95">
        <f t="shared" si="0"/>
        <v>0</v>
      </c>
      <c r="M27" s="95">
        <f t="shared" si="0"/>
        <v>780994</v>
      </c>
      <c r="N27" s="95">
        <f t="shared" si="0"/>
        <v>77000</v>
      </c>
      <c r="O27" s="95">
        <f t="shared" si="0"/>
        <v>67701</v>
      </c>
      <c r="P27" s="95">
        <f t="shared" si="0"/>
        <v>22560</v>
      </c>
      <c r="Q27" s="95">
        <f t="shared" si="0"/>
        <v>7840</v>
      </c>
      <c r="R27" s="95">
        <f t="shared" si="0"/>
        <v>0</v>
      </c>
      <c r="S27" s="95">
        <f t="shared" si="0"/>
        <v>0</v>
      </c>
      <c r="T27" s="95">
        <f t="shared" si="0"/>
        <v>0</v>
      </c>
      <c r="U27" s="95">
        <f t="shared" si="0"/>
        <v>8936</v>
      </c>
      <c r="V27" s="95">
        <f t="shared" si="0"/>
        <v>7000</v>
      </c>
      <c r="W27" s="95">
        <f t="shared" si="0"/>
        <v>0</v>
      </c>
      <c r="X27" s="95">
        <f t="shared" si="0"/>
        <v>15000</v>
      </c>
      <c r="Y27" s="95">
        <f>IF(AND($D$2=""),"",SUM(Y6:Y26))</f>
        <v>220</v>
      </c>
      <c r="Z27" s="95">
        <f t="shared" si="0"/>
        <v>206257</v>
      </c>
      <c r="AA27" s="95">
        <f t="shared" si="0"/>
        <v>574737</v>
      </c>
      <c r="AB27" s="96"/>
      <c r="AC27" s="367"/>
    </row>
    <row r="28" spans="1:29" ht="34.5" customHeight="1">
      <c r="A28" s="97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9"/>
    </row>
    <row r="29" spans="1:29" ht="20.25" customHeight="1">
      <c r="A29" s="97"/>
      <c r="B29" s="205"/>
      <c r="C29" s="560" t="str">
        <f>UPPER(IF('Master Data'!D6="","",'Master Data'!D6))</f>
        <v>HEERALAL JAT</v>
      </c>
      <c r="D29" s="560"/>
      <c r="E29" s="560"/>
      <c r="F29" s="560"/>
      <c r="G29" s="560"/>
      <c r="H29" s="560"/>
      <c r="I29" s="205"/>
      <c r="J29" s="205"/>
      <c r="K29" s="205"/>
      <c r="L29" s="205"/>
      <c r="M29" s="205"/>
      <c r="N29" s="205"/>
      <c r="O29" s="205"/>
      <c r="P29" s="205"/>
      <c r="Q29" s="98"/>
      <c r="R29" s="98"/>
      <c r="S29" s="561" t="str">
        <f>IF(AND('Master Data'!H8=""),"",CONCATENATE("( ",UPPER('Master Data'!H8), " )",))</f>
        <v>( USHA PALIYA )</v>
      </c>
      <c r="T29" s="561"/>
      <c r="U29" s="561"/>
      <c r="V29" s="561"/>
      <c r="W29" s="561"/>
      <c r="X29" s="561"/>
      <c r="Y29" s="561"/>
      <c r="Z29" s="561"/>
      <c r="AA29" s="561"/>
      <c r="AB29" s="100"/>
      <c r="AC29" s="99"/>
    </row>
    <row r="30" spans="1:29" ht="21" customHeight="1" thickBot="1">
      <c r="A30" s="101"/>
      <c r="B30" s="102"/>
      <c r="C30" s="562" t="s">
        <v>138</v>
      </c>
      <c r="D30" s="562"/>
      <c r="E30" s="562"/>
      <c r="F30" s="562"/>
      <c r="G30" s="562"/>
      <c r="H30" s="562"/>
      <c r="I30" s="103"/>
      <c r="J30" s="103"/>
      <c r="K30" s="102"/>
      <c r="L30" s="102"/>
      <c r="M30" s="102"/>
      <c r="N30" s="102"/>
      <c r="O30" s="102"/>
      <c r="P30" s="102"/>
      <c r="Q30" s="104"/>
      <c r="R30" s="104"/>
      <c r="S30" s="563" t="s">
        <v>139</v>
      </c>
      <c r="T30" s="563"/>
      <c r="U30" s="563"/>
      <c r="V30" s="563"/>
      <c r="W30" s="563"/>
      <c r="X30" s="563"/>
      <c r="Y30" s="563"/>
      <c r="Z30" s="563"/>
      <c r="AA30" s="563"/>
      <c r="AB30" s="105"/>
      <c r="AC30" s="106"/>
    </row>
    <row r="31" spans="1:29" ht="15">
      <c r="AA31" s="81"/>
      <c r="AB31" s="81"/>
    </row>
    <row r="32" spans="1:29" ht="15">
      <c r="AA32" s="81"/>
      <c r="AB32" s="81"/>
    </row>
  </sheetData>
  <sheetProtection password="C1FB" sheet="1" objects="1" scenarios="1" formatCells="0" formatColumns="0" formatRows="0"/>
  <mergeCells count="26"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</mergeCells>
  <pageMargins left="0.49" right="0.27" top="0.37" bottom="0.12" header="0.19" footer="0.3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89"/>
  <sheetViews>
    <sheetView showGridLines="0" view="pageBreakPreview" topLeftCell="A40" zoomScaleSheetLayoutView="100" workbookViewId="0">
      <selection activeCell="R70" sqref="R70"/>
    </sheetView>
  </sheetViews>
  <sheetFormatPr defaultColWidth="9.125" defaultRowHeight="15"/>
  <cols>
    <col min="1" max="1" width="4" style="35" customWidth="1"/>
    <col min="2" max="2" width="4.375" style="35" customWidth="1"/>
    <col min="3" max="3" width="10.125" style="35" customWidth="1"/>
    <col min="4" max="4" width="11.125" style="35" customWidth="1"/>
    <col min="5" max="5" width="8.625" style="35" customWidth="1"/>
    <col min="6" max="6" width="3.125" style="35" customWidth="1"/>
    <col min="7" max="7" width="12.375" style="35" customWidth="1"/>
    <col min="8" max="8" width="4.625" style="35" customWidth="1"/>
    <col min="9" max="9" width="12.125" style="35" customWidth="1"/>
    <col min="10" max="10" width="11.125" style="35" customWidth="1"/>
    <col min="11" max="11" width="9.25" style="35" customWidth="1"/>
    <col min="12" max="12" width="3.25" style="35" customWidth="1"/>
    <col min="13" max="13" width="10.25" style="35" customWidth="1"/>
    <col min="14" max="14" width="3" style="35" customWidth="1"/>
    <col min="15" max="15" width="15.625" style="35" customWidth="1"/>
    <col min="16" max="16" width="9.125" style="35"/>
    <col min="17" max="17" width="5.125" style="35" customWidth="1"/>
    <col min="18" max="18" width="10.5" style="35" customWidth="1"/>
    <col min="19" max="19" width="10.625" style="35" customWidth="1"/>
    <col min="20" max="20" width="8.875" style="35" hidden="1" customWidth="1"/>
    <col min="21" max="21" width="11.625" style="35" customWidth="1"/>
    <col min="22" max="23" width="7.375" style="35" customWidth="1"/>
    <col min="24" max="33" width="9.125" style="35" hidden="1" customWidth="1"/>
    <col min="34" max="34" width="10.875" style="35" customWidth="1"/>
    <col min="35" max="35" width="11" style="35" customWidth="1"/>
    <col min="36" max="36" width="12" style="35" customWidth="1"/>
    <col min="37" max="37" width="10.625" style="35" customWidth="1"/>
    <col min="38" max="16384" width="9.125" style="35"/>
  </cols>
  <sheetData>
    <row r="1" spans="1:23" ht="18.75">
      <c r="A1" s="589" t="str">
        <f>IF(AND('Master Data'!D4=""),"",CONCATENATE("Office Name :- ",PROPER('Master Data'!D4)))</f>
        <v>Office Name :- Mahatma Gandhi Govt. School (English Medium) Bar, Pali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T1" s="292">
        <v>2</v>
      </c>
    </row>
    <row r="2" spans="1:23" ht="19.5" thickBot="1">
      <c r="A2" s="109"/>
      <c r="B2" s="109"/>
      <c r="C2" s="595" t="s">
        <v>340</v>
      </c>
      <c r="D2" s="595"/>
      <c r="E2" s="595"/>
      <c r="F2" s="596" t="s">
        <v>339</v>
      </c>
      <c r="G2" s="596"/>
      <c r="H2" s="597" t="s">
        <v>341</v>
      </c>
      <c r="I2" s="597"/>
      <c r="J2" s="600" t="s">
        <v>587</v>
      </c>
      <c r="K2" s="600"/>
      <c r="L2" s="598" t="str">
        <f>IF(T14=T2,"Old Tax Regime","New Tax Regime")</f>
        <v>Old Tax Regime</v>
      </c>
      <c r="M2" s="599"/>
      <c r="N2" s="599"/>
      <c r="O2" s="599"/>
      <c r="T2" s="292">
        <v>1</v>
      </c>
    </row>
    <row r="3" spans="1:23" ht="17.25" thickTop="1" thickBot="1">
      <c r="A3" s="247">
        <v>1</v>
      </c>
      <c r="B3" s="590" t="s">
        <v>144</v>
      </c>
      <c r="C3" s="590"/>
      <c r="D3" s="591" t="str">
        <f>UPPER('Master Data'!D6)</f>
        <v>HEERALAL JAT</v>
      </c>
      <c r="E3" s="591"/>
      <c r="F3" s="591"/>
      <c r="G3" s="591"/>
      <c r="H3" s="591"/>
      <c r="I3" s="248" t="s">
        <v>145</v>
      </c>
      <c r="J3" s="592" t="str">
        <f>UPPER('Master Data'!H6)</f>
        <v>SR TEACHER</v>
      </c>
      <c r="K3" s="592"/>
      <c r="L3" s="592"/>
      <c r="M3" s="249" t="s">
        <v>146</v>
      </c>
      <c r="N3" s="593" t="str">
        <f>UPPER('Master Data'!D12)</f>
        <v>ABCDE1234H</v>
      </c>
      <c r="O3" s="594"/>
      <c r="P3" s="250"/>
      <c r="Q3" s="250"/>
      <c r="T3" s="293"/>
    </row>
    <row r="4" spans="1:23" ht="18.75" customHeight="1">
      <c r="A4" s="623">
        <v>2</v>
      </c>
      <c r="B4" s="694" t="s">
        <v>239</v>
      </c>
      <c r="C4" s="695"/>
      <c r="D4" s="695"/>
      <c r="E4" s="695"/>
      <c r="F4" s="695"/>
      <c r="G4" s="695"/>
      <c r="H4" s="695"/>
      <c r="I4" s="695"/>
      <c r="J4" s="621" t="str">
        <f>IF('Master Data'!H18="Yes","सरकार द्वारा देय NPS की राशि सहित कुल वेतन -","")</f>
        <v>सरकार द्वारा देय NPS की राशि सहित कुल वेतन -</v>
      </c>
      <c r="K4" s="621"/>
      <c r="L4" s="621"/>
      <c r="M4" s="622"/>
      <c r="N4" s="251" t="s">
        <v>147</v>
      </c>
      <c r="O4" s="252">
        <f>'GA55 Only Print'!M27</f>
        <v>780994</v>
      </c>
      <c r="P4" s="253"/>
      <c r="Q4" s="110"/>
      <c r="R4" s="607" t="s">
        <v>374</v>
      </c>
      <c r="S4" s="608"/>
      <c r="T4" s="608"/>
      <c r="U4" s="608"/>
      <c r="V4" s="609"/>
      <c r="W4" s="204"/>
    </row>
    <row r="5" spans="1:23" ht="15.75" customHeight="1">
      <c r="A5" s="624"/>
      <c r="B5" s="620" t="str">
        <f>IF('Master Data'!H18="Yes","","सरकार द्वारा देय NPS की राशि -")</f>
        <v/>
      </c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2"/>
      <c r="N5" s="251" t="s">
        <v>147</v>
      </c>
      <c r="O5" s="252">
        <f>IF('Master Data'!H18="Yes",0,IF('Master Data'!I30='GA55 Check &amp; Edit'!AN6,'GA55 Only Print'!O27,0))</f>
        <v>0</v>
      </c>
      <c r="P5" s="253"/>
      <c r="Q5" s="110"/>
      <c r="R5" s="610"/>
      <c r="S5" s="611"/>
      <c r="T5" s="611"/>
      <c r="U5" s="611"/>
      <c r="V5" s="612"/>
      <c r="W5" s="204"/>
    </row>
    <row r="6" spans="1:23" ht="15.75" customHeight="1">
      <c r="A6" s="254">
        <v>3</v>
      </c>
      <c r="B6" s="616" t="s">
        <v>149</v>
      </c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251" t="s">
        <v>147</v>
      </c>
      <c r="O6" s="252">
        <f>IF(T14=T2,SUM('Extra Ded. '!I7+'Extra Ded. '!E6+'GA55 Only Print'!G27),"0")</f>
        <v>0</v>
      </c>
      <c r="P6" s="255"/>
      <c r="Q6" s="110" t="s">
        <v>148</v>
      </c>
      <c r="R6" s="610"/>
      <c r="S6" s="611"/>
      <c r="T6" s="611"/>
      <c r="U6" s="611"/>
      <c r="V6" s="612"/>
      <c r="W6" s="204"/>
    </row>
    <row r="7" spans="1:23" ht="18.75">
      <c r="A7" s="254">
        <v>4</v>
      </c>
      <c r="B7" s="617" t="s">
        <v>150</v>
      </c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251" t="s">
        <v>147</v>
      </c>
      <c r="O7" s="252">
        <f>(O4+O5)-O6</f>
        <v>780994</v>
      </c>
      <c r="P7" s="255"/>
      <c r="Q7" s="255"/>
      <c r="R7" s="610"/>
      <c r="S7" s="611"/>
      <c r="T7" s="611"/>
      <c r="U7" s="611"/>
      <c r="V7" s="612"/>
      <c r="W7" s="204"/>
    </row>
    <row r="8" spans="1:23" ht="19.5" thickBot="1">
      <c r="A8" s="604">
        <v>5</v>
      </c>
      <c r="B8" s="601" t="s">
        <v>151</v>
      </c>
      <c r="C8" s="601"/>
      <c r="D8" s="601"/>
      <c r="E8" s="601"/>
      <c r="F8" s="601"/>
      <c r="G8" s="601"/>
      <c r="H8" s="601"/>
      <c r="I8" s="601"/>
      <c r="J8" s="601"/>
      <c r="K8" s="606">
        <f>IF(T14=T2,'Extra Ded. '!E8,"0")</f>
        <v>0</v>
      </c>
      <c r="L8" s="606"/>
      <c r="M8" s="606"/>
      <c r="N8" s="618"/>
      <c r="O8" s="619"/>
      <c r="P8" s="256"/>
      <c r="Q8" s="256"/>
      <c r="R8" s="613"/>
      <c r="S8" s="614"/>
      <c r="T8" s="614"/>
      <c r="U8" s="614"/>
      <c r="V8" s="615"/>
      <c r="W8" s="204"/>
    </row>
    <row r="9" spans="1:23" ht="18.75">
      <c r="A9" s="604"/>
      <c r="B9" s="601" t="s">
        <v>152</v>
      </c>
      <c r="C9" s="601"/>
      <c r="D9" s="601"/>
      <c r="E9" s="601"/>
      <c r="F9" s="601"/>
      <c r="G9" s="601"/>
      <c r="H9" s="601"/>
      <c r="I9" s="601"/>
      <c r="J9" s="601"/>
      <c r="K9" s="606">
        <f>IF(T14=T2,'Extra Ded. '!E9,"0")</f>
        <v>0</v>
      </c>
      <c r="L9" s="606"/>
      <c r="M9" s="606"/>
      <c r="N9" s="618"/>
      <c r="O9" s="619"/>
      <c r="P9" s="256"/>
      <c r="Q9" s="256"/>
      <c r="R9" s="111"/>
      <c r="S9" s="111"/>
      <c r="T9" s="111"/>
      <c r="U9" s="111"/>
      <c r="V9" s="111"/>
      <c r="W9" s="111"/>
    </row>
    <row r="10" spans="1:23" ht="20.25">
      <c r="A10" s="604"/>
      <c r="B10" s="601" t="s">
        <v>153</v>
      </c>
      <c r="C10" s="601"/>
      <c r="D10" s="601"/>
      <c r="E10" s="601"/>
      <c r="F10" s="601"/>
      <c r="G10" s="601"/>
      <c r="H10" s="601"/>
      <c r="I10" s="601"/>
      <c r="J10" s="601"/>
      <c r="K10" s="602">
        <f>IF(T14=T2,'Extra Ded. '!E7,"0")</f>
        <v>50000</v>
      </c>
      <c r="L10" s="602"/>
      <c r="M10" s="602"/>
      <c r="N10" s="251" t="s">
        <v>147</v>
      </c>
      <c r="O10" s="252">
        <f>SUM(K8:M10)</f>
        <v>50000</v>
      </c>
      <c r="P10" s="255"/>
      <c r="Q10" s="255"/>
      <c r="R10" s="193"/>
      <c r="S10" s="193"/>
      <c r="T10" s="193"/>
      <c r="U10" s="193"/>
      <c r="V10" s="193"/>
      <c r="W10" s="193"/>
    </row>
    <row r="11" spans="1:23" ht="17.25" customHeight="1">
      <c r="A11" s="254">
        <v>6</v>
      </c>
      <c r="B11" s="603" t="s">
        <v>154</v>
      </c>
      <c r="C11" s="60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251" t="s">
        <v>147</v>
      </c>
      <c r="O11" s="252">
        <f>O7-O10</f>
        <v>730994</v>
      </c>
      <c r="P11" s="255"/>
      <c r="Q11" s="255"/>
      <c r="R11" s="194"/>
      <c r="S11" s="194"/>
      <c r="T11" s="294"/>
      <c r="U11" s="194"/>
      <c r="V11" s="194"/>
      <c r="W11" s="194"/>
    </row>
    <row r="12" spans="1:23" ht="15.75">
      <c r="A12" s="604">
        <v>7</v>
      </c>
      <c r="B12" s="601" t="s">
        <v>155</v>
      </c>
      <c r="C12" s="601"/>
      <c r="D12" s="601"/>
      <c r="E12" s="601"/>
      <c r="F12" s="601"/>
      <c r="G12" s="601"/>
      <c r="H12" s="601"/>
      <c r="I12" s="605" t="s">
        <v>156</v>
      </c>
      <c r="J12" s="605"/>
      <c r="K12" s="606">
        <f>'Extra Ded. '!E10</f>
        <v>0</v>
      </c>
      <c r="L12" s="606"/>
      <c r="M12" s="606"/>
      <c r="N12" s="629"/>
      <c r="O12" s="630"/>
      <c r="P12" s="257"/>
      <c r="Q12" s="257"/>
      <c r="T12" s="293"/>
    </row>
    <row r="13" spans="1:23" ht="15.75">
      <c r="A13" s="604"/>
      <c r="B13" s="631" t="s">
        <v>157</v>
      </c>
      <c r="C13" s="631"/>
      <c r="D13" s="632" t="s">
        <v>158</v>
      </c>
      <c r="E13" s="632"/>
      <c r="F13" s="632" t="s">
        <v>159</v>
      </c>
      <c r="G13" s="632"/>
      <c r="H13" s="632"/>
      <c r="I13" s="632" t="s">
        <v>160</v>
      </c>
      <c r="J13" s="632"/>
      <c r="K13" s="605" t="s">
        <v>161</v>
      </c>
      <c r="L13" s="605"/>
      <c r="M13" s="605"/>
      <c r="N13" s="629"/>
      <c r="O13" s="630"/>
      <c r="P13" s="257"/>
      <c r="Q13" s="257"/>
      <c r="T13" s="293"/>
    </row>
    <row r="14" spans="1:23" ht="15.75">
      <c r="A14" s="604"/>
      <c r="B14" s="631"/>
      <c r="C14" s="631"/>
      <c r="D14" s="606">
        <f>IF(T14=T2,ROUND(K12*0.3,0),"0")</f>
        <v>0</v>
      </c>
      <c r="E14" s="606"/>
      <c r="F14" s="606">
        <f>IF(T14=T2,'Extra Ded. '!E13,"0")</f>
        <v>0</v>
      </c>
      <c r="G14" s="606"/>
      <c r="H14" s="606"/>
      <c r="I14" s="606">
        <f>IF(T14=T2,'Extra Ded. '!E11,"0")</f>
        <v>0</v>
      </c>
      <c r="J14" s="606"/>
      <c r="K14" s="606">
        <f>D14+F14+I14</f>
        <v>0</v>
      </c>
      <c r="L14" s="606"/>
      <c r="M14" s="606"/>
      <c r="N14" s="629"/>
      <c r="O14" s="630"/>
      <c r="P14" s="257"/>
      <c r="Q14" s="257"/>
      <c r="T14" s="292">
        <v>1</v>
      </c>
    </row>
    <row r="15" spans="1:23" ht="15.75">
      <c r="A15" s="254"/>
      <c r="B15" s="617" t="s">
        <v>162</v>
      </c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251" t="s">
        <v>147</v>
      </c>
      <c r="O15" s="252">
        <f>K12-K14</f>
        <v>0</v>
      </c>
      <c r="P15" s="255"/>
      <c r="Q15" s="255"/>
      <c r="T15" s="293"/>
    </row>
    <row r="16" spans="1:23" ht="15.75">
      <c r="A16" s="254">
        <v>8</v>
      </c>
      <c r="B16" s="601" t="s">
        <v>163</v>
      </c>
      <c r="C16" s="601"/>
      <c r="D16" s="601"/>
      <c r="E16" s="633">
        <f>'Extra Ded. '!I21</f>
        <v>1500</v>
      </c>
      <c r="F16" s="633"/>
      <c r="G16" s="605" t="s">
        <v>165</v>
      </c>
      <c r="H16" s="605"/>
      <c r="I16" s="258">
        <f>'Extra Ded. '!E24</f>
        <v>0</v>
      </c>
      <c r="J16" s="617" t="s">
        <v>164</v>
      </c>
      <c r="K16" s="617"/>
      <c r="L16" s="617"/>
      <c r="M16" s="617"/>
      <c r="N16" s="251" t="s">
        <v>147</v>
      </c>
      <c r="O16" s="252">
        <f>O11+O15</f>
        <v>730994</v>
      </c>
      <c r="P16" s="255"/>
      <c r="Q16" s="255"/>
      <c r="T16" s="293"/>
    </row>
    <row r="17" spans="1:37" ht="15.75">
      <c r="A17" s="254">
        <v>9</v>
      </c>
      <c r="B17" s="626" t="s">
        <v>388</v>
      </c>
      <c r="C17" s="627"/>
      <c r="D17" s="628"/>
      <c r="E17" s="701">
        <f>'Extra Ded. '!I23</f>
        <v>0</v>
      </c>
      <c r="F17" s="702"/>
      <c r="G17" s="703" t="s">
        <v>338</v>
      </c>
      <c r="H17" s="704"/>
      <c r="I17" s="259">
        <f>'Extra Ded. '!E23</f>
        <v>0</v>
      </c>
      <c r="J17" s="705" t="s">
        <v>166</v>
      </c>
      <c r="K17" s="706"/>
      <c r="L17" s="706"/>
      <c r="M17" s="707"/>
      <c r="N17" s="251" t="s">
        <v>147</v>
      </c>
      <c r="O17" s="252">
        <f>E16+E17+I16+I17</f>
        <v>1500</v>
      </c>
      <c r="P17" s="255"/>
      <c r="Q17" s="255"/>
      <c r="T17" s="293"/>
    </row>
    <row r="18" spans="1:37" ht="15.75">
      <c r="A18" s="254">
        <v>10</v>
      </c>
      <c r="B18" s="708" t="s">
        <v>167</v>
      </c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10"/>
      <c r="N18" s="251" t="s">
        <v>147</v>
      </c>
      <c r="O18" s="252">
        <f>O16+O17</f>
        <v>732494</v>
      </c>
      <c r="P18" s="253"/>
      <c r="Q18" s="253"/>
      <c r="T18" s="293"/>
    </row>
    <row r="19" spans="1:37" ht="15.75">
      <c r="A19" s="604">
        <v>11</v>
      </c>
      <c r="B19" s="634" t="s">
        <v>168</v>
      </c>
      <c r="C19" s="634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5"/>
      <c r="P19" s="260"/>
      <c r="Q19" s="260"/>
      <c r="R19" s="674" t="s">
        <v>584</v>
      </c>
      <c r="S19" s="674"/>
      <c r="T19" s="293"/>
    </row>
    <row r="20" spans="1:37">
      <c r="A20" s="604"/>
      <c r="B20" s="636" t="s">
        <v>169</v>
      </c>
      <c r="C20" s="63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7"/>
      <c r="P20" s="261"/>
      <c r="Q20" s="261"/>
      <c r="T20" s="293"/>
    </row>
    <row r="21" spans="1:37" ht="15.75">
      <c r="A21" s="604"/>
      <c r="B21" s="262" t="s">
        <v>170</v>
      </c>
      <c r="C21" s="638" t="s">
        <v>171</v>
      </c>
      <c r="D21" s="638"/>
      <c r="E21" s="638"/>
      <c r="F21" s="263" t="s">
        <v>147</v>
      </c>
      <c r="G21" s="264">
        <f>IF(T14=T2,SUM('GA55 Only Print'!N27+'GA55 Only Print'!V27),"0")</f>
        <v>84000</v>
      </c>
      <c r="H21" s="265" t="s">
        <v>172</v>
      </c>
      <c r="I21" s="639" t="s">
        <v>173</v>
      </c>
      <c r="J21" s="640"/>
      <c r="K21" s="641"/>
      <c r="L21" s="263" t="s">
        <v>147</v>
      </c>
      <c r="M21" s="264">
        <f>IF('Master Data'!I30='GA55 Check &amp; Edit'!AN5,0,IF(T14=T1,0,IF(T34=T36,AA27,AB23)))</f>
        <v>0</v>
      </c>
      <c r="N21" s="632"/>
      <c r="O21" s="642"/>
      <c r="P21" s="266"/>
      <c r="Q21" s="266"/>
      <c r="R21" s="382"/>
      <c r="S21" s="382"/>
      <c r="T21" s="383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</row>
    <row r="22" spans="1:37" ht="15.75" customHeight="1">
      <c r="A22" s="604"/>
      <c r="B22" s="262" t="s">
        <v>174</v>
      </c>
      <c r="C22" s="638" t="s">
        <v>175</v>
      </c>
      <c r="D22" s="638"/>
      <c r="E22" s="638"/>
      <c r="F22" s="263" t="s">
        <v>147</v>
      </c>
      <c r="G22" s="264">
        <f>IF(T14=T2,'GA55 Only Print'!P27,"0")</f>
        <v>22560</v>
      </c>
      <c r="H22" s="265" t="s">
        <v>176</v>
      </c>
      <c r="I22" s="625" t="s">
        <v>177</v>
      </c>
      <c r="J22" s="625"/>
      <c r="K22" s="625"/>
      <c r="L22" s="263" t="s">
        <v>147</v>
      </c>
      <c r="M22" s="264">
        <f>IF(T14=T2,'Extra Ded. '!I12,"0")</f>
        <v>0</v>
      </c>
      <c r="N22" s="632"/>
      <c r="O22" s="642"/>
      <c r="P22" s="266"/>
      <c r="Q22" s="578" t="s">
        <v>598</v>
      </c>
      <c r="R22" s="578"/>
      <c r="S22" s="578"/>
      <c r="T22" s="578"/>
      <c r="U22" s="578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</row>
    <row r="23" spans="1:37" ht="15.75" customHeight="1">
      <c r="A23" s="604"/>
      <c r="B23" s="262" t="s">
        <v>178</v>
      </c>
      <c r="C23" s="638" t="s">
        <v>179</v>
      </c>
      <c r="D23" s="638"/>
      <c r="E23" s="638"/>
      <c r="F23" s="263" t="s">
        <v>147</v>
      </c>
      <c r="G23" s="264">
        <f>IF(T14=T2,'Extra Ded. '!E18,"0")</f>
        <v>0</v>
      </c>
      <c r="H23" s="265" t="s">
        <v>180</v>
      </c>
      <c r="I23" s="625" t="s">
        <v>181</v>
      </c>
      <c r="J23" s="625"/>
      <c r="K23" s="625"/>
      <c r="L23" s="263" t="s">
        <v>147</v>
      </c>
      <c r="M23" s="267">
        <f>IF(T14=T2,'Extra Ded. '!E19,"0")</f>
        <v>0</v>
      </c>
      <c r="N23" s="632"/>
      <c r="O23" s="642"/>
      <c r="P23" s="266"/>
      <c r="Q23" s="578"/>
      <c r="R23" s="578"/>
      <c r="S23" s="578"/>
      <c r="T23" s="578"/>
      <c r="U23" s="578"/>
      <c r="V23" s="382"/>
      <c r="W23" s="382"/>
      <c r="X23" s="382"/>
      <c r="Y23" s="382"/>
      <c r="Z23" s="382">
        <f>IF(AA23&gt;AB23,AB23,AA23)</f>
        <v>0</v>
      </c>
      <c r="AA23" s="382">
        <f>IF('Master Data'!I30='GA55 Check &amp; Edit'!AN5,0,ROUND(10%*'GA55 Only Print'!M27,0))</f>
        <v>0</v>
      </c>
      <c r="AB23" s="382">
        <f>IF('Master Data'!I30='GA55 Check &amp; Edit'!AN6,'GA55 Only Print'!O27,0)</f>
        <v>0</v>
      </c>
      <c r="AC23" s="382"/>
      <c r="AD23" s="382"/>
      <c r="AE23" s="382"/>
      <c r="AF23" s="382"/>
      <c r="AG23" s="382"/>
      <c r="AH23" s="579" t="s">
        <v>599</v>
      </c>
      <c r="AI23" s="579"/>
      <c r="AJ23" s="579"/>
      <c r="AK23" s="579"/>
    </row>
    <row r="24" spans="1:37" ht="15.75">
      <c r="A24" s="604"/>
      <c r="B24" s="262" t="s">
        <v>182</v>
      </c>
      <c r="C24" s="638" t="s">
        <v>183</v>
      </c>
      <c r="D24" s="638"/>
      <c r="E24" s="638"/>
      <c r="F24" s="263" t="s">
        <v>147</v>
      </c>
      <c r="G24" s="264">
        <f>IF(T14=T2,'Extra Ded. '!E20,"0")</f>
        <v>0</v>
      </c>
      <c r="H24" s="265" t="s">
        <v>184</v>
      </c>
      <c r="I24" s="625" t="s">
        <v>185</v>
      </c>
      <c r="J24" s="625"/>
      <c r="K24" s="625"/>
      <c r="L24" s="263" t="s">
        <v>147</v>
      </c>
      <c r="M24" s="267">
        <f>IF(T14=T2,'Extra Ded. '!E16,"0")</f>
        <v>0</v>
      </c>
      <c r="N24" s="632"/>
      <c r="O24" s="642"/>
      <c r="P24" s="266"/>
      <c r="Q24" s="578"/>
      <c r="R24" s="578"/>
      <c r="S24" s="578"/>
      <c r="T24" s="578"/>
      <c r="U24" s="578"/>
      <c r="V24" s="382"/>
      <c r="W24" s="382"/>
      <c r="X24" s="382"/>
      <c r="Y24" s="382"/>
      <c r="Z24" s="384">
        <f>SUM(G21:G31)+SUM(M22:M30)+O33</f>
        <v>174481</v>
      </c>
      <c r="AA24" s="382">
        <f>IF('Extra Ded. '!I14&gt;50000,50000,'Extra Ded. '!I14)</f>
        <v>50000</v>
      </c>
      <c r="AB24" s="382">
        <f>IF(Z24&gt;150000,Z24-150000,0)</f>
        <v>24481</v>
      </c>
      <c r="AC24" s="382"/>
      <c r="AD24" s="382"/>
      <c r="AE24" s="382"/>
      <c r="AF24" s="382"/>
      <c r="AG24" s="382"/>
      <c r="AH24" s="579"/>
      <c r="AI24" s="579"/>
      <c r="AJ24" s="579"/>
      <c r="AK24" s="579"/>
    </row>
    <row r="25" spans="1:37" ht="16.5" thickBot="1">
      <c r="A25" s="604"/>
      <c r="B25" s="262" t="s">
        <v>186</v>
      </c>
      <c r="C25" s="638" t="s">
        <v>187</v>
      </c>
      <c r="D25" s="638"/>
      <c r="E25" s="638"/>
      <c r="F25" s="263" t="s">
        <v>147</v>
      </c>
      <c r="G25" s="264">
        <f>IF(T14=T2,'Extra Ded. '!E21,"0")</f>
        <v>0</v>
      </c>
      <c r="H25" s="265" t="s">
        <v>188</v>
      </c>
      <c r="I25" s="625" t="s">
        <v>189</v>
      </c>
      <c r="J25" s="625"/>
      <c r="K25" s="625"/>
      <c r="L25" s="263" t="s">
        <v>147</v>
      </c>
      <c r="M25" s="264">
        <f>IF(T14=T2,'Extra Ded. '!I6,"0")</f>
        <v>0</v>
      </c>
      <c r="N25" s="632"/>
      <c r="O25" s="642"/>
      <c r="P25" s="256"/>
      <c r="Q25" s="256"/>
      <c r="S25" s="197"/>
    </row>
    <row r="26" spans="1:37" ht="15.75">
      <c r="A26" s="604"/>
      <c r="B26" s="262" t="s">
        <v>190</v>
      </c>
      <c r="C26" s="638" t="s">
        <v>191</v>
      </c>
      <c r="D26" s="638"/>
      <c r="E26" s="638"/>
      <c r="F26" s="263" t="s">
        <v>147</v>
      </c>
      <c r="G26" s="264">
        <f>IF(AND(T14=T2,'Master Data'!I30='GA55 Check &amp; Edit'!AN5),'GA55 Only Print'!O27,"0")</f>
        <v>67701</v>
      </c>
      <c r="H26" s="265" t="s">
        <v>192</v>
      </c>
      <c r="I26" s="625" t="s">
        <v>193</v>
      </c>
      <c r="J26" s="625"/>
      <c r="K26" s="625"/>
      <c r="L26" s="263" t="s">
        <v>147</v>
      </c>
      <c r="M26" s="264">
        <f>IF(T14=T2,'Extra Ded. '!I8,"0")</f>
        <v>0</v>
      </c>
      <c r="N26" s="632"/>
      <c r="O26" s="642"/>
      <c r="P26" s="256"/>
      <c r="Q26" s="580" t="s">
        <v>412</v>
      </c>
      <c r="R26" s="581"/>
      <c r="S26" s="582"/>
    </row>
    <row r="27" spans="1:37" ht="15.75" customHeight="1">
      <c r="A27" s="604"/>
      <c r="B27" s="262" t="s">
        <v>194</v>
      </c>
      <c r="C27" s="638" t="s">
        <v>195</v>
      </c>
      <c r="D27" s="638"/>
      <c r="E27" s="638"/>
      <c r="F27" s="263" t="s">
        <v>147</v>
      </c>
      <c r="G27" s="267">
        <f>IF(T14=T2,'GA55 Only Print'!Y27,"0")</f>
        <v>220</v>
      </c>
      <c r="H27" s="265" t="s">
        <v>196</v>
      </c>
      <c r="I27" s="644" t="s">
        <v>197</v>
      </c>
      <c r="J27" s="644"/>
      <c r="K27" s="644"/>
      <c r="L27" s="263" t="s">
        <v>147</v>
      </c>
      <c r="M27" s="264">
        <f>IF(T14=T2,'Extra Ded. '!E15,"0")</f>
        <v>0</v>
      </c>
      <c r="N27" s="632"/>
      <c r="O27" s="642"/>
      <c r="P27" s="256"/>
      <c r="Q27" s="583"/>
      <c r="R27" s="584"/>
      <c r="S27" s="585"/>
      <c r="AA27" s="35">
        <f>IFERROR(SUM(Z23)-MIN(AA24,AB24),0)</f>
        <v>-24481</v>
      </c>
      <c r="AC27" s="35">
        <f>MIN(AA24,AB24)</f>
        <v>24481</v>
      </c>
    </row>
    <row r="28" spans="1:37" ht="15.75" customHeight="1">
      <c r="A28" s="604"/>
      <c r="B28" s="262" t="s">
        <v>198</v>
      </c>
      <c r="C28" s="638" t="s">
        <v>199</v>
      </c>
      <c r="D28" s="638"/>
      <c r="E28" s="638"/>
      <c r="F28" s="263" t="s">
        <v>147</v>
      </c>
      <c r="G28" s="267">
        <f>IF(T14=T2,'Extra Ded. '!E17,"0")</f>
        <v>0</v>
      </c>
      <c r="H28" s="265" t="s">
        <v>200</v>
      </c>
      <c r="I28" s="645" t="s">
        <v>575</v>
      </c>
      <c r="J28" s="645"/>
      <c r="K28" s="645"/>
      <c r="L28" s="263" t="s">
        <v>147</v>
      </c>
      <c r="M28" s="264">
        <f>IF(T14=T2,'Extra Ded. '!I13,"0")</f>
        <v>0</v>
      </c>
      <c r="N28" s="632"/>
      <c r="O28" s="642"/>
      <c r="P28" s="256"/>
      <c r="Q28" s="583"/>
      <c r="R28" s="584"/>
      <c r="S28" s="585"/>
    </row>
    <row r="29" spans="1:37" ht="15.75">
      <c r="A29" s="604"/>
      <c r="B29" s="262" t="s">
        <v>201</v>
      </c>
      <c r="C29" s="638" t="s">
        <v>202</v>
      </c>
      <c r="D29" s="638"/>
      <c r="E29" s="638"/>
      <c r="F29" s="263" t="s">
        <v>147</v>
      </c>
      <c r="G29" s="267">
        <f>IF(T14=T2,'Extra Ded. '!E12,"0")</f>
        <v>0</v>
      </c>
      <c r="H29" s="265" t="s">
        <v>203</v>
      </c>
      <c r="I29" s="645" t="s">
        <v>204</v>
      </c>
      <c r="J29" s="645"/>
      <c r="K29" s="645"/>
      <c r="L29" s="263" t="s">
        <v>147</v>
      </c>
      <c r="M29" s="264">
        <f>IF(T14=T2,'Extra Ded. '!E22,"0")</f>
        <v>0</v>
      </c>
      <c r="N29" s="632"/>
      <c r="O29" s="642"/>
      <c r="P29" s="256"/>
      <c r="Q29" s="583"/>
      <c r="R29" s="584"/>
      <c r="S29" s="585"/>
      <c r="AA29" s="35">
        <f>IF(Z24&gt;=200000,50000,AC27)</f>
        <v>24481</v>
      </c>
    </row>
    <row r="30" spans="1:37" ht="15.75">
      <c r="A30" s="604"/>
      <c r="B30" s="262" t="s">
        <v>205</v>
      </c>
      <c r="C30" s="643" t="s">
        <v>206</v>
      </c>
      <c r="D30" s="643"/>
      <c r="E30" s="643"/>
      <c r="F30" s="263" t="s">
        <v>147</v>
      </c>
      <c r="G30" s="264">
        <f>IF(T14=T2,'Extra Ded. '!E14,"0")</f>
        <v>0</v>
      </c>
      <c r="H30" s="265" t="s">
        <v>207</v>
      </c>
      <c r="I30" s="644" t="s">
        <v>577</v>
      </c>
      <c r="J30" s="644"/>
      <c r="K30" s="644"/>
      <c r="L30" s="263" t="s">
        <v>147</v>
      </c>
      <c r="M30" s="264">
        <f>IF(T14=T2,'Extra Ded. '!I10,"0")</f>
        <v>0</v>
      </c>
      <c r="N30" s="632"/>
      <c r="O30" s="642"/>
      <c r="P30" s="256"/>
      <c r="Q30" s="583"/>
      <c r="R30" s="584"/>
      <c r="S30" s="585"/>
    </row>
    <row r="31" spans="1:37" ht="16.5" thickBot="1">
      <c r="A31" s="604"/>
      <c r="B31" s="262" t="s">
        <v>601</v>
      </c>
      <c r="C31" s="648" t="str">
        <f>IF('Master Data'!M43="Yes","cksul ls dVksrh thih,Q&amp;2004","")</f>
        <v>cksul ls dVksrh thih,Q&amp;2004</v>
      </c>
      <c r="D31" s="649"/>
      <c r="E31" s="398" t="str">
        <f>IF('Master Data'!M43="Yes","(GPF-2004 )","")</f>
        <v>(GPF-2004 )</v>
      </c>
      <c r="F31" s="263" t="s">
        <v>147</v>
      </c>
      <c r="G31" s="397">
        <f>IF('Master Data'!M43="No","",IF(T14=T2,'GA55 Only Print'!T27,"0"))</f>
        <v>0</v>
      </c>
      <c r="H31" s="696" t="s">
        <v>208</v>
      </c>
      <c r="I31" s="697"/>
      <c r="J31" s="697"/>
      <c r="K31" s="698"/>
      <c r="L31" s="263" t="s">
        <v>147</v>
      </c>
      <c r="M31" s="268">
        <f>SUM(G21:G31)+SUM(M21:M30)</f>
        <v>174481</v>
      </c>
      <c r="N31" s="632"/>
      <c r="O31" s="642"/>
      <c r="P31" s="256"/>
      <c r="Q31" s="586"/>
      <c r="R31" s="587"/>
      <c r="S31" s="588"/>
      <c r="AA31" s="35">
        <f>('Extra Ded. '!I23+'Extra Ded. '!I21)</f>
        <v>1500</v>
      </c>
    </row>
    <row r="32" spans="1:37" ht="15.75" customHeight="1">
      <c r="A32" s="604"/>
      <c r="B32" s="617" t="s">
        <v>209</v>
      </c>
      <c r="C32" s="617"/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269" t="s">
        <v>147</v>
      </c>
      <c r="O32" s="252">
        <f>IF(M31&lt;150001,ROUND(M31,0),150000)</f>
        <v>150000</v>
      </c>
      <c r="P32" s="253"/>
      <c r="Q32" s="110"/>
      <c r="R32" s="206" t="s">
        <v>411</v>
      </c>
      <c r="S32" s="675" t="s">
        <v>592</v>
      </c>
      <c r="T32" s="295"/>
      <c r="U32" s="200"/>
      <c r="V32" s="200"/>
      <c r="W32" s="200"/>
      <c r="AA32" s="35">
        <f>IF(AA31&gt;10000,10000,AA31)</f>
        <v>1500</v>
      </c>
      <c r="AB32" s="35">
        <f>IF(AA31&gt;50000,50000,AA31)</f>
        <v>1500</v>
      </c>
    </row>
    <row r="33" spans="1:28" ht="15.75" customHeight="1">
      <c r="A33" s="604"/>
      <c r="B33" s="700" t="s">
        <v>210</v>
      </c>
      <c r="C33" s="700"/>
      <c r="D33" s="700"/>
      <c r="E33" s="700"/>
      <c r="F33" s="700"/>
      <c r="G33" s="700"/>
      <c r="H33" s="700"/>
      <c r="I33" s="700"/>
      <c r="J33" s="700"/>
      <c r="K33" s="700"/>
      <c r="L33" s="700"/>
      <c r="M33" s="700"/>
      <c r="N33" s="269"/>
      <c r="O33" s="252">
        <f>IF('Master Data'!I30='GA55 Check &amp; Edit'!AN6,'GA55 Only Print'!O27,0)</f>
        <v>0</v>
      </c>
      <c r="P33" s="255"/>
      <c r="Q33" s="110"/>
      <c r="R33" s="200"/>
      <c r="S33" s="676"/>
      <c r="T33" s="295"/>
      <c r="U33" s="200"/>
      <c r="V33" s="200"/>
      <c r="W33" s="200"/>
      <c r="AA33" s="35">
        <f>IF('Master Data'!E24="Under 60",AA32,IF('Master Data'!E24="Above 60",AB32,IF('Master Data'!E24="Above 80",AB32,0)))</f>
        <v>1500</v>
      </c>
    </row>
    <row r="34" spans="1:28" ht="15.75" customHeight="1">
      <c r="A34" s="604"/>
      <c r="B34" s="646" t="s">
        <v>211</v>
      </c>
      <c r="C34" s="646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269" t="s">
        <v>147</v>
      </c>
      <c r="O34" s="270">
        <f>IF(T14=T1,0,IF(T34=T36,AB35,0))</f>
        <v>0</v>
      </c>
      <c r="P34" s="255"/>
      <c r="Q34" s="255"/>
      <c r="R34" s="200"/>
      <c r="S34" s="676"/>
      <c r="T34" s="296" t="b">
        <v>0</v>
      </c>
      <c r="U34" s="200"/>
      <c r="V34" s="200"/>
      <c r="W34" s="200"/>
    </row>
    <row r="35" spans="1:28" ht="17.25" customHeight="1">
      <c r="A35" s="604"/>
      <c r="B35" s="647" t="s">
        <v>212</v>
      </c>
      <c r="C35" s="647"/>
      <c r="D35" s="647"/>
      <c r="E35" s="647"/>
      <c r="F35" s="647"/>
      <c r="G35" s="647"/>
      <c r="H35" s="647"/>
      <c r="I35" s="647"/>
      <c r="J35" s="647"/>
      <c r="K35" s="647"/>
      <c r="L35" s="647"/>
      <c r="M35" s="647"/>
      <c r="N35" s="269" t="s">
        <v>147</v>
      </c>
      <c r="O35" s="252">
        <f>SUM(O32:O34)</f>
        <v>150000</v>
      </c>
      <c r="P35" s="253"/>
      <c r="Q35" s="253"/>
      <c r="R35" s="200"/>
      <c r="S35" s="200"/>
      <c r="T35" s="295"/>
      <c r="U35" s="200"/>
      <c r="V35" s="200"/>
      <c r="W35" s="200"/>
      <c r="AB35" s="35">
        <f>IF('Master Data'!I30='GA55 Check &amp; Edit'!AN6,AA29,0)</f>
        <v>0</v>
      </c>
    </row>
    <row r="36" spans="1:28" ht="15.75" customHeight="1">
      <c r="A36" s="604">
        <v>12</v>
      </c>
      <c r="B36" s="654" t="s">
        <v>213</v>
      </c>
      <c r="C36" s="654"/>
      <c r="D36" s="654"/>
      <c r="E36" s="654"/>
      <c r="F36" s="654"/>
      <c r="G36" s="654"/>
      <c r="H36" s="654"/>
      <c r="I36" s="654"/>
      <c r="J36" s="654"/>
      <c r="K36" s="654"/>
      <c r="L36" s="654"/>
      <c r="M36" s="654"/>
      <c r="N36" s="654"/>
      <c r="O36" s="699"/>
      <c r="P36" s="260"/>
      <c r="Q36" s="260"/>
      <c r="R36" s="200"/>
      <c r="S36" s="200"/>
      <c r="T36" s="296" t="b">
        <v>1</v>
      </c>
      <c r="U36" s="200"/>
      <c r="V36" s="200"/>
      <c r="W36" s="200"/>
    </row>
    <row r="37" spans="1:28" s="112" customFormat="1" ht="15.75" customHeight="1">
      <c r="A37" s="604"/>
      <c r="B37" s="616" t="s">
        <v>214</v>
      </c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269" t="s">
        <v>147</v>
      </c>
      <c r="O37" s="271">
        <f>IF(T14=T2,'Extra Ded. '!I15,"0")</f>
        <v>0</v>
      </c>
      <c r="P37" s="255"/>
      <c r="Q37" s="255"/>
      <c r="R37" s="200"/>
      <c r="S37" s="200"/>
      <c r="T37" s="200"/>
      <c r="U37" s="200"/>
      <c r="V37" s="200"/>
      <c r="W37" s="200"/>
    </row>
    <row r="38" spans="1:28" s="112" customFormat="1" ht="15.75">
      <c r="A38" s="604"/>
      <c r="B38" s="616" t="s">
        <v>215</v>
      </c>
      <c r="C38" s="616"/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269" t="s">
        <v>147</v>
      </c>
      <c r="O38" s="271">
        <f>IF(T14=T2,'Extra Ded. '!I16,"0")</f>
        <v>0</v>
      </c>
      <c r="P38" s="255"/>
      <c r="Q38" s="255"/>
      <c r="AB38" s="198">
        <f>'GA55 Only Print'!N27+'GA55 Only Print'!P27+'Extra Ded. '!E18+'Extra Ded. '!E20+'Extra Ded. '!E21+'GA55 Only Print'!O27+'GA55 Only Print'!Y27+'Extra Ded. '!E17+'Extra Ded. '!E12+'Extra Ded. '!E14+'Extra Ded. '!I12+'Extra Ded. '!E19+'Extra Ded. '!E16+'Extra Ded. '!I6+'Extra Ded. '!I8+'Extra Ded. '!E15+'Extra Ded. '!I10+'Extra Ded. '!E22+'Extra Ded. '!E24</f>
        <v>167481</v>
      </c>
    </row>
    <row r="39" spans="1:28" s="112" customFormat="1" ht="15.75">
      <c r="A39" s="604"/>
      <c r="B39" s="616" t="s">
        <v>216</v>
      </c>
      <c r="C39" s="616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269" t="s">
        <v>147</v>
      </c>
      <c r="O39" s="271">
        <f>IF(T14=T2,'Extra Ded. '!I17,"0")</f>
        <v>0</v>
      </c>
      <c r="P39" s="255"/>
      <c r="Q39" s="255"/>
    </row>
    <row r="40" spans="1:28" s="112" customFormat="1" ht="16.5" thickBot="1">
      <c r="A40" s="604"/>
      <c r="B40" s="616" t="s">
        <v>217</v>
      </c>
      <c r="C40" s="616"/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269" t="s">
        <v>147</v>
      </c>
      <c r="O40" s="271">
        <f>IF(T14=T2,'Extra Ded. '!I18,"0")</f>
        <v>0</v>
      </c>
      <c r="P40" s="255"/>
      <c r="Q40" s="255"/>
      <c r="AB40" s="199">
        <f>'Extra Ded. '!I15+'Extra Ded. '!I16+'Extra Ded. '!I17+'Extra Ded. '!I18+('Extra Ded. '!I19+'GA55 Only Print'!U27)+'Extra Ded. '!I20+AA33+'Extra Ded. '!I22</f>
        <v>10436</v>
      </c>
    </row>
    <row r="41" spans="1:28" s="112" customFormat="1" ht="16.5" thickTop="1">
      <c r="A41" s="604"/>
      <c r="B41" s="616" t="s">
        <v>386</v>
      </c>
      <c r="C41" s="616"/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269" t="s">
        <v>147</v>
      </c>
      <c r="O41" s="271">
        <f>IF(T14=T2,('Extra Ded. '!I19+'GA55 Only Print'!U27),"0")</f>
        <v>8936</v>
      </c>
      <c r="P41" s="255"/>
      <c r="Q41" s="255"/>
      <c r="R41" s="677" t="s">
        <v>597</v>
      </c>
      <c r="S41" s="678"/>
      <c r="T41" s="678"/>
      <c r="U41" s="678"/>
      <c r="V41" s="679"/>
    </row>
    <row r="42" spans="1:28" s="112" customFormat="1" ht="15.75">
      <c r="A42" s="604"/>
      <c r="B42" s="616" t="s">
        <v>218</v>
      </c>
      <c r="C42" s="616"/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269" t="s">
        <v>147</v>
      </c>
      <c r="O42" s="271">
        <f>IF(T14=T2,'Extra Ded. '!I20,"0")</f>
        <v>0</v>
      </c>
      <c r="P42" s="255"/>
      <c r="Q42" s="255"/>
      <c r="R42" s="680"/>
      <c r="S42" s="681"/>
      <c r="T42" s="681"/>
      <c r="U42" s="681"/>
      <c r="V42" s="682"/>
    </row>
    <row r="43" spans="1:28" s="112" customFormat="1" ht="16.5" thickBot="1">
      <c r="A43" s="604"/>
      <c r="B43" s="616" t="s">
        <v>219</v>
      </c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269" t="s">
        <v>147</v>
      </c>
      <c r="O43" s="271">
        <f>IF(T14=T2,AA33,"0")</f>
        <v>1500</v>
      </c>
      <c r="P43" s="255"/>
      <c r="Q43" s="255"/>
      <c r="R43" s="680"/>
      <c r="S43" s="681"/>
      <c r="T43" s="681"/>
      <c r="U43" s="683"/>
      <c r="V43" s="684"/>
    </row>
    <row r="44" spans="1:28" ht="16.5" thickTop="1">
      <c r="A44" s="604"/>
      <c r="B44" s="616" t="s">
        <v>220</v>
      </c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269" t="s">
        <v>147</v>
      </c>
      <c r="O44" s="271">
        <f>IF(T14=T2,'Extra Ded. '!I22,"0")</f>
        <v>0</v>
      </c>
      <c r="P44" s="255"/>
      <c r="Q44" s="255"/>
      <c r="R44" s="685" t="s">
        <v>584</v>
      </c>
      <c r="S44" s="686"/>
      <c r="T44" s="371"/>
    </row>
    <row r="45" spans="1:28" ht="16.5" thickBot="1">
      <c r="A45" s="604"/>
      <c r="B45" s="617" t="s">
        <v>221</v>
      </c>
      <c r="C45" s="617"/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269" t="s">
        <v>147</v>
      </c>
      <c r="O45" s="272">
        <f>SUM(O37:O44)</f>
        <v>10436</v>
      </c>
      <c r="P45" s="273"/>
      <c r="Q45" s="273"/>
      <c r="R45" s="687"/>
      <c r="S45" s="688"/>
      <c r="T45" s="372"/>
    </row>
    <row r="46" spans="1:28" ht="16.5" thickTop="1">
      <c r="A46" s="254">
        <v>13</v>
      </c>
      <c r="B46" s="689" t="s">
        <v>222</v>
      </c>
      <c r="C46" s="689"/>
      <c r="D46" s="689"/>
      <c r="E46" s="689"/>
      <c r="F46" s="689"/>
      <c r="G46" s="689"/>
      <c r="H46" s="689"/>
      <c r="I46" s="689"/>
      <c r="J46" s="689"/>
      <c r="K46" s="689"/>
      <c r="L46" s="689"/>
      <c r="M46" s="689"/>
      <c r="N46" s="269" t="s">
        <v>147</v>
      </c>
      <c r="O46" s="252">
        <f>O35+O45</f>
        <v>160436</v>
      </c>
      <c r="P46" s="255"/>
      <c r="Q46" s="255"/>
    </row>
    <row r="47" spans="1:28" ht="15.75">
      <c r="A47" s="254">
        <v>14</v>
      </c>
      <c r="B47" s="616" t="s">
        <v>223</v>
      </c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269" t="s">
        <v>147</v>
      </c>
      <c r="O47" s="252">
        <f>(O18-O46)</f>
        <v>572058</v>
      </c>
      <c r="P47" s="255"/>
      <c r="Q47" s="255"/>
    </row>
    <row r="48" spans="1:28" s="112" customFormat="1" ht="15.75">
      <c r="A48" s="254">
        <v>15</v>
      </c>
      <c r="B48" s="689" t="s">
        <v>224</v>
      </c>
      <c r="C48" s="689"/>
      <c r="D48" s="689"/>
      <c r="E48" s="689"/>
      <c r="F48" s="689"/>
      <c r="G48" s="689"/>
      <c r="H48" s="689"/>
      <c r="I48" s="689"/>
      <c r="J48" s="689"/>
      <c r="K48" s="689"/>
      <c r="L48" s="689"/>
      <c r="M48" s="689"/>
      <c r="N48" s="269" t="s">
        <v>147</v>
      </c>
      <c r="O48" s="252">
        <f>ROUND(O47,-1)</f>
        <v>572060</v>
      </c>
      <c r="P48" s="253"/>
      <c r="Q48" s="253"/>
    </row>
    <row r="49" spans="1:31" s="112" customFormat="1" ht="15.75">
      <c r="A49" s="604">
        <v>16</v>
      </c>
      <c r="B49" s="616" t="s">
        <v>225</v>
      </c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57"/>
      <c r="P49" s="274"/>
      <c r="Q49" s="274"/>
      <c r="X49" s="413" t="s">
        <v>390</v>
      </c>
      <c r="Y49" s="413"/>
      <c r="Z49" s="413"/>
      <c r="AB49" s="413" t="s">
        <v>391</v>
      </c>
      <c r="AC49" s="413"/>
      <c r="AD49" s="413"/>
    </row>
    <row r="50" spans="1:31" s="112" customFormat="1" ht="15.75">
      <c r="A50" s="604"/>
      <c r="B50" s="658" t="s">
        <v>226</v>
      </c>
      <c r="C50" s="658"/>
      <c r="D50" s="658"/>
      <c r="E50" s="658"/>
      <c r="F50" s="658" t="s">
        <v>227</v>
      </c>
      <c r="G50" s="658"/>
      <c r="H50" s="658"/>
      <c r="I50" s="658"/>
      <c r="J50" s="658" t="s">
        <v>228</v>
      </c>
      <c r="K50" s="658"/>
      <c r="L50" s="658"/>
      <c r="M50" s="658"/>
      <c r="N50" s="275"/>
      <c r="O50" s="276"/>
      <c r="P50" s="277"/>
      <c r="Q50" s="277"/>
      <c r="X50" s="112">
        <v>0</v>
      </c>
      <c r="Y50" s="112">
        <v>0</v>
      </c>
      <c r="Z50" s="112">
        <v>0</v>
      </c>
      <c r="AA50" s="195">
        <v>0</v>
      </c>
      <c r="AB50" s="112">
        <v>0</v>
      </c>
      <c r="AC50" s="112">
        <v>0</v>
      </c>
      <c r="AD50" s="112">
        <v>0</v>
      </c>
      <c r="AE50" s="196">
        <v>0</v>
      </c>
    </row>
    <row r="51" spans="1:31" s="112" customFormat="1" ht="15.75">
      <c r="A51" s="604"/>
      <c r="B51" s="659" t="s">
        <v>373</v>
      </c>
      <c r="C51" s="659"/>
      <c r="D51" s="659"/>
      <c r="E51" s="278">
        <v>0</v>
      </c>
      <c r="F51" s="659" t="str">
        <f>IF(T14=T2,"Up to Rs. 3,00,000","Up to Rs. 2,50,000")</f>
        <v>Up to Rs. 3,00,000</v>
      </c>
      <c r="G51" s="659"/>
      <c r="H51" s="659"/>
      <c r="I51" s="278">
        <v>0</v>
      </c>
      <c r="J51" s="659" t="str">
        <f>IF(T14=T2,"","Up to Rs. 2,50,000")</f>
        <v/>
      </c>
      <c r="K51" s="659"/>
      <c r="L51" s="659"/>
      <c r="M51" s="278">
        <v>0</v>
      </c>
      <c r="N51" s="269" t="s">
        <v>147</v>
      </c>
      <c r="O51" s="279">
        <v>0</v>
      </c>
      <c r="P51" s="280"/>
      <c r="Q51" s="280"/>
      <c r="X51" s="112">
        <f>ROUND(IF(O48&lt;=250000,0,IF(O48&gt;=500000,12500,IF(O48&lt;=500000,0+(O48-250000)*0.05))),0)</f>
        <v>12500</v>
      </c>
      <c r="Y51" s="112">
        <f>ROUND(IF(O48&lt;=300000,0,IF(O48&gt;=500000,10000,IF(O48&lt;=500000,(O48-300000)*0.05))),0)</f>
        <v>10000</v>
      </c>
      <c r="Z51" s="112">
        <v>0</v>
      </c>
      <c r="AA51" s="195">
        <f>IF('Master Data'!$E$24="Under 60",X51,IF('Master Data'!$E$24="Above 60",Y51,Z51))</f>
        <v>12500</v>
      </c>
      <c r="AB51" s="112">
        <f>ROUND(IF(O48&lt;250001,0,IF(O48&gt;500000,12500,((O48-250000)*0.05))),0)</f>
        <v>12500</v>
      </c>
      <c r="AC51" s="112">
        <f>ROUND(IF(O48&lt;250001,0,IF(O48&gt;500000,12500,((O48-250000)*0.05))),0)</f>
        <v>12500</v>
      </c>
      <c r="AD51" s="112">
        <f>ROUND(IF(O48&lt;250001,0,IF(O48&gt;500000,12500,((O48-250000)*0.05))),0)</f>
        <v>12500</v>
      </c>
      <c r="AE51" s="196">
        <f>IF('Master Data'!$E$24="Under 60",AB51,IF('Master Data'!$E$24="Above 60",AC51,AD51))</f>
        <v>12500</v>
      </c>
    </row>
    <row r="52" spans="1:31" s="112" customFormat="1" ht="15.75">
      <c r="A52" s="604"/>
      <c r="B52" s="659" t="s">
        <v>389</v>
      </c>
      <c r="C52" s="659"/>
      <c r="D52" s="659"/>
      <c r="E52" s="278">
        <v>0.05</v>
      </c>
      <c r="F52" s="659" t="str">
        <f>IF(T14=T2,"3,00,001 to 5,00,000"," 2,50,001 to  5,00,000")</f>
        <v>3,00,001 to 5,00,000</v>
      </c>
      <c r="G52" s="659"/>
      <c r="H52" s="659"/>
      <c r="I52" s="278">
        <v>0.05</v>
      </c>
      <c r="J52" s="659" t="str">
        <f>IF(T14=T2,"Up to Rs. 5,00,000","2,50,001 to  5,00,000")</f>
        <v>Up to Rs. 5,00,000</v>
      </c>
      <c r="K52" s="659"/>
      <c r="L52" s="659"/>
      <c r="M52" s="281" t="str">
        <f>IF(T14=T2,"0%","5%")</f>
        <v>0%</v>
      </c>
      <c r="N52" s="269" t="s">
        <v>147</v>
      </c>
      <c r="O52" s="279">
        <f>IF($T$14=$T$2,AA51,AE51)</f>
        <v>12500</v>
      </c>
      <c r="P52" s="280"/>
      <c r="Q52" s="280"/>
      <c r="X52" s="112">
        <f>ROUND(IF(O48&lt;=500000,0,IF(O48&gt;=1000000,100000,IF(O48&lt;=1000000,(O48-500000)*0.2,"0"))),0)</f>
        <v>14412</v>
      </c>
      <c r="Y52" s="112">
        <f>ROUND(IF(O48&lt;=500000,0,IF(O48&gt;=1000000,100000,IF(O48&lt;=1000000,(O48-500000)*0.2,"0"))),0)</f>
        <v>14412</v>
      </c>
      <c r="Z52" s="112">
        <f>ROUND(IF(O48&lt;=500000,0,IF(O48&gt;=1000000,100000,IF(O48&lt;=1000000,(O48-500000)*0.2,"0"))),0)</f>
        <v>14412</v>
      </c>
      <c r="AA52" s="195">
        <f>IF('Master Data'!$E$24="Under 60",X52,IF('Master Data'!$E$24="Above 60",Y52,Z52))</f>
        <v>14412</v>
      </c>
      <c r="AB52" s="112">
        <f>ROUND(IF(O48&lt;500001,0,IF(O48&gt;750000,25000,((O48-500000)*0.1))),0)</f>
        <v>7206</v>
      </c>
      <c r="AC52" s="112">
        <f>ROUND(IF(O48&lt;500001,0,IF(O48&gt;750000,25000,((O48-500000)*0.1))),0)</f>
        <v>7206</v>
      </c>
      <c r="AD52" s="112">
        <f>ROUND(IF(O48&lt;500001,0,IF(O48&gt;750000,25000,((O48-500000)*0.1))),0)</f>
        <v>7206</v>
      </c>
      <c r="AE52" s="196">
        <f>IF('Master Data'!$E$24="Under 60",AB52,IF('Master Data'!$E$24="Above 60",AC52,AD52))</f>
        <v>7206</v>
      </c>
    </row>
    <row r="53" spans="1:31" s="112" customFormat="1" ht="15.75">
      <c r="A53" s="604"/>
      <c r="B53" s="659" t="str">
        <f>IF(T14=T2,"5,00,001 to 10,00,000","5,00,001  to  7,50,000")</f>
        <v>5,00,001 to 10,00,000</v>
      </c>
      <c r="C53" s="659"/>
      <c r="D53" s="659"/>
      <c r="E53" s="278" t="str">
        <f>IF(T14=T2,"20%","10%")</f>
        <v>20%</v>
      </c>
      <c r="F53" s="659" t="str">
        <f>IF(T14=T2,"5,00,001 to 10,00,000","5,00,001  to  7,50,000")</f>
        <v>5,00,001 to 10,00,000</v>
      </c>
      <c r="G53" s="659"/>
      <c r="H53" s="659"/>
      <c r="I53" s="278" t="str">
        <f>IF(T14=T2,"20%","10%")</f>
        <v>20%</v>
      </c>
      <c r="J53" s="659" t="str">
        <f>IF(T14=T2,"5,00,001 to 10,00,000","5,00,001  to  7,50,000")</f>
        <v>5,00,001 to 10,00,000</v>
      </c>
      <c r="K53" s="659"/>
      <c r="L53" s="659"/>
      <c r="M53" s="278" t="str">
        <f>IF(T14=T2,"20%","10%")</f>
        <v>20%</v>
      </c>
      <c r="N53" s="269" t="s">
        <v>147</v>
      </c>
      <c r="O53" s="279">
        <f t="shared" ref="O53:O56" si="0">IF($T$14=$T$2,AA52,AE52)</f>
        <v>14412</v>
      </c>
      <c r="P53" s="280"/>
      <c r="Q53" s="280"/>
      <c r="X53" s="112">
        <f>ROUND(IF(O48&gt;1000000,(O48-1000000)*0.3,"0"),0)</f>
        <v>0</v>
      </c>
      <c r="Y53" s="112">
        <f>ROUND(IF(O48&gt;1000000,(O48-1000000)*0.3,"0"),0)</f>
        <v>0</v>
      </c>
      <c r="Z53" s="112">
        <f>ROUND(IF(O48&gt;1000000,(O48-1000000)*0.3,"0"),0)</f>
        <v>0</v>
      </c>
      <c r="AA53" s="195">
        <f>IF('Master Data'!$E$24="Under 60",X53,IF('Master Data'!$E$24="Above 60",Y53,Z53))</f>
        <v>0</v>
      </c>
      <c r="AB53" s="112">
        <f>ROUND(IF(O48&lt;750001,0,IF(O48&gt;1000000,37500,((O48-750000)*0.15))),0)</f>
        <v>0</v>
      </c>
      <c r="AC53" s="112">
        <f>ROUND(IF(O48&lt;750001,0,IF(O48&gt;1000000,37500,((O48-750000)*0.15))),0)</f>
        <v>0</v>
      </c>
      <c r="AD53" s="112">
        <f>ROUND(IF(O48&lt;750001,0,IF(O48&gt;1000000,37500,((O48-750000)*0.15))),0)</f>
        <v>0</v>
      </c>
      <c r="AE53" s="196">
        <f>IF('Master Data'!$E$24="Under 60",AB53,IF('Master Data'!$E$24="Above 60",AC53,AD53))</f>
        <v>0</v>
      </c>
    </row>
    <row r="54" spans="1:31" s="112" customFormat="1" ht="16.5" thickBot="1">
      <c r="A54" s="604"/>
      <c r="B54" s="659" t="str">
        <f>IF(T14=T2,"Above  10,00,000"," 7,50,001 to  10,00,000")</f>
        <v>Above  10,00,000</v>
      </c>
      <c r="C54" s="673"/>
      <c r="D54" s="673"/>
      <c r="E54" s="278" t="str">
        <f>IF(T14=T2,"30%","15%")</f>
        <v>30%</v>
      </c>
      <c r="F54" s="659" t="str">
        <f>IF(T14=T2,"Above  10,00,000"," 7,50,001 to  10,00,000")</f>
        <v>Above  10,00,000</v>
      </c>
      <c r="G54" s="659"/>
      <c r="H54" s="659"/>
      <c r="I54" s="278" t="str">
        <f>IF(T14=T2,"30%","15%")</f>
        <v>30%</v>
      </c>
      <c r="J54" s="659" t="str">
        <f>IF(T14=T2,"Above  10,00,000"," 7,50,001 to  10,00,000")</f>
        <v>Above  10,00,000</v>
      </c>
      <c r="K54" s="659"/>
      <c r="L54" s="659"/>
      <c r="M54" s="278" t="str">
        <f>IF(T14=T2,"30%","15%")</f>
        <v>30%</v>
      </c>
      <c r="N54" s="269" t="s">
        <v>147</v>
      </c>
      <c r="O54" s="279">
        <f t="shared" si="0"/>
        <v>0</v>
      </c>
      <c r="P54" s="280"/>
      <c r="Q54" s="280"/>
      <c r="AA54" s="195">
        <f>IF('Master Data'!$E$24="Under 60",X54,IF('Master Data'!$E$24="Above 60",Y54,Z54))</f>
        <v>0</v>
      </c>
      <c r="AB54" s="112">
        <f>ROUND(IF(O48&lt;1000001,0,IF(O48&gt;1250000,50000,((O48-1000000)*0.2))),0)</f>
        <v>0</v>
      </c>
      <c r="AC54" s="112">
        <f>ROUND(IF(O48&lt;1000001,0,IF(O48&gt;1250000,50000,((O48-1000000)*0.2))),0)</f>
        <v>0</v>
      </c>
      <c r="AD54" s="112">
        <f>ROUND(IF(O48&lt;1000001,0,IF(O48&gt;1250000,50000,((O48-1000000)*0.2))),0)</f>
        <v>0</v>
      </c>
      <c r="AE54" s="196">
        <f>IF('Master Data'!$E$24="Under 60",AB54,IF('Master Data'!$E$24="Above 60",AC54,AD54))</f>
        <v>0</v>
      </c>
    </row>
    <row r="55" spans="1:31" s="112" customFormat="1" ht="16.5" thickTop="1">
      <c r="A55" s="604"/>
      <c r="B55" s="660" t="str">
        <f>IF(T14=T2," ","10,00,001 to  12,50,000")</f>
        <v xml:space="preserve"> </v>
      </c>
      <c r="C55" s="661"/>
      <c r="D55" s="661"/>
      <c r="E55" s="278" t="str">
        <f>IF(T14=T2," ","20%")</f>
        <v xml:space="preserve"> </v>
      </c>
      <c r="F55" s="659" t="str">
        <f>IF(T14=T2," ","10,00,001 to  12,50,000")</f>
        <v xml:space="preserve"> </v>
      </c>
      <c r="G55" s="659"/>
      <c r="H55" s="659"/>
      <c r="I55" s="278" t="str">
        <f>IF(T14=T2," ","20%")</f>
        <v xml:space="preserve"> </v>
      </c>
      <c r="J55" s="659" t="str">
        <f>IF(T14=T2," ","10,00,001 to  12,50,000")</f>
        <v xml:space="preserve"> </v>
      </c>
      <c r="K55" s="659"/>
      <c r="L55" s="659"/>
      <c r="M55" s="278" t="str">
        <f>IF(T14=T2," ","20%")</f>
        <v xml:space="preserve"> </v>
      </c>
      <c r="N55" s="269" t="str">
        <f>IF(T14=T2," ","#-")</f>
        <v xml:space="preserve"> </v>
      </c>
      <c r="O55" s="279">
        <f>IF($T$14=$T$2,AA54,AE54)</f>
        <v>0</v>
      </c>
      <c r="P55" s="280"/>
      <c r="Q55" s="280"/>
      <c r="R55" s="663" t="s">
        <v>585</v>
      </c>
      <c r="S55" s="664"/>
      <c r="T55" s="664"/>
      <c r="U55" s="664"/>
      <c r="V55" s="665"/>
      <c r="AA55" s="195">
        <f>IF('Master Data'!$E$24="Under 60",X55,IF('Master Data'!$E$24="Above 60",Y55,Z55))</f>
        <v>0</v>
      </c>
      <c r="AB55" s="112">
        <f>ROUND(IF(O48&lt;1250001,0,IF(O48&gt;1500000,62500,((O48-1250000)*0.25))),0)</f>
        <v>0</v>
      </c>
      <c r="AC55" s="112">
        <f>ROUND(IF(O48&lt;1250001,0,IF(O48&gt;1500000,62500,((O48-1250000)*0.25))),0)</f>
        <v>0</v>
      </c>
      <c r="AD55" s="112">
        <f>ROUND(IF(O48&lt;1250001,0,IF(O48&gt;1500000,62500,((O48-1250000)*0.25))),0)</f>
        <v>0</v>
      </c>
      <c r="AE55" s="196">
        <f>IF('Master Data'!$E$24="Under 60",AB55,IF('Master Data'!$E$24="Above 60",AC55,AD55))</f>
        <v>0</v>
      </c>
    </row>
    <row r="56" spans="1:31" s="112" customFormat="1" ht="16.5" customHeight="1">
      <c r="A56" s="604"/>
      <c r="B56" s="660" t="str">
        <f>IF(T14=T2," ","12,50,001 to  15,00,000")</f>
        <v xml:space="preserve"> </v>
      </c>
      <c r="C56" s="661"/>
      <c r="D56" s="661"/>
      <c r="E56" s="278" t="str">
        <f>IF(T14=T2," ","25%")</f>
        <v xml:space="preserve"> </v>
      </c>
      <c r="F56" s="659" t="str">
        <f>IF(T14=T2," ","12,50,001 to  15,00,000")</f>
        <v xml:space="preserve"> </v>
      </c>
      <c r="G56" s="659"/>
      <c r="H56" s="659"/>
      <c r="I56" s="278" t="str">
        <f>IF(T14=T2," ","25%")</f>
        <v xml:space="preserve"> </v>
      </c>
      <c r="J56" s="659" t="str">
        <f>IF(T14=T2," ","12,50,001 to  15,00,000")</f>
        <v xml:space="preserve"> </v>
      </c>
      <c r="K56" s="659"/>
      <c r="L56" s="659"/>
      <c r="M56" s="278" t="str">
        <f>IF(T14=T2," ","25%")</f>
        <v xml:space="preserve"> </v>
      </c>
      <c r="N56" s="269" t="str">
        <f>IF(T14=T2," ","#-")</f>
        <v xml:space="preserve"> </v>
      </c>
      <c r="O56" s="279">
        <f t="shared" si="0"/>
        <v>0</v>
      </c>
      <c r="P56" s="280"/>
      <c r="Q56" s="280"/>
      <c r="R56" s="666"/>
      <c r="S56" s="667"/>
      <c r="T56" s="667"/>
      <c r="U56" s="667"/>
      <c r="V56" s="668"/>
      <c r="AA56" s="195">
        <f>IF('Master Data'!$E$24="Under 60",X56,IF('Master Data'!$E$24="Above 60",Y56,Z56))</f>
        <v>0</v>
      </c>
      <c r="AB56" s="112">
        <f>ROUND(IF(O48&lt;1500001,0,(O48-1500000)*0.3),0)</f>
        <v>0</v>
      </c>
      <c r="AC56" s="112">
        <f>ROUND(IF(O48&lt;1500001,0,(O48-1500000)*0.3),0)</f>
        <v>0</v>
      </c>
      <c r="AD56" s="112">
        <f>ROUND(IF(O48&lt;1500001,0,(O48-1500000)*0.3),0)</f>
        <v>0</v>
      </c>
      <c r="AE56" s="196">
        <f>IF('Master Data'!$E$24="Under 60",AB56,IF('Master Data'!$E$24="Above 60",AC56,AD56))</f>
        <v>0</v>
      </c>
    </row>
    <row r="57" spans="1:31" s="112" customFormat="1" ht="16.5" thickBot="1">
      <c r="A57" s="604"/>
      <c r="B57" s="660" t="str">
        <f>IF(T14=T2," ","Above Rs. 15,00,000")</f>
        <v xml:space="preserve"> </v>
      </c>
      <c r="C57" s="661"/>
      <c r="D57" s="661"/>
      <c r="E57" s="278" t="str">
        <f>IF(T14=T2," ","30%")</f>
        <v xml:space="preserve"> </v>
      </c>
      <c r="F57" s="659" t="str">
        <f>IF(T14=T2," ","Above Rs. 15,00,000")</f>
        <v xml:space="preserve"> </v>
      </c>
      <c r="G57" s="659"/>
      <c r="H57" s="659"/>
      <c r="I57" s="278" t="str">
        <f>IF(T14=T2," ","30%")</f>
        <v xml:space="preserve"> </v>
      </c>
      <c r="J57" s="659" t="str">
        <f>IF(T14=T2," ","Above Rs. 15,00,000")</f>
        <v xml:space="preserve"> </v>
      </c>
      <c r="K57" s="659"/>
      <c r="L57" s="659"/>
      <c r="M57" s="278" t="str">
        <f>IF(T14=T2," ","30%")</f>
        <v xml:space="preserve"> </v>
      </c>
      <c r="N57" s="269" t="str">
        <f>IF(T14=T2," ","#-")</f>
        <v xml:space="preserve"> </v>
      </c>
      <c r="O57" s="279">
        <f>IF($T$14=$T$2,AA56,AE56)</f>
        <v>0</v>
      </c>
      <c r="P57" s="280"/>
      <c r="Q57" s="280"/>
      <c r="R57" s="669"/>
      <c r="S57" s="670"/>
      <c r="T57" s="670"/>
      <c r="U57" s="670"/>
      <c r="V57" s="671"/>
      <c r="X57" s="112">
        <f>SUM(X50:X53)</f>
        <v>26912</v>
      </c>
      <c r="Y57" s="112">
        <f t="shared" ref="Y57:Z57" si="1">SUM(Y50:Y53)</f>
        <v>24412</v>
      </c>
      <c r="Z57" s="112">
        <f t="shared" si="1"/>
        <v>14412</v>
      </c>
      <c r="AA57" s="195">
        <f>IF('Master Data'!$E$24="Under 60",X57,IF('Master Data'!$E$24="Above 60",Y57,Z57))</f>
        <v>26912</v>
      </c>
      <c r="AB57" s="112">
        <f>SUM(AB50:AB56)</f>
        <v>19706</v>
      </c>
      <c r="AC57" s="112">
        <f t="shared" ref="AC57:AD57" si="2">SUM(AC50:AC56)</f>
        <v>19706</v>
      </c>
      <c r="AD57" s="112">
        <f t="shared" si="2"/>
        <v>19706</v>
      </c>
      <c r="AE57" s="196">
        <f>IF('Master Data'!$E$24="Under 60",AB57,IF('Master Data'!$E$24="Above 60",AC57,AD57))</f>
        <v>19706</v>
      </c>
    </row>
    <row r="58" spans="1:31" s="112" customFormat="1" ht="16.5" thickTop="1">
      <c r="A58" s="604"/>
      <c r="B58" s="672" t="s">
        <v>229</v>
      </c>
      <c r="C58" s="672"/>
      <c r="D58" s="672"/>
      <c r="E58" s="672"/>
      <c r="F58" s="672"/>
      <c r="G58" s="672"/>
      <c r="H58" s="672"/>
      <c r="I58" s="672"/>
      <c r="J58" s="672"/>
      <c r="K58" s="672"/>
      <c r="L58" s="672"/>
      <c r="M58" s="672"/>
      <c r="N58" s="269" t="s">
        <v>147</v>
      </c>
      <c r="O58" s="252">
        <f>SUM(O51:O57)</f>
        <v>26912</v>
      </c>
      <c r="P58" s="253"/>
      <c r="Q58" s="253"/>
    </row>
    <row r="59" spans="1:31" s="112" customFormat="1" ht="15.75">
      <c r="A59" s="604"/>
      <c r="B59" s="651" t="s">
        <v>579</v>
      </c>
      <c r="C59" s="651"/>
      <c r="D59" s="651"/>
      <c r="E59" s="651"/>
      <c r="F59" s="651"/>
      <c r="G59" s="651"/>
      <c r="H59" s="651"/>
      <c r="I59" s="651"/>
      <c r="J59" s="651"/>
      <c r="K59" s="651"/>
      <c r="L59" s="651"/>
      <c r="M59" s="651"/>
      <c r="N59" s="269" t="s">
        <v>147</v>
      </c>
      <c r="O59" s="252">
        <f>IF(O48&gt;500000,0,IF(O58&lt;12500,O58,12500))</f>
        <v>0</v>
      </c>
      <c r="P59" s="255"/>
      <c r="Q59" s="662"/>
      <c r="R59" s="662"/>
      <c r="S59" s="662"/>
      <c r="X59" s="112">
        <f>ROUND(IF(O48&lt;=250000,0,IF(O48&lt;=500000,(O48-250000)*0.05,IF(O48&lt;=1000000,12500+(O48-500000)*0.2,IF(O48&gt;1000000,112500+(O48-1000000)*0.3,"0")))),0)</f>
        <v>26912</v>
      </c>
      <c r="Y59" s="112">
        <f>ROUND(IF(O48&lt;=300000,0,IF(O48&lt;=500000,(O48-300000)*0.05,IF(O48&lt;=1000000,10000+(O48-500000)*0.2,IF(O48&gt;1000000,110000+(O48-1000000)*0.3,"0")))),0)</f>
        <v>24412</v>
      </c>
      <c r="Z59" s="112">
        <f>ROUND(IF(O48&lt;=250000,0,IF(O48&lt;=500000,(O48-250000)*0.05,IF(O48&lt;=1000000,0+(O48-500000)*0.2,IF(O48&gt;1000000,100000+(O48-1000000)*0.3,"0")))),0)</f>
        <v>14412</v>
      </c>
    </row>
    <row r="60" spans="1:31" s="112" customFormat="1" ht="15.75">
      <c r="A60" s="604"/>
      <c r="B60" s="672" t="s">
        <v>230</v>
      </c>
      <c r="C60" s="672"/>
      <c r="D60" s="672"/>
      <c r="E60" s="672"/>
      <c r="F60" s="672"/>
      <c r="G60" s="672"/>
      <c r="H60" s="672"/>
      <c r="I60" s="672"/>
      <c r="J60" s="672"/>
      <c r="K60" s="672"/>
      <c r="L60" s="672"/>
      <c r="M60" s="672"/>
      <c r="N60" s="269" t="s">
        <v>147</v>
      </c>
      <c r="O60" s="252">
        <f>O58-O59</f>
        <v>26912</v>
      </c>
      <c r="P60" s="253"/>
      <c r="Q60" s="662"/>
      <c r="R60" s="662"/>
      <c r="S60" s="662"/>
      <c r="Y60" s="112">
        <f>IF(T63&gt;350000,0,IF(T63&lt;2501,T63,2500))</f>
        <v>0</v>
      </c>
    </row>
    <row r="61" spans="1:31" ht="15.75">
      <c r="A61" s="604"/>
      <c r="B61" s="191" t="s">
        <v>231</v>
      </c>
      <c r="C61" s="651" t="s">
        <v>232</v>
      </c>
      <c r="D61" s="651"/>
      <c r="E61" s="651"/>
      <c r="F61" s="651"/>
      <c r="G61" s="651"/>
      <c r="H61" s="651"/>
      <c r="I61" s="651"/>
      <c r="J61" s="651"/>
      <c r="K61" s="651"/>
      <c r="L61" s="651"/>
      <c r="M61" s="651"/>
      <c r="N61" s="269" t="s">
        <v>147</v>
      </c>
      <c r="O61" s="252">
        <f>ROUND((O60*0.04),0)</f>
        <v>1076</v>
      </c>
      <c r="P61" s="255"/>
      <c r="Q61" s="255"/>
    </row>
    <row r="62" spans="1:31" ht="15.75">
      <c r="A62" s="604"/>
      <c r="B62" s="652" t="s">
        <v>233</v>
      </c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2"/>
      <c r="N62" s="269" t="s">
        <v>147</v>
      </c>
      <c r="O62" s="252">
        <f>SUM(O60:O61)</f>
        <v>27988</v>
      </c>
      <c r="P62" s="253"/>
      <c r="Q62" s="253"/>
    </row>
    <row r="63" spans="1:31" ht="16.5">
      <c r="A63" s="254">
        <v>17</v>
      </c>
      <c r="B63" s="653" t="s">
        <v>234</v>
      </c>
      <c r="C63" s="653"/>
      <c r="D63" s="653"/>
      <c r="E63" s="653"/>
      <c r="F63" s="653"/>
      <c r="G63" s="653"/>
      <c r="H63" s="653"/>
      <c r="I63" s="653"/>
      <c r="J63" s="653"/>
      <c r="K63" s="653"/>
      <c r="L63" s="653"/>
      <c r="M63" s="653"/>
      <c r="N63" s="269" t="s">
        <v>147</v>
      </c>
      <c r="O63" s="252">
        <f>'Extra Ded. '!I24</f>
        <v>0</v>
      </c>
      <c r="P63" s="255"/>
      <c r="Q63" s="255"/>
    </row>
    <row r="64" spans="1:31" ht="15.75">
      <c r="A64" s="254">
        <v>18</v>
      </c>
      <c r="B64" s="654" t="s">
        <v>235</v>
      </c>
      <c r="C64" s="654"/>
      <c r="D64" s="654"/>
      <c r="E64" s="654"/>
      <c r="F64" s="654"/>
      <c r="G64" s="654"/>
      <c r="H64" s="654"/>
      <c r="I64" s="654"/>
      <c r="J64" s="654"/>
      <c r="K64" s="654"/>
      <c r="L64" s="654"/>
      <c r="M64" s="654"/>
      <c r="N64" s="269" t="s">
        <v>147</v>
      </c>
      <c r="O64" s="252">
        <f>O62-O63</f>
        <v>27988</v>
      </c>
      <c r="P64" s="253"/>
      <c r="Q64" s="253"/>
    </row>
    <row r="65" spans="1:26" ht="29.25" customHeight="1">
      <c r="A65" s="604">
        <v>19</v>
      </c>
      <c r="B65" s="690" t="s">
        <v>236</v>
      </c>
      <c r="C65" s="690"/>
      <c r="D65" s="690"/>
      <c r="E65" s="690" t="s">
        <v>396</v>
      </c>
      <c r="F65" s="690"/>
      <c r="G65" s="690"/>
      <c r="H65" s="690" t="s">
        <v>395</v>
      </c>
      <c r="I65" s="690"/>
      <c r="J65" s="282" t="s">
        <v>394</v>
      </c>
      <c r="K65" s="691" t="s">
        <v>393</v>
      </c>
      <c r="L65" s="691"/>
      <c r="M65" s="692" t="s">
        <v>392</v>
      </c>
      <c r="N65" s="692"/>
      <c r="O65" s="283" t="s">
        <v>237</v>
      </c>
      <c r="P65" s="284"/>
      <c r="Q65" s="284"/>
    </row>
    <row r="66" spans="1:26" ht="15.75">
      <c r="A66" s="604"/>
      <c r="B66" s="690"/>
      <c r="C66" s="690"/>
      <c r="D66" s="690"/>
      <c r="E66" s="693">
        <f>SUM('GA55 Check &amp; Edit'!BX12:BX18)</f>
        <v>9000</v>
      </c>
      <c r="F66" s="693"/>
      <c r="G66" s="693"/>
      <c r="H66" s="693">
        <f>SUM('GA55 Check &amp; Edit'!BX19:BX21)</f>
        <v>4500</v>
      </c>
      <c r="I66" s="693"/>
      <c r="J66" s="285">
        <f>'GA55 Check &amp; Edit'!BX22</f>
        <v>1500</v>
      </c>
      <c r="K66" s="693">
        <f>'GA55 Check &amp; Edit'!BX23</f>
        <v>0</v>
      </c>
      <c r="L66" s="693"/>
      <c r="M66" s="693">
        <f>SUM('GA55 Only Print'!X27-(E66+H66+J66+K66))+'Extra Ded. '!I9</f>
        <v>0</v>
      </c>
      <c r="N66" s="693"/>
      <c r="O66" s="286">
        <f>SUM(E66,H66,J66,K66,M66)</f>
        <v>15000</v>
      </c>
      <c r="P66" s="287"/>
      <c r="Q66" s="287"/>
    </row>
    <row r="67" spans="1:26" ht="19.5" thickBot="1">
      <c r="A67" s="655" t="str">
        <f>IF(O64&gt;O66,"Income Tax Payable",IF(O64&lt;O66,"Income Tax Refundable","Income Tax Payble/Refundable"))</f>
        <v>Income Tax Payable</v>
      </c>
      <c r="B67" s="656"/>
      <c r="C67" s="656"/>
      <c r="D67" s="656"/>
      <c r="E67" s="656"/>
      <c r="F67" s="656"/>
      <c r="G67" s="656"/>
      <c r="H67" s="656"/>
      <c r="I67" s="656"/>
      <c r="J67" s="656"/>
      <c r="K67" s="656"/>
      <c r="L67" s="656"/>
      <c r="M67" s="656"/>
      <c r="N67" s="288" t="s">
        <v>147</v>
      </c>
      <c r="O67" s="289">
        <f>IF(O64&gt;O66,O64-O66,O66-O64)</f>
        <v>12988</v>
      </c>
      <c r="P67" s="255"/>
      <c r="Q67" s="255"/>
    </row>
    <row r="68" spans="1:26" ht="16.5" thickTop="1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1"/>
      <c r="O68" s="255"/>
      <c r="P68" s="255"/>
      <c r="Q68" s="255"/>
    </row>
    <row r="69" spans="1:26" ht="16.5">
      <c r="A69" s="113"/>
      <c r="B69" s="114"/>
      <c r="C69" s="114"/>
      <c r="D69" s="115"/>
      <c r="E69" s="114"/>
      <c r="F69" s="114"/>
      <c r="G69" s="114"/>
      <c r="H69" s="114"/>
      <c r="I69" s="114"/>
      <c r="J69" s="114"/>
      <c r="K69" s="114"/>
      <c r="L69" s="650" t="s">
        <v>238</v>
      </c>
      <c r="M69" s="650"/>
      <c r="N69" s="650"/>
      <c r="O69" s="116"/>
      <c r="P69" s="116"/>
      <c r="Q69" s="116"/>
    </row>
    <row r="70" spans="1:26" ht="16.5">
      <c r="A70" s="113"/>
      <c r="B70" s="114"/>
      <c r="C70" s="114"/>
      <c r="D70" s="115"/>
      <c r="E70" s="114"/>
      <c r="F70" s="114"/>
      <c r="G70" s="114"/>
      <c r="H70" s="114"/>
      <c r="I70" s="114"/>
      <c r="J70" s="114"/>
      <c r="K70" s="114"/>
      <c r="L70" s="117"/>
      <c r="M70" s="118"/>
      <c r="N70" s="119"/>
      <c r="O70" s="116"/>
      <c r="P70" s="116"/>
      <c r="Q70" s="116"/>
    </row>
    <row r="71" spans="1:26" ht="15.75">
      <c r="A71" s="120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  <c r="P71" s="122"/>
      <c r="Q71" s="122"/>
      <c r="R71" s="112"/>
      <c r="S71" s="112"/>
      <c r="T71" s="112"/>
      <c r="U71" s="112"/>
      <c r="V71" s="112"/>
      <c r="W71" s="112"/>
      <c r="X71" s="112"/>
      <c r="Y71" s="112"/>
      <c r="Z71" s="112"/>
    </row>
    <row r="72" spans="1:26" ht="15.75">
      <c r="A72" s="123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2"/>
      <c r="P72" s="122"/>
      <c r="Q72" s="122"/>
      <c r="R72" s="112"/>
      <c r="S72" s="112"/>
      <c r="T72" s="112"/>
      <c r="U72" s="112"/>
      <c r="V72" s="112"/>
      <c r="W72" s="112"/>
      <c r="X72" s="112"/>
      <c r="Y72" s="112"/>
      <c r="Z72" s="112"/>
    </row>
    <row r="73" spans="1:26" ht="15.75">
      <c r="A73" s="120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2"/>
      <c r="P73" s="122"/>
      <c r="Q73" s="122"/>
      <c r="R73" s="112"/>
      <c r="S73" s="112"/>
      <c r="T73" s="112"/>
      <c r="U73" s="112"/>
      <c r="V73" s="112"/>
      <c r="W73" s="112"/>
      <c r="X73" s="112"/>
      <c r="Y73" s="112"/>
      <c r="Z73" s="112"/>
    </row>
    <row r="74" spans="1:26" ht="15.75">
      <c r="A74" s="120"/>
      <c r="B74" s="124"/>
      <c r="C74" s="124"/>
      <c r="D74" s="124"/>
      <c r="E74" s="124"/>
      <c r="F74" s="124"/>
      <c r="G74" s="124"/>
      <c r="H74" s="124"/>
      <c r="I74" s="125"/>
      <c r="J74" s="125"/>
      <c r="K74" s="125"/>
      <c r="L74" s="125"/>
      <c r="M74" s="125"/>
      <c r="N74" s="125"/>
      <c r="O74" s="122"/>
      <c r="P74" s="122"/>
      <c r="Q74" s="122"/>
      <c r="R74" s="112"/>
      <c r="S74" s="112"/>
      <c r="T74" s="112"/>
      <c r="U74" s="112"/>
      <c r="V74" s="112"/>
      <c r="W74" s="112"/>
      <c r="X74" s="112"/>
      <c r="Y74" s="112"/>
      <c r="Z74" s="112"/>
    </row>
    <row r="75" spans="1:26" ht="15.75">
      <c r="A75" s="120"/>
      <c r="B75" s="124"/>
      <c r="C75" s="124"/>
      <c r="D75" s="124"/>
      <c r="E75" s="124"/>
      <c r="F75" s="124"/>
      <c r="G75" s="124"/>
      <c r="H75" s="124"/>
      <c r="I75" s="125"/>
      <c r="J75" s="125"/>
      <c r="K75" s="125"/>
      <c r="L75" s="125"/>
      <c r="M75" s="125"/>
      <c r="N75" s="125"/>
      <c r="O75" s="122"/>
      <c r="P75" s="122"/>
      <c r="Q75" s="122"/>
      <c r="R75" s="112"/>
      <c r="S75" s="112"/>
      <c r="T75" s="112"/>
      <c r="U75" s="112"/>
      <c r="V75" s="112"/>
      <c r="W75" s="112"/>
      <c r="X75" s="112"/>
      <c r="Y75" s="112"/>
      <c r="Z75" s="112"/>
    </row>
    <row r="76" spans="1:26" ht="15.75">
      <c r="A76" s="120"/>
      <c r="B76" s="124"/>
      <c r="C76" s="124"/>
      <c r="D76" s="124"/>
      <c r="E76" s="124"/>
      <c r="F76" s="124"/>
      <c r="G76" s="124"/>
      <c r="H76" s="124"/>
      <c r="I76" s="125"/>
      <c r="J76" s="125"/>
      <c r="K76" s="125"/>
      <c r="L76" s="125"/>
      <c r="M76" s="125"/>
      <c r="N76" s="125"/>
      <c r="O76" s="122"/>
      <c r="P76" s="122"/>
      <c r="Q76" s="122"/>
      <c r="R76" s="112"/>
      <c r="S76" s="112"/>
      <c r="T76" s="112"/>
      <c r="U76" s="112"/>
      <c r="V76" s="112"/>
      <c r="W76" s="112"/>
      <c r="X76" s="112"/>
      <c r="Y76" s="112"/>
      <c r="Z76" s="112"/>
    </row>
    <row r="77" spans="1:26" ht="15.75">
      <c r="A77" s="120"/>
      <c r="B77" s="124"/>
      <c r="C77" s="124"/>
      <c r="D77" s="124"/>
      <c r="E77" s="124"/>
      <c r="F77" s="124"/>
      <c r="G77" s="124"/>
      <c r="H77" s="124"/>
      <c r="I77" s="125"/>
      <c r="J77" s="125"/>
      <c r="K77" s="125"/>
      <c r="L77" s="125"/>
      <c r="M77" s="125"/>
      <c r="N77" s="125"/>
      <c r="O77" s="122"/>
      <c r="P77" s="122"/>
      <c r="Q77" s="122"/>
      <c r="R77" s="112"/>
      <c r="S77" s="112"/>
      <c r="T77" s="112"/>
      <c r="U77" s="112"/>
      <c r="V77" s="112"/>
      <c r="W77" s="112"/>
      <c r="X77" s="112"/>
      <c r="Y77" s="112"/>
      <c r="Z77" s="112"/>
    </row>
    <row r="78" spans="1:26" ht="15.75">
      <c r="A78" s="120"/>
      <c r="B78" s="124"/>
      <c r="C78" s="124"/>
      <c r="D78" s="124"/>
      <c r="E78" s="124"/>
      <c r="F78" s="124"/>
      <c r="G78" s="124"/>
      <c r="H78" s="124"/>
      <c r="I78" s="125"/>
      <c r="J78" s="125"/>
      <c r="K78" s="125"/>
      <c r="L78" s="125"/>
      <c r="M78" s="125"/>
      <c r="N78" s="125"/>
      <c r="O78" s="122"/>
      <c r="P78" s="122"/>
      <c r="Q78" s="122"/>
      <c r="R78" s="112"/>
      <c r="S78" s="112"/>
      <c r="T78" s="112"/>
      <c r="U78" s="112"/>
      <c r="V78" s="112"/>
      <c r="W78" s="112"/>
      <c r="X78" s="112"/>
      <c r="Y78" s="112"/>
      <c r="Z78" s="112"/>
    </row>
    <row r="79" spans="1:26" ht="15.75">
      <c r="A79" s="123"/>
      <c r="B79" s="126"/>
      <c r="C79" s="127"/>
      <c r="D79" s="127"/>
      <c r="E79" s="127"/>
      <c r="F79" s="127"/>
      <c r="G79" s="127"/>
      <c r="H79" s="126"/>
      <c r="I79" s="125"/>
      <c r="J79" s="125"/>
      <c r="K79" s="125"/>
      <c r="L79" s="125"/>
      <c r="M79" s="125"/>
      <c r="N79" s="125"/>
      <c r="O79" s="122"/>
      <c r="P79" s="122"/>
      <c r="Q79" s="122"/>
      <c r="R79" s="112"/>
      <c r="S79" s="112"/>
      <c r="T79" s="112"/>
      <c r="U79" s="112"/>
      <c r="V79" s="112"/>
      <c r="W79" s="112"/>
      <c r="X79" s="112"/>
      <c r="Y79" s="112"/>
      <c r="Z79" s="112"/>
    </row>
    <row r="80" spans="1:26" s="132" customFormat="1" ht="15.75">
      <c r="A80" s="128"/>
      <c r="B80" s="129"/>
      <c r="C80" s="129"/>
      <c r="D80" s="129"/>
      <c r="E80" s="129"/>
      <c r="F80" s="129"/>
      <c r="G80" s="129"/>
      <c r="H80" s="129"/>
      <c r="I80" s="125"/>
      <c r="J80" s="125"/>
      <c r="K80" s="125"/>
      <c r="L80" s="125"/>
      <c r="M80" s="125"/>
      <c r="N80" s="125"/>
      <c r="O80" s="130"/>
      <c r="P80" s="130"/>
      <c r="Q80" s="130"/>
      <c r="R80" s="131"/>
      <c r="S80" s="131"/>
      <c r="T80" s="131"/>
      <c r="U80" s="131"/>
      <c r="V80" s="131"/>
      <c r="W80" s="131"/>
      <c r="X80" s="131"/>
      <c r="Y80" s="131"/>
      <c r="Z80" s="131"/>
    </row>
    <row r="81" spans="1:26" s="132" customFormat="1" ht="15.75">
      <c r="A81" s="128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33"/>
      <c r="N81" s="134"/>
      <c r="O81" s="130"/>
      <c r="P81" s="130"/>
      <c r="Q81" s="130"/>
      <c r="R81" s="131"/>
      <c r="S81" s="131"/>
      <c r="T81" s="131"/>
      <c r="U81" s="131"/>
      <c r="V81" s="131"/>
      <c r="W81" s="131"/>
      <c r="X81" s="131"/>
      <c r="Y81" s="131"/>
      <c r="Z81" s="131"/>
    </row>
    <row r="82" spans="1:26" s="132" customFormat="1" ht="15.75">
      <c r="A82" s="128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33"/>
      <c r="N82" s="134"/>
      <c r="O82" s="130"/>
      <c r="P82" s="130"/>
      <c r="Q82" s="130"/>
      <c r="R82" s="131"/>
      <c r="S82" s="131"/>
      <c r="T82" s="131"/>
      <c r="U82" s="131"/>
      <c r="V82" s="131"/>
      <c r="W82" s="131"/>
      <c r="X82" s="131"/>
      <c r="Y82" s="131"/>
      <c r="Z82" s="131"/>
    </row>
    <row r="83" spans="1:26" s="132" customFormat="1" ht="15.75">
      <c r="A83" s="128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33"/>
      <c r="N83" s="134"/>
      <c r="O83" s="130"/>
      <c r="P83" s="130"/>
      <c r="Q83" s="130"/>
      <c r="R83" s="131"/>
      <c r="S83" s="131"/>
      <c r="T83" s="131"/>
      <c r="U83" s="131"/>
      <c r="V83" s="131"/>
      <c r="W83" s="131"/>
      <c r="X83" s="131"/>
      <c r="Y83" s="131"/>
      <c r="Z83" s="131"/>
    </row>
    <row r="84" spans="1:26" s="132" customFormat="1" ht="15.75">
      <c r="A84" s="128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35"/>
      <c r="M84" s="133"/>
      <c r="N84" s="136"/>
      <c r="O84" s="130"/>
      <c r="P84" s="130"/>
      <c r="Q84" s="130"/>
      <c r="R84" s="131"/>
      <c r="S84" s="131"/>
      <c r="T84" s="131"/>
      <c r="U84" s="131"/>
      <c r="V84" s="131"/>
      <c r="W84" s="131"/>
      <c r="X84" s="131"/>
      <c r="Y84" s="131"/>
      <c r="Z84" s="131"/>
    </row>
    <row r="85" spans="1:26" ht="15.75">
      <c r="A85" s="137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9"/>
      <c r="N85" s="140"/>
      <c r="O85" s="116"/>
      <c r="P85" s="116"/>
      <c r="Q85" s="116"/>
      <c r="R85" s="112"/>
      <c r="S85" s="112"/>
      <c r="T85" s="112"/>
      <c r="U85" s="112"/>
      <c r="V85" s="112"/>
      <c r="W85" s="112"/>
      <c r="X85" s="112"/>
      <c r="Y85" s="112"/>
      <c r="Z85" s="112"/>
    </row>
    <row r="86" spans="1:26">
      <c r="A86" s="141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12"/>
      <c r="S86" s="112"/>
      <c r="T86" s="112"/>
      <c r="U86" s="112"/>
      <c r="V86" s="112"/>
      <c r="W86" s="112"/>
      <c r="X86" s="112"/>
      <c r="Y86" s="112"/>
      <c r="Z86" s="112"/>
    </row>
    <row r="87" spans="1:26">
      <c r="A87" s="141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12"/>
      <c r="S87" s="112"/>
      <c r="T87" s="112"/>
      <c r="U87" s="112"/>
      <c r="V87" s="112"/>
      <c r="W87" s="112"/>
      <c r="X87" s="112"/>
      <c r="Y87" s="112"/>
      <c r="Z87" s="112"/>
    </row>
    <row r="88" spans="1:26">
      <c r="A88" s="141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12"/>
      <c r="S88" s="112"/>
      <c r="T88" s="112"/>
      <c r="U88" s="112"/>
      <c r="V88" s="112"/>
      <c r="W88" s="112"/>
      <c r="X88" s="112"/>
      <c r="Y88" s="112"/>
      <c r="Z88" s="112"/>
    </row>
    <row r="89" spans="1:26"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</row>
  </sheetData>
  <sheetProtection password="C1FB" sheet="1" objects="1" scenarios="1" formatCells="0" formatColumns="0" formatRows="0"/>
  <mergeCells count="150">
    <mergeCell ref="B4:I4"/>
    <mergeCell ref="J4:M4"/>
    <mergeCell ref="A36:A45"/>
    <mergeCell ref="F54:H54"/>
    <mergeCell ref="J54:L54"/>
    <mergeCell ref="B58:M58"/>
    <mergeCell ref="H31:K31"/>
    <mergeCell ref="X49:Z49"/>
    <mergeCell ref="AB49:AD49"/>
    <mergeCell ref="B42:M42"/>
    <mergeCell ref="B43:M43"/>
    <mergeCell ref="B44:M44"/>
    <mergeCell ref="B48:M48"/>
    <mergeCell ref="B36:O36"/>
    <mergeCell ref="B33:M33"/>
    <mergeCell ref="B37:M37"/>
    <mergeCell ref="B38:M38"/>
    <mergeCell ref="B39:M39"/>
    <mergeCell ref="I29:K29"/>
    <mergeCell ref="E17:F17"/>
    <mergeCell ref="G16:H16"/>
    <mergeCell ref="G17:H17"/>
    <mergeCell ref="J17:M17"/>
    <mergeCell ref="B18:M18"/>
    <mergeCell ref="A65:A66"/>
    <mergeCell ref="B65:D66"/>
    <mergeCell ref="E65:G65"/>
    <mergeCell ref="H65:I65"/>
    <mergeCell ref="K65:L65"/>
    <mergeCell ref="M65:N65"/>
    <mergeCell ref="E66:G66"/>
    <mergeCell ref="H66:I66"/>
    <mergeCell ref="K66:L66"/>
    <mergeCell ref="M66:N66"/>
    <mergeCell ref="Q59:S60"/>
    <mergeCell ref="R55:V57"/>
    <mergeCell ref="F57:H57"/>
    <mergeCell ref="J57:L57"/>
    <mergeCell ref="B59:M59"/>
    <mergeCell ref="B60:M60"/>
    <mergeCell ref="B54:D54"/>
    <mergeCell ref="R19:S19"/>
    <mergeCell ref="S32:S34"/>
    <mergeCell ref="R41:V43"/>
    <mergeCell ref="R44:S45"/>
    <mergeCell ref="B46:M46"/>
    <mergeCell ref="B47:M47"/>
    <mergeCell ref="B53:D53"/>
    <mergeCell ref="F53:H53"/>
    <mergeCell ref="J53:L53"/>
    <mergeCell ref="B40:M40"/>
    <mergeCell ref="B41:M41"/>
    <mergeCell ref="C24:E24"/>
    <mergeCell ref="C25:E25"/>
    <mergeCell ref="I25:K25"/>
    <mergeCell ref="C26:E26"/>
    <mergeCell ref="I26:K26"/>
    <mergeCell ref="B45:M45"/>
    <mergeCell ref="L69:N69"/>
    <mergeCell ref="C61:M61"/>
    <mergeCell ref="B62:M62"/>
    <mergeCell ref="B63:M63"/>
    <mergeCell ref="B64:M64"/>
    <mergeCell ref="A67:M67"/>
    <mergeCell ref="A49:A62"/>
    <mergeCell ref="B49:O49"/>
    <mergeCell ref="B50:E50"/>
    <mergeCell ref="F50:I50"/>
    <mergeCell ref="J50:M50"/>
    <mergeCell ref="B51:D51"/>
    <mergeCell ref="B55:D55"/>
    <mergeCell ref="F55:H55"/>
    <mergeCell ref="J55:L55"/>
    <mergeCell ref="B56:D56"/>
    <mergeCell ref="F56:H56"/>
    <mergeCell ref="J56:L56"/>
    <mergeCell ref="B57:D57"/>
    <mergeCell ref="B52:D52"/>
    <mergeCell ref="F52:H52"/>
    <mergeCell ref="J52:L52"/>
    <mergeCell ref="J51:L51"/>
    <mergeCell ref="F51:H51"/>
    <mergeCell ref="B32:M32"/>
    <mergeCell ref="C27:E27"/>
    <mergeCell ref="I27:K27"/>
    <mergeCell ref="C28:E28"/>
    <mergeCell ref="I28:K28"/>
    <mergeCell ref="C29:E29"/>
    <mergeCell ref="I23:K23"/>
    <mergeCell ref="B34:M34"/>
    <mergeCell ref="B35:M35"/>
    <mergeCell ref="C31:D31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B8:J8"/>
    <mergeCell ref="K8:M8"/>
    <mergeCell ref="N8:O9"/>
    <mergeCell ref="B9:J9"/>
    <mergeCell ref="K9:M9"/>
    <mergeCell ref="B5:M5"/>
    <mergeCell ref="A4:A5"/>
    <mergeCell ref="I24:K24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D14:E14"/>
    <mergeCell ref="F14:H14"/>
    <mergeCell ref="I14:J14"/>
    <mergeCell ref="K14:M14"/>
    <mergeCell ref="E16:F16"/>
    <mergeCell ref="A19:A35"/>
    <mergeCell ref="Q22:U24"/>
    <mergeCell ref="AH23:AK24"/>
    <mergeCell ref="Q26:S31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B10:J10"/>
    <mergeCell ref="K10:M10"/>
    <mergeCell ref="B11:M11"/>
    <mergeCell ref="A12:A14"/>
    <mergeCell ref="B12:H12"/>
    <mergeCell ref="I12:J12"/>
    <mergeCell ref="K12:M12"/>
    <mergeCell ref="R4:V8"/>
    <mergeCell ref="B6:M6"/>
    <mergeCell ref="B7:M7"/>
    <mergeCell ref="A8:A10"/>
  </mergeCells>
  <conditionalFormatting sqref="J70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N71:R74"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B66:D66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</conditionalFormatting>
  <hyperlinks>
    <hyperlink ref="Q22" r:id="rId1"/>
  </hyperlinks>
  <printOptions horizontalCentered="1" verticalCentered="1"/>
  <pageMargins left="0.55000000000000004" right="0.4" top="0.25" bottom="0.25" header="0.3" footer="0.3"/>
  <pageSetup paperSize="9" scale="72" orientation="portrait" blackAndWhite="1" horizontalDpi="720" r:id="rId2"/>
  <headerFooter>
    <oddFooter>&amp;Lheeralaljatchandawal@gmail.com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43"/>
  <sheetViews>
    <sheetView showGridLines="0" showRowColHeaders="0" workbookViewId="0">
      <selection activeCell="M30" sqref="M30:O30"/>
    </sheetView>
  </sheetViews>
  <sheetFormatPr defaultColWidth="0" defaultRowHeight="15" customHeight="1" zeroHeight="1"/>
  <cols>
    <col min="1" max="1" width="7.375" style="35" customWidth="1"/>
    <col min="2" max="12" width="8.75" style="35" customWidth="1"/>
    <col min="13" max="14" width="6.75" style="35" customWidth="1"/>
    <col min="15" max="27" width="8.875" style="35" customWidth="1"/>
    <col min="28" max="16384" width="8.875" style="35" hidden="1"/>
  </cols>
  <sheetData>
    <row r="1" spans="1:17" ht="25.5" customHeight="1">
      <c r="A1" s="143"/>
      <c r="B1" s="741" t="s">
        <v>240</v>
      </c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143"/>
      <c r="Q1" s="143"/>
    </row>
    <row r="2" spans="1:17" ht="24.75" customHeight="1" thickBot="1">
      <c r="A2" s="143"/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143"/>
      <c r="Q2" s="143"/>
    </row>
    <row r="3" spans="1:17" ht="19.5" thickTop="1">
      <c r="A3" s="143"/>
      <c r="B3" s="743" t="s">
        <v>241</v>
      </c>
      <c r="C3" s="744"/>
      <c r="D3" s="745" t="str">
        <f>UPPER(IF('Master Data'!D6="","",'Master Data'!D6))</f>
        <v>HEERALAL JAT</v>
      </c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6"/>
      <c r="P3" s="143"/>
      <c r="Q3" s="143"/>
    </row>
    <row r="4" spans="1:17" ht="18.75">
      <c r="A4" s="143"/>
      <c r="B4" s="747" t="s">
        <v>242</v>
      </c>
      <c r="C4" s="748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50"/>
      <c r="P4" s="143"/>
      <c r="Q4" s="143"/>
    </row>
    <row r="5" spans="1:17" ht="19.5" thickBot="1">
      <c r="A5" s="143"/>
      <c r="B5" s="728" t="s">
        <v>146</v>
      </c>
      <c r="C5" s="729"/>
      <c r="D5" s="730" t="str">
        <f>IF(AND('Master Data'!D12=""),"",UPPER('Master Data'!D12))</f>
        <v>ABCDE1234H</v>
      </c>
      <c r="E5" s="730"/>
      <c r="F5" s="730"/>
      <c r="G5" s="730"/>
      <c r="H5" s="730"/>
      <c r="I5" s="731" t="s">
        <v>243</v>
      </c>
      <c r="J5" s="731"/>
      <c r="K5" s="732" t="s">
        <v>244</v>
      </c>
      <c r="L5" s="732"/>
      <c r="M5" s="732"/>
      <c r="N5" s="732"/>
      <c r="O5" s="733"/>
      <c r="P5" s="143"/>
      <c r="Q5" s="143"/>
    </row>
    <row r="6" spans="1:17" ht="20.25" thickTop="1" thickBot="1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3"/>
      <c r="Q6" s="143"/>
    </row>
    <row r="7" spans="1:17" ht="19.5" thickTop="1">
      <c r="A7" s="143"/>
      <c r="B7" s="734" t="s">
        <v>297</v>
      </c>
      <c r="C7" s="735"/>
      <c r="D7" s="735"/>
      <c r="E7" s="735"/>
      <c r="F7" s="735"/>
      <c r="G7" s="735"/>
      <c r="H7" s="735"/>
      <c r="I7" s="735"/>
      <c r="J7" s="735"/>
      <c r="K7" s="735"/>
      <c r="L7" s="736"/>
      <c r="M7" s="737" t="s">
        <v>245</v>
      </c>
      <c r="N7" s="737"/>
      <c r="O7" s="738"/>
      <c r="P7" s="143"/>
      <c r="Q7" s="143"/>
    </row>
    <row r="8" spans="1:17" ht="18.75">
      <c r="A8" s="143"/>
      <c r="B8" s="739" t="s">
        <v>298</v>
      </c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14">
        <v>210000</v>
      </c>
      <c r="N8" s="715"/>
      <c r="O8" s="716"/>
      <c r="P8" s="143"/>
      <c r="Q8" s="143"/>
    </row>
    <row r="9" spans="1:17" ht="18.75">
      <c r="A9" s="143"/>
      <c r="B9" s="739" t="s">
        <v>299</v>
      </c>
      <c r="C9" s="740"/>
      <c r="D9" s="740"/>
      <c r="E9" s="740"/>
      <c r="F9" s="740"/>
      <c r="G9" s="740"/>
      <c r="H9" s="740"/>
      <c r="I9" s="740"/>
      <c r="J9" s="740"/>
      <c r="K9" s="740"/>
      <c r="L9" s="740"/>
      <c r="M9" s="720">
        <v>25000</v>
      </c>
      <c r="N9" s="721"/>
      <c r="O9" s="722"/>
      <c r="P9" s="143"/>
      <c r="Q9" s="143"/>
    </row>
    <row r="10" spans="1:17" ht="18.75">
      <c r="A10" s="143"/>
      <c r="B10" s="723" t="s">
        <v>300</v>
      </c>
      <c r="C10" s="724"/>
      <c r="D10" s="724"/>
      <c r="E10" s="724"/>
      <c r="F10" s="724"/>
      <c r="G10" s="724"/>
      <c r="H10" s="724"/>
      <c r="I10" s="724"/>
      <c r="J10" s="724"/>
      <c r="K10" s="724"/>
      <c r="L10" s="725"/>
      <c r="M10" s="726" t="s">
        <v>245</v>
      </c>
      <c r="N10" s="726"/>
      <c r="O10" s="727"/>
      <c r="P10" s="143"/>
      <c r="Q10" s="143"/>
    </row>
    <row r="11" spans="1:17" ht="18.75">
      <c r="A11" s="143"/>
      <c r="B11" s="711" t="s">
        <v>301</v>
      </c>
      <c r="C11" s="712"/>
      <c r="D11" s="712"/>
      <c r="E11" s="712"/>
      <c r="F11" s="712"/>
      <c r="G11" s="712"/>
      <c r="H11" s="712"/>
      <c r="I11" s="712"/>
      <c r="J11" s="712"/>
      <c r="K11" s="712"/>
      <c r="L11" s="713"/>
      <c r="M11" s="714">
        <v>231000</v>
      </c>
      <c r="N11" s="715"/>
      <c r="O11" s="716"/>
      <c r="P11" s="143"/>
      <c r="Q11" s="143"/>
    </row>
    <row r="12" spans="1:17" ht="18.75">
      <c r="A12" s="143"/>
      <c r="B12" s="717" t="s">
        <v>302</v>
      </c>
      <c r="C12" s="718"/>
      <c r="D12" s="718"/>
      <c r="E12" s="718"/>
      <c r="F12" s="718"/>
      <c r="G12" s="718"/>
      <c r="H12" s="718"/>
      <c r="I12" s="718"/>
      <c r="J12" s="718"/>
      <c r="K12" s="718"/>
      <c r="L12" s="719"/>
      <c r="M12" s="720">
        <v>35000</v>
      </c>
      <c r="N12" s="721"/>
      <c r="O12" s="722"/>
      <c r="P12" s="143"/>
      <c r="Q12" s="143"/>
    </row>
    <row r="13" spans="1:17" ht="18.75">
      <c r="A13" s="143"/>
      <c r="B13" s="723" t="s">
        <v>352</v>
      </c>
      <c r="C13" s="724"/>
      <c r="D13" s="724"/>
      <c r="E13" s="724"/>
      <c r="F13" s="724"/>
      <c r="G13" s="724"/>
      <c r="H13" s="724"/>
      <c r="I13" s="724"/>
      <c r="J13" s="724"/>
      <c r="K13" s="724"/>
      <c r="L13" s="725"/>
      <c r="M13" s="726" t="s">
        <v>245</v>
      </c>
      <c r="N13" s="726"/>
      <c r="O13" s="727"/>
      <c r="P13" s="143"/>
      <c r="Q13" s="143"/>
    </row>
    <row r="14" spans="1:17" ht="18.75">
      <c r="A14" s="143"/>
      <c r="B14" s="711" t="s">
        <v>353</v>
      </c>
      <c r="C14" s="712"/>
      <c r="D14" s="712"/>
      <c r="E14" s="712"/>
      <c r="F14" s="712"/>
      <c r="G14" s="712"/>
      <c r="H14" s="712"/>
      <c r="I14" s="712"/>
      <c r="J14" s="712"/>
      <c r="K14" s="712"/>
      <c r="L14" s="713"/>
      <c r="M14" s="714">
        <v>195000</v>
      </c>
      <c r="N14" s="715"/>
      <c r="O14" s="716"/>
      <c r="P14" s="143"/>
      <c r="Q14" s="143"/>
    </row>
    <row r="15" spans="1:17" ht="18.75">
      <c r="A15" s="143"/>
      <c r="B15" s="717" t="s">
        <v>354</v>
      </c>
      <c r="C15" s="718"/>
      <c r="D15" s="718"/>
      <c r="E15" s="718"/>
      <c r="F15" s="718"/>
      <c r="G15" s="718"/>
      <c r="H15" s="718"/>
      <c r="I15" s="718"/>
      <c r="J15" s="718"/>
      <c r="K15" s="718"/>
      <c r="L15" s="719"/>
      <c r="M15" s="720">
        <v>45000</v>
      </c>
      <c r="N15" s="721"/>
      <c r="O15" s="722"/>
      <c r="P15" s="143"/>
      <c r="Q15" s="143"/>
    </row>
    <row r="16" spans="1:17" ht="18.75">
      <c r="A16" s="143"/>
      <c r="B16" s="723" t="s">
        <v>246</v>
      </c>
      <c r="C16" s="724"/>
      <c r="D16" s="724"/>
      <c r="E16" s="724"/>
      <c r="F16" s="724"/>
      <c r="G16" s="724"/>
      <c r="H16" s="724"/>
      <c r="I16" s="724"/>
      <c r="J16" s="724"/>
      <c r="K16" s="724"/>
      <c r="L16" s="725"/>
      <c r="M16" s="726" t="s">
        <v>245</v>
      </c>
      <c r="N16" s="726"/>
      <c r="O16" s="727"/>
      <c r="P16" s="143"/>
      <c r="Q16" s="143"/>
    </row>
    <row r="17" spans="1:26" ht="18.75">
      <c r="A17" s="143"/>
      <c r="B17" s="711" t="s">
        <v>247</v>
      </c>
      <c r="C17" s="712"/>
      <c r="D17" s="712"/>
      <c r="E17" s="712"/>
      <c r="F17" s="712"/>
      <c r="G17" s="712"/>
      <c r="H17" s="712"/>
      <c r="I17" s="712"/>
      <c r="J17" s="712"/>
      <c r="K17" s="712"/>
      <c r="L17" s="713"/>
      <c r="M17" s="714">
        <v>295000</v>
      </c>
      <c r="N17" s="715"/>
      <c r="O17" s="716"/>
      <c r="P17" s="143"/>
      <c r="Q17" s="143"/>
    </row>
    <row r="18" spans="1:26" ht="18.75">
      <c r="A18" s="143"/>
      <c r="B18" s="717" t="s">
        <v>248</v>
      </c>
      <c r="C18" s="718"/>
      <c r="D18" s="718"/>
      <c r="E18" s="718"/>
      <c r="F18" s="718"/>
      <c r="G18" s="718"/>
      <c r="H18" s="718"/>
      <c r="I18" s="718"/>
      <c r="J18" s="718"/>
      <c r="K18" s="718"/>
      <c r="L18" s="719"/>
      <c r="M18" s="720">
        <v>55000</v>
      </c>
      <c r="N18" s="721"/>
      <c r="O18" s="722"/>
      <c r="P18" s="143"/>
      <c r="Q18" s="143"/>
    </row>
    <row r="19" spans="1:26" ht="19.5" thickBot="1">
      <c r="A19" s="143"/>
      <c r="B19" s="723" t="s">
        <v>249</v>
      </c>
      <c r="C19" s="724"/>
      <c r="D19" s="724"/>
      <c r="E19" s="724"/>
      <c r="F19" s="724"/>
      <c r="G19" s="724"/>
      <c r="H19" s="724"/>
      <c r="I19" s="724"/>
      <c r="J19" s="724"/>
      <c r="K19" s="724"/>
      <c r="L19" s="751"/>
      <c r="M19" s="726" t="s">
        <v>245</v>
      </c>
      <c r="N19" s="726"/>
      <c r="O19" s="727"/>
      <c r="P19" s="143"/>
      <c r="Q19" s="143"/>
    </row>
    <row r="20" spans="1:26" ht="21" thickBot="1">
      <c r="A20" s="143"/>
      <c r="B20" s="711" t="s">
        <v>250</v>
      </c>
      <c r="C20" s="712"/>
      <c r="D20" s="712"/>
      <c r="E20" s="712"/>
      <c r="F20" s="712"/>
      <c r="G20" s="712"/>
      <c r="H20" s="712"/>
      <c r="I20" s="712"/>
      <c r="J20" s="712"/>
      <c r="K20" s="712"/>
      <c r="L20" s="713"/>
      <c r="M20" s="714">
        <v>225000</v>
      </c>
      <c r="N20" s="715"/>
      <c r="O20" s="716"/>
      <c r="P20" s="143"/>
      <c r="Q20" s="143"/>
      <c r="T20" s="752" t="s">
        <v>251</v>
      </c>
      <c r="U20" s="753"/>
      <c r="V20" s="753"/>
      <c r="W20" s="753"/>
      <c r="X20" s="753"/>
      <c r="Y20" s="753"/>
      <c r="Z20" s="754"/>
    </row>
    <row r="21" spans="1:26" ht="18.75">
      <c r="A21" s="143"/>
      <c r="B21" s="717" t="s">
        <v>252</v>
      </c>
      <c r="C21" s="718"/>
      <c r="D21" s="718"/>
      <c r="E21" s="718"/>
      <c r="F21" s="718"/>
      <c r="G21" s="718"/>
      <c r="H21" s="718"/>
      <c r="I21" s="718"/>
      <c r="J21" s="718"/>
      <c r="K21" s="718"/>
      <c r="L21" s="719"/>
      <c r="M21" s="720">
        <v>65000</v>
      </c>
      <c r="N21" s="721"/>
      <c r="O21" s="722"/>
      <c r="P21" s="143"/>
      <c r="Q21" s="143"/>
    </row>
    <row r="22" spans="1:26" ht="18.75">
      <c r="A22" s="143"/>
      <c r="B22" s="723" t="s">
        <v>253</v>
      </c>
      <c r="C22" s="724"/>
      <c r="D22" s="724"/>
      <c r="E22" s="724"/>
      <c r="F22" s="724"/>
      <c r="G22" s="724"/>
      <c r="H22" s="724"/>
      <c r="I22" s="724"/>
      <c r="J22" s="724"/>
      <c r="K22" s="724"/>
      <c r="L22" s="751"/>
      <c r="M22" s="726" t="s">
        <v>245</v>
      </c>
      <c r="N22" s="726"/>
      <c r="O22" s="727"/>
      <c r="P22" s="143"/>
      <c r="Q22" s="143"/>
    </row>
    <row r="23" spans="1:26" ht="18.75">
      <c r="A23" s="143"/>
      <c r="B23" s="711" t="s">
        <v>254</v>
      </c>
      <c r="C23" s="712"/>
      <c r="D23" s="712"/>
      <c r="E23" s="712"/>
      <c r="F23" s="712"/>
      <c r="G23" s="712"/>
      <c r="H23" s="712"/>
      <c r="I23" s="712"/>
      <c r="J23" s="712"/>
      <c r="K23" s="712"/>
      <c r="L23" s="713"/>
      <c r="M23" s="714">
        <v>299000</v>
      </c>
      <c r="N23" s="715"/>
      <c r="O23" s="716"/>
      <c r="P23" s="143"/>
      <c r="Q23" s="143"/>
    </row>
    <row r="24" spans="1:26" ht="18.75">
      <c r="A24" s="143"/>
      <c r="B24" s="717" t="s">
        <v>255</v>
      </c>
      <c r="C24" s="718"/>
      <c r="D24" s="718"/>
      <c r="E24" s="718"/>
      <c r="F24" s="718"/>
      <c r="G24" s="718"/>
      <c r="H24" s="718"/>
      <c r="I24" s="718"/>
      <c r="J24" s="718"/>
      <c r="K24" s="718"/>
      <c r="L24" s="719"/>
      <c r="M24" s="720">
        <v>25000</v>
      </c>
      <c r="N24" s="721"/>
      <c r="O24" s="722"/>
      <c r="P24" s="143"/>
      <c r="Q24" s="143"/>
    </row>
    <row r="25" spans="1:26" ht="18.75">
      <c r="A25" s="143"/>
      <c r="B25" s="723" t="s">
        <v>256</v>
      </c>
      <c r="C25" s="724"/>
      <c r="D25" s="724"/>
      <c r="E25" s="724"/>
      <c r="F25" s="724"/>
      <c r="G25" s="724"/>
      <c r="H25" s="724"/>
      <c r="I25" s="724"/>
      <c r="J25" s="724"/>
      <c r="K25" s="724"/>
      <c r="L25" s="751"/>
      <c r="M25" s="726" t="s">
        <v>245</v>
      </c>
      <c r="N25" s="726"/>
      <c r="O25" s="727"/>
      <c r="P25" s="143"/>
      <c r="Q25" s="143"/>
    </row>
    <row r="26" spans="1:26" ht="18.75">
      <c r="A26" s="143"/>
      <c r="B26" s="711" t="s">
        <v>257</v>
      </c>
      <c r="C26" s="712"/>
      <c r="D26" s="712"/>
      <c r="E26" s="712"/>
      <c r="F26" s="712"/>
      <c r="G26" s="712"/>
      <c r="H26" s="712"/>
      <c r="I26" s="712"/>
      <c r="J26" s="712"/>
      <c r="K26" s="712"/>
      <c r="L26" s="713"/>
      <c r="M26" s="714">
        <v>350000</v>
      </c>
      <c r="N26" s="715"/>
      <c r="O26" s="716"/>
      <c r="P26" s="143"/>
      <c r="Q26" s="143"/>
    </row>
    <row r="27" spans="1:26" ht="18.75">
      <c r="A27" s="143"/>
      <c r="B27" s="717" t="s">
        <v>258</v>
      </c>
      <c r="C27" s="718"/>
      <c r="D27" s="718"/>
      <c r="E27" s="718"/>
      <c r="F27" s="718"/>
      <c r="G27" s="718"/>
      <c r="H27" s="718"/>
      <c r="I27" s="718"/>
      <c r="J27" s="718"/>
      <c r="K27" s="718"/>
      <c r="L27" s="719"/>
      <c r="M27" s="720">
        <v>15000</v>
      </c>
      <c r="N27" s="721"/>
      <c r="O27" s="722"/>
      <c r="P27" s="143"/>
      <c r="Q27" s="143"/>
    </row>
    <row r="28" spans="1:26" ht="18.75">
      <c r="A28" s="143"/>
      <c r="B28" s="723" t="s">
        <v>259</v>
      </c>
      <c r="C28" s="724"/>
      <c r="D28" s="724"/>
      <c r="E28" s="724"/>
      <c r="F28" s="724"/>
      <c r="G28" s="724"/>
      <c r="H28" s="724"/>
      <c r="I28" s="724"/>
      <c r="J28" s="724"/>
      <c r="K28" s="724"/>
      <c r="L28" s="751"/>
      <c r="M28" s="726" t="s">
        <v>245</v>
      </c>
      <c r="N28" s="726"/>
      <c r="O28" s="727"/>
      <c r="P28" s="143"/>
      <c r="Q28" s="143"/>
    </row>
    <row r="29" spans="1:26" ht="18.75">
      <c r="A29" s="143"/>
      <c r="B29" s="711" t="s">
        <v>355</v>
      </c>
      <c r="C29" s="712"/>
      <c r="D29" s="712"/>
      <c r="E29" s="712"/>
      <c r="F29" s="712"/>
      <c r="G29" s="712"/>
      <c r="H29" s="712"/>
      <c r="I29" s="712"/>
      <c r="J29" s="712"/>
      <c r="K29" s="712"/>
      <c r="L29" s="713"/>
      <c r="M29" s="714">
        <v>450000</v>
      </c>
      <c r="N29" s="715"/>
      <c r="O29" s="716"/>
      <c r="P29" s="143"/>
      <c r="Q29" s="143"/>
    </row>
    <row r="30" spans="1:26" ht="18.75">
      <c r="A30" s="143"/>
      <c r="B30" s="717" t="s">
        <v>356</v>
      </c>
      <c r="C30" s="718"/>
      <c r="D30" s="718"/>
      <c r="E30" s="718"/>
      <c r="F30" s="718"/>
      <c r="G30" s="718"/>
      <c r="H30" s="718"/>
      <c r="I30" s="718"/>
      <c r="J30" s="718"/>
      <c r="K30" s="718"/>
      <c r="L30" s="719"/>
      <c r="M30" s="720">
        <v>10000</v>
      </c>
      <c r="N30" s="721"/>
      <c r="O30" s="722"/>
      <c r="P30" s="143"/>
      <c r="Q30" s="143"/>
    </row>
    <row r="31" spans="1:26" ht="18.75">
      <c r="A31" s="143"/>
      <c r="B31" s="723" t="s">
        <v>357</v>
      </c>
      <c r="C31" s="724"/>
      <c r="D31" s="724"/>
      <c r="E31" s="724"/>
      <c r="F31" s="724"/>
      <c r="G31" s="724"/>
      <c r="H31" s="724"/>
      <c r="I31" s="724"/>
      <c r="J31" s="724"/>
      <c r="K31" s="724"/>
      <c r="L31" s="751"/>
      <c r="M31" s="726" t="s">
        <v>245</v>
      </c>
      <c r="N31" s="726"/>
      <c r="O31" s="727"/>
      <c r="P31" s="143"/>
      <c r="Q31" s="143"/>
    </row>
    <row r="32" spans="1:26" ht="33" customHeight="1" thickBot="1">
      <c r="A32" s="143"/>
      <c r="B32" s="755" t="s">
        <v>358</v>
      </c>
      <c r="C32" s="756"/>
      <c r="D32" s="756"/>
      <c r="E32" s="756"/>
      <c r="F32" s="756"/>
      <c r="G32" s="756"/>
      <c r="H32" s="756"/>
      <c r="I32" s="756"/>
      <c r="J32" s="756"/>
      <c r="K32" s="756"/>
      <c r="L32" s="757"/>
      <c r="M32" s="758">
        <f>COMPUTATION!O48</f>
        <v>572060</v>
      </c>
      <c r="N32" s="759"/>
      <c r="O32" s="760"/>
      <c r="P32" s="143"/>
      <c r="Q32" s="143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17" ht="15.75" thickTop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1:17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</row>
    <row r="35" spans="1:17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1:17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</row>
    <row r="37" spans="1:17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</row>
    <row r="38" spans="1:17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</row>
    <row r="39" spans="1:17" hidden="1"/>
    <row r="40" spans="1:17" hidden="1"/>
    <row r="41" spans="1:17" hidden="1"/>
    <row r="42" spans="1:17" ht="15" hidden="1" customHeight="1"/>
    <row r="43" spans="1:17" ht="15" hidden="1" customHeight="1"/>
  </sheetData>
  <sheetProtection password="C1FB" sheet="1" objects="1" scenarios="1" selectLockedCells="1"/>
  <mergeCells count="62">
    <mergeCell ref="B31:L31"/>
    <mergeCell ref="M31:O31"/>
    <mergeCell ref="B32:L32"/>
    <mergeCell ref="M32:O32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T20:Z20"/>
    <mergeCell ref="B22:L22"/>
    <mergeCell ref="M22:O22"/>
    <mergeCell ref="B23:L23"/>
    <mergeCell ref="M23:O23"/>
    <mergeCell ref="B21:L21"/>
    <mergeCell ref="M21:O21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B1:O2"/>
    <mergeCell ref="B3:C3"/>
    <mergeCell ref="D3:O3"/>
    <mergeCell ref="B4:C4"/>
    <mergeCell ref="D4:O4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R42"/>
  <sheetViews>
    <sheetView showGridLines="0" showRowColHeaders="0" workbookViewId="0">
      <selection activeCell="R18" sqref="R18"/>
    </sheetView>
  </sheetViews>
  <sheetFormatPr defaultColWidth="0" defaultRowHeight="15" customHeight="1" zeroHeight="1"/>
  <cols>
    <col min="1" max="1" width="5.125" style="35" customWidth="1"/>
    <col min="2" max="2" width="6" style="35" customWidth="1"/>
    <col min="3" max="3" width="5.875" style="35" customWidth="1"/>
    <col min="4" max="7" width="6.75" style="35" customWidth="1"/>
    <col min="8" max="8" width="7.375" style="35" customWidth="1"/>
    <col min="9" max="9" width="8.25" style="35" customWidth="1"/>
    <col min="10" max="11" width="7.375" style="35" customWidth="1"/>
    <col min="12" max="12" width="7" style="35" customWidth="1"/>
    <col min="13" max="13" width="7.625" style="35" customWidth="1"/>
    <col min="14" max="14" width="6.25" style="35" customWidth="1"/>
    <col min="15" max="15" width="6.125" style="35" customWidth="1"/>
    <col min="16" max="19" width="8.875" style="35" customWidth="1"/>
    <col min="20" max="25" width="8.875" style="35" hidden="1" customWidth="1"/>
    <col min="26" max="26" width="9.125" style="35" hidden="1" customWidth="1"/>
    <col min="27" max="33" width="8.875" style="35" hidden="1" customWidth="1"/>
    <col min="34" max="44" width="0" style="35" hidden="1" customWidth="1"/>
    <col min="45" max="16384" width="8.875" style="35" hidden="1"/>
  </cols>
  <sheetData>
    <row r="1" spans="2:15" ht="19.5" customHeight="1">
      <c r="B1" s="761" t="s">
        <v>260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</row>
    <row r="2" spans="2:15" ht="30.75" customHeight="1">
      <c r="B2" s="762" t="s">
        <v>409</v>
      </c>
      <c r="C2" s="762"/>
      <c r="D2" s="762"/>
      <c r="E2" s="762"/>
      <c r="F2" s="762"/>
      <c r="G2" s="762"/>
      <c r="H2" s="762"/>
      <c r="I2" s="762"/>
      <c r="J2" s="762"/>
      <c r="K2" s="762"/>
      <c r="L2" s="762"/>
      <c r="M2" s="762"/>
      <c r="N2" s="762"/>
      <c r="O2" s="762"/>
    </row>
    <row r="3" spans="2:15" ht="15.75">
      <c r="B3" s="763" t="s">
        <v>241</v>
      </c>
      <c r="C3" s="763"/>
      <c r="D3" s="764" t="str">
        <f>UPPER(IF('Master Data'!D6="","",'Master Data'!D6))</f>
        <v>HEERALAL JAT</v>
      </c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</row>
    <row r="4" spans="2:15" ht="15.75">
      <c r="B4" s="763" t="s">
        <v>242</v>
      </c>
      <c r="C4" s="763"/>
      <c r="D4" s="764" t="str">
        <f>UPPER(IF('89 (1) Form'!D4="","",'89 (1) Form'!D4))</f>
        <v/>
      </c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</row>
    <row r="5" spans="2:15" ht="15.75">
      <c r="B5" s="763" t="s">
        <v>146</v>
      </c>
      <c r="C5" s="763"/>
      <c r="D5" s="764" t="str">
        <f>IF(AND('Master Data'!D12=""),"",UPPER('Master Data'!D12))</f>
        <v>ABCDE1234H</v>
      </c>
      <c r="E5" s="764"/>
      <c r="F5" s="764"/>
      <c r="G5" s="764"/>
      <c r="H5" s="764"/>
      <c r="I5" s="769" t="s">
        <v>243</v>
      </c>
      <c r="J5" s="769"/>
      <c r="K5" s="764" t="str">
        <f>IF(AND('89 (1) Form'!K5=""),"",UPPER('89 (1) Form'!K5))</f>
        <v xml:space="preserve">INDIAN RESIDENT </v>
      </c>
      <c r="L5" s="764"/>
      <c r="M5" s="764"/>
      <c r="N5" s="764"/>
      <c r="O5" s="764"/>
    </row>
    <row r="6" spans="2:15">
      <c r="B6" s="770" t="s">
        <v>410</v>
      </c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</row>
    <row r="7" spans="2:15" ht="15.75">
      <c r="B7" s="765" t="s">
        <v>408</v>
      </c>
      <c r="C7" s="765"/>
      <c r="D7" s="765"/>
      <c r="E7" s="765"/>
      <c r="F7" s="765"/>
      <c r="G7" s="765"/>
      <c r="H7" s="765"/>
      <c r="I7" s="765"/>
      <c r="J7" s="765"/>
      <c r="K7" s="765"/>
      <c r="L7" s="765"/>
      <c r="M7" s="771">
        <f>'89 (1) Form'!M9+'89 (1) Form'!M12+'89 (1) Form'!M15+'89 (1) Form'!M18+'89 (1) Form'!M21+'89 (1) Form'!M24+'89 (1) Form'!M27+'89 (1) Form'!M30</f>
        <v>275000</v>
      </c>
      <c r="N7" s="772"/>
      <c r="O7" s="773"/>
    </row>
    <row r="8" spans="2:15">
      <c r="B8" s="765" t="s">
        <v>261</v>
      </c>
      <c r="C8" s="765"/>
      <c r="D8" s="765"/>
      <c r="E8" s="765"/>
      <c r="F8" s="765"/>
      <c r="G8" s="765"/>
      <c r="H8" s="765"/>
      <c r="I8" s="765"/>
      <c r="J8" s="765"/>
      <c r="K8" s="765"/>
      <c r="L8" s="765"/>
      <c r="M8" s="766" t="s">
        <v>262</v>
      </c>
      <c r="N8" s="767"/>
      <c r="O8" s="768"/>
    </row>
    <row r="9" spans="2:15">
      <c r="B9" s="765" t="s">
        <v>263</v>
      </c>
      <c r="C9" s="765"/>
      <c r="D9" s="765"/>
      <c r="E9" s="765"/>
      <c r="F9" s="765"/>
      <c r="G9" s="765"/>
      <c r="H9" s="765"/>
      <c r="I9" s="765"/>
      <c r="J9" s="765"/>
      <c r="K9" s="765"/>
      <c r="L9" s="765"/>
      <c r="M9" s="766" t="s">
        <v>262</v>
      </c>
      <c r="N9" s="767"/>
      <c r="O9" s="768"/>
    </row>
    <row r="10" spans="2:15">
      <c r="B10" s="765" t="s">
        <v>264</v>
      </c>
      <c r="C10" s="765"/>
      <c r="D10" s="765"/>
      <c r="E10" s="765"/>
      <c r="F10" s="765"/>
      <c r="G10" s="765"/>
      <c r="H10" s="765"/>
      <c r="I10" s="765"/>
      <c r="J10" s="765"/>
      <c r="K10" s="765"/>
      <c r="L10" s="765"/>
      <c r="M10" s="766" t="s">
        <v>262</v>
      </c>
      <c r="N10" s="767"/>
      <c r="O10" s="768"/>
    </row>
    <row r="11" spans="2:15">
      <c r="B11" s="765" t="s">
        <v>265</v>
      </c>
      <c r="C11" s="765"/>
      <c r="D11" s="765"/>
      <c r="E11" s="765"/>
      <c r="F11" s="765"/>
      <c r="G11" s="765"/>
      <c r="H11" s="765"/>
      <c r="I11" s="765"/>
      <c r="J11" s="765"/>
      <c r="K11" s="765"/>
      <c r="L11" s="765"/>
      <c r="M11" s="766" t="s">
        <v>266</v>
      </c>
      <c r="N11" s="767"/>
      <c r="O11" s="768"/>
    </row>
    <row r="12" spans="2:15" ht="18.75">
      <c r="B12" s="779" t="s">
        <v>267</v>
      </c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</row>
    <row r="13" spans="2:15">
      <c r="B13" s="297" t="s">
        <v>268</v>
      </c>
      <c r="C13" s="780" t="str">
        <f>UPPER(IF('Master Data'!D6="","",'Master Data'!D6))</f>
        <v>HEERALAL JAT</v>
      </c>
      <c r="D13" s="780"/>
      <c r="E13" s="780"/>
      <c r="F13" s="780"/>
      <c r="G13" s="781" t="s">
        <v>269</v>
      </c>
      <c r="H13" s="781"/>
      <c r="I13" s="781"/>
      <c r="J13" s="781"/>
      <c r="K13" s="781"/>
      <c r="L13" s="781"/>
      <c r="M13" s="781"/>
      <c r="N13" s="781"/>
      <c r="O13" s="781"/>
    </row>
    <row r="14" spans="2:15">
      <c r="B14" s="781" t="s">
        <v>270</v>
      </c>
      <c r="C14" s="781"/>
      <c r="D14" s="781"/>
      <c r="E14" s="781"/>
    </row>
    <row r="15" spans="2:15">
      <c r="B15" s="774" t="s">
        <v>271</v>
      </c>
      <c r="C15" s="774"/>
      <c r="D15" s="774"/>
      <c r="E15" s="775">
        <f ca="1">TODAY()</f>
        <v>44254</v>
      </c>
      <c r="F15" s="774"/>
    </row>
    <row r="16" spans="2:15">
      <c r="B16" s="35" t="s">
        <v>272</v>
      </c>
      <c r="C16" s="413"/>
      <c r="D16" s="413"/>
    </row>
    <row r="17" spans="2:30">
      <c r="B17" s="35" t="s">
        <v>273</v>
      </c>
      <c r="C17" s="776"/>
      <c r="D17" s="413"/>
      <c r="L17" s="777" t="s">
        <v>274</v>
      </c>
      <c r="M17" s="777"/>
      <c r="N17" s="777"/>
      <c r="O17" s="777"/>
    </row>
    <row r="18" spans="2:30"/>
    <row r="19" spans="2:30" ht="15.75">
      <c r="B19" s="778" t="s">
        <v>275</v>
      </c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</row>
    <row r="20" spans="2:30">
      <c r="B20" s="298"/>
      <c r="C20" s="298"/>
      <c r="D20" s="298"/>
      <c r="E20" s="298"/>
      <c r="F20" s="785" t="s">
        <v>276</v>
      </c>
      <c r="G20" s="785"/>
      <c r="H20" s="785"/>
      <c r="I20" s="785"/>
      <c r="J20" s="785"/>
      <c r="K20" s="785"/>
      <c r="L20" s="298"/>
      <c r="M20" s="298"/>
      <c r="N20" s="298"/>
      <c r="O20" s="298"/>
    </row>
    <row r="21" spans="2:30" ht="15.75">
      <c r="B21" s="782" t="s">
        <v>277</v>
      </c>
      <c r="C21" s="782"/>
      <c r="D21" s="782"/>
      <c r="E21" s="782"/>
      <c r="F21" s="782"/>
      <c r="G21" s="782"/>
      <c r="H21" s="782"/>
      <c r="I21" s="782"/>
      <c r="J21" s="782"/>
      <c r="K21" s="782"/>
      <c r="L21" s="782"/>
      <c r="M21" s="786">
        <f>M23-M22</f>
        <v>297060</v>
      </c>
      <c r="N21" s="786"/>
      <c r="O21" s="786"/>
    </row>
    <row r="22" spans="2:30" ht="15.75">
      <c r="B22" s="782" t="s">
        <v>278</v>
      </c>
      <c r="C22" s="782"/>
      <c r="D22" s="782"/>
      <c r="E22" s="782"/>
      <c r="F22" s="782"/>
      <c r="G22" s="782"/>
      <c r="H22" s="782"/>
      <c r="I22" s="782"/>
      <c r="J22" s="782"/>
      <c r="K22" s="782"/>
      <c r="L22" s="782"/>
      <c r="M22" s="787">
        <f>M7</f>
        <v>275000</v>
      </c>
      <c r="N22" s="787"/>
      <c r="O22" s="787"/>
    </row>
    <row r="23" spans="2:30" ht="15.75">
      <c r="B23" s="788" t="s">
        <v>279</v>
      </c>
      <c r="C23" s="788"/>
      <c r="D23" s="788"/>
      <c r="E23" s="788"/>
      <c r="F23" s="788"/>
      <c r="G23" s="788"/>
      <c r="H23" s="788"/>
      <c r="I23" s="788"/>
      <c r="J23" s="788"/>
      <c r="K23" s="788"/>
      <c r="L23" s="788"/>
      <c r="M23" s="786">
        <f>'89 (1) Form'!M32</f>
        <v>572060</v>
      </c>
      <c r="N23" s="784"/>
      <c r="O23" s="784"/>
      <c r="AA23" s="35">
        <f>ROUND(IF(M23&lt;=250000,0,IF(M23&lt;=500000,(M23-250000)*0.05,IF(M23&lt;=1000000,12500+(M23-500000)*0.2,IF(M23&gt;1000000,112500+(M23-1000000)*0.3,"0")))),0)</f>
        <v>26912</v>
      </c>
      <c r="AB23" s="35">
        <f>IF(AND(M23=0),0,ROUND(IF(AND(M23&lt;=500000),AA23-12500,AA23),0))</f>
        <v>26912</v>
      </c>
      <c r="AC23" s="35">
        <f>ROUND(IF(AND(AB23&lt;=0),0,AB23),0)</f>
        <v>26912</v>
      </c>
      <c r="AD23" s="35">
        <f>ROUND(AC23*4%,0)</f>
        <v>1076</v>
      </c>
    </row>
    <row r="24" spans="2:30" ht="15.75">
      <c r="B24" s="782" t="s">
        <v>280</v>
      </c>
      <c r="C24" s="782"/>
      <c r="D24" s="782"/>
      <c r="E24" s="782"/>
      <c r="F24" s="782"/>
      <c r="G24" s="782"/>
      <c r="H24" s="782"/>
      <c r="I24" s="782"/>
      <c r="J24" s="782"/>
      <c r="K24" s="782"/>
      <c r="L24" s="782"/>
      <c r="M24" s="783">
        <f>AC23+AD23</f>
        <v>27988</v>
      </c>
      <c r="N24" s="783"/>
      <c r="O24" s="783"/>
      <c r="AA24" s="35">
        <f>ROUND(IF(M21&lt;=250000,0,IF(M21&lt;=500000,(M21-250000)*0.05,IF(M21&lt;=1000000,12500+(M21-500000)*0.2,IF(M21&gt;1000000,112500+(M21-1000000)*0.3,"0")))),0)</f>
        <v>2353</v>
      </c>
      <c r="AB24" s="35">
        <f>IF(M21&lt;500001,AA24-MIN(AA24,12500),AA24)</f>
        <v>0</v>
      </c>
      <c r="AC24" s="35">
        <f>ROUND(IF(AND(AB24&lt;=0),0,AB24),0)</f>
        <v>0</v>
      </c>
      <c r="AD24" s="35">
        <f>ROUND(AC24*3%,0)</f>
        <v>0</v>
      </c>
    </row>
    <row r="25" spans="2:30" ht="15.75">
      <c r="B25" s="782" t="s">
        <v>281</v>
      </c>
      <c r="C25" s="782"/>
      <c r="D25" s="782"/>
      <c r="E25" s="782"/>
      <c r="F25" s="782"/>
      <c r="G25" s="782"/>
      <c r="H25" s="782"/>
      <c r="I25" s="782"/>
      <c r="J25" s="782"/>
      <c r="K25" s="782"/>
      <c r="L25" s="782"/>
      <c r="M25" s="784">
        <f>AC24+AD24</f>
        <v>0</v>
      </c>
      <c r="N25" s="784"/>
      <c r="O25" s="784"/>
    </row>
    <row r="26" spans="2:30" ht="15.75">
      <c r="B26" s="782" t="s">
        <v>282</v>
      </c>
      <c r="C26" s="782"/>
      <c r="D26" s="782"/>
      <c r="E26" s="782"/>
      <c r="F26" s="782"/>
      <c r="G26" s="782"/>
      <c r="H26" s="782"/>
      <c r="I26" s="782"/>
      <c r="J26" s="782"/>
      <c r="K26" s="782"/>
      <c r="L26" s="782"/>
      <c r="M26" s="784">
        <f>M24-M25</f>
        <v>27988</v>
      </c>
      <c r="N26" s="784"/>
      <c r="O26" s="784"/>
    </row>
    <row r="27" spans="2:30" ht="15.75">
      <c r="B27" s="782" t="s">
        <v>283</v>
      </c>
      <c r="C27" s="782"/>
      <c r="D27" s="782"/>
      <c r="E27" s="782"/>
      <c r="F27" s="782"/>
      <c r="G27" s="782"/>
      <c r="H27" s="782"/>
      <c r="I27" s="782"/>
      <c r="J27" s="782"/>
      <c r="K27" s="782"/>
      <c r="L27" s="782"/>
      <c r="M27" s="789">
        <f>N41</f>
        <v>16461</v>
      </c>
      <c r="N27" s="789"/>
      <c r="O27" s="789"/>
    </row>
    <row r="28" spans="2:30" ht="18.75">
      <c r="B28" s="788" t="s">
        <v>284</v>
      </c>
      <c r="C28" s="788"/>
      <c r="D28" s="788"/>
      <c r="E28" s="788"/>
      <c r="F28" s="788"/>
      <c r="G28" s="788"/>
      <c r="H28" s="788"/>
      <c r="I28" s="788"/>
      <c r="J28" s="788"/>
      <c r="K28" s="788"/>
      <c r="L28" s="788"/>
      <c r="M28" s="790">
        <f>M26-M27</f>
        <v>11527</v>
      </c>
      <c r="N28" s="790"/>
      <c r="O28" s="790"/>
    </row>
    <row r="29" spans="2:30"/>
    <row r="30" spans="2:30">
      <c r="B30" s="572" t="s">
        <v>285</v>
      </c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</row>
    <row r="31" spans="2:30" s="299" customFormat="1" ht="93.75" customHeight="1">
      <c r="B31" s="791" t="s">
        <v>286</v>
      </c>
      <c r="C31" s="791"/>
      <c r="D31" s="791" t="s">
        <v>287</v>
      </c>
      <c r="E31" s="791"/>
      <c r="F31" s="791" t="s">
        <v>288</v>
      </c>
      <c r="G31" s="791"/>
      <c r="H31" s="791" t="s">
        <v>289</v>
      </c>
      <c r="I31" s="791"/>
      <c r="J31" s="791" t="s">
        <v>290</v>
      </c>
      <c r="K31" s="791"/>
      <c r="L31" s="791" t="s">
        <v>291</v>
      </c>
      <c r="M31" s="791"/>
      <c r="N31" s="791" t="s">
        <v>292</v>
      </c>
      <c r="O31" s="791"/>
    </row>
    <row r="32" spans="2:30">
      <c r="B32" s="769">
        <v>1</v>
      </c>
      <c r="C32" s="769"/>
      <c r="D32" s="769">
        <v>2</v>
      </c>
      <c r="E32" s="769"/>
      <c r="F32" s="769">
        <v>3</v>
      </c>
      <c r="G32" s="769"/>
      <c r="H32" s="769">
        <v>4</v>
      </c>
      <c r="I32" s="769"/>
      <c r="J32" s="769">
        <v>5</v>
      </c>
      <c r="K32" s="769"/>
      <c r="L32" s="769">
        <v>6</v>
      </c>
      <c r="M32" s="769"/>
      <c r="N32" s="769">
        <v>7</v>
      </c>
      <c r="O32" s="769"/>
    </row>
    <row r="33" spans="2:43">
      <c r="B33" s="792" t="s">
        <v>397</v>
      </c>
      <c r="C33" s="792"/>
      <c r="D33" s="793">
        <f>ROUND('89 (1) Form'!M8, -1)</f>
        <v>210000</v>
      </c>
      <c r="E33" s="572"/>
      <c r="F33" s="793">
        <f>('89 (1) Form'!M9)</f>
        <v>25000</v>
      </c>
      <c r="G33" s="572"/>
      <c r="H33" s="793">
        <f>D33+F33</f>
        <v>235000</v>
      </c>
      <c r="I33" s="572"/>
      <c r="J33" s="572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1030</v>
      </c>
      <c r="K33" s="572"/>
      <c r="L33" s="572">
        <f>IF($H33&gt;1000000, 130000+($H33-1000000)*0.3, IF($H33&gt;500000, 30000+($H33-500000)*0.2, IF($H33&gt;200000, ($H33-200000)*0.1, 0)))+ROUND(IF($H33&gt;1000000, 130000+($H33-1000000)*0.3, IF($H33&gt;500000, 30000+($H33-500000)*0.2, IF($H33&gt;200000, ($H33-200000)*0.1, 0)))*0.03,0)</f>
        <v>3605</v>
      </c>
      <c r="M33" s="572"/>
      <c r="N33" s="572">
        <f>L33-J33</f>
        <v>2575</v>
      </c>
      <c r="O33" s="572"/>
      <c r="AF33" s="300"/>
    </row>
    <row r="34" spans="2:43" s="300" customFormat="1">
      <c r="B34" s="792" t="s">
        <v>398</v>
      </c>
      <c r="C34" s="792"/>
      <c r="D34" s="793">
        <f>ROUND('89 (1) Form'!M11, -1)</f>
        <v>231000</v>
      </c>
      <c r="E34" s="572"/>
      <c r="F34" s="793">
        <f>'89 (1) Form'!M12</f>
        <v>35000</v>
      </c>
      <c r="G34" s="572"/>
      <c r="H34" s="793">
        <f t="shared" ref="H34:H37" si="0">D34+F34</f>
        <v>266000</v>
      </c>
      <c r="I34" s="572"/>
      <c r="J34" s="572">
        <f>AL34</f>
        <v>1133</v>
      </c>
      <c r="K34" s="572"/>
      <c r="L34" s="572">
        <f>AQ34</f>
        <v>4738</v>
      </c>
      <c r="M34" s="572"/>
      <c r="N34" s="572">
        <f>L34-J34</f>
        <v>3605</v>
      </c>
      <c r="O34" s="572"/>
      <c r="AH34" s="300" t="s">
        <v>401</v>
      </c>
      <c r="AI34" s="300">
        <f>IF($D34&gt;1000000, 130000+($D34-1000000)*0.3, IF($D34&gt;500000, 30000+($D34-500000)*0.2, IF($D34&gt;200000, ($D34-200000)*0.1, 0)))</f>
        <v>3100</v>
      </c>
      <c r="AJ34" s="300">
        <f>IF(D34&lt;350001,AI34-MIN(AI34,2000),AI34)</f>
        <v>1100</v>
      </c>
      <c r="AK34" s="300">
        <f>ROUND(AJ34*0.03, 0)</f>
        <v>33</v>
      </c>
      <c r="AL34" s="300">
        <f t="shared" ref="AL34:AL40" si="1">AJ34+AK34</f>
        <v>1133</v>
      </c>
      <c r="AN34" s="300">
        <f>IF($H34&gt;1000000, 130000+($H34-1000000)*0.3, IF($H34&gt;500000, 30000+($H34-500000)*0.2, IF($H34&gt;200000, ($H34-200000)*0.1, 0)))</f>
        <v>6600</v>
      </c>
      <c r="AO34" s="300">
        <f>IF(H34&lt;500001,AN34-MIN(AN34,2000),AN34)</f>
        <v>4600</v>
      </c>
      <c r="AP34" s="300">
        <f>ROUND(AO34*0.03, 0)</f>
        <v>138</v>
      </c>
      <c r="AQ34" s="300">
        <f t="shared" ref="AQ34:AQ40" si="2">AO34+AP34</f>
        <v>4738</v>
      </c>
    </row>
    <row r="35" spans="2:43" s="300" customFormat="1">
      <c r="B35" s="792" t="s">
        <v>399</v>
      </c>
      <c r="C35" s="792"/>
      <c r="D35" s="793">
        <f>ROUND('89 (1) Form'!M14, -1)</f>
        <v>195000</v>
      </c>
      <c r="E35" s="572"/>
      <c r="F35" s="793">
        <f>'89 (1) Form'!M15</f>
        <v>45000</v>
      </c>
      <c r="G35" s="572"/>
      <c r="H35" s="793">
        <f t="shared" si="0"/>
        <v>240000</v>
      </c>
      <c r="I35" s="572"/>
      <c r="J35" s="572">
        <f t="shared" ref="J35:J40" si="3">AL35</f>
        <v>0</v>
      </c>
      <c r="K35" s="572"/>
      <c r="L35" s="572">
        <f t="shared" ref="L35:L40" si="4">AQ35</f>
        <v>0</v>
      </c>
      <c r="M35" s="572"/>
      <c r="N35" s="572">
        <f t="shared" ref="N35:N40" si="5">L35-J35</f>
        <v>0</v>
      </c>
      <c r="O35" s="572"/>
      <c r="AH35" s="300" t="s">
        <v>402</v>
      </c>
      <c r="AI35" s="300">
        <f>IF($D35&gt;1000000, 125000+($D35-1000000)*0.3, IF($D35&gt;500000, 25000+($D35-500000)*0.2, IF($D35&gt;250000, ($D35-250000)*0.1, 0)))</f>
        <v>0</v>
      </c>
      <c r="AJ35" s="300">
        <f>IF(D35&lt;350001,AI35-MIN(AI35,2000),AI35)</f>
        <v>0</v>
      </c>
      <c r="AK35" s="300">
        <f>ROUND(AJ35*0.03, 0)</f>
        <v>0</v>
      </c>
      <c r="AL35" s="300">
        <f t="shared" si="1"/>
        <v>0</v>
      </c>
      <c r="AN35" s="300">
        <f>IF(H35&gt;1000000, 125000+(H35-1000000)*0.3, IF(H35&gt;500000, 25000+(H35-500000)*0.2, IF(H35&gt;250000, (H35-250000)*0.1, 0)))</f>
        <v>0</v>
      </c>
      <c r="AO35" s="300">
        <f>IF(H35&lt;500001,AN35-MIN(AN35,2000),AN35)</f>
        <v>0</v>
      </c>
      <c r="AP35" s="300">
        <f>ROUND(AO35*0.03, 0)</f>
        <v>0</v>
      </c>
      <c r="AQ35" s="300">
        <f t="shared" si="2"/>
        <v>0</v>
      </c>
    </row>
    <row r="36" spans="2:43" s="300" customFormat="1">
      <c r="B36" s="792" t="s">
        <v>293</v>
      </c>
      <c r="C36" s="792"/>
      <c r="D36" s="793">
        <f>ROUND('89 (1) Form'!M17, -1)</f>
        <v>295000</v>
      </c>
      <c r="E36" s="572"/>
      <c r="F36" s="793">
        <f>'89 (1) Form'!M18</f>
        <v>55000</v>
      </c>
      <c r="G36" s="793"/>
      <c r="H36" s="793">
        <f t="shared" si="0"/>
        <v>350000</v>
      </c>
      <c r="I36" s="572"/>
      <c r="J36" s="572">
        <f t="shared" si="3"/>
        <v>2575</v>
      </c>
      <c r="K36" s="572"/>
      <c r="L36" s="572">
        <f t="shared" si="4"/>
        <v>8240</v>
      </c>
      <c r="M36" s="572"/>
      <c r="N36" s="572">
        <f t="shared" si="5"/>
        <v>5665</v>
      </c>
      <c r="O36" s="572"/>
      <c r="AA36" s="35"/>
      <c r="AB36" s="35"/>
      <c r="AC36" s="35"/>
      <c r="AD36" s="35"/>
      <c r="AH36" s="300" t="s">
        <v>403</v>
      </c>
      <c r="AI36" s="300">
        <f>IF($D36&gt;1000000, 125000+($D36-1000000)*0.3, IF($D36&gt;500000, 25000+($D36-500000)*0.2, IF($D36&gt;250000, ($D36-250000)*0.1, 0)))</f>
        <v>4500</v>
      </c>
      <c r="AJ36" s="300">
        <f>IF(D36&lt;500001,AI36-MIN(AI36,2000),AI36)</f>
        <v>2500</v>
      </c>
      <c r="AK36" s="300">
        <f>ROUND(AJ36*0.03, 0)</f>
        <v>75</v>
      </c>
      <c r="AL36" s="300">
        <f t="shared" si="1"/>
        <v>2575</v>
      </c>
      <c r="AN36" s="300">
        <f>IF(H36&gt;1000000, 125000+(H36-1000000)*0.3, IF(H36&gt;500000, 25000+(H36-500000)*0.2, IF(H36&gt;250000, (H36-250000)*0.1, 0)))</f>
        <v>10000</v>
      </c>
      <c r="AO36" s="300">
        <f>IF(H36&lt;500001,AN36-MIN(AN36,2000),AN36)</f>
        <v>8000</v>
      </c>
      <c r="AP36" s="300">
        <f>ROUND(AO36*0.03, 0)</f>
        <v>240</v>
      </c>
      <c r="AQ36" s="300">
        <f t="shared" si="2"/>
        <v>8240</v>
      </c>
    </row>
    <row r="37" spans="2:43" s="300" customFormat="1">
      <c r="B37" s="792" t="s">
        <v>294</v>
      </c>
      <c r="C37" s="792"/>
      <c r="D37" s="793">
        <f>ROUND('89 (1) Form'!M20, -1)</f>
        <v>225000</v>
      </c>
      <c r="E37" s="572"/>
      <c r="F37" s="793">
        <f>'89 (1) Form'!M21</f>
        <v>65000</v>
      </c>
      <c r="G37" s="793"/>
      <c r="H37" s="793">
        <f t="shared" si="0"/>
        <v>290000</v>
      </c>
      <c r="I37" s="572"/>
      <c r="J37" s="572">
        <f t="shared" si="3"/>
        <v>0</v>
      </c>
      <c r="K37" s="572"/>
      <c r="L37" s="572">
        <f t="shared" si="4"/>
        <v>0</v>
      </c>
      <c r="M37" s="572"/>
      <c r="N37" s="572">
        <f t="shared" si="5"/>
        <v>0</v>
      </c>
      <c r="O37" s="572"/>
      <c r="AA37" s="35"/>
      <c r="AB37" s="35"/>
      <c r="AC37" s="35"/>
      <c r="AD37" s="35"/>
      <c r="AH37" s="300" t="s">
        <v>404</v>
      </c>
      <c r="AI37" s="300">
        <f>IF($D37&gt;1000000, 125000+($D37-1000000)*0.3, IF($D37&gt;500000, 25000+($D37-500000)*0.2, IF($D37&gt;250000, ($D37-250000)*0.1, 0)))</f>
        <v>0</v>
      </c>
      <c r="AJ37" s="300">
        <f>IF(D37&lt;500001,AI37-MIN(AI37,5000),AI37)</f>
        <v>0</v>
      </c>
      <c r="AK37" s="300">
        <f>ROUND(AJ37*0.03, 0)</f>
        <v>0</v>
      </c>
      <c r="AL37" s="300">
        <f t="shared" si="1"/>
        <v>0</v>
      </c>
      <c r="AN37" s="300">
        <f>IF(H37&gt;1000000, 125000+(H37-1000000)*0.3, IF(H37&gt;500000, 25000+(H37-500000)*0.2, IF(H37&gt;250000, (H37-250000)*0.1, 0)))</f>
        <v>4000</v>
      </c>
      <c r="AO37" s="300">
        <f>IF(H37&lt;500001,AN37-MIN(AN37,5000),AN37)</f>
        <v>0</v>
      </c>
      <c r="AP37" s="300">
        <f>ROUND(AO37*0.03, 0)</f>
        <v>0</v>
      </c>
      <c r="AQ37" s="300">
        <f t="shared" si="2"/>
        <v>0</v>
      </c>
    </row>
    <row r="38" spans="2:43" s="300" customFormat="1">
      <c r="B38" s="792" t="s">
        <v>295</v>
      </c>
      <c r="C38" s="792"/>
      <c r="D38" s="793">
        <f>ROUND('89 (1) Form'!M23, -1)</f>
        <v>299000</v>
      </c>
      <c r="E38" s="572"/>
      <c r="F38" s="793">
        <f>'89 (1) Form'!M24</f>
        <v>25000</v>
      </c>
      <c r="G38" s="793"/>
      <c r="H38" s="793">
        <f t="shared" ref="H38:H40" si="6">D38+F38</f>
        <v>324000</v>
      </c>
      <c r="I38" s="572"/>
      <c r="J38" s="572">
        <f t="shared" si="3"/>
        <v>0</v>
      </c>
      <c r="K38" s="572"/>
      <c r="L38" s="572">
        <f t="shared" si="4"/>
        <v>1236</v>
      </c>
      <c r="M38" s="572"/>
      <c r="N38" s="572">
        <f t="shared" si="5"/>
        <v>1236</v>
      </c>
      <c r="O38" s="572"/>
      <c r="AA38" s="35"/>
      <c r="AB38" s="35"/>
      <c r="AC38" s="35"/>
      <c r="AD38" s="35"/>
      <c r="AH38" s="300" t="s">
        <v>405</v>
      </c>
      <c r="AI38" s="300">
        <f>IF($D38&gt;1000000, 112500+($D38-1000000)*0.3, IF($D38&gt;500000, 12500+($D38-500000)*0.2, IF($D38&gt;250000, ($D38-250000)*0.05, 0)))</f>
        <v>2450</v>
      </c>
      <c r="AJ38" s="300">
        <f>IF(D38&lt;350001,AI38-MIN(AI38,2500),AI38)</f>
        <v>0</v>
      </c>
      <c r="AK38" s="300">
        <f>ROUND(AJ38*0.03, 0)</f>
        <v>0</v>
      </c>
      <c r="AL38" s="300">
        <f t="shared" si="1"/>
        <v>0</v>
      </c>
      <c r="AN38" s="300">
        <f>IF(H38&gt;1000000, 112500+(H38-1000000)*0.3, IF(H38&gt;500000, 12500+(H38-500000)*0.2, IF(H38&gt;250000, (H38-250000)*0.05, 0)))</f>
        <v>3700</v>
      </c>
      <c r="AO38" s="300">
        <f>IF(H38&lt;350001,AN38-MIN(AN38,2500),AN38)</f>
        <v>1200</v>
      </c>
      <c r="AP38" s="300">
        <f>ROUND(AO38*0.03, 0)</f>
        <v>36</v>
      </c>
      <c r="AQ38" s="300">
        <f t="shared" si="2"/>
        <v>1236</v>
      </c>
    </row>
    <row r="39" spans="2:43" s="300" customFormat="1">
      <c r="B39" s="792" t="s">
        <v>296</v>
      </c>
      <c r="C39" s="792"/>
      <c r="D39" s="793">
        <f>ROUND('89 (1) Form'!M26, -1)</f>
        <v>350000</v>
      </c>
      <c r="E39" s="572"/>
      <c r="F39" s="793">
        <f>'89 (1) Form'!M27</f>
        <v>15000</v>
      </c>
      <c r="G39" s="793"/>
      <c r="H39" s="793">
        <f t="shared" si="6"/>
        <v>365000</v>
      </c>
      <c r="I39" s="572"/>
      <c r="J39" s="572">
        <f t="shared" si="3"/>
        <v>2600</v>
      </c>
      <c r="K39" s="572"/>
      <c r="L39" s="572">
        <f t="shared" si="4"/>
        <v>5980</v>
      </c>
      <c r="M39" s="572"/>
      <c r="N39" s="572">
        <f t="shared" si="5"/>
        <v>3380</v>
      </c>
      <c r="O39" s="572"/>
      <c r="AA39" s="35"/>
      <c r="AB39" s="35"/>
      <c r="AC39" s="35"/>
      <c r="AD39" s="35"/>
      <c r="AH39" s="300" t="s">
        <v>406</v>
      </c>
      <c r="AI39" s="300">
        <f>IF($D39&gt;1000000, 112500+($D39-1000000)*0.3, IF($D39&gt;500000, 12500+($D39-500000)*0.2, IF($D39&gt;250000, ($D39-250000)*0.05, 0)))</f>
        <v>5000</v>
      </c>
      <c r="AJ39" s="300">
        <f>IF(D39&lt;350001,AI39-MIN(AI39,2500),AI39)</f>
        <v>2500</v>
      </c>
      <c r="AK39" s="300">
        <f>ROUND(AJ39*0.04, 0)</f>
        <v>100</v>
      </c>
      <c r="AL39" s="300">
        <f t="shared" si="1"/>
        <v>2600</v>
      </c>
      <c r="AN39" s="300">
        <f>IF(H39&gt;1000000, 112500+(H39-1000000)*0.3, IF(H39&gt;500000, 12500+(H39-500000)*0.2, IF(H39&gt;250000, (H39-250000)*0.05, 0)))</f>
        <v>5750</v>
      </c>
      <c r="AO39" s="300">
        <f>IF(H39&lt;350001,AN39-MIN(AN39,2500),AN39)</f>
        <v>5750</v>
      </c>
      <c r="AP39" s="300">
        <f>ROUND(AO39*0.04, 0)</f>
        <v>230</v>
      </c>
      <c r="AQ39" s="300">
        <f t="shared" si="2"/>
        <v>5980</v>
      </c>
    </row>
    <row r="40" spans="2:43" s="300" customFormat="1">
      <c r="B40" s="792" t="s">
        <v>400</v>
      </c>
      <c r="C40" s="792"/>
      <c r="D40" s="793">
        <f>ROUND('89 (1) Form'!M29, -1)</f>
        <v>450000</v>
      </c>
      <c r="E40" s="572"/>
      <c r="F40" s="793">
        <f>'89 (1) Form'!M30</f>
        <v>10000</v>
      </c>
      <c r="G40" s="793"/>
      <c r="H40" s="793">
        <f t="shared" si="6"/>
        <v>460000</v>
      </c>
      <c r="I40" s="572"/>
      <c r="J40" s="572">
        <f t="shared" si="3"/>
        <v>0</v>
      </c>
      <c r="K40" s="572"/>
      <c r="L40" s="572">
        <f t="shared" si="4"/>
        <v>0</v>
      </c>
      <c r="M40" s="572"/>
      <c r="N40" s="572">
        <f t="shared" si="5"/>
        <v>0</v>
      </c>
      <c r="O40" s="572"/>
      <c r="AA40" s="35"/>
      <c r="AB40" s="35"/>
      <c r="AC40" s="35"/>
      <c r="AD40" s="35"/>
      <c r="AH40" s="300" t="s">
        <v>407</v>
      </c>
      <c r="AI40" s="300">
        <f>IF($D40&gt;1000000, 112500+($D40-1000000)*0.3, IF($D40&gt;500000, 12500+($D40-500000)*0.2, IF($D40&gt;250000, ($D40-250000)*0.05, 0)))</f>
        <v>10000</v>
      </c>
      <c r="AJ40" s="300">
        <f>IF(D40&lt;500001,AI40-MIN(AI40,12500),AI40)</f>
        <v>0</v>
      </c>
      <c r="AK40" s="300">
        <f>ROUND(AJ40*0.04, 0)</f>
        <v>0</v>
      </c>
      <c r="AL40" s="300">
        <f t="shared" si="1"/>
        <v>0</v>
      </c>
      <c r="AN40" s="300">
        <f>IF(H39&gt;1000000, 112500+(H39-1000000)*0.3, IF(H39&gt;500000, 12500+(H39-500000)*0.2, IF(H39&gt;250000, (H39-250000)*0.05, 0)))</f>
        <v>5750</v>
      </c>
      <c r="AO40" s="300">
        <f>IF(H40&lt;500001,AN40-MIN(AN40,12500),AN40)</f>
        <v>0</v>
      </c>
      <c r="AP40" s="300">
        <f>ROUND(AO40*0.04, 0)</f>
        <v>0</v>
      </c>
      <c r="AQ40" s="300">
        <f t="shared" si="2"/>
        <v>0</v>
      </c>
    </row>
    <row r="41" spans="2:43" ht="18.75">
      <c r="B41" s="794" t="s">
        <v>82</v>
      </c>
      <c r="C41" s="795"/>
      <c r="D41" s="796"/>
      <c r="E41" s="797"/>
      <c r="F41" s="796"/>
      <c r="G41" s="797"/>
      <c r="H41" s="796"/>
      <c r="I41" s="797"/>
      <c r="J41" s="796"/>
      <c r="K41" s="797"/>
      <c r="L41" s="796"/>
      <c r="M41" s="797"/>
      <c r="N41" s="798">
        <f>SUM(N33:O40)</f>
        <v>16461</v>
      </c>
      <c r="O41" s="799"/>
    </row>
    <row r="42" spans="2:43"/>
  </sheetData>
  <sheetProtection password="C1FB" sheet="1" objects="1" scenarios="1" formatCells="0" formatColumns="0" formatRows="0"/>
  <mergeCells count="126"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  <mergeCell ref="N39:O39"/>
    <mergeCell ref="N40:O40"/>
    <mergeCell ref="N37:O37"/>
    <mergeCell ref="B41:C41"/>
    <mergeCell ref="D41:E41"/>
    <mergeCell ref="F41:G41"/>
    <mergeCell ref="H41:I41"/>
    <mergeCell ref="J41:K41"/>
    <mergeCell ref="L41:M41"/>
    <mergeCell ref="N41:O41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</mergeCells>
  <pageMargins left="0.65" right="0.34" top="0.5" bottom="0.5" header="0.3" footer="0.3"/>
  <pageSetup paperSize="9" scale="96" orientation="portrait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2020-10-31T07:52:58Z</cp:lastPrinted>
  <dcterms:created xsi:type="dcterms:W3CDTF">2020-09-27T00:42:28Z</dcterms:created>
  <dcterms:modified xsi:type="dcterms:W3CDTF">2021-02-27T14:44:31Z</dcterms:modified>
</cp:coreProperties>
</file>