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Extra Ded. " sheetId="4" r:id="rId3"/>
    <sheet name="GA55 " sheetId="5" r:id="rId4"/>
    <sheet name="COMPUTATION" sheetId="6" r:id="rId5"/>
    <sheet name="Form No. 16" sheetId="11" r:id="rId6"/>
  </sheets>
  <externalReferences>
    <externalReference r:id="rId7"/>
    <externalReference r:id="rId8"/>
  </externalReferences>
  <definedNames>
    <definedName name="gp">'Master Data'!$V$18:$V$20</definedName>
    <definedName name="level">#REF!</definedName>
    <definedName name="Month">'Master Data'!$AB$25:$AB$37</definedName>
    <definedName name="Month1">'Master Data'!$AA$25:$AA$37</definedName>
    <definedName name="pay">'Master Data'!$Y$18:$Y$20</definedName>
    <definedName name="_xlnm.Print_Area" localSheetId="4">COMPUTATION!$A$1:$O$69</definedName>
    <definedName name="_xlnm.Print_Area" localSheetId="5">'Form No. 16'!$B$1:$L$142</definedName>
    <definedName name="_xlnm.Print_Area" localSheetId="3" xml:space="preserve">                            'GA55 '!$A$1:$AC$30</definedName>
    <definedName name="ram">#REF!</definedName>
    <definedName name="und">'Master Data'!$T$18:$T$20</definedName>
    <definedName name="ye">'Master Data'!$S$18:$S$20</definedName>
  </definedNames>
  <calcPr calcId="124519"/>
</workbook>
</file>

<file path=xl/calcChain.xml><?xml version="1.0" encoding="utf-8"?>
<calcChain xmlns="http://schemas.openxmlformats.org/spreadsheetml/2006/main">
  <c r="O34" i="6"/>
  <c r="M22" l="1"/>
  <c r="G27"/>
  <c r="G26"/>
  <c r="G22"/>
  <c r="G21"/>
  <c r="O6" l="1"/>
  <c r="M66"/>
  <c r="K66"/>
  <c r="J66"/>
  <c r="H66"/>
  <c r="E66"/>
  <c r="AA56"/>
  <c r="AA55"/>
  <c r="AA54"/>
  <c r="M6" i="5"/>
  <c r="Q8"/>
  <c r="R8"/>
  <c r="S8"/>
  <c r="T8"/>
  <c r="U8"/>
  <c r="V8"/>
  <c r="W8"/>
  <c r="X8"/>
  <c r="Y8"/>
  <c r="Q9"/>
  <c r="R9"/>
  <c r="S9"/>
  <c r="T9"/>
  <c r="U9"/>
  <c r="V9"/>
  <c r="W9"/>
  <c r="X9"/>
  <c r="Y9"/>
  <c r="Q10"/>
  <c r="R10"/>
  <c r="S10"/>
  <c r="T10"/>
  <c r="U10"/>
  <c r="V10"/>
  <c r="W10"/>
  <c r="X10"/>
  <c r="Y10"/>
  <c r="Q11"/>
  <c r="R11"/>
  <c r="S11"/>
  <c r="T11"/>
  <c r="U11"/>
  <c r="V11"/>
  <c r="W11"/>
  <c r="X11"/>
  <c r="Y11"/>
  <c r="Q12"/>
  <c r="R12"/>
  <c r="S12"/>
  <c r="T12"/>
  <c r="U12"/>
  <c r="V12"/>
  <c r="W12"/>
  <c r="X12"/>
  <c r="Y12"/>
  <c r="Q13"/>
  <c r="R13"/>
  <c r="S13"/>
  <c r="T13"/>
  <c r="U13"/>
  <c r="V13"/>
  <c r="W13"/>
  <c r="X13"/>
  <c r="Y13"/>
  <c r="Q14"/>
  <c r="R14"/>
  <c r="S14"/>
  <c r="T14"/>
  <c r="U14"/>
  <c r="V14"/>
  <c r="W14"/>
  <c r="X14"/>
  <c r="Y14"/>
  <c r="Q15"/>
  <c r="R15"/>
  <c r="S15"/>
  <c r="T15"/>
  <c r="U15"/>
  <c r="V15"/>
  <c r="W15"/>
  <c r="X15"/>
  <c r="Y15"/>
  <c r="Q16"/>
  <c r="R16"/>
  <c r="S16"/>
  <c r="T16"/>
  <c r="U16"/>
  <c r="V16"/>
  <c r="W16"/>
  <c r="X16"/>
  <c r="Y16"/>
  <c r="Q17"/>
  <c r="R17"/>
  <c r="S17"/>
  <c r="T17"/>
  <c r="U17"/>
  <c r="V17"/>
  <c r="W17"/>
  <c r="X17"/>
  <c r="Y1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G3"/>
  <c r="C27"/>
  <c r="Z24"/>
  <c r="AA24" s="1"/>
  <c r="Z25"/>
  <c r="AA25" s="1"/>
  <c r="Z26"/>
  <c r="AA26" s="1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E7"/>
  <c r="D7"/>
  <c r="P18"/>
  <c r="P19"/>
  <c r="P20"/>
  <c r="P21"/>
  <c r="P22"/>
  <c r="P23"/>
  <c r="P24"/>
  <c r="P25"/>
  <c r="P26"/>
  <c r="P6"/>
  <c r="C8"/>
  <c r="C9"/>
  <c r="C10"/>
  <c r="C11"/>
  <c r="C12"/>
  <c r="C13"/>
  <c r="C14"/>
  <c r="C15"/>
  <c r="C16"/>
  <c r="C17"/>
  <c r="C7"/>
  <c r="F8"/>
  <c r="G8"/>
  <c r="H8"/>
  <c r="I8"/>
  <c r="J8"/>
  <c r="K8"/>
  <c r="L8"/>
  <c r="F9"/>
  <c r="G9"/>
  <c r="H9"/>
  <c r="I9"/>
  <c r="J9"/>
  <c r="K9"/>
  <c r="L9"/>
  <c r="F10"/>
  <c r="G10"/>
  <c r="H10"/>
  <c r="I10"/>
  <c r="J10"/>
  <c r="K10"/>
  <c r="L10"/>
  <c r="F11"/>
  <c r="G11"/>
  <c r="H11"/>
  <c r="I11"/>
  <c r="J11"/>
  <c r="K11"/>
  <c r="L11"/>
  <c r="F12"/>
  <c r="G12"/>
  <c r="H12"/>
  <c r="I12"/>
  <c r="J12"/>
  <c r="K12"/>
  <c r="L12"/>
  <c r="F13"/>
  <c r="G13"/>
  <c r="H13"/>
  <c r="I13"/>
  <c r="J13"/>
  <c r="K13"/>
  <c r="L13"/>
  <c r="F14"/>
  <c r="G14"/>
  <c r="H14"/>
  <c r="I14"/>
  <c r="J14"/>
  <c r="K14"/>
  <c r="L14"/>
  <c r="F15"/>
  <c r="G15"/>
  <c r="H15"/>
  <c r="I15"/>
  <c r="J15"/>
  <c r="K15"/>
  <c r="L15"/>
  <c r="F16"/>
  <c r="G16"/>
  <c r="H16"/>
  <c r="I16"/>
  <c r="J16"/>
  <c r="K16"/>
  <c r="L16"/>
  <c r="F17"/>
  <c r="G17"/>
  <c r="H17"/>
  <c r="I17"/>
  <c r="J17"/>
  <c r="K17"/>
  <c r="L17"/>
  <c r="M18"/>
  <c r="M19"/>
  <c r="M21"/>
  <c r="M22"/>
  <c r="M23"/>
  <c r="F7"/>
  <c r="F27" s="1"/>
  <c r="G7"/>
  <c r="G27" s="1"/>
  <c r="H7"/>
  <c r="H27" s="1"/>
  <c r="I7"/>
  <c r="I27" s="1"/>
  <c r="J7"/>
  <c r="J27" s="1"/>
  <c r="K7"/>
  <c r="K27" s="1"/>
  <c r="L7"/>
  <c r="L27" s="1"/>
  <c r="M24"/>
  <c r="M25"/>
  <c r="M26"/>
  <c r="M9"/>
  <c r="M20"/>
  <c r="M7" l="1"/>
  <c r="M8"/>
  <c r="Z6"/>
  <c r="G17" i="11"/>
  <c r="G16"/>
  <c r="G18"/>
  <c r="P9" i="5"/>
  <c r="P17"/>
  <c r="P15"/>
  <c r="P13"/>
  <c r="P11"/>
  <c r="E27"/>
  <c r="D27"/>
  <c r="P16"/>
  <c r="P14"/>
  <c r="P12"/>
  <c r="P10"/>
  <c r="P8"/>
  <c r="P7"/>
  <c r="M13"/>
  <c r="M10"/>
  <c r="M16"/>
  <c r="M14"/>
  <c r="M17"/>
  <c r="M15"/>
  <c r="M11"/>
  <c r="M12"/>
  <c r="G30" i="6"/>
  <c r="AA24"/>
  <c r="P27" i="5" l="1"/>
  <c r="O33" i="6" l="1"/>
  <c r="O5"/>
  <c r="AB23"/>
  <c r="M21" s="1"/>
  <c r="G135" i="11"/>
  <c r="K44"/>
  <c r="K45"/>
  <c r="K46"/>
  <c r="K47"/>
  <c r="K48"/>
  <c r="K49"/>
  <c r="K50"/>
  <c r="K51"/>
  <c r="K52"/>
  <c r="K53"/>
  <c r="K54"/>
  <c r="K43"/>
  <c r="J24"/>
  <c r="B6"/>
  <c r="G67" s="1"/>
  <c r="D140"/>
  <c r="D67"/>
  <c r="G6"/>
  <c r="J17"/>
  <c r="J16"/>
  <c r="G7"/>
  <c r="D65" s="1"/>
  <c r="D139" s="1"/>
  <c r="J9"/>
  <c r="G9"/>
  <c r="E9"/>
  <c r="I119"/>
  <c r="G102"/>
  <c r="D66"/>
  <c r="D136"/>
  <c r="D141" s="1"/>
  <c r="C57"/>
  <c r="J37"/>
  <c r="C37"/>
  <c r="J36"/>
  <c r="J35"/>
  <c r="J34"/>
  <c r="J33"/>
  <c r="J32"/>
  <c r="J31"/>
  <c r="J30"/>
  <c r="J29"/>
  <c r="J28"/>
  <c r="J27"/>
  <c r="J26"/>
  <c r="J25"/>
  <c r="F19"/>
  <c r="C60" l="1"/>
  <c r="C135"/>
  <c r="G141"/>
  <c r="AA3" i="5" l="1"/>
  <c r="O37" i="6"/>
  <c r="G114" i="11" s="1"/>
  <c r="I114" s="1"/>
  <c r="O63" i="6"/>
  <c r="K130" i="11" s="1"/>
  <c r="L2" i="6" l="1"/>
  <c r="O44" l="1"/>
  <c r="G120" i="11" s="1"/>
  <c r="I120" s="1"/>
  <c r="O42" i="6"/>
  <c r="G121" i="11" s="1"/>
  <c r="I121" s="1"/>
  <c r="O40" i="6"/>
  <c r="G117" i="11" s="1"/>
  <c r="I117" s="1"/>
  <c r="O39" i="6"/>
  <c r="G116" i="11" s="1"/>
  <c r="I116" s="1"/>
  <c r="O38" i="6"/>
  <c r="G115" i="11" s="1"/>
  <c r="I115" s="1"/>
  <c r="M30" i="6"/>
  <c r="G107" i="11" s="1"/>
  <c r="M29" i="6"/>
  <c r="G106" i="11" s="1"/>
  <c r="M28" i="6"/>
  <c r="G108" i="11" s="1"/>
  <c r="M27" i="6"/>
  <c r="M26"/>
  <c r="M25"/>
  <c r="M24"/>
  <c r="M23"/>
  <c r="G29"/>
  <c r="G101" i="11" s="1"/>
  <c r="G28" i="6"/>
  <c r="G25"/>
  <c r="G24"/>
  <c r="G100" i="11" s="1"/>
  <c r="G23" i="6"/>
  <c r="Z24" s="1"/>
  <c r="AB24" s="1"/>
  <c r="AC27" s="1"/>
  <c r="AA29" s="1"/>
  <c r="AB35" s="1"/>
  <c r="J51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G105" i="11" l="1"/>
  <c r="G104"/>
  <c r="AA32" i="6"/>
  <c r="AB32"/>
  <c r="AA33" l="1"/>
  <c r="O43" s="1"/>
  <c r="G122" i="11" s="1"/>
  <c r="I122" s="1"/>
  <c r="I14" i="6"/>
  <c r="F85" i="11" s="1"/>
  <c r="F14" i="6"/>
  <c r="D85" i="11" s="1"/>
  <c r="K10" i="6"/>
  <c r="G81" i="11" s="1"/>
  <c r="K9" i="6"/>
  <c r="G83" i="11" s="1"/>
  <c r="K8" i="6"/>
  <c r="G82" i="11" s="1"/>
  <c r="I84" l="1"/>
  <c r="E16" i="6"/>
  <c r="F91" i="11" s="1"/>
  <c r="K12" i="6"/>
  <c r="A1"/>
  <c r="N3"/>
  <c r="J3"/>
  <c r="D3"/>
  <c r="S29" i="5"/>
  <c r="C29"/>
  <c r="K3"/>
  <c r="R3"/>
  <c r="C3"/>
  <c r="U2"/>
  <c r="M2"/>
  <c r="D2"/>
  <c r="B1"/>
  <c r="D14" i="6" l="1"/>
  <c r="F90" i="11"/>
  <c r="I91" s="1"/>
  <c r="O17" i="6"/>
  <c r="O10"/>
  <c r="K14" l="1"/>
  <c r="O15" s="1"/>
  <c r="B85" i="11"/>
  <c r="I85" s="1"/>
  <c r="I86" s="1"/>
  <c r="T7" i="5" l="1"/>
  <c r="Y7"/>
  <c r="Q7"/>
  <c r="R7"/>
  <c r="U7"/>
  <c r="V7"/>
  <c r="S7"/>
  <c r="N7"/>
  <c r="W7"/>
  <c r="W27" s="1"/>
  <c r="X7"/>
  <c r="X27" s="1"/>
  <c r="J18" i="11"/>
  <c r="C24"/>
  <c r="G15" l="1"/>
  <c r="Y27" i="5"/>
  <c r="V27"/>
  <c r="U27"/>
  <c r="T27"/>
  <c r="S27"/>
  <c r="O41" i="6" s="1"/>
  <c r="R27" i="5"/>
  <c r="Q27"/>
  <c r="C25" i="11"/>
  <c r="C26"/>
  <c r="J15" l="1"/>
  <c r="J19" s="1"/>
  <c r="C62" s="1"/>
  <c r="G19"/>
  <c r="C27"/>
  <c r="D137" l="1"/>
  <c r="D62"/>
  <c r="C28"/>
  <c r="C29" l="1"/>
  <c r="C30" l="1"/>
  <c r="C31" l="1"/>
  <c r="C32" l="1"/>
  <c r="C33" l="1"/>
  <c r="C34" l="1"/>
  <c r="Z8" i="5" l="1"/>
  <c r="AA8" s="1"/>
  <c r="O7" l="1"/>
  <c r="Z7" s="1"/>
  <c r="AA7" s="1"/>
  <c r="Z17"/>
  <c r="AA17" s="1"/>
  <c r="Z10"/>
  <c r="AA10" s="1"/>
  <c r="Z11"/>
  <c r="AA11" s="1"/>
  <c r="Z16"/>
  <c r="AA16" s="1"/>
  <c r="C35" i="11"/>
  <c r="Z18" i="5"/>
  <c r="AA18" s="1"/>
  <c r="Z14"/>
  <c r="AA14" s="1"/>
  <c r="Z12"/>
  <c r="AA12" s="1"/>
  <c r="Z9"/>
  <c r="AA9" s="1"/>
  <c r="O66" i="6" l="1"/>
  <c r="K132" i="11" s="1"/>
  <c r="C137" s="1"/>
  <c r="C36"/>
  <c r="C38" s="1"/>
  <c r="Z13" i="5"/>
  <c r="AA13" s="1"/>
  <c r="Z15"/>
  <c r="AA15" s="1"/>
  <c r="Z19" l="1"/>
  <c r="AA19" s="1"/>
  <c r="Z20"/>
  <c r="AA20" s="1"/>
  <c r="Z21" l="1"/>
  <c r="AA21" s="1"/>
  <c r="Z22"/>
  <c r="AA22" s="1"/>
  <c r="Z23" l="1"/>
  <c r="AA23" s="1"/>
  <c r="N27"/>
  <c r="O27"/>
  <c r="E77" i="11"/>
  <c r="F77" s="1"/>
  <c r="G78" s="1"/>
  <c r="G98"/>
  <c r="G109" l="1"/>
  <c r="I109" s="1"/>
  <c r="K109" s="1"/>
  <c r="G99"/>
  <c r="G96"/>
  <c r="AB38" i="6"/>
  <c r="AB40"/>
  <c r="G97" i="11" l="1"/>
  <c r="O45" i="6"/>
  <c r="G118" i="11"/>
  <c r="I118" s="1"/>
  <c r="K122" s="1"/>
  <c r="G110" l="1"/>
  <c r="M31" i="6" l="1"/>
  <c r="O32" s="1"/>
  <c r="O35" s="1"/>
  <c r="O46" s="1"/>
  <c r="G103" i="11" l="1"/>
  <c r="I108" s="1"/>
  <c r="K108" s="1"/>
  <c r="I110" s="1"/>
  <c r="K110" s="1"/>
  <c r="K123" s="1"/>
  <c r="Z27" i="5"/>
  <c r="M27"/>
  <c r="O4" i="6" l="1"/>
  <c r="O7" s="1"/>
  <c r="O11" s="1"/>
  <c r="O16" s="1"/>
  <c r="O18" s="1"/>
  <c r="O47" s="1"/>
  <c r="O48" s="1"/>
  <c r="AA23"/>
  <c r="Z23" s="1"/>
  <c r="AA27" s="1"/>
  <c r="AA6" i="5"/>
  <c r="AA27" s="1"/>
  <c r="G71" i="11" l="1"/>
  <c r="I74" s="1"/>
  <c r="I79" s="1"/>
  <c r="K87" s="1"/>
  <c r="K92" s="1"/>
  <c r="K124" s="1"/>
  <c r="K125" s="1"/>
  <c r="Y52" i="6"/>
  <c r="Z59"/>
  <c r="AB56"/>
  <c r="AD52"/>
  <c r="AD53"/>
  <c r="AC52"/>
  <c r="X52"/>
  <c r="AA52" s="1"/>
  <c r="AD54"/>
  <c r="AC54"/>
  <c r="AC55"/>
  <c r="AC56"/>
  <c r="Z52"/>
  <c r="AB54"/>
  <c r="AE54" s="1"/>
  <c r="O55" s="1"/>
  <c r="AC51"/>
  <c r="X51"/>
  <c r="AA51" s="1"/>
  <c r="Y59"/>
  <c r="AD56"/>
  <c r="X59"/>
  <c r="AD55"/>
  <c r="Y53"/>
  <c r="Y51"/>
  <c r="AB51"/>
  <c r="Z53"/>
  <c r="AB52"/>
  <c r="AE52" s="1"/>
  <c r="X53"/>
  <c r="AC53"/>
  <c r="AB53"/>
  <c r="AB55"/>
  <c r="AE55" s="1"/>
  <c r="O56" s="1"/>
  <c r="AD51"/>
  <c r="AA53" l="1"/>
  <c r="O54" s="1"/>
  <c r="AE53"/>
  <c r="AE56"/>
  <c r="O57" s="1"/>
  <c r="AD57"/>
  <c r="O53"/>
  <c r="AB57"/>
  <c r="AE57" s="1"/>
  <c r="AE51"/>
  <c r="O52" s="1"/>
  <c r="Y57"/>
  <c r="AC57"/>
  <c r="X57"/>
  <c r="AA57" s="1"/>
  <c r="Z57"/>
  <c r="O58" l="1"/>
  <c r="O59" s="1"/>
  <c r="I126" i="11" s="1"/>
  <c r="K127" s="1"/>
  <c r="K128" s="1"/>
  <c r="K129" s="1"/>
  <c r="K131" s="1"/>
  <c r="O60" i="6" l="1"/>
  <c r="O61" s="1"/>
  <c r="O62" s="1"/>
  <c r="O64" s="1"/>
  <c r="O67" s="1"/>
  <c r="B133" i="11"/>
  <c r="K133"/>
  <c r="A67" i="6" l="1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<sst xmlns="http://schemas.openxmlformats.org/spreadsheetml/2006/main" count="529" uniqueCount="435">
  <si>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</si>
  <si>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</si>
  <si>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</si>
  <si>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</si>
  <si>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</si>
  <si>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</si>
  <si>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</si>
  <si>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</si>
  <si>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</si>
  <si>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</si>
  <si>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</si>
  <si>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</si>
  <si>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</si>
  <si>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</si>
  <si>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</si>
  <si>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APR</t>
  </si>
  <si>
    <t>MAY</t>
  </si>
  <si>
    <t>JUN</t>
  </si>
  <si>
    <t>ije~ iwT; xw:nso Jh Jh 1008 oklwnso th egkjkt</t>
  </si>
  <si>
    <t>JUL</t>
  </si>
  <si>
    <t>Heeralal jat</t>
  </si>
  <si>
    <t>Designation :-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</si>
  <si>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</si>
  <si>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</si>
  <si>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</si>
  <si>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</si>
  <si>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</si>
  <si>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</si>
  <si>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</si>
  <si>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</si>
  <si>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</si>
  <si>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</si>
  <si>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</si>
  <si>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</si>
  <si>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CCA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</si>
  <si>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</si>
  <si>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</si>
  <si>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</si>
  <si>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</si>
  <si>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</si>
  <si>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</si>
  <si>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</si>
  <si>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</si>
  <si>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</si>
  <si>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HRA</t>
  </si>
  <si>
    <t>Bonus</t>
  </si>
  <si>
    <t>Above 60</t>
  </si>
  <si>
    <t>FEB</t>
  </si>
  <si>
    <t>PL Surrender</t>
  </si>
  <si>
    <t>Employee Name :-</t>
  </si>
  <si>
    <t>Other Arrear</t>
  </si>
  <si>
    <t xml:space="preserve">Other 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</si>
  <si>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</si>
  <si>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osru dVkSrh ds vfrfjDr dVkSfr;k ftlds rgr vki vk;dj esa NwV pkgrs gSa] rFkk vfrfjDr ¼vU;½ vk; dks ;gkW ij bUnzkt djsA</t>
  </si>
  <si>
    <t>osru Mªk ekufp=</t>
  </si>
  <si>
    <t>PAN No. :-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</si>
  <si>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</si>
  <si>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</si>
  <si>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</si>
  <si>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</si>
  <si>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</si>
  <si>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</si>
  <si>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</si>
  <si>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</si>
  <si>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</si>
  <si>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</si>
  <si>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</si>
  <si>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</si>
  <si>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</si>
  <si>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</si>
  <si>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</si>
  <si>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</si>
  <si>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</si>
  <si>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</si>
  <si>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</si>
  <si>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</si>
  <si>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</si>
  <si>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</si>
  <si>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</si>
  <si>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</si>
  <si>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</si>
  <si>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</si>
  <si>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</si>
  <si>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</si>
  <si>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</si>
  <si>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</si>
  <si>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</si>
  <si>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</si>
  <si>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</si>
  <si>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</si>
  <si>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</si>
  <si>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</si>
  <si>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</si>
  <si>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</si>
  <si>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</si>
  <si>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</si>
  <si>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</si>
  <si>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</si>
  <si>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</si>
  <si>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</si>
  <si>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</si>
  <si>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</si>
  <si>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</si>
  <si>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</si>
  <si>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</si>
  <si>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</si>
  <si>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</si>
  <si>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</si>
  <si>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</si>
  <si>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</si>
  <si>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</si>
  <si>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</si>
  <si>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</si>
  <si>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</si>
  <si>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</si>
  <si>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</si>
  <si>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</si>
  <si>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</si>
  <si>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</si>
  <si>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</si>
  <si>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</si>
  <si>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</si>
  <si>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</si>
  <si>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</si>
  <si>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</si>
  <si>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</si>
  <si>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</si>
  <si>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</si>
  <si>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1-/kkjk </t>
    </r>
    <r>
      <rPr>
        <sz val="10"/>
        <rFont val="Calibri"/>
        <family val="2"/>
        <scheme val="minor"/>
      </rPr>
      <t>80 D</t>
    </r>
    <r>
      <rPr>
        <sz val="12"/>
        <rFont val="Kruti Dev 010"/>
      </rPr>
      <t xml:space="preserve"> fpfdRlk chek izhfe;e </t>
    </r>
    <r>
      <rPr>
        <sz val="10"/>
        <rFont val="Kruti Dev 010"/>
      </rPr>
      <t>¼Lo;a]ifr@iRuh o cPpksa ds fy, : 25000] ekrk&amp;firk ds fy, : 25000]lhfu;j flVhtu : 50000½</t>
    </r>
  </si>
  <si>
    <r>
      <t xml:space="preserve">2- /kkjk </t>
    </r>
    <r>
      <rPr>
        <sz val="10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</t>
    </r>
    <r>
      <rPr>
        <sz val="11"/>
        <rFont val="Kruti Dev 010"/>
      </rPr>
      <t xml:space="preserve">¼vf/kdre 75]000 rFkk </t>
    </r>
    <r>
      <rPr>
        <sz val="10"/>
        <rFont val="Calibri"/>
        <family val="2"/>
        <scheme val="minor"/>
      </rPr>
      <t>80%</t>
    </r>
    <r>
      <rPr>
        <sz val="11"/>
        <rFont val="Kruti Dev 010"/>
      </rPr>
      <t xml:space="preserve"> ;k vf/kd fodykaxrk 125]000½</t>
    </r>
  </si>
  <si>
    <r>
      <t xml:space="preserve">3- /kkjk </t>
    </r>
    <r>
      <rPr>
        <sz val="10"/>
        <rFont val="Calibri"/>
        <family val="2"/>
        <scheme val="minor"/>
      </rPr>
      <t>80DDB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fof'k"V jksaxksa ds mipkj gsrq dVkSrh </t>
    </r>
    <r>
      <rPr>
        <sz val="11"/>
        <rFont val="Kruti Dev 010"/>
      </rPr>
      <t>¼vf/kdre : 40]000] lhfu;j flVhtu gsrq : 100]000½</t>
    </r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</si>
  <si>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</si>
  <si>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r>
      <t xml:space="preserve">6- /kkjk </t>
    </r>
    <r>
      <rPr>
        <sz val="10"/>
        <rFont val="Calibri"/>
        <family val="2"/>
        <scheme val="minor"/>
      </rPr>
      <t>80U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LFkkbZ :i ls 'kkjhfjd vleFkZrrk dh n'kk esa </t>
    </r>
    <r>
      <rPr>
        <sz val="11"/>
        <rFont val="Kruti Dev 010"/>
      </rPr>
      <t>¼vf/kdre 75]000 rFkk  vf/kfu;e 1995ds vuqlkj 125]000½</t>
    </r>
  </si>
  <si>
    <r>
      <t xml:space="preserve">7- /kkjk </t>
    </r>
    <r>
      <rPr>
        <sz val="10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0"/>
        <rFont val="Calibri"/>
        <family val="2"/>
        <scheme val="minor"/>
      </rPr>
      <t xml:space="preserve">194(IA)  , </t>
    </r>
    <r>
      <rPr>
        <sz val="11"/>
        <rFont val="Calibri"/>
        <family val="2"/>
        <scheme val="minor"/>
      </rPr>
      <t xml:space="preserve">( </t>
    </r>
    <r>
      <rPr>
        <sz val="11"/>
        <rFont val="Kruti Dev 010"/>
      </rPr>
      <t>ofj"B ukxfjdks C;kt ij NwV 50000rd ½</t>
    </r>
  </si>
  <si>
    <r>
      <t xml:space="preserve">8- /kkjk </t>
    </r>
    <r>
      <rPr>
        <sz val="10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</si>
  <si>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</si>
  <si>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</si>
  <si>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</si>
  <si>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</si>
  <si>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</si>
  <si>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</si>
  <si>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</si>
  <si>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</si>
  <si>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</si>
  <si>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</si>
  <si>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</si>
  <si>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</si>
  <si>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</si>
  <si>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</si>
  <si>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</si>
  <si>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</si>
  <si>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</si>
  <si>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</si>
  <si>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r>
      <t xml:space="preserve">ljdkj }kjk ns; </t>
    </r>
    <r>
      <rPr>
        <sz val="12"/>
        <rFont val="Calibri"/>
        <family val="2"/>
        <scheme val="minor"/>
      </rPr>
      <t xml:space="preserve">NPS </t>
    </r>
    <r>
      <rPr>
        <sz val="12"/>
        <rFont val="Kruti Dev 010"/>
      </rPr>
      <t>dh jkf'k &amp;</t>
    </r>
  </si>
  <si>
    <r>
      <t xml:space="preserve">vk; % </t>
    </r>
    <r>
      <rPr>
        <sz val="11.5"/>
        <rFont val="Kruti Dev 010"/>
      </rPr>
      <t>o"kZ&amp;2020&amp;21 esa izkIr dqy osru ¼ dj ;ksX; lqfo/kkvksa ds eqY; lfgr ½</t>
    </r>
  </si>
  <si>
    <t>DA Arrear jul 19 to dec 20</t>
  </si>
  <si>
    <t>DA Arrear jan 20 to feb 20</t>
  </si>
  <si>
    <r>
      <t xml:space="preserve">Bonds </t>
    </r>
    <r>
      <rPr>
        <sz val="12"/>
        <rFont val="Kruti Dev 010"/>
      </rPr>
      <t>ls C;kt</t>
    </r>
  </si>
  <si>
    <t>2020-2021</t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</si>
  <si>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</si>
  <si>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</si>
  <si>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</si>
  <si>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</si>
  <si>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</si>
  <si>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</si>
  <si>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</si>
  <si>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</si>
  <si>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</si>
  <si>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</si>
  <si>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</si>
  <si>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</si>
  <si>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</si>
  <si>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</si>
  <si>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</si>
  <si>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</si>
  <si>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</si>
  <si>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</si>
  <si>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</si>
  <si>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</si>
  <si>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</si>
  <si>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</si>
  <si>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</si>
  <si>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</si>
  <si>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</si>
  <si>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</si>
  <si>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</si>
  <si>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</si>
  <si>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</si>
  <si>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</si>
  <si>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</si>
  <si>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</si>
  <si>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</si>
  <si>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</si>
  <si>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</si>
  <si>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t xml:space="preserve">24- vU; vk; ¼/kkjk 80 lh ds vUrxZr½ </t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</si>
  <si>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</si>
  <si>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</si>
  <si>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</si>
  <si>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</si>
  <si>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</si>
  <si>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</si>
  <si>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</si>
  <si>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Vh-Mh-,l-
:Ik;s</t>
  </si>
  <si>
    <t>Qjojh 2021
:i;s</t>
  </si>
  <si>
    <t>tuojh 2021
:i;s</t>
  </si>
  <si>
    <t>vDVwcj ls fnlEcj
2020 :i;s</t>
  </si>
  <si>
    <t>flrEcj 2020
rd  :i;s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</si>
  <si>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</si>
  <si>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</si>
  <si>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</si>
  <si>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EMPLOYEE  PAY  DETAIL</t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</si>
  <si>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</si>
  <si>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</si>
  <si>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</si>
  <si>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</si>
  <si>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lcls igys vki jktLFkku lHkh 'kSf{kd osclkbZV ij ,Dly xq: ghjkyky tkV }kjk fufeZr vk;dj x.kuk ,Dly ,Iyhds'ku 2020&amp;21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</si>
  <si>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</si>
  <si>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</si>
  <si>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</si>
  <si>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</si>
  <si>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</si>
  <si>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</si>
  <si>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</si>
  <si>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</si>
  <si>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</si>
  <si>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</si>
  <si>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</si>
  <si>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</si>
  <si>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</si>
  <si>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</si>
  <si>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</si>
  <si>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</si>
  <si>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</si>
  <si>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</si>
  <si>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</si>
  <si>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</si>
  <si>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</si>
  <si>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</si>
  <si>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</si>
  <si>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</si>
  <si>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</si>
  <si>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</si>
  <si>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</si>
  <si>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</si>
  <si>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</si>
  <si>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</si>
  <si>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</si>
  <si>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</si>
  <si>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</si>
  <si>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</si>
  <si>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</si>
  <si>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</si>
  <si>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</si>
  <si>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</si>
  <si>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</si>
  <si>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</si>
  <si>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</si>
  <si>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</si>
  <si>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</si>
  <si>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</si>
  <si>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</si>
  <si>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</si>
  <si>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</si>
  <si>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</si>
  <si>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</si>
  <si>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</si>
  <si>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</si>
  <si>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</si>
  <si>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</si>
  <si>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</si>
  <si>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</si>
  <si>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</si>
  <si>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</si>
  <si>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</si>
  <si>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</si>
  <si>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</si>
  <si>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</si>
  <si>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</si>
  <si>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</si>
  <si>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</si>
  <si>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</si>
  <si>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</si>
  <si>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</si>
  <si>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</si>
  <si>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</si>
  <si>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</si>
  <si>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</si>
  <si>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</si>
  <si>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</si>
  <si>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</si>
  <si>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</si>
  <si>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</si>
  <si>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</si>
  <si>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</si>
  <si>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</si>
  <si>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</si>
  <si>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</si>
  <si>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</si>
  <si>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</si>
  <si>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</si>
  <si>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</si>
  <si>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</si>
  <si>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</si>
  <si>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</si>
  <si>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</si>
  <si>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</si>
  <si>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</si>
  <si>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</si>
  <si>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Rs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</si>
  <si>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</si>
  <si>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</si>
  <si>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</si>
  <si>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</si>
  <si>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</si>
  <si>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</si>
  <si>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</si>
  <si>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</si>
  <si>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</si>
  <si>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</si>
  <si>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</si>
  <si>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</si>
  <si>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</si>
  <si>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</si>
  <si>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</si>
  <si>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</si>
  <si>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</si>
  <si>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</si>
  <si>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</si>
  <si>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</si>
  <si>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</si>
  <si>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</si>
  <si>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</si>
  <si>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</si>
  <si>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</si>
  <si>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</si>
  <si>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</si>
  <si>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</si>
  <si>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</si>
  <si>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</si>
  <si>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</si>
  <si>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</si>
  <si>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</si>
  <si>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</si>
  <si>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</si>
  <si>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</si>
  <si>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</si>
  <si>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</si>
  <si>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</si>
  <si>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</si>
  <si>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</si>
  <si>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</si>
  <si>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</si>
  <si>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</si>
  <si>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</si>
  <si>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</si>
  <si>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</si>
  <si>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</si>
  <si>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</si>
  <si>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</si>
  <si>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</si>
  <si>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</si>
  <si>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</si>
  <si>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</si>
  <si>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</si>
  <si>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</si>
  <si>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</si>
  <si>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</si>
  <si>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</si>
  <si>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</si>
  <si>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</si>
  <si>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</si>
  <si>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</si>
  <si>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</si>
  <si>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</si>
  <si>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</si>
  <si>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https://www.youtube.com/c/Heeralaljat/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</si>
  <si>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</si>
  <si>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</si>
  <si>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</si>
  <si>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>2021-2022)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</si>
  <si>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</si>
  <si>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https://www.youtube.com/watch?v=kSG6hPX7VSQ</t>
  </si>
  <si>
    <t>Move curser</t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</si>
  <si>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</si>
  <si>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</si>
  <si>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</si>
  <si>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</si>
  <si>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</si>
  <si>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(xxi)</t>
  </si>
  <si>
    <t>Pension Plan (US80ccc+US 80CCD)(1)+GPF-2004</t>
  </si>
  <si>
    <t>new update on 01-12-2020 
new updated related you tube video link</t>
  </si>
  <si>
    <t>https://youtu.be/FwBqjLiBd28</t>
  </si>
  <si>
    <t>किराये का 30%</t>
  </si>
  <si>
    <t>गृह ऋण पर ब्याज</t>
  </si>
  <si>
    <t>गृहकर</t>
  </si>
  <si>
    <t>Treasury Location :-</t>
  </si>
  <si>
    <t>Basic  Pay</t>
  </si>
  <si>
    <t xml:space="preserve">Dearness Pay
</t>
  </si>
  <si>
    <t xml:space="preserve">DA </t>
  </si>
  <si>
    <t>Interim Relief</t>
  </si>
  <si>
    <t>Other
Paymen</t>
  </si>
  <si>
    <t>Details of Payment</t>
  </si>
  <si>
    <t xml:space="preserve">Details of Deduction
</t>
  </si>
  <si>
    <t>S.I.</t>
  </si>
  <si>
    <t xml:space="preserve">GIS
</t>
  </si>
  <si>
    <t>Recovery</t>
  </si>
  <si>
    <t xml:space="preserve"> Conv. All. For. Phy. Cha/
Conv. All. </t>
  </si>
  <si>
    <t xml:space="preserve"> PP on pay</t>
  </si>
  <si>
    <t xml:space="preserve"> Fixed T.A./
Sumptuary All. </t>
  </si>
  <si>
    <t xml:space="preserve"> Relief Fund </t>
  </si>
  <si>
    <t xml:space="preserve"> Income Tax/
Profess.Tax/
FBF </t>
  </si>
  <si>
    <t xml:space="preserve"> GIS  (All India) </t>
  </si>
  <si>
    <t xml:space="preserve"> HRR </t>
  </si>
  <si>
    <t xml:space="preserve"> Court Deduction </t>
  </si>
  <si>
    <t>Other</t>
  </si>
  <si>
    <t xml:space="preserve"> Other AG Deduction </t>
  </si>
  <si>
    <t>Voucher N0.</t>
  </si>
  <si>
    <t xml:space="preserve">Voucher Date </t>
  </si>
  <si>
    <t xml:space="preserve"> Net   Salary </t>
  </si>
  <si>
    <t>E. ID</t>
  </si>
  <si>
    <t>B.E.O.PICHHOR</t>
  </si>
  <si>
    <r>
      <t>Employee Unique Code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</si>
  <si>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Middle Teacher</t>
  </si>
  <si>
    <t>Picchor Sub Treasury</t>
  </si>
  <si>
    <t xml:space="preserve">GHS HARIJAN BASTI PICHHORE </t>
  </si>
  <si>
    <t xml:space="preserve">PRINCIPAL, H.S.S.Girls PICHHORE (3932003025) M.P.
</t>
  </si>
  <si>
    <t>1- edku fdjk;k HkRrk ¼;fn jlhn ds ek/;e ls NwV ysuh gS rks ;gkW fy[ksa½</t>
  </si>
  <si>
    <t>38- jkgr /kkjk 89 ds rgr ¼ vxj NwV ysuh gS rks ;gkW fy[ksA½</t>
  </si>
  <si>
    <t xml:space="preserve"> Gross Salary</t>
  </si>
  <si>
    <t xml:space="preserve"> Total Deduction</t>
  </si>
  <si>
    <t xml:space="preserve">Age Group :- </t>
  </si>
  <si>
    <r>
      <t xml:space="preserve">9- thou chek izhfe;e 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</si>
  <si>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thou chek </t>
    </r>
    <r>
      <rPr>
        <sz val="10"/>
        <rFont val="Calibri"/>
        <family val="2"/>
        <scheme val="minor"/>
      </rPr>
      <t>(Extra LIC)</t>
    </r>
  </si>
  <si>
    <t xml:space="preserve">Other AG Deducation </t>
  </si>
  <si>
    <r>
      <t xml:space="preserve">;g ,Dly izksxzke esjs ije~ iwT; xq:nso Jh Jh 1008 oklqnso th egkjkt o esjs bZ"V izHkq t;  ctjaxcyh o ikcwth egkjkt dks lefiZr gSaA esjs ekrk &amp; firk o xq:tuksa ds vk'khokZn ls ;g izksxzke </t>
    </r>
    <r>
      <rPr>
        <b/>
        <sz val="16"/>
        <color rgb="FFFF0000"/>
        <rFont val="Kruti Dev 010"/>
      </rPr>
      <t>e/;izns'k jkT;</t>
    </r>
    <r>
      <rPr>
        <b/>
        <sz val="16"/>
        <color theme="1"/>
        <rFont val="Kruti Dev 010"/>
      </rPr>
      <t xml:space="preserve"> ds lHkh foHkkx ds dkfeZdksa dh lsok esa lknj izLrqr gSaA</t>
    </r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</si>
</sst>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0000\ 0000\ 0000\ "/>
    <numFmt numFmtId="167" formatCode="&quot;Rs.&quot;\ #,##0;&quot;Rs.&quot;\ \-#,##0"/>
    <numFmt numFmtId="168" formatCode="_ &quot;Rs.&quot;\ * #,##0.00_ ;_ &quot;Rs.&quot;\ * \-#,##0.00_ ;_ &quot;Rs.&quot;\ * &quot;-&quot;??_ ;_ @_ "/>
  </numFmts>
  <fonts count="18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6"/>
      <color rgb="FFFF0000"/>
      <name val="Kruti Dev 010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rgb="FF400E3C"/>
      <name val="Calibri"/>
      <family val="2"/>
      <scheme val="minor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8"/>
      <color indexed="17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i/>
      <u/>
      <sz val="16"/>
      <color rgb="FF0000FF"/>
      <name val="Calibri"/>
      <family val="2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u/>
      <sz val="14"/>
      <color theme="10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CC0099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5" tint="-0.249977111117893"/>
        <bgColor indexed="64"/>
      </patternFill>
    </fill>
  </fills>
  <borders count="84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</borders>
  <cellStyleXfs count="8"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protection locked="0"/>
    </xf>
    <xf numFmtId="0" fontId="41" fillId="0" borderId="0">
      <alignment vertical="center"/>
    </xf>
    <xf numFmtId="0" fontId="41" fillId="0" borderId="0">
      <protection locked="0"/>
    </xf>
    <xf numFmtId="0" fontId="41" fillId="0" borderId="0">
      <alignment vertical="center"/>
    </xf>
    <xf numFmtId="0" fontId="127" fillId="0" borderId="0" applyNumberFormat="0" applyFill="0" applyBorder="0" applyAlignment="0" applyProtection="0">
      <alignment vertical="top"/>
      <protection locked="0"/>
    </xf>
  </cellStyleXfs>
  <cellXfs count="661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23" fillId="2" borderId="0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7" fillId="0" borderId="0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 applyProtection="1">
      <protection hidden="1"/>
    </xf>
    <xf numFmtId="0" fontId="54" fillId="0" borderId="25" xfId="0" applyFont="1" applyBorder="1" applyAlignment="1" applyProtection="1">
      <alignment horizontal="center" vertical="center" wrapText="1"/>
      <protection hidden="1"/>
    </xf>
    <xf numFmtId="0" fontId="54" fillId="0" borderId="8" xfId="0" applyFont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wrapText="1"/>
      <protection hidden="1"/>
    </xf>
    <xf numFmtId="0" fontId="55" fillId="0" borderId="0" xfId="0" applyFont="1" applyAlignment="1" applyProtection="1">
      <alignment horizontal="center" vertical="center" wrapText="1"/>
      <protection hidden="1"/>
    </xf>
    <xf numFmtId="0" fontId="56" fillId="0" borderId="25" xfId="0" applyFont="1" applyBorder="1" applyAlignment="1" applyProtection="1">
      <alignment horizontal="center" vertical="center"/>
      <protection hidden="1"/>
    </xf>
    <xf numFmtId="0" fontId="40" fillId="0" borderId="0" xfId="0" applyFont="1" applyProtection="1">
      <protection hidden="1"/>
    </xf>
    <xf numFmtId="0" fontId="53" fillId="0" borderId="25" xfId="0" applyFont="1" applyBorder="1" applyAlignment="1" applyProtection="1">
      <alignment horizontal="center" vertical="center"/>
      <protection hidden="1"/>
    </xf>
    <xf numFmtId="0" fontId="56" fillId="0" borderId="16" xfId="0" applyFont="1" applyBorder="1" applyAlignment="1" applyProtection="1">
      <alignment horizontal="right" vertical="center"/>
      <protection hidden="1"/>
    </xf>
    <xf numFmtId="1" fontId="56" fillId="0" borderId="16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59" fillId="0" borderId="0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vertical="center"/>
      <protection hidden="1"/>
    </xf>
    <xf numFmtId="0" fontId="26" fillId="0" borderId="10" xfId="0" applyFont="1" applyBorder="1" applyAlignment="1" applyProtection="1">
      <alignment vertical="center" wrapText="1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46" fillId="0" borderId="0" xfId="3" applyFont="1" applyBorder="1" applyAlignment="1" applyProtection="1">
      <alignment vertical="center"/>
      <protection hidden="1"/>
    </xf>
    <xf numFmtId="0" fontId="69" fillId="0" borderId="0" xfId="0" applyFont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92" fillId="0" borderId="0" xfId="3" applyFont="1" applyBorder="1" applyAlignment="1" applyProtection="1">
      <protection hidden="1"/>
    </xf>
    <xf numFmtId="0" fontId="93" fillId="0" borderId="0" xfId="3" applyFont="1" applyBorder="1" applyAlignment="1" applyProtection="1">
      <protection hidden="1"/>
    </xf>
    <xf numFmtId="0" fontId="94" fillId="0" borderId="0" xfId="3" applyFont="1" applyBorder="1" applyAlignment="1" applyProtection="1">
      <alignment horizontal="center" vertical="center"/>
      <protection hidden="1"/>
    </xf>
    <xf numFmtId="0" fontId="93" fillId="0" borderId="0" xfId="6" applyFont="1" applyAlignment="1" applyProtection="1">
      <protection hidden="1"/>
    </xf>
    <xf numFmtId="0" fontId="73" fillId="0" borderId="0" xfId="6" applyFont="1" applyProtection="1">
      <alignment vertical="center"/>
      <protection hidden="1"/>
    </xf>
    <xf numFmtId="0" fontId="96" fillId="0" borderId="0" xfId="3" applyFont="1" applyBorder="1" applyAlignment="1" applyProtection="1">
      <alignment horizontal="right"/>
      <protection hidden="1"/>
    </xf>
    <xf numFmtId="0" fontId="93" fillId="0" borderId="0" xfId="3" applyFont="1" applyBorder="1" applyAlignment="1" applyProtection="1">
      <alignment horizontal="right"/>
      <protection hidden="1"/>
    </xf>
    <xf numFmtId="0" fontId="92" fillId="0" borderId="0" xfId="3" applyFont="1" applyFill="1" applyBorder="1" applyAlignment="1" applyProtection="1">
      <protection hidden="1"/>
    </xf>
    <xf numFmtId="0" fontId="95" fillId="0" borderId="0" xfId="3" applyFont="1" applyFill="1" applyAlignment="1" applyProtection="1">
      <alignment vertical="top"/>
      <protection hidden="1"/>
    </xf>
    <xf numFmtId="0" fontId="93" fillId="0" borderId="0" xfId="6" applyFont="1" applyFill="1" applyAlignment="1" applyProtection="1">
      <protection hidden="1"/>
    </xf>
    <xf numFmtId="0" fontId="92" fillId="0" borderId="0" xfId="3" applyFont="1" applyFill="1" applyAlignment="1" applyProtection="1">
      <protection hidden="1"/>
    </xf>
    <xf numFmtId="0" fontId="93" fillId="0" borderId="0" xfId="3" applyFont="1" applyFill="1" applyBorder="1" applyAlignment="1" applyProtection="1">
      <protection hidden="1"/>
    </xf>
    <xf numFmtId="0" fontId="97" fillId="0" borderId="0" xfId="3" applyFont="1" applyFill="1" applyBorder="1" applyAlignment="1" applyProtection="1">
      <alignment vertical="center"/>
      <protection hidden="1"/>
    </xf>
    <xf numFmtId="0" fontId="93" fillId="0" borderId="0" xfId="3" applyFont="1" applyFill="1" applyAlignment="1" applyProtection="1">
      <protection hidden="1"/>
    </xf>
    <xf numFmtId="0" fontId="96" fillId="0" borderId="0" xfId="3" applyFont="1" applyFill="1" applyAlignment="1" applyProtection="1">
      <protection hidden="1"/>
    </xf>
    <xf numFmtId="0" fontId="92" fillId="19" borderId="0" xfId="3" applyFont="1" applyFill="1" applyAlignment="1" applyProtection="1">
      <protection hidden="1"/>
    </xf>
    <xf numFmtId="0" fontId="93" fillId="19" borderId="0" xfId="3" applyFont="1" applyFill="1" applyAlignment="1" applyProtection="1">
      <protection hidden="1"/>
    </xf>
    <xf numFmtId="0" fontId="93" fillId="19" borderId="0" xfId="6" applyFont="1" applyFill="1" applyAlignment="1" applyProtection="1">
      <protection hidden="1"/>
    </xf>
    <xf numFmtId="0" fontId="0" fillId="19" borderId="0" xfId="0" applyFill="1" applyAlignment="1" applyProtection="1">
      <protection hidden="1"/>
    </xf>
    <xf numFmtId="0" fontId="0" fillId="19" borderId="0" xfId="0" applyFill="1" applyProtection="1">
      <protection hidden="1"/>
    </xf>
    <xf numFmtId="0" fontId="96" fillId="19" borderId="0" xfId="3" applyFont="1" applyFill="1" applyAlignment="1" applyProtection="1">
      <alignment horizontal="right"/>
      <protection hidden="1"/>
    </xf>
    <xf numFmtId="0" fontId="93" fillId="19" borderId="0" xfId="3" applyFont="1" applyFill="1" applyAlignment="1" applyProtection="1">
      <alignment horizontal="right"/>
      <protection hidden="1"/>
    </xf>
    <xf numFmtId="0" fontId="96" fillId="19" borderId="0" xfId="3" applyFont="1" applyFill="1" applyAlignment="1" applyProtection="1">
      <protection hidden="1"/>
    </xf>
    <xf numFmtId="2" fontId="93" fillId="19" borderId="0" xfId="3" applyNumberFormat="1" applyFont="1" applyFill="1" applyAlignment="1" applyProtection="1">
      <alignment horizontal="right"/>
      <protection hidden="1"/>
    </xf>
    <xf numFmtId="0" fontId="92" fillId="0" borderId="0" xfId="3" applyFont="1" applyAlignment="1" applyProtection="1">
      <protection hidden="1"/>
    </xf>
    <xf numFmtId="0" fontId="93" fillId="0" borderId="0" xfId="3" applyFont="1" applyAlignment="1" applyProtection="1">
      <protection hidden="1"/>
    </xf>
    <xf numFmtId="0" fontId="96" fillId="0" borderId="0" xfId="3" applyFont="1" applyAlignment="1" applyProtection="1">
      <alignment horizontal="right"/>
      <protection hidden="1"/>
    </xf>
    <xf numFmtId="0" fontId="93" fillId="0" borderId="0" xfId="3" applyFont="1" applyAlignment="1" applyProtection="1">
      <alignment horizontal="right"/>
      <protection hidden="1"/>
    </xf>
    <xf numFmtId="0" fontId="48" fillId="0" borderId="0" xfId="0" applyFont="1" applyProtection="1">
      <protection hidden="1"/>
    </xf>
    <xf numFmtId="0" fontId="48" fillId="0" borderId="0" xfId="0" applyFont="1" applyAlignment="1" applyProtection="1">
      <protection hidden="1"/>
    </xf>
    <xf numFmtId="2" fontId="76" fillId="0" borderId="29" xfId="6" applyNumberFormat="1" applyFont="1" applyBorder="1" applyAlignment="1" applyProtection="1"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29" fillId="0" borderId="0" xfId="0" applyFont="1" applyProtection="1">
      <protection hidden="1"/>
    </xf>
    <xf numFmtId="0" fontId="114" fillId="0" borderId="0" xfId="0" applyFont="1" applyAlignment="1" applyProtection="1">
      <protection hidden="1"/>
    </xf>
    <xf numFmtId="0" fontId="115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18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6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0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1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18" fillId="4" borderId="0" xfId="0" applyFont="1" applyFill="1" applyBorder="1" applyAlignment="1" applyProtection="1">
      <alignment horizontal="right" vertical="center"/>
      <protection hidden="1"/>
    </xf>
    <xf numFmtId="0" fontId="0" fillId="18" borderId="0" xfId="0" applyFill="1" applyProtection="1">
      <protection hidden="1"/>
    </xf>
    <xf numFmtId="0" fontId="0" fillId="29" borderId="0" xfId="0" applyFill="1" applyProtection="1">
      <protection hidden="1"/>
    </xf>
    <xf numFmtId="0" fontId="0" fillId="25" borderId="0" xfId="0" applyFill="1" applyProtection="1">
      <protection hidden="1"/>
    </xf>
    <xf numFmtId="0" fontId="0" fillId="26" borderId="0" xfId="0" applyFill="1" applyAlignment="1" applyProtection="1">
      <protection hidden="1"/>
    </xf>
    <xf numFmtId="0" fontId="7" fillId="19" borderId="8" xfId="0" applyFont="1" applyFill="1" applyBorder="1" applyAlignment="1" applyProtection="1">
      <alignment horizontal="center" vertical="center"/>
      <protection locked="0"/>
    </xf>
    <xf numFmtId="0" fontId="63" fillId="0" borderId="33" xfId="4" applyFont="1" applyBorder="1" applyAlignment="1" applyProtection="1">
      <alignment horizontal="center" vertical="center"/>
      <protection hidden="1"/>
    </xf>
    <xf numFmtId="0" fontId="63" fillId="0" borderId="34" xfId="4" applyFont="1" applyBorder="1" applyAlignment="1" applyProtection="1">
      <alignment horizontal="center" vertical="center"/>
      <protection hidden="1"/>
    </xf>
    <xf numFmtId="0" fontId="65" fillId="0" borderId="34" xfId="4" applyFont="1" applyBorder="1" applyAlignment="1" applyProtection="1">
      <alignment horizontal="right" vertical="center"/>
      <protection hidden="1"/>
    </xf>
    <xf numFmtId="0" fontId="66" fillId="0" borderId="0" xfId="4" applyFont="1" applyFill="1" applyBorder="1" applyAlignment="1" applyProtection="1">
      <alignment horizontal="center" vertical="center"/>
      <protection hidden="1"/>
    </xf>
    <xf numFmtId="1" fontId="63" fillId="0" borderId="29" xfId="4" applyNumberFormat="1" applyFont="1" applyBorder="1" applyAlignment="1" applyProtection="1">
      <alignment horizontal="right" vertical="center"/>
      <protection hidden="1"/>
    </xf>
    <xf numFmtId="1" fontId="5" fillId="0" borderId="37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63" fillId="0" borderId="39" xfId="4" applyFont="1" applyBorder="1" applyAlignment="1" applyProtection="1">
      <alignment horizontal="center" vertical="center"/>
      <protection hidden="1"/>
    </xf>
    <xf numFmtId="2" fontId="70" fillId="0" borderId="0" xfId="4" applyNumberFormat="1" applyFont="1" applyBorder="1" applyAlignment="1" applyProtection="1">
      <alignment horizontal="right" vertical="center"/>
      <protection hidden="1"/>
    </xf>
    <xf numFmtId="0" fontId="72" fillId="0" borderId="0" xfId="4" applyFont="1" applyBorder="1" applyAlignment="1" applyProtection="1">
      <alignment horizontal="center" vertical="center"/>
      <protection hidden="1"/>
    </xf>
    <xf numFmtId="0" fontId="75" fillId="0" borderId="0" xfId="4" applyFont="1" applyBorder="1" applyAlignment="1" applyProtection="1">
      <alignment horizontal="center" vertical="center"/>
      <protection hidden="1"/>
    </xf>
    <xf numFmtId="0" fontId="64" fillId="0" borderId="29" xfId="4" applyFont="1" applyBorder="1" applyAlignment="1" applyProtection="1">
      <alignment horizontal="center" vertical="center"/>
      <protection hidden="1"/>
    </xf>
    <xf numFmtId="0" fontId="64" fillId="0" borderId="30" xfId="4" applyFont="1" applyBorder="1" applyAlignment="1" applyProtection="1">
      <alignment horizontal="center" vertical="center"/>
      <protection hidden="1"/>
    </xf>
    <xf numFmtId="0" fontId="77" fillId="0" borderId="0" xfId="4" applyFont="1" applyBorder="1" applyAlignment="1" applyProtection="1">
      <alignment horizontal="left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0" fontId="80" fillId="0" borderId="29" xfId="4" applyFont="1" applyBorder="1" applyAlignment="1" applyProtection="1">
      <alignment horizontal="center"/>
      <protection hidden="1"/>
    </xf>
    <xf numFmtId="0" fontId="63" fillId="0" borderId="29" xfId="4" applyFont="1" applyBorder="1" applyAlignment="1" applyProtection="1">
      <alignment horizontal="right"/>
      <protection hidden="1"/>
    </xf>
    <xf numFmtId="1" fontId="82" fillId="0" borderId="29" xfId="4" applyNumberFormat="1" applyFont="1" applyBorder="1" applyAlignment="1" applyProtection="1">
      <alignment horizontal="right"/>
      <protection hidden="1"/>
    </xf>
    <xf numFmtId="0" fontId="83" fillId="0" borderId="29" xfId="4" applyFont="1" applyBorder="1" applyAlignment="1" applyProtection="1">
      <alignment horizontal="center"/>
      <protection hidden="1"/>
    </xf>
    <xf numFmtId="0" fontId="70" fillId="0" borderId="0" xfId="4" applyFont="1" applyBorder="1" applyAlignment="1" applyProtection="1">
      <alignment horizontal="center" vertical="center"/>
      <protection hidden="1"/>
    </xf>
    <xf numFmtId="1" fontId="82" fillId="27" borderId="29" xfId="4" applyNumberFormat="1" applyFont="1" applyFill="1" applyBorder="1" applyAlignment="1" applyProtection="1">
      <alignment horizontal="right"/>
      <protection hidden="1"/>
    </xf>
    <xf numFmtId="1" fontId="86" fillId="0" borderId="29" xfId="4" applyNumberFormat="1" applyFont="1" applyBorder="1" applyAlignment="1" applyProtection="1">
      <alignment horizontal="right"/>
      <protection hidden="1"/>
    </xf>
    <xf numFmtId="0" fontId="63" fillId="0" borderId="29" xfId="4" applyFont="1" applyBorder="1" applyAlignment="1" applyProtection="1">
      <alignment horizontal="right" vertical="center"/>
      <protection hidden="1"/>
    </xf>
    <xf numFmtId="1" fontId="70" fillId="0" borderId="37" xfId="4" applyNumberFormat="1" applyFont="1" applyBorder="1" applyAlignment="1" applyProtection="1">
      <alignment horizontal="right" vertical="center"/>
      <protection hidden="1"/>
    </xf>
    <xf numFmtId="1" fontId="64" fillId="0" borderId="37" xfId="4" applyNumberFormat="1" applyFont="1" applyBorder="1" applyAlignment="1" applyProtection="1">
      <alignment horizontal="right" vertical="center"/>
      <protection hidden="1"/>
    </xf>
    <xf numFmtId="2" fontId="89" fillId="0" borderId="0" xfId="4" applyNumberFormat="1" applyFont="1" applyBorder="1" applyAlignment="1" applyProtection="1">
      <alignment horizontal="right" vertical="center"/>
      <protection hidden="1"/>
    </xf>
    <xf numFmtId="0" fontId="72" fillId="0" borderId="0" xfId="4" applyFont="1" applyBorder="1" applyAlignment="1" applyProtection="1">
      <alignment horizontal="left" vertical="center"/>
      <protection hidden="1"/>
    </xf>
    <xf numFmtId="0" fontId="84" fillId="0" borderId="29" xfId="4" applyFont="1" applyBorder="1" applyAlignment="1" applyProtection="1">
      <alignment horizontal="right" vertical="center"/>
      <protection hidden="1"/>
    </xf>
    <xf numFmtId="0" fontId="77" fillId="0" borderId="37" xfId="4" applyFont="1" applyBorder="1" applyAlignment="1" applyProtection="1">
      <alignment vertical="center"/>
      <protection hidden="1"/>
    </xf>
    <xf numFmtId="0" fontId="77" fillId="0" borderId="0" xfId="4" applyFont="1" applyBorder="1" applyAlignment="1" applyProtection="1">
      <alignment vertical="center"/>
      <protection hidden="1"/>
    </xf>
    <xf numFmtId="9" fontId="65" fillId="0" borderId="29" xfId="4" applyNumberFormat="1" applyFont="1" applyBorder="1" applyAlignment="1" applyProtection="1">
      <alignment horizontal="center" vertical="center"/>
      <protection hidden="1"/>
    </xf>
    <xf numFmtId="1" fontId="89" fillId="0" borderId="37" xfId="4" applyNumberFormat="1" applyFont="1" applyBorder="1" applyAlignment="1" applyProtection="1">
      <alignment vertical="center"/>
      <protection hidden="1"/>
    </xf>
    <xf numFmtId="2" fontId="70" fillId="0" borderId="0" xfId="4" applyNumberFormat="1" applyFont="1" applyBorder="1" applyAlignment="1" applyProtection="1">
      <alignment vertical="center"/>
      <protection hidden="1"/>
    </xf>
    <xf numFmtId="0" fontId="65" fillId="0" borderId="29" xfId="4" applyFont="1" applyBorder="1" applyAlignment="1" applyProtection="1">
      <alignment horizontal="center" vertical="center"/>
      <protection hidden="1"/>
    </xf>
    <xf numFmtId="0" fontId="76" fillId="0" borderId="29" xfId="4" applyFont="1" applyBorder="1" applyAlignment="1" applyProtection="1">
      <alignment horizontal="center" vertical="center" wrapText="1"/>
      <protection hidden="1"/>
    </xf>
    <xf numFmtId="0" fontId="104" fillId="0" borderId="37" xfId="4" applyFont="1" applyBorder="1" applyAlignment="1" applyProtection="1">
      <alignment horizontal="center" vertical="center" wrapText="1"/>
      <protection hidden="1"/>
    </xf>
    <xf numFmtId="0" fontId="77" fillId="0" borderId="0" xfId="4" applyFont="1" applyBorder="1" applyAlignment="1" applyProtection="1">
      <alignment horizontal="center" vertical="center" wrapText="1"/>
      <protection hidden="1"/>
    </xf>
    <xf numFmtId="1" fontId="64" fillId="0" borderId="29" xfId="4" applyNumberFormat="1" applyFont="1" applyBorder="1" applyAlignment="1" applyProtection="1">
      <alignment horizontal="center"/>
      <protection hidden="1"/>
    </xf>
    <xf numFmtId="1" fontId="64" fillId="0" borderId="37" xfId="4" applyNumberFormat="1" applyFont="1" applyBorder="1" applyAlignment="1" applyProtection="1">
      <alignment vertical="center" wrapText="1"/>
      <protection hidden="1"/>
    </xf>
    <xf numFmtId="2" fontId="70" fillId="0" borderId="0" xfId="4" applyNumberFormat="1" applyFont="1" applyBorder="1" applyAlignment="1" applyProtection="1">
      <alignment horizontal="right" vertical="center" wrapText="1"/>
      <protection hidden="1"/>
    </xf>
    <xf numFmtId="0" fontId="63" fillId="0" borderId="41" xfId="4" applyFont="1" applyBorder="1" applyAlignment="1" applyProtection="1">
      <alignment horizontal="right" vertical="center"/>
      <protection hidden="1"/>
    </xf>
    <xf numFmtId="1" fontId="90" fillId="0" borderId="42" xfId="4" applyNumberFormat="1" applyFont="1" applyBorder="1" applyAlignment="1" applyProtection="1">
      <alignment horizontal="right" vertical="center"/>
      <protection hidden="1"/>
    </xf>
    <xf numFmtId="0" fontId="91" fillId="0" borderId="0" xfId="4" applyFont="1" applyBorder="1" applyAlignment="1" applyProtection="1">
      <alignment horizontal="right" vertical="center"/>
      <protection hidden="1"/>
    </xf>
    <xf numFmtId="0" fontId="63" fillId="0" borderId="0" xfId="4" applyFont="1" applyBorder="1" applyAlignment="1" applyProtection="1">
      <alignment horizontal="right" vertical="center"/>
      <protection hidden="1"/>
    </xf>
    <xf numFmtId="0" fontId="117" fillId="0" borderId="0" xfId="0" applyFont="1" applyProtection="1">
      <protection locked="0"/>
    </xf>
    <xf numFmtId="0" fontId="0" fillId="0" borderId="0" xfId="0" applyProtection="1">
      <protection locked="0"/>
    </xf>
    <xf numFmtId="0" fontId="29" fillId="0" borderId="0" xfId="0" applyFont="1" applyProtection="1"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116" fillId="0" borderId="0" xfId="0" applyFont="1" applyBorder="1" applyAlignment="1" applyProtection="1">
      <alignment vertical="center" wrapText="1"/>
      <protection locked="0"/>
    </xf>
    <xf numFmtId="0" fontId="134" fillId="0" borderId="0" xfId="0" applyFont="1" applyAlignment="1" applyProtection="1">
      <alignment horizontal="center" vertical="center"/>
      <protection hidden="1"/>
    </xf>
    <xf numFmtId="0" fontId="122" fillId="40" borderId="49" xfId="0" applyFont="1" applyFill="1" applyBorder="1" applyAlignment="1" applyProtection="1">
      <alignment horizontal="center" vertical="center"/>
      <protection hidden="1"/>
    </xf>
    <xf numFmtId="0" fontId="4" fillId="41" borderId="49" xfId="0" applyFont="1" applyFill="1" applyBorder="1" applyAlignment="1" applyProtection="1">
      <alignment horizontal="center" vertical="center"/>
      <protection hidden="1"/>
    </xf>
    <xf numFmtId="0" fontId="74" fillId="41" borderId="49" xfId="0" applyFont="1" applyFill="1" applyBorder="1" applyAlignment="1" applyProtection="1">
      <alignment horizontal="justify" vertical="justify" wrapText="1"/>
      <protection hidden="1"/>
    </xf>
    <xf numFmtId="0" fontId="20" fillId="44" borderId="51" xfId="0" applyFont="1" applyFill="1" applyBorder="1" applyAlignment="1" applyProtection="1">
      <alignment horizontal="center" vertical="top"/>
      <protection hidden="1"/>
    </xf>
    <xf numFmtId="0" fontId="74" fillId="42" borderId="49" xfId="0" applyFont="1" applyFill="1" applyBorder="1" applyAlignment="1" applyProtection="1">
      <alignment horizontal="justify" vertical="justify" wrapText="1"/>
      <protection hidden="1"/>
    </xf>
    <xf numFmtId="0" fontId="28" fillId="46" borderId="0" xfId="0" applyFont="1" applyFill="1" applyAlignment="1" applyProtection="1">
      <alignment horizontal="center" vertical="center"/>
      <protection hidden="1"/>
    </xf>
    <xf numFmtId="0" fontId="140" fillId="0" borderId="0" xfId="0" applyFont="1" applyBorder="1" applyAlignment="1" applyProtection="1">
      <alignment horizontal="center" vertical="center" wrapText="1"/>
      <protection hidden="1"/>
    </xf>
    <xf numFmtId="0" fontId="135" fillId="47" borderId="55" xfId="0" applyFont="1" applyFill="1" applyBorder="1" applyAlignment="1" applyProtection="1">
      <alignment horizontal="center" vertical="center" wrapText="1"/>
      <protection locked="0"/>
    </xf>
    <xf numFmtId="49" fontId="139" fillId="0" borderId="44" xfId="0" applyNumberFormat="1" applyFont="1" applyBorder="1" applyAlignment="1" applyProtection="1">
      <alignment horizontal="center" vertical="center" wrapText="1"/>
      <protection locked="0"/>
    </xf>
    <xf numFmtId="167" fontId="136" fillId="50" borderId="55" xfId="0" applyNumberFormat="1" applyFont="1" applyFill="1" applyBorder="1" applyAlignment="1" applyProtection="1">
      <alignment horizontal="center" vertical="center" wrapText="1"/>
      <protection locked="0"/>
    </xf>
    <xf numFmtId="0" fontId="135" fillId="0" borderId="55" xfId="0" applyFont="1" applyFill="1" applyBorder="1" applyAlignment="1" applyProtection="1">
      <alignment horizontal="center" vertical="center" wrapText="1"/>
      <protection hidden="1"/>
    </xf>
    <xf numFmtId="0" fontId="136" fillId="0" borderId="55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60" fillId="0" borderId="55" xfId="0" applyFont="1" applyBorder="1" applyAlignment="1" applyProtection="1">
      <alignment horizontal="center" vertical="center"/>
      <protection hidden="1"/>
    </xf>
    <xf numFmtId="167" fontId="135" fillId="0" borderId="55" xfId="0" applyNumberFormat="1" applyFont="1" applyBorder="1" applyAlignment="1" applyProtection="1">
      <alignment horizontal="center" vertical="center" wrapText="1"/>
      <protection hidden="1"/>
    </xf>
    <xf numFmtId="0" fontId="135" fillId="49" borderId="44" xfId="0" applyFont="1" applyFill="1" applyBorder="1" applyAlignment="1" applyProtection="1">
      <alignment horizontal="center" vertical="center" wrapText="1"/>
      <protection hidden="1"/>
    </xf>
    <xf numFmtId="0" fontId="139" fillId="0" borderId="44" xfId="0" applyFont="1" applyBorder="1" applyAlignment="1" applyProtection="1">
      <alignment horizontal="center" vertical="center" wrapText="1"/>
      <protection hidden="1"/>
    </xf>
    <xf numFmtId="49" fontId="139" fillId="0" borderId="44" xfId="0" applyNumberFormat="1" applyFont="1" applyBorder="1" applyAlignment="1" applyProtection="1">
      <alignment horizontal="center" vertical="center" wrapText="1"/>
      <protection hidden="1"/>
    </xf>
    <xf numFmtId="0" fontId="137" fillId="0" borderId="44" xfId="0" applyFont="1" applyBorder="1" applyAlignment="1" applyProtection="1">
      <alignment vertical="center" wrapText="1"/>
      <protection hidden="1"/>
    </xf>
    <xf numFmtId="0" fontId="139" fillId="0" borderId="64" xfId="0" applyFont="1" applyBorder="1" applyAlignment="1" applyProtection="1">
      <alignment horizontal="center" vertical="center" wrapText="1"/>
      <protection hidden="1"/>
    </xf>
    <xf numFmtId="0" fontId="137" fillId="0" borderId="64" xfId="0" applyFont="1" applyBorder="1" applyAlignment="1" applyProtection="1">
      <alignment horizontal="center" vertical="center" wrapText="1"/>
      <protection hidden="1"/>
    </xf>
    <xf numFmtId="0" fontId="100" fillId="0" borderId="0" xfId="0" applyFont="1" applyBorder="1" applyAlignment="1" applyProtection="1">
      <alignment horizontal="center" vertical="center" wrapText="1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0" fontId="145" fillId="0" borderId="0" xfId="0" applyFont="1" applyBorder="1" applyAlignment="1" applyProtection="1">
      <alignment horizontal="right" vertical="center" wrapText="1"/>
      <protection hidden="1"/>
    </xf>
    <xf numFmtId="2" fontId="140" fillId="0" borderId="0" xfId="0" applyNumberFormat="1" applyFont="1" applyBorder="1" applyAlignment="1" applyProtection="1">
      <alignment horizontal="center" vertical="center" wrapText="1"/>
      <protection hidden="1"/>
    </xf>
    <xf numFmtId="0" fontId="135" fillId="0" borderId="0" xfId="0" applyFont="1" applyBorder="1" applyAlignment="1" applyProtection="1">
      <alignment horizontal="right" vertical="center" wrapText="1"/>
      <protection hidden="1"/>
    </xf>
    <xf numFmtId="168" fontId="139" fillId="0" borderId="48" xfId="0" applyNumberFormat="1" applyFont="1" applyBorder="1" applyAlignment="1" applyProtection="1">
      <alignment horizontal="right" vertical="center" wrapText="1"/>
      <protection hidden="1"/>
    </xf>
    <xf numFmtId="0" fontId="139" fillId="0" borderId="48" xfId="0" applyFont="1" applyBorder="1" applyAlignment="1" applyProtection="1">
      <alignment horizontal="right" vertical="center" wrapText="1"/>
      <protection hidden="1"/>
    </xf>
    <xf numFmtId="0" fontId="139" fillId="0" borderId="48" xfId="0" applyFont="1" applyBorder="1" applyAlignment="1" applyProtection="1">
      <alignment horizontal="center" vertical="center" wrapText="1"/>
      <protection hidden="1"/>
    </xf>
    <xf numFmtId="2" fontId="139" fillId="0" borderId="48" xfId="0" applyNumberFormat="1" applyFont="1" applyBorder="1" applyAlignment="1" applyProtection="1">
      <alignment horizontal="center" vertical="center" wrapText="1"/>
      <protection hidden="1"/>
    </xf>
    <xf numFmtId="0" fontId="140" fillId="0" borderId="48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55" xfId="0" applyBorder="1" applyAlignment="1" applyProtection="1">
      <alignment horizontal="center"/>
      <protection hidden="1"/>
    </xf>
    <xf numFmtId="168" fontId="141" fillId="11" borderId="73" xfId="0" applyNumberFormat="1" applyFont="1" applyFill="1" applyBorder="1" applyAlignment="1" applyProtection="1">
      <alignment vertical="center" wrapText="1"/>
      <protection hidden="1"/>
    </xf>
    <xf numFmtId="168" fontId="141" fillId="11" borderId="74" xfId="0" applyNumberFormat="1" applyFont="1" applyFill="1" applyBorder="1" applyAlignment="1" applyProtection="1">
      <alignment vertical="center" wrapText="1"/>
      <protection hidden="1"/>
    </xf>
    <xf numFmtId="0" fontId="152" fillId="0" borderId="0" xfId="0" applyFont="1" applyBorder="1" applyAlignment="1" applyProtection="1">
      <alignment horizontal="center" wrapText="1"/>
      <protection hidden="1"/>
    </xf>
    <xf numFmtId="1" fontId="141" fillId="0" borderId="0" xfId="0" applyNumberFormat="1" applyFont="1" applyBorder="1" applyAlignment="1" applyProtection="1">
      <alignment horizontal="center" vertical="center" wrapText="1"/>
      <protection hidden="1"/>
    </xf>
    <xf numFmtId="168" fontId="139" fillId="0" borderId="48" xfId="0" applyNumberFormat="1" applyFont="1" applyBorder="1" applyAlignment="1" applyProtection="1">
      <alignment horizontal="right" vertical="center" wrapText="1"/>
      <protection locked="0"/>
    </xf>
    <xf numFmtId="165" fontId="144" fillId="0" borderId="24" xfId="0" applyNumberFormat="1" applyFont="1" applyBorder="1" applyAlignment="1" applyProtection="1">
      <alignment horizontal="center" vertical="center"/>
      <protection hidden="1"/>
    </xf>
    <xf numFmtId="0" fontId="127" fillId="0" borderId="0" xfId="7" applyAlignment="1" applyProtection="1">
      <protection hidden="1"/>
    </xf>
    <xf numFmtId="0" fontId="162" fillId="0" borderId="68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70" fillId="51" borderId="58" xfId="4" applyNumberFormat="1" applyFont="1" applyFill="1" applyBorder="1" applyAlignment="1" applyProtection="1">
      <alignment vertical="center"/>
      <protection hidden="1"/>
    </xf>
    <xf numFmtId="2" fontId="70" fillId="51" borderId="61" xfId="4" applyNumberFormat="1" applyFont="1" applyFill="1" applyBorder="1" applyAlignment="1" applyProtection="1">
      <alignment vertical="center"/>
      <protection hidden="1"/>
    </xf>
    <xf numFmtId="0" fontId="166" fillId="12" borderId="0" xfId="0" applyFont="1" applyFill="1" applyAlignment="1" applyProtection="1">
      <alignment horizontal="center" vertical="center"/>
      <protection hidden="1"/>
    </xf>
    <xf numFmtId="0" fontId="167" fillId="5" borderId="0" xfId="7" applyFont="1" applyFill="1" applyAlignment="1" applyProtection="1">
      <alignment horizontal="center" vertical="center" wrapText="1"/>
      <protection hidden="1"/>
    </xf>
    <xf numFmtId="0" fontId="163" fillId="31" borderId="0" xfId="7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113" fillId="0" borderId="0" xfId="0" applyFont="1" applyProtection="1">
      <protection hidden="1"/>
    </xf>
    <xf numFmtId="0" fontId="113" fillId="0" borderId="0" xfId="0" applyFont="1" applyProtection="1">
      <protection locked="0"/>
    </xf>
    <xf numFmtId="1" fontId="113" fillId="0" borderId="0" xfId="0" applyNumberFormat="1" applyFont="1" applyProtection="1">
      <protection hidden="1"/>
    </xf>
    <xf numFmtId="0" fontId="1" fillId="51" borderId="0" xfId="0" applyFont="1" applyFill="1" applyAlignment="1" applyProtection="1">
      <alignment horizontal="center" wrapText="1"/>
      <protection hidden="1"/>
    </xf>
    <xf numFmtId="0" fontId="177" fillId="0" borderId="0" xfId="7" applyFont="1" applyAlignment="1" applyProtection="1">
      <alignment vertical="center"/>
      <protection hidden="1"/>
    </xf>
    <xf numFmtId="0" fontId="177" fillId="0" borderId="0" xfId="7" applyFont="1" applyAlignment="1" applyProtection="1">
      <alignment horizontal="center" vertical="center"/>
      <protection hidden="1"/>
    </xf>
    <xf numFmtId="0" fontId="178" fillId="0" borderId="48" xfId="0" applyFont="1" applyBorder="1" applyAlignment="1" applyProtection="1">
      <alignment horizontal="center" vertical="center" wrapText="1"/>
      <protection hidden="1"/>
    </xf>
    <xf numFmtId="1" fontId="120" fillId="0" borderId="37" xfId="4" applyNumberFormat="1" applyFont="1" applyBorder="1" applyAlignment="1" applyProtection="1">
      <alignment horizontal="right" vertical="center"/>
      <protection locked="0"/>
    </xf>
    <xf numFmtId="1" fontId="82" fillId="0" borderId="29" xfId="4" applyNumberFormat="1" applyFont="1" applyBorder="1" applyAlignment="1" applyProtection="1">
      <alignment horizontal="right"/>
      <protection locked="0"/>
    </xf>
    <xf numFmtId="0" fontId="27" fillId="0" borderId="0" xfId="0" applyFont="1" applyAlignment="1" applyProtection="1">
      <protection hidden="1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37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locked="0"/>
    </xf>
    <xf numFmtId="0" fontId="54" fillId="0" borderId="8" xfId="0" applyFont="1" applyBorder="1" applyAlignment="1" applyProtection="1">
      <alignment horizontal="center" vertical="center" textRotation="90" wrapText="1"/>
      <protection hidden="1"/>
    </xf>
    <xf numFmtId="1" fontId="180" fillId="0" borderId="8" xfId="0" applyNumberFormat="1" applyFont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64" fontId="54" fillId="0" borderId="8" xfId="0" applyNumberFormat="1" applyFont="1" applyBorder="1" applyAlignment="1" applyProtection="1">
      <alignment horizontal="center" vertical="center" wrapText="1"/>
      <protection locked="0"/>
    </xf>
    <xf numFmtId="1" fontId="181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68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179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160" fillId="0" borderId="8" xfId="0" applyNumberFormat="1" applyFont="1" applyBorder="1" applyAlignment="1" applyProtection="1">
      <alignment horizontal="center" vertical="center" wrapText="1"/>
      <protection locked="0"/>
    </xf>
    <xf numFmtId="1" fontId="55" fillId="0" borderId="8" xfId="0" applyNumberFormat="1" applyFont="1" applyBorder="1" applyAlignment="1" applyProtection="1">
      <alignment horizontal="center" vertical="center" wrapText="1"/>
      <protection locked="0"/>
    </xf>
    <xf numFmtId="165" fontId="144" fillId="0" borderId="24" xfId="0" applyNumberFormat="1" applyFont="1" applyBorder="1" applyAlignment="1" applyProtection="1">
      <alignment horizontal="center" vertical="center" wrapText="1"/>
      <protection locked="0"/>
    </xf>
    <xf numFmtId="1" fontId="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8" xfId="0" applyFont="1" applyBorder="1" applyAlignment="1" applyProtection="1">
      <alignment horizontal="center" vertical="center" wrapText="1"/>
      <protection locked="0"/>
    </xf>
    <xf numFmtId="1" fontId="70" fillId="0" borderId="37" xfId="4" applyNumberFormat="1" applyFont="1" applyBorder="1" applyAlignment="1" applyProtection="1">
      <alignment horizontal="right" vertical="center"/>
      <protection locked="0"/>
    </xf>
    <xf numFmtId="0" fontId="165" fillId="12" borderId="0" xfId="0" applyFont="1" applyFill="1" applyAlignment="1" applyProtection="1">
      <alignment horizontal="center" vertical="center" wrapText="1"/>
      <protection hidden="1"/>
    </xf>
    <xf numFmtId="0" fontId="128" fillId="47" borderId="6" xfId="7" applyFont="1" applyFill="1" applyBorder="1" applyAlignment="1" applyProtection="1">
      <alignment horizontal="center"/>
      <protection hidden="1"/>
    </xf>
    <xf numFmtId="0" fontId="129" fillId="47" borderId="7" xfId="0" applyFont="1" applyFill="1" applyBorder="1" applyAlignment="1" applyProtection="1">
      <alignment horizontal="center"/>
      <protection hidden="1"/>
    </xf>
    <xf numFmtId="0" fontId="130" fillId="47" borderId="9" xfId="0" applyFont="1" applyFill="1" applyBorder="1" applyAlignment="1" applyProtection="1">
      <alignment horizontal="center"/>
      <protection hidden="1"/>
    </xf>
    <xf numFmtId="0" fontId="130" fillId="47" borderId="1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5" fillId="5" borderId="1" xfId="0" applyFont="1" applyFill="1" applyBorder="1" applyAlignment="1" applyProtection="1">
      <alignment horizontal="left" vertical="top" wrapText="1"/>
      <protection hidden="1"/>
    </xf>
    <xf numFmtId="0" fontId="133" fillId="47" borderId="3" xfId="0" applyFont="1" applyFill="1" applyBorder="1" applyAlignment="1" applyProtection="1">
      <alignment horizontal="center"/>
      <protection hidden="1"/>
    </xf>
    <xf numFmtId="0" fontId="133" fillId="47" borderId="5" xfId="0" applyFont="1" applyFill="1" applyBorder="1" applyAlignment="1" applyProtection="1">
      <alignment horizontal="center"/>
      <protection hidden="1"/>
    </xf>
    <xf numFmtId="0" fontId="132" fillId="47" borderId="6" xfId="0" applyFont="1" applyFill="1" applyBorder="1" applyAlignment="1" applyProtection="1">
      <alignment horizontal="center"/>
      <protection hidden="1"/>
    </xf>
    <xf numFmtId="0" fontId="132" fillId="47" borderId="7" xfId="0" applyFont="1" applyFill="1" applyBorder="1" applyAlignment="1" applyProtection="1">
      <alignment horizontal="center"/>
      <protection hidden="1"/>
    </xf>
    <xf numFmtId="0" fontId="131" fillId="47" borderId="6" xfId="0" applyFont="1" applyFill="1" applyBorder="1" applyAlignment="1" applyProtection="1">
      <alignment horizontal="center"/>
      <protection hidden="1"/>
    </xf>
    <xf numFmtId="0" fontId="131" fillId="47" borderId="7" xfId="0" applyFont="1" applyFill="1" applyBorder="1" applyAlignment="1" applyProtection="1">
      <alignment horizontal="center"/>
      <protection hidden="1"/>
    </xf>
    <xf numFmtId="0" fontId="125" fillId="39" borderId="48" xfId="0" applyFont="1" applyFill="1" applyBorder="1" applyAlignment="1" applyProtection="1">
      <alignment horizontal="center" vertical="top" wrapText="1"/>
      <protection hidden="1"/>
    </xf>
    <xf numFmtId="0" fontId="0" fillId="43" borderId="48" xfId="0" applyFill="1" applyBorder="1" applyAlignment="1" applyProtection="1">
      <alignment horizontal="center"/>
      <protection hidden="1"/>
    </xf>
    <xf numFmtId="0" fontId="0" fillId="43" borderId="50" xfId="0" applyFill="1" applyBorder="1" applyAlignment="1" applyProtection="1">
      <alignment horizontal="center"/>
      <protection hidden="1"/>
    </xf>
    <xf numFmtId="0" fontId="74" fillId="41" borderId="52" xfId="0" applyFont="1" applyFill="1" applyBorder="1" applyAlignment="1" applyProtection="1">
      <alignment horizontal="justify" vertical="center" wrapText="1"/>
      <protection hidden="1"/>
    </xf>
    <xf numFmtId="0" fontId="74" fillId="41" borderId="49" xfId="0" applyFont="1" applyFill="1" applyBorder="1" applyAlignment="1" applyProtection="1">
      <alignment horizontal="justify" vertical="center" wrapText="1"/>
      <protection hidden="1"/>
    </xf>
    <xf numFmtId="0" fontId="34" fillId="45" borderId="52" xfId="0" applyFont="1" applyFill="1" applyBorder="1" applyAlignment="1" applyProtection="1">
      <alignment horizontal="center" vertical="center"/>
      <protection hidden="1"/>
    </xf>
    <xf numFmtId="0" fontId="34" fillId="45" borderId="49" xfId="0" applyFont="1" applyFill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21" fillId="16" borderId="1" xfId="0" applyFont="1" applyFill="1" applyBorder="1" applyAlignment="1" applyProtection="1">
      <alignment horizontal="right" vertical="center"/>
      <protection hidden="1"/>
    </xf>
    <xf numFmtId="0" fontId="21" fillId="15" borderId="1" xfId="0" applyFont="1" applyFill="1" applyBorder="1" applyAlignment="1" applyProtection="1">
      <alignment horizontal="right" vertical="center"/>
      <protection hidden="1"/>
    </xf>
    <xf numFmtId="0" fontId="20" fillId="14" borderId="1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8" borderId="13" xfId="0" applyFont="1" applyFill="1" applyBorder="1" applyAlignment="1" applyProtection="1">
      <alignment horizontal="right" vertical="center"/>
      <protection hidden="1"/>
    </xf>
    <xf numFmtId="0" fontId="7" fillId="17" borderId="13" xfId="0" applyFont="1" applyFill="1" applyBorder="1" applyAlignment="1" applyProtection="1">
      <alignment horizontal="left" vertical="center"/>
      <protection locked="0"/>
    </xf>
    <xf numFmtId="0" fontId="7" fillId="7" borderId="13" xfId="0" applyFont="1" applyFill="1" applyBorder="1" applyAlignment="1" applyProtection="1">
      <alignment horizontal="right" vertical="center"/>
      <protection hidden="1"/>
    </xf>
    <xf numFmtId="0" fontId="7" fillId="6" borderId="13" xfId="0" applyFont="1" applyFill="1" applyBorder="1" applyAlignment="1" applyProtection="1">
      <alignment horizontal="left" vertical="center"/>
      <protection locked="0"/>
    </xf>
    <xf numFmtId="49" fontId="7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3" xfId="0" applyNumberFormat="1" applyFont="1" applyFill="1" applyBorder="1" applyAlignment="1" applyProtection="1">
      <alignment horizontal="left" vertical="center"/>
      <protection locked="0"/>
    </xf>
    <xf numFmtId="0" fontId="24" fillId="37" borderId="45" xfId="0" applyFont="1" applyFill="1" applyBorder="1" applyAlignment="1" applyProtection="1">
      <alignment horizontal="center" vertical="center"/>
      <protection hidden="1"/>
    </xf>
    <xf numFmtId="0" fontId="24" fillId="37" borderId="46" xfId="0" applyFont="1" applyFill="1" applyBorder="1" applyAlignment="1" applyProtection="1">
      <alignment horizontal="center" vertical="center"/>
      <protection hidden="1"/>
    </xf>
    <xf numFmtId="0" fontId="24" fillId="37" borderId="47" xfId="0" applyFont="1" applyFill="1" applyBorder="1" applyAlignment="1" applyProtection="1">
      <alignment horizontal="center" vertical="center"/>
      <protection hidden="1"/>
    </xf>
    <xf numFmtId="0" fontId="17" fillId="8" borderId="13" xfId="0" applyFont="1" applyFill="1" applyBorder="1" applyAlignment="1" applyProtection="1">
      <alignment horizontal="right" vertical="center"/>
      <protection hidden="1"/>
    </xf>
    <xf numFmtId="0" fontId="24" fillId="10" borderId="78" xfId="0" applyFont="1" applyFill="1" applyBorder="1" applyAlignment="1" applyProtection="1">
      <alignment horizontal="center" vertical="center"/>
      <protection hidden="1"/>
    </xf>
    <xf numFmtId="0" fontId="24" fillId="10" borderId="14" xfId="0" applyFont="1" applyFill="1" applyBorder="1" applyAlignment="1" applyProtection="1">
      <alignment horizontal="center" vertical="center"/>
      <protection hidden="1"/>
    </xf>
    <xf numFmtId="0" fontId="170" fillId="52" borderId="79" xfId="7" applyFont="1" applyFill="1" applyBorder="1" applyAlignment="1" applyProtection="1">
      <alignment horizontal="center" vertical="center"/>
      <protection hidden="1"/>
    </xf>
    <xf numFmtId="0" fontId="168" fillId="52" borderId="80" xfId="0" applyFont="1" applyFill="1" applyBorder="1" applyAlignment="1" applyProtection="1">
      <alignment horizontal="center" vertical="center"/>
      <protection hidden="1"/>
    </xf>
    <xf numFmtId="0" fontId="168" fillId="52" borderId="81" xfId="0" applyFont="1" applyFill="1" applyBorder="1" applyAlignment="1" applyProtection="1">
      <alignment horizontal="center" vertical="center"/>
      <protection hidden="1"/>
    </xf>
    <xf numFmtId="0" fontId="28" fillId="6" borderId="13" xfId="0" applyFont="1" applyFill="1" applyBorder="1" applyAlignment="1" applyProtection="1">
      <alignment horizontal="left" vertical="center" wrapText="1"/>
      <protection locked="0"/>
    </xf>
    <xf numFmtId="0" fontId="28" fillId="6" borderId="13" xfId="0" applyFont="1" applyFill="1" applyBorder="1" applyAlignment="1" applyProtection="1">
      <alignment horizontal="left" vertical="center"/>
      <protection locked="0"/>
    </xf>
    <xf numFmtId="0" fontId="7" fillId="6" borderId="13" xfId="0" applyNumberFormat="1" applyFont="1" applyFill="1" applyBorder="1" applyAlignment="1" applyProtection="1">
      <alignment horizontal="left" vertical="center"/>
      <protection locked="0"/>
    </xf>
    <xf numFmtId="166" fontId="7" fillId="6" borderId="13" xfId="0" applyNumberFormat="1" applyFont="1" applyFill="1" applyBorder="1" applyAlignment="1" applyProtection="1">
      <alignment horizontal="left" vertical="center"/>
      <protection locked="0"/>
    </xf>
    <xf numFmtId="1" fontId="7" fillId="6" borderId="13" xfId="0" applyNumberFormat="1" applyFont="1" applyFill="1" applyBorder="1" applyAlignment="1" applyProtection="1">
      <alignment horizontal="left" vertical="center"/>
      <protection locked="0"/>
    </xf>
    <xf numFmtId="0" fontId="38" fillId="2" borderId="0" xfId="0" applyFont="1" applyFill="1" applyAlignment="1" applyProtection="1">
      <alignment horizontal="center" vertical="center"/>
      <protection hidden="1"/>
    </xf>
    <xf numFmtId="0" fontId="36" fillId="13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5" fillId="3" borderId="15" xfId="0" applyFont="1" applyFill="1" applyBorder="1" applyAlignment="1" applyProtection="1">
      <alignment horizontal="center" vertical="center"/>
      <protection hidden="1"/>
    </xf>
    <xf numFmtId="3" fontId="7" fillId="6" borderId="13" xfId="0" applyNumberFormat="1" applyFont="1" applyFill="1" applyBorder="1" applyAlignment="1" applyProtection="1">
      <alignment horizontal="left" vertical="center"/>
      <protection locked="0"/>
    </xf>
    <xf numFmtId="0" fontId="171" fillId="18" borderId="0" xfId="7" applyFont="1" applyFill="1" applyAlignment="1" applyProtection="1">
      <alignment horizontal="center" vertical="center"/>
      <protection hidden="1"/>
    </xf>
    <xf numFmtId="0" fontId="44" fillId="18" borderId="0" xfId="0" applyFont="1" applyFill="1" applyAlignment="1" applyProtection="1">
      <alignment horizontal="center" vertical="center"/>
      <protection hidden="1"/>
    </xf>
    <xf numFmtId="0" fontId="172" fillId="18" borderId="0" xfId="0" applyFont="1" applyFill="1" applyAlignment="1" applyProtection="1">
      <alignment horizontal="center" vertical="top"/>
      <protection hidden="1"/>
    </xf>
    <xf numFmtId="0" fontId="50" fillId="23" borderId="0" xfId="0" applyFont="1" applyFill="1" applyAlignment="1" applyProtection="1">
      <alignment horizontal="center" vertical="center"/>
      <protection hidden="1"/>
    </xf>
    <xf numFmtId="0" fontId="0" fillId="24" borderId="17" xfId="0" applyFill="1" applyBorder="1" applyAlignment="1" applyProtection="1">
      <alignment horizontal="center"/>
      <protection hidden="1"/>
    </xf>
    <xf numFmtId="2" fontId="21" fillId="21" borderId="8" xfId="2" applyNumberFormat="1" applyFont="1" applyFill="1" applyBorder="1" applyAlignment="1" applyProtection="1">
      <alignment horizontal="left" vertical="center"/>
      <protection hidden="1"/>
    </xf>
    <xf numFmtId="2" fontId="47" fillId="21" borderId="8" xfId="2" applyNumberFormat="1" applyFont="1" applyFill="1" applyBorder="1" applyAlignment="1" applyProtection="1">
      <alignment horizontal="left" vertical="center" wrapText="1"/>
      <protection hidden="1"/>
    </xf>
    <xf numFmtId="2" fontId="21" fillId="32" borderId="8" xfId="2" applyNumberFormat="1" applyFont="1" applyFill="1" applyBorder="1" applyAlignment="1" applyProtection="1">
      <alignment horizontal="left" vertical="center" wrapText="1"/>
      <protection hidden="1"/>
    </xf>
    <xf numFmtId="2" fontId="47" fillId="21" borderId="16" xfId="2" applyNumberFormat="1" applyFont="1" applyFill="1" applyBorder="1" applyAlignment="1" applyProtection="1">
      <alignment horizontal="left" vertical="center"/>
      <protection hidden="1"/>
    </xf>
    <xf numFmtId="2" fontId="47" fillId="21" borderId="23" xfId="2" applyNumberFormat="1" applyFont="1" applyFill="1" applyBorder="1" applyAlignment="1" applyProtection="1">
      <alignment horizontal="lef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0" fillId="26" borderId="17" xfId="0" applyFill="1" applyBorder="1" applyAlignment="1" applyProtection="1">
      <alignment horizontal="center" vertical="center"/>
      <protection hidden="1"/>
    </xf>
    <xf numFmtId="2" fontId="112" fillId="34" borderId="8" xfId="2" applyNumberFormat="1" applyFont="1" applyFill="1" applyBorder="1" applyAlignment="1" applyProtection="1">
      <alignment horizontal="left" vertical="center"/>
      <protection hidden="1"/>
    </xf>
    <xf numFmtId="2" fontId="43" fillId="33" borderId="16" xfId="1" applyNumberFormat="1" applyFont="1" applyFill="1" applyBorder="1" applyAlignment="1" applyProtection="1">
      <alignment horizontal="left" vertical="center" wrapText="1"/>
      <protection hidden="1"/>
    </xf>
    <xf numFmtId="2" fontId="43" fillId="33" borderId="23" xfId="1" applyNumberFormat="1" applyFont="1" applyFill="1" applyBorder="1" applyAlignment="1" applyProtection="1">
      <alignment horizontal="left" vertical="center" wrapText="1"/>
      <protection hidden="1"/>
    </xf>
    <xf numFmtId="2" fontId="43" fillId="20" borderId="16" xfId="1" applyNumberFormat="1" applyFont="1" applyFill="1" applyBorder="1" applyAlignment="1" applyProtection="1">
      <alignment horizontal="left" vertical="center" wrapText="1"/>
      <protection hidden="1"/>
    </xf>
    <xf numFmtId="2" fontId="43" fillId="20" borderId="23" xfId="1" applyNumberFormat="1" applyFont="1" applyFill="1" applyBorder="1" applyAlignment="1" applyProtection="1">
      <alignment horizontal="left" vertical="center" wrapText="1"/>
      <protection hidden="1"/>
    </xf>
    <xf numFmtId="2" fontId="110" fillId="20" borderId="16" xfId="1" applyNumberFormat="1" applyFont="1" applyFill="1" applyBorder="1" applyAlignment="1" applyProtection="1">
      <alignment horizontal="left" vertical="center" wrapText="1"/>
      <protection hidden="1"/>
    </xf>
    <xf numFmtId="2" fontId="110" fillId="20" borderId="23" xfId="1" applyNumberFormat="1" applyFont="1" applyFill="1" applyBorder="1" applyAlignment="1" applyProtection="1">
      <alignment horizontal="left" vertical="center" wrapText="1"/>
      <protection hidden="1"/>
    </xf>
    <xf numFmtId="2" fontId="111" fillId="20" borderId="16" xfId="1" applyNumberFormat="1" applyFont="1" applyFill="1" applyBorder="1" applyAlignment="1" applyProtection="1">
      <alignment horizontal="left" vertical="center" wrapText="1"/>
      <protection hidden="1"/>
    </xf>
    <xf numFmtId="2" fontId="111" fillId="20" borderId="23" xfId="1" applyNumberFormat="1" applyFont="1" applyFill="1" applyBorder="1" applyAlignment="1" applyProtection="1">
      <alignment horizontal="left" vertical="center" wrapText="1"/>
      <protection hidden="1"/>
    </xf>
    <xf numFmtId="2" fontId="108" fillId="20" borderId="16" xfId="1" applyNumberFormat="1" applyFont="1" applyFill="1" applyBorder="1" applyAlignment="1" applyProtection="1">
      <alignment horizontal="left" vertical="center" wrapText="1"/>
      <protection hidden="1"/>
    </xf>
    <xf numFmtId="2" fontId="108" fillId="20" borderId="23" xfId="1" applyNumberFormat="1" applyFont="1" applyFill="1" applyBorder="1" applyAlignment="1" applyProtection="1">
      <alignment horizontal="left" vertical="center" wrapText="1"/>
      <protection hidden="1"/>
    </xf>
    <xf numFmtId="2" fontId="108" fillId="35" borderId="16" xfId="1" applyNumberFormat="1" applyFont="1" applyFill="1" applyBorder="1" applyAlignment="1" applyProtection="1">
      <alignment horizontal="left" vertical="center" wrapText="1"/>
      <protection hidden="1"/>
    </xf>
    <xf numFmtId="2" fontId="108" fillId="35" borderId="23" xfId="1" applyNumberFormat="1" applyFont="1" applyFill="1" applyBorder="1" applyAlignment="1" applyProtection="1">
      <alignment horizontal="left" vertical="center" wrapText="1"/>
      <protection hidden="1"/>
    </xf>
    <xf numFmtId="2" fontId="21" fillId="36" borderId="27" xfId="2" applyNumberFormat="1" applyFont="1" applyFill="1" applyBorder="1" applyAlignment="1" applyProtection="1">
      <alignment horizontal="left" vertical="center"/>
      <protection hidden="1"/>
    </xf>
    <xf numFmtId="2" fontId="21" fillId="36" borderId="28" xfId="2" applyNumberFormat="1" applyFont="1" applyFill="1" applyBorder="1" applyAlignment="1" applyProtection="1">
      <alignment horizontal="left" vertical="center"/>
      <protection hidden="1"/>
    </xf>
    <xf numFmtId="2" fontId="105" fillId="20" borderId="82" xfId="1" applyNumberFormat="1" applyFont="1" applyFill="1" applyBorder="1" applyAlignment="1" applyProtection="1">
      <alignment horizontal="left" vertical="center" wrapText="1"/>
      <protection hidden="1"/>
    </xf>
    <xf numFmtId="2" fontId="105" fillId="20" borderId="83" xfId="1" applyNumberFormat="1" applyFont="1" applyFill="1" applyBorder="1" applyAlignment="1" applyProtection="1">
      <alignment horizontal="left" vertical="center" wrapText="1"/>
      <protection hidden="1"/>
    </xf>
    <xf numFmtId="2" fontId="45" fillId="22" borderId="0" xfId="2" applyNumberFormat="1" applyFont="1" applyFill="1" applyBorder="1" applyAlignment="1" applyProtection="1">
      <alignment horizontal="left" vertical="center"/>
      <protection hidden="1"/>
    </xf>
    <xf numFmtId="2" fontId="45" fillId="22" borderId="53" xfId="2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8" fillId="0" borderId="0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51" fillId="0" borderId="4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28" fillId="0" borderId="19" xfId="0" applyNumberFormat="1" applyFont="1" applyBorder="1" applyAlignment="1" applyProtection="1">
      <alignment horizontal="left" vertical="center" wrapText="1"/>
      <protection hidden="1"/>
    </xf>
    <xf numFmtId="1" fontId="28" fillId="0" borderId="20" xfId="0" applyNumberFormat="1" applyFont="1" applyBorder="1" applyAlignment="1" applyProtection="1">
      <alignment horizontal="left" vertical="center" wrapText="1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textRotation="90"/>
      <protection hidden="1"/>
    </xf>
    <xf numFmtId="0" fontId="1" fillId="0" borderId="24" xfId="0" applyFont="1" applyBorder="1" applyAlignment="1" applyProtection="1">
      <alignment horizontal="center" vertical="center" textRotation="90"/>
      <protection hidden="1"/>
    </xf>
    <xf numFmtId="0" fontId="27" fillId="0" borderId="18" xfId="0" applyFont="1" applyBorder="1" applyAlignment="1" applyProtection="1">
      <alignment horizontal="right" vertical="center" wrapText="1"/>
      <protection hidden="1"/>
    </xf>
    <xf numFmtId="0" fontId="27" fillId="0" borderId="19" xfId="0" applyFont="1" applyBorder="1" applyAlignment="1" applyProtection="1">
      <alignment horizontal="right" vertical="center" wrapText="1"/>
      <protection hidden="1"/>
    </xf>
    <xf numFmtId="0" fontId="7" fillId="0" borderId="19" xfId="0" applyFont="1" applyBorder="1" applyAlignment="1" applyProtection="1">
      <alignment horizontal="left" vertical="center" wrapText="1"/>
      <protection hidden="1"/>
    </xf>
    <xf numFmtId="1" fontId="7" fillId="0" borderId="19" xfId="0" applyNumberFormat="1" applyFont="1" applyBorder="1" applyAlignment="1" applyProtection="1">
      <alignment horizontal="left" vertical="center" wrapText="1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27" fillId="0" borderId="6" xfId="0" applyFont="1" applyBorder="1" applyAlignment="1" applyProtection="1">
      <alignment horizontal="right" vertical="center" wrapText="1"/>
      <protection hidden="1"/>
    </xf>
    <xf numFmtId="0" fontId="27" fillId="0" borderId="0" xfId="0" applyFont="1" applyBorder="1" applyAlignment="1" applyProtection="1">
      <alignment horizontal="right" vertical="center" wrapText="1"/>
      <protection hidden="1"/>
    </xf>
    <xf numFmtId="0" fontId="52" fillId="0" borderId="0" xfId="0" applyFont="1" applyBorder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49" fillId="0" borderId="0" xfId="0" applyFont="1" applyBorder="1" applyAlignment="1" applyProtection="1">
      <alignment horizontal="center" vertical="center" wrapText="1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63" fillId="0" borderId="39" xfId="4" applyFont="1" applyBorder="1" applyAlignment="1" applyProtection="1">
      <alignment horizontal="center" vertical="top"/>
      <protection hidden="1"/>
    </xf>
    <xf numFmtId="0" fontId="65" fillId="0" borderId="29" xfId="4" applyFont="1" applyBorder="1" applyAlignment="1" applyProtection="1">
      <alignment horizontal="center"/>
      <protection hidden="1"/>
    </xf>
    <xf numFmtId="2" fontId="76" fillId="0" borderId="29" xfId="0" applyNumberFormat="1" applyFont="1" applyBorder="1" applyAlignment="1" applyProtection="1">
      <alignment horizontal="left"/>
      <protection hidden="1"/>
    </xf>
    <xf numFmtId="0" fontId="85" fillId="0" borderId="30" xfId="4" applyFont="1" applyBorder="1" applyAlignment="1" applyProtection="1">
      <alignment horizontal="right"/>
      <protection hidden="1"/>
    </xf>
    <xf numFmtId="0" fontId="85" fillId="0" borderId="31" xfId="4" applyFont="1" applyBorder="1" applyAlignment="1" applyProtection="1">
      <alignment horizontal="right"/>
      <protection hidden="1"/>
    </xf>
    <xf numFmtId="0" fontId="85" fillId="0" borderId="32" xfId="4" applyFont="1" applyBorder="1" applyAlignment="1" applyProtection="1">
      <alignment horizontal="right"/>
      <protection hidden="1"/>
    </xf>
    <xf numFmtId="0" fontId="73" fillId="0" borderId="29" xfId="4" applyFont="1" applyBorder="1" applyAlignment="1" applyProtection="1">
      <alignment horizontal="left"/>
      <protection locked="0"/>
    </xf>
    <xf numFmtId="0" fontId="76" fillId="0" borderId="29" xfId="4" applyFont="1" applyBorder="1" applyAlignment="1" applyProtection="1">
      <alignment horizontal="center" vertical="center" wrapText="1"/>
      <protection hidden="1"/>
    </xf>
    <xf numFmtId="0" fontId="104" fillId="0" borderId="29" xfId="4" applyFont="1" applyBorder="1" applyAlignment="1" applyProtection="1">
      <alignment horizontal="center" vertical="center" wrapText="1"/>
      <protection hidden="1"/>
    </xf>
    <xf numFmtId="0" fontId="84" fillId="0" borderId="29" xfId="4" applyFont="1" applyBorder="1" applyAlignment="1" applyProtection="1">
      <alignment horizontal="center" vertical="center" wrapText="1"/>
      <protection hidden="1"/>
    </xf>
    <xf numFmtId="1" fontId="64" fillId="0" borderId="29" xfId="4" applyNumberFormat="1" applyFont="1" applyBorder="1" applyAlignment="1" applyProtection="1">
      <alignment horizontal="center"/>
      <protection hidden="1"/>
    </xf>
    <xf numFmtId="2" fontId="70" fillId="0" borderId="0" xfId="4" applyNumberFormat="1" applyFont="1" applyBorder="1" applyAlignment="1" applyProtection="1">
      <alignment horizontal="center" vertical="center"/>
      <protection hidden="1"/>
    </xf>
    <xf numFmtId="0" fontId="161" fillId="50" borderId="56" xfId="0" applyFont="1" applyFill="1" applyBorder="1" applyAlignment="1" applyProtection="1">
      <alignment horizontal="center" vertical="center" wrapText="1"/>
      <protection hidden="1"/>
    </xf>
    <xf numFmtId="0" fontId="161" fillId="50" borderId="57" xfId="0" applyFont="1" applyFill="1" applyBorder="1" applyAlignment="1" applyProtection="1">
      <alignment horizontal="center" vertical="center" wrapText="1"/>
      <protection hidden="1"/>
    </xf>
    <xf numFmtId="0" fontId="161" fillId="50" borderId="58" xfId="0" applyFont="1" applyFill="1" applyBorder="1" applyAlignment="1" applyProtection="1">
      <alignment horizontal="center" vertical="center" wrapText="1"/>
      <protection hidden="1"/>
    </xf>
    <xf numFmtId="0" fontId="161" fillId="50" borderId="62" xfId="0" applyFont="1" applyFill="1" applyBorder="1" applyAlignment="1" applyProtection="1">
      <alignment horizontal="center" vertical="center" wrapText="1"/>
      <protection hidden="1"/>
    </xf>
    <xf numFmtId="0" fontId="161" fillId="50" borderId="0" xfId="0" applyFont="1" applyFill="1" applyBorder="1" applyAlignment="1" applyProtection="1">
      <alignment horizontal="center" vertical="center" wrapText="1"/>
      <protection hidden="1"/>
    </xf>
    <xf numFmtId="0" fontId="161" fillId="50" borderId="63" xfId="0" applyFont="1" applyFill="1" applyBorder="1" applyAlignment="1" applyProtection="1">
      <alignment horizontal="center" vertical="center" wrapText="1"/>
      <protection hidden="1"/>
    </xf>
    <xf numFmtId="0" fontId="161" fillId="50" borderId="59" xfId="0" applyFont="1" applyFill="1" applyBorder="1" applyAlignment="1" applyProtection="1">
      <alignment horizontal="center" vertical="center" wrapText="1"/>
      <protection hidden="1"/>
    </xf>
    <xf numFmtId="0" fontId="161" fillId="50" borderId="60" xfId="0" applyFont="1" applyFill="1" applyBorder="1" applyAlignment="1" applyProtection="1">
      <alignment horizontal="center" vertical="center" wrapText="1"/>
      <protection hidden="1"/>
    </xf>
    <xf numFmtId="0" fontId="161" fillId="50" borderId="61" xfId="0" applyFont="1" applyFill="1" applyBorder="1" applyAlignment="1" applyProtection="1">
      <alignment horizontal="center" vertical="center" wrapText="1"/>
      <protection hidden="1"/>
    </xf>
    <xf numFmtId="2" fontId="63" fillId="0" borderId="29" xfId="0" applyNumberFormat="1" applyFont="1" applyBorder="1" applyAlignment="1" applyProtection="1">
      <alignment horizontal="left"/>
      <protection hidden="1"/>
    </xf>
    <xf numFmtId="0" fontId="113" fillId="0" borderId="29" xfId="4" applyFont="1" applyBorder="1" applyAlignment="1" applyProtection="1">
      <alignment horizontal="center"/>
      <protection hidden="1"/>
    </xf>
    <xf numFmtId="0" fontId="169" fillId="0" borderId="0" xfId="0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vertical="top" wrapText="1"/>
      <protection hidden="1"/>
    </xf>
    <xf numFmtId="0" fontId="15" fillId="0" borderId="0" xfId="0" applyFont="1" applyBorder="1" applyAlignment="1" applyProtection="1">
      <alignment horizontal="center" vertical="top" wrapText="1"/>
      <protection hidden="1"/>
    </xf>
    <xf numFmtId="0" fontId="161" fillId="50" borderId="56" xfId="0" applyFont="1" applyFill="1" applyBorder="1" applyAlignment="1" applyProtection="1">
      <alignment horizontal="center" wrapText="1"/>
      <protection hidden="1"/>
    </xf>
    <xf numFmtId="0" fontId="161" fillId="50" borderId="57" xfId="0" applyFont="1" applyFill="1" applyBorder="1" applyAlignment="1" applyProtection="1">
      <alignment horizontal="center" wrapText="1"/>
      <protection hidden="1"/>
    </xf>
    <xf numFmtId="0" fontId="161" fillId="50" borderId="58" xfId="0" applyFont="1" applyFill="1" applyBorder="1" applyAlignment="1" applyProtection="1">
      <alignment horizontal="center" wrapText="1"/>
      <protection hidden="1"/>
    </xf>
    <xf numFmtId="0" fontId="161" fillId="50" borderId="62" xfId="0" applyFont="1" applyFill="1" applyBorder="1" applyAlignment="1" applyProtection="1">
      <alignment horizontal="center" wrapText="1"/>
      <protection hidden="1"/>
    </xf>
    <xf numFmtId="0" fontId="161" fillId="50" borderId="0" xfId="0" applyFont="1" applyFill="1" applyBorder="1" applyAlignment="1" applyProtection="1">
      <alignment horizontal="center" wrapText="1"/>
      <protection hidden="1"/>
    </xf>
    <xf numFmtId="0" fontId="161" fillId="50" borderId="63" xfId="0" applyFont="1" applyFill="1" applyBorder="1" applyAlignment="1" applyProtection="1">
      <alignment horizontal="center" wrapText="1"/>
      <protection hidden="1"/>
    </xf>
    <xf numFmtId="0" fontId="161" fillId="50" borderId="60" xfId="0" applyFont="1" applyFill="1" applyBorder="1" applyAlignment="1" applyProtection="1">
      <alignment horizontal="center" wrapText="1"/>
      <protection hidden="1"/>
    </xf>
    <xf numFmtId="0" fontId="161" fillId="50" borderId="61" xfId="0" applyFont="1" applyFill="1" applyBorder="1" applyAlignment="1" applyProtection="1">
      <alignment horizontal="center" wrapText="1"/>
      <protection hidden="1"/>
    </xf>
    <xf numFmtId="2" fontId="164" fillId="51" borderId="56" xfId="4" applyNumberFormat="1" applyFont="1" applyFill="1" applyBorder="1" applyAlignment="1" applyProtection="1">
      <alignment horizontal="center" vertical="center"/>
      <protection hidden="1"/>
    </xf>
    <xf numFmtId="2" fontId="164" fillId="51" borderId="58" xfId="4" applyNumberFormat="1" applyFont="1" applyFill="1" applyBorder="1" applyAlignment="1" applyProtection="1">
      <alignment horizontal="center" vertical="center"/>
      <protection hidden="1"/>
    </xf>
    <xf numFmtId="2" fontId="164" fillId="51" borderId="59" xfId="4" applyNumberFormat="1" applyFont="1" applyFill="1" applyBorder="1" applyAlignment="1" applyProtection="1">
      <alignment horizontal="center" vertical="center"/>
      <protection hidden="1"/>
    </xf>
    <xf numFmtId="2" fontId="164" fillId="51" borderId="61" xfId="4" applyNumberFormat="1" applyFont="1" applyFill="1" applyBorder="1" applyAlignment="1" applyProtection="1">
      <alignment horizontal="center" vertical="center"/>
      <protection hidden="1"/>
    </xf>
    <xf numFmtId="0" fontId="76" fillId="0" borderId="29" xfId="4" applyFont="1" applyBorder="1" applyAlignment="1" applyProtection="1">
      <alignment horizontal="left"/>
      <protection hidden="1"/>
    </xf>
    <xf numFmtId="0" fontId="63" fillId="0" borderId="29" xfId="4" applyFont="1" applyBorder="1" applyAlignment="1" applyProtection="1">
      <alignment horizontal="left"/>
      <protection hidden="1"/>
    </xf>
    <xf numFmtId="0" fontId="81" fillId="0" borderId="29" xfId="4" applyFont="1" applyBorder="1" applyAlignment="1" applyProtection="1">
      <alignment horizontal="left"/>
      <protection hidden="1"/>
    </xf>
    <xf numFmtId="0" fontId="81" fillId="0" borderId="29" xfId="4" applyFont="1" applyFill="1" applyBorder="1" applyAlignment="1" applyProtection="1">
      <protection hidden="1"/>
    </xf>
    <xf numFmtId="0" fontId="63" fillId="0" borderId="29" xfId="4" applyFont="1" applyBorder="1" applyAlignment="1" applyProtection="1">
      <alignment horizontal="right" vertical="center"/>
      <protection hidden="1"/>
    </xf>
    <xf numFmtId="0" fontId="76" fillId="0" borderId="29" xfId="4" applyFont="1" applyBorder="1" applyAlignment="1" applyProtection="1">
      <alignment horizontal="left" vertical="center"/>
      <protection hidden="1"/>
    </xf>
    <xf numFmtId="0" fontId="76" fillId="0" borderId="37" xfId="4" applyFont="1" applyBorder="1" applyAlignment="1" applyProtection="1">
      <alignment horizontal="left" vertical="center"/>
      <protection hidden="1"/>
    </xf>
    <xf numFmtId="0" fontId="79" fillId="0" borderId="29" xfId="4" applyFont="1" applyBorder="1" applyAlignment="1" applyProtection="1">
      <alignment horizontal="left" vertical="top" wrapText="1"/>
      <protection hidden="1"/>
    </xf>
    <xf numFmtId="0" fontId="95" fillId="0" borderId="0" xfId="3" applyFont="1" applyBorder="1" applyAlignment="1" applyProtection="1">
      <alignment horizontal="center" vertical="center"/>
      <protection hidden="1"/>
    </xf>
    <xf numFmtId="2" fontId="76" fillId="0" borderId="29" xfId="0" applyNumberFormat="1" applyFont="1" applyBorder="1" applyAlignment="1" applyProtection="1">
      <alignment horizontal="center" vertical="center"/>
      <protection hidden="1"/>
    </xf>
    <xf numFmtId="0" fontId="87" fillId="0" borderId="29" xfId="4" applyFont="1" applyBorder="1" applyAlignment="1" applyProtection="1">
      <alignment horizontal="left" vertical="center"/>
      <protection hidden="1"/>
    </xf>
    <xf numFmtId="0" fontId="78" fillId="0" borderId="40" xfId="4" applyFont="1" applyBorder="1" applyAlignment="1" applyProtection="1">
      <alignment horizontal="right" vertical="center"/>
      <protection hidden="1"/>
    </xf>
    <xf numFmtId="0" fontId="78" fillId="0" borderId="41" xfId="4" applyFont="1" applyBorder="1" applyAlignment="1" applyProtection="1">
      <alignment horizontal="right" vertical="center"/>
      <protection hidden="1"/>
    </xf>
    <xf numFmtId="0" fontId="63" fillId="0" borderId="37" xfId="4" applyFont="1" applyBorder="1" applyAlignment="1" applyProtection="1">
      <alignment horizontal="left"/>
      <protection hidden="1"/>
    </xf>
    <xf numFmtId="0" fontId="84" fillId="0" borderId="29" xfId="4" applyFont="1" applyBorder="1" applyAlignment="1" applyProtection="1">
      <alignment horizontal="center" vertical="center"/>
      <protection hidden="1"/>
    </xf>
    <xf numFmtId="0" fontId="41" fillId="0" borderId="29" xfId="4" applyFont="1" applyBorder="1" applyAlignment="1" applyProtection="1">
      <alignment horizontal="center"/>
      <protection hidden="1"/>
    </xf>
    <xf numFmtId="0" fontId="0" fillId="0" borderId="29" xfId="4" applyFont="1" applyBorder="1" applyAlignment="1" applyProtection="1">
      <alignment horizontal="center"/>
      <protection hidden="1"/>
    </xf>
    <xf numFmtId="0" fontId="81" fillId="0" borderId="29" xfId="4" applyFont="1" applyFill="1" applyBorder="1" applyAlignment="1" applyProtection="1">
      <alignment horizontal="left"/>
      <protection hidden="1"/>
    </xf>
    <xf numFmtId="0" fontId="64" fillId="0" borderId="30" xfId="4" applyFont="1" applyBorder="1" applyAlignment="1" applyProtection="1">
      <alignment horizontal="center" vertical="center"/>
      <protection hidden="1"/>
    </xf>
    <xf numFmtId="0" fontId="64" fillId="0" borderId="32" xfId="4" applyFont="1" applyBorder="1" applyAlignment="1" applyProtection="1">
      <alignment horizontal="center" vertical="center"/>
      <protection hidden="1"/>
    </xf>
    <xf numFmtId="0" fontId="63" fillId="0" borderId="29" xfId="4" applyFont="1" applyBorder="1" applyAlignment="1" applyProtection="1">
      <alignment horizontal="center" vertical="center"/>
      <protection hidden="1"/>
    </xf>
    <xf numFmtId="0" fontId="70" fillId="0" borderId="30" xfId="4" applyFont="1" applyBorder="1" applyAlignment="1" applyProtection="1">
      <alignment horizontal="center" vertical="center"/>
      <protection hidden="1"/>
    </xf>
    <xf numFmtId="0" fontId="70" fillId="0" borderId="32" xfId="4" applyFont="1" applyBorder="1" applyAlignment="1" applyProtection="1">
      <alignment horizontal="center" vertical="center"/>
      <protection hidden="1"/>
    </xf>
    <xf numFmtId="0" fontId="63" fillId="0" borderId="30" xfId="4" applyFont="1" applyBorder="1" applyAlignment="1" applyProtection="1">
      <alignment horizontal="right" vertical="center"/>
      <protection hidden="1"/>
    </xf>
    <xf numFmtId="0" fontId="63" fillId="0" borderId="31" xfId="4" applyFont="1" applyBorder="1" applyAlignment="1" applyProtection="1">
      <alignment horizontal="right" vertical="center"/>
      <protection hidden="1"/>
    </xf>
    <xf numFmtId="0" fontId="63" fillId="0" borderId="32" xfId="4" applyFont="1" applyBorder="1" applyAlignment="1" applyProtection="1">
      <alignment horizontal="right" vertical="center"/>
      <protection hidden="1"/>
    </xf>
    <xf numFmtId="0" fontId="76" fillId="0" borderId="30" xfId="4" applyFont="1" applyBorder="1" applyAlignment="1" applyProtection="1">
      <alignment horizontal="left" vertical="center"/>
      <protection hidden="1"/>
    </xf>
    <xf numFmtId="0" fontId="76" fillId="0" borderId="31" xfId="4" applyFont="1" applyBorder="1" applyAlignment="1" applyProtection="1">
      <alignment horizontal="left" vertical="center"/>
      <protection hidden="1"/>
    </xf>
    <xf numFmtId="0" fontId="76" fillId="0" borderId="32" xfId="4" applyFont="1" applyBorder="1" applyAlignment="1" applyProtection="1">
      <alignment horizontal="left" vertical="center"/>
      <protection hidden="1"/>
    </xf>
    <xf numFmtId="0" fontId="77" fillId="0" borderId="29" xfId="4" applyFont="1" applyBorder="1" applyAlignment="1" applyProtection="1">
      <alignment horizontal="left" vertical="center"/>
      <protection hidden="1"/>
    </xf>
    <xf numFmtId="0" fontId="77" fillId="0" borderId="37" xfId="4" applyFont="1" applyBorder="1" applyAlignment="1" applyProtection="1">
      <alignment horizontal="left" vertical="center"/>
      <protection hidden="1"/>
    </xf>
    <xf numFmtId="0" fontId="41" fillId="0" borderId="29" xfId="4" applyFont="1" applyBorder="1" applyAlignment="1" applyProtection="1">
      <alignment horizontal="left"/>
      <protection hidden="1"/>
    </xf>
    <xf numFmtId="0" fontId="41" fillId="0" borderId="37" xfId="4" applyFont="1" applyBorder="1" applyAlignment="1" applyProtection="1">
      <alignment horizontal="left"/>
      <protection hidden="1"/>
    </xf>
    <xf numFmtId="0" fontId="73" fillId="0" borderId="30" xfId="4" applyFont="1" applyFill="1" applyBorder="1" applyAlignment="1" applyProtection="1">
      <alignment horizontal="left" vertical="center" wrapText="1"/>
      <protection hidden="1"/>
    </xf>
    <xf numFmtId="0" fontId="73" fillId="0" borderId="31" xfId="4" applyFont="1" applyFill="1" applyBorder="1" applyAlignment="1" applyProtection="1">
      <alignment horizontal="left" vertical="center" wrapText="1"/>
      <protection hidden="1"/>
    </xf>
    <xf numFmtId="0" fontId="73" fillId="0" borderId="32" xfId="4" applyFont="1" applyFill="1" applyBorder="1" applyAlignment="1" applyProtection="1">
      <alignment horizontal="left" vertical="center" wrapText="1"/>
      <protection hidden="1"/>
    </xf>
    <xf numFmtId="0" fontId="63" fillId="0" borderId="29" xfId="4" applyFont="1" applyBorder="1" applyAlignment="1" applyProtection="1">
      <alignment horizontal="center"/>
      <protection hidden="1"/>
    </xf>
    <xf numFmtId="0" fontId="63" fillId="0" borderId="37" xfId="4" applyFont="1" applyBorder="1" applyAlignment="1" applyProtection="1">
      <alignment horizontal="center"/>
      <protection hidden="1"/>
    </xf>
    <xf numFmtId="0" fontId="30" fillId="0" borderId="29" xfId="4" applyFont="1" applyBorder="1" applyAlignment="1" applyProtection="1">
      <alignment horizontal="left"/>
      <protection hidden="1"/>
    </xf>
    <xf numFmtId="0" fontId="73" fillId="0" borderId="29" xfId="4" applyFont="1" applyBorder="1" applyAlignment="1" applyProtection="1">
      <alignment horizontal="left"/>
      <protection hidden="1"/>
    </xf>
    <xf numFmtId="0" fontId="63" fillId="0" borderId="29" xfId="4" applyFont="1" applyFill="1" applyBorder="1" applyAlignment="1" applyProtection="1">
      <alignment horizontal="left"/>
      <protection hidden="1"/>
    </xf>
    <xf numFmtId="0" fontId="79" fillId="0" borderId="29" xfId="4" applyFont="1" applyBorder="1" applyAlignment="1" applyProtection="1">
      <alignment horizontal="left" vertical="center" wrapText="1"/>
      <protection hidden="1"/>
    </xf>
    <xf numFmtId="0" fontId="87" fillId="0" borderId="29" xfId="4" applyFont="1" applyBorder="1" applyAlignment="1" applyProtection="1">
      <alignment horizontal="right" vertical="center"/>
      <protection hidden="1"/>
    </xf>
    <xf numFmtId="0" fontId="63" fillId="0" borderId="29" xfId="4" applyFont="1" applyBorder="1" applyAlignment="1" applyProtection="1">
      <alignment horizontal="left" vertical="center"/>
      <protection hidden="1"/>
    </xf>
    <xf numFmtId="2" fontId="70" fillId="0" borderId="29" xfId="4" applyNumberFormat="1" applyFont="1" applyBorder="1" applyAlignment="1" applyProtection="1">
      <alignment horizontal="center" vertical="center"/>
      <protection hidden="1"/>
    </xf>
    <xf numFmtId="1" fontId="72" fillId="0" borderId="29" xfId="4" applyNumberFormat="1" applyFont="1" applyBorder="1" applyAlignment="1" applyProtection="1">
      <alignment horizontal="center" vertical="center"/>
      <protection hidden="1"/>
    </xf>
    <xf numFmtId="1" fontId="72" fillId="0" borderId="37" xfId="4" applyNumberFormat="1" applyFont="1" applyBorder="1" applyAlignment="1" applyProtection="1">
      <alignment horizontal="center" vertical="center"/>
      <protection hidden="1"/>
    </xf>
    <xf numFmtId="0" fontId="63" fillId="0" borderId="36" xfId="4" applyFont="1" applyBorder="1" applyAlignment="1" applyProtection="1">
      <alignment horizontal="center" vertical="center"/>
      <protection hidden="1"/>
    </xf>
    <xf numFmtId="0" fontId="63" fillId="0" borderId="38" xfId="4" applyFont="1" applyBorder="1" applyAlignment="1" applyProtection="1">
      <alignment horizontal="center" vertical="center"/>
      <protection hidden="1"/>
    </xf>
    <xf numFmtId="0" fontId="81" fillId="0" borderId="30" xfId="4" applyFont="1" applyBorder="1" applyAlignment="1" applyProtection="1">
      <alignment horizontal="left" vertical="center"/>
      <protection hidden="1"/>
    </xf>
    <xf numFmtId="0" fontId="81" fillId="0" borderId="31" xfId="4" applyFont="1" applyBorder="1" applyAlignment="1" applyProtection="1">
      <alignment horizontal="left" vertical="center"/>
      <protection hidden="1"/>
    </xf>
    <xf numFmtId="0" fontId="81" fillId="0" borderId="32" xfId="4" applyFont="1" applyBorder="1" applyAlignment="1" applyProtection="1">
      <alignment horizontal="left" vertical="center"/>
      <protection hidden="1"/>
    </xf>
    <xf numFmtId="1" fontId="75" fillId="0" borderId="29" xfId="4" applyNumberFormat="1" applyFont="1" applyBorder="1" applyAlignment="1" applyProtection="1">
      <alignment horizontal="center" vertical="center"/>
      <protection hidden="1"/>
    </xf>
    <xf numFmtId="1" fontId="75" fillId="0" borderId="37" xfId="4" applyNumberFormat="1" applyFont="1" applyBorder="1" applyAlignment="1" applyProtection="1">
      <alignment horizontal="center" vertical="center"/>
      <protection hidden="1"/>
    </xf>
    <xf numFmtId="0" fontId="63" fillId="0" borderId="29" xfId="4" applyFont="1" applyBorder="1" applyAlignment="1" applyProtection="1">
      <alignment horizontal="left" vertical="center" wrapText="1"/>
      <protection hidden="1"/>
    </xf>
    <xf numFmtId="0" fontId="64" fillId="0" borderId="29" xfId="4" applyFont="1" applyBorder="1" applyAlignment="1" applyProtection="1">
      <alignment horizontal="center" vertical="center"/>
      <protection hidden="1"/>
    </xf>
    <xf numFmtId="0" fontId="175" fillId="0" borderId="0" xfId="7" applyFont="1" applyBorder="1" applyAlignment="1" applyProtection="1">
      <alignment horizontal="center" vertical="center" wrapText="1"/>
      <protection hidden="1"/>
    </xf>
    <xf numFmtId="0" fontId="98" fillId="0" borderId="0" xfId="0" applyFont="1" applyAlignment="1" applyProtection="1">
      <alignment horizontal="center" vertical="center" wrapText="1"/>
      <protection hidden="1"/>
    </xf>
    <xf numFmtId="0" fontId="119" fillId="0" borderId="3" xfId="4" applyFont="1" applyBorder="1" applyAlignment="1" applyProtection="1">
      <alignment horizontal="justify" vertical="center" wrapText="1"/>
      <protection hidden="1"/>
    </xf>
    <xf numFmtId="0" fontId="119" fillId="0" borderId="4" xfId="4" applyFont="1" applyBorder="1" applyAlignment="1" applyProtection="1">
      <alignment horizontal="justify" vertical="center" wrapText="1"/>
      <protection hidden="1"/>
    </xf>
    <xf numFmtId="0" fontId="119" fillId="0" borderId="5" xfId="4" applyFont="1" applyBorder="1" applyAlignment="1" applyProtection="1">
      <alignment horizontal="justify" vertical="center" wrapText="1"/>
      <protection hidden="1"/>
    </xf>
    <xf numFmtId="0" fontId="119" fillId="0" borderId="6" xfId="4" applyFont="1" applyBorder="1" applyAlignment="1" applyProtection="1">
      <alignment horizontal="justify" vertical="center" wrapText="1"/>
      <protection hidden="1"/>
    </xf>
    <xf numFmtId="0" fontId="119" fillId="0" borderId="0" xfId="4" applyFont="1" applyBorder="1" applyAlignment="1" applyProtection="1">
      <alignment horizontal="justify" vertical="center" wrapText="1"/>
      <protection hidden="1"/>
    </xf>
    <xf numFmtId="0" fontId="119" fillId="0" borderId="7" xfId="4" applyFont="1" applyBorder="1" applyAlignment="1" applyProtection="1">
      <alignment horizontal="justify" vertical="center" wrapText="1"/>
      <protection hidden="1"/>
    </xf>
    <xf numFmtId="0" fontId="119" fillId="0" borderId="9" xfId="4" applyFont="1" applyBorder="1" applyAlignment="1" applyProtection="1">
      <alignment horizontal="justify" vertical="center" wrapText="1"/>
      <protection hidden="1"/>
    </xf>
    <xf numFmtId="0" fontId="119" fillId="0" borderId="10" xfId="4" applyFont="1" applyBorder="1" applyAlignment="1" applyProtection="1">
      <alignment horizontal="justify" vertical="center" wrapText="1"/>
      <protection hidden="1"/>
    </xf>
    <xf numFmtId="0" fontId="119" fillId="0" borderId="11" xfId="4" applyFont="1" applyBorder="1" applyAlignment="1" applyProtection="1">
      <alignment horizontal="justify" vertical="center" wrapText="1"/>
      <protection hidden="1"/>
    </xf>
    <xf numFmtId="0" fontId="61" fillId="0" borderId="0" xfId="3" applyFont="1" applyAlignment="1" applyProtection="1">
      <alignment horizontal="center" vertical="center"/>
      <protection hidden="1"/>
    </xf>
    <xf numFmtId="0" fontId="63" fillId="0" borderId="34" xfId="4" applyFont="1" applyBorder="1" applyAlignment="1" applyProtection="1">
      <alignment horizontal="left" vertical="center"/>
      <protection hidden="1"/>
    </xf>
    <xf numFmtId="0" fontId="64" fillId="0" borderId="34" xfId="5" applyFont="1" applyFill="1" applyBorder="1" applyAlignment="1" applyProtection="1">
      <alignment horizontal="left" vertical="center"/>
      <protection hidden="1"/>
    </xf>
    <xf numFmtId="0" fontId="64" fillId="0" borderId="34" xfId="4" applyFont="1" applyFill="1" applyBorder="1" applyAlignment="1" applyProtection="1">
      <alignment horizontal="left" vertical="center"/>
      <protection hidden="1"/>
    </xf>
    <xf numFmtId="0" fontId="64" fillId="0" borderId="34" xfId="4" applyFont="1" applyFill="1" applyBorder="1" applyAlignment="1" applyProtection="1">
      <alignment horizontal="center" vertical="center"/>
      <protection hidden="1"/>
    </xf>
    <xf numFmtId="0" fontId="64" fillId="0" borderId="35" xfId="4" applyFont="1" applyFill="1" applyBorder="1" applyAlignment="1" applyProtection="1">
      <alignment horizontal="center" vertical="center"/>
      <protection hidden="1"/>
    </xf>
    <xf numFmtId="0" fontId="62" fillId="0" borderId="0" xfId="3" applyFont="1" applyBorder="1" applyAlignment="1" applyProtection="1">
      <alignment horizontal="right" vertical="center"/>
      <protection hidden="1"/>
    </xf>
    <xf numFmtId="0" fontId="31" fillId="0" borderId="0" xfId="3" applyFont="1" applyBorder="1" applyAlignment="1" applyProtection="1">
      <alignment horizontal="center" vertical="center"/>
      <protection hidden="1"/>
    </xf>
    <xf numFmtId="0" fontId="62" fillId="0" borderId="43" xfId="3" applyFont="1" applyBorder="1" applyAlignment="1" applyProtection="1">
      <alignment horizontal="right" vertical="center"/>
      <protection hidden="1"/>
    </xf>
    <xf numFmtId="0" fontId="103" fillId="30" borderId="0" xfId="3" applyFont="1" applyFill="1" applyBorder="1" applyAlignment="1" applyProtection="1">
      <alignment horizontal="center" vertical="center" wrapText="1"/>
      <protection hidden="1"/>
    </xf>
    <xf numFmtId="0" fontId="103" fillId="30" borderId="0" xfId="3" applyFont="1" applyFill="1" applyBorder="1" applyAlignment="1" applyProtection="1">
      <alignment horizontal="center" vertical="center"/>
      <protection hidden="1"/>
    </xf>
    <xf numFmtId="0" fontId="31" fillId="0" borderId="43" xfId="3" applyFont="1" applyBorder="1" applyAlignment="1" applyProtection="1">
      <alignment horizontal="left" vertical="center"/>
      <protection hidden="1"/>
    </xf>
    <xf numFmtId="1" fontId="70" fillId="0" borderId="29" xfId="4" applyNumberFormat="1" applyFont="1" applyFill="1" applyBorder="1" applyAlignment="1" applyProtection="1">
      <alignment horizontal="center" vertical="center"/>
      <protection hidden="1"/>
    </xf>
    <xf numFmtId="0" fontId="74" fillId="0" borderId="29" xfId="4" applyFont="1" applyBorder="1" applyAlignment="1" applyProtection="1">
      <alignment horizontal="right" vertical="center"/>
      <protection hidden="1"/>
    </xf>
    <xf numFmtId="0" fontId="42" fillId="0" borderId="3" xfId="0" applyFont="1" applyBorder="1" applyAlignment="1" applyProtection="1">
      <alignment horizontal="justify" vertical="center" wrapText="1"/>
      <protection hidden="1"/>
    </xf>
    <xf numFmtId="0" fontId="42" fillId="0" borderId="4" xfId="0" applyFont="1" applyBorder="1" applyAlignment="1" applyProtection="1">
      <alignment horizontal="justify" vertical="center" wrapText="1"/>
      <protection hidden="1"/>
    </xf>
    <xf numFmtId="0" fontId="42" fillId="0" borderId="5" xfId="0" applyFont="1" applyBorder="1" applyAlignment="1" applyProtection="1">
      <alignment horizontal="justify" vertical="center" wrapText="1"/>
      <protection hidden="1"/>
    </xf>
    <xf numFmtId="0" fontId="42" fillId="0" borderId="6" xfId="0" applyFont="1" applyBorder="1" applyAlignment="1" applyProtection="1">
      <alignment horizontal="justify" vertical="center" wrapText="1"/>
      <protection hidden="1"/>
    </xf>
    <xf numFmtId="0" fontId="42" fillId="0" borderId="0" xfId="0" applyFont="1" applyBorder="1" applyAlignment="1" applyProtection="1">
      <alignment horizontal="justify" vertical="center" wrapText="1"/>
      <protection hidden="1"/>
    </xf>
    <xf numFmtId="0" fontId="42" fillId="0" borderId="7" xfId="0" applyFont="1" applyBorder="1" applyAlignment="1" applyProtection="1">
      <alignment horizontal="justify" vertical="center" wrapText="1"/>
      <protection hidden="1"/>
    </xf>
    <xf numFmtId="0" fontId="42" fillId="0" borderId="9" xfId="0" applyFont="1" applyBorder="1" applyAlignment="1" applyProtection="1">
      <alignment horizontal="justify" vertical="center" wrapText="1"/>
      <protection hidden="1"/>
    </xf>
    <xf numFmtId="0" fontId="42" fillId="0" borderId="10" xfId="0" applyFont="1" applyBorder="1" applyAlignment="1" applyProtection="1">
      <alignment horizontal="justify" vertical="center" wrapText="1"/>
      <protection hidden="1"/>
    </xf>
    <xf numFmtId="0" fontId="42" fillId="0" borderId="11" xfId="0" applyFont="1" applyBorder="1" applyAlignment="1" applyProtection="1">
      <alignment horizontal="justify" vertical="center" wrapText="1"/>
      <protection hidden="1"/>
    </xf>
    <xf numFmtId="0" fontId="100" fillId="0" borderId="0" xfId="0" applyFont="1" applyBorder="1" applyAlignment="1" applyProtection="1">
      <alignment horizontal="center" vertical="center" wrapText="1"/>
      <protection hidden="1"/>
    </xf>
    <xf numFmtId="0" fontId="137" fillId="0" borderId="0" xfId="0" applyFont="1" applyBorder="1" applyAlignment="1" applyProtection="1">
      <alignment horizontal="center" vertical="center" wrapText="1"/>
      <protection hidden="1"/>
    </xf>
    <xf numFmtId="0" fontId="100" fillId="0" borderId="0" xfId="0" applyFont="1" applyBorder="1" applyAlignment="1" applyProtection="1">
      <alignment horizontal="left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135" fillId="19" borderId="0" xfId="0" applyFont="1" applyFill="1" applyBorder="1" applyAlignment="1" applyProtection="1">
      <alignment horizontal="center" vertical="center" wrapText="1"/>
      <protection locked="0"/>
    </xf>
    <xf numFmtId="14" fontId="135" fillId="19" borderId="0" xfId="0" applyNumberFormat="1" applyFont="1" applyFill="1" applyBorder="1" applyAlignment="1" applyProtection="1">
      <alignment horizontal="center" vertical="center" wrapText="1"/>
      <protection locked="0"/>
    </xf>
    <xf numFmtId="0" fontId="153" fillId="0" borderId="0" xfId="0" applyFont="1" applyBorder="1" applyAlignment="1" applyProtection="1">
      <alignment horizontal="right" vertical="center" wrapText="1"/>
      <protection hidden="1"/>
    </xf>
    <xf numFmtId="0" fontId="152" fillId="0" borderId="0" xfId="0" applyFont="1" applyBorder="1" applyAlignment="1" applyProtection="1">
      <alignment horizontal="center" wrapText="1"/>
      <protection hidden="1"/>
    </xf>
    <xf numFmtId="0" fontId="140" fillId="0" borderId="0" xfId="0" applyFont="1" applyBorder="1" applyAlignment="1" applyProtection="1">
      <alignment horizontal="center" vertical="center" wrapText="1"/>
      <protection hidden="1"/>
    </xf>
    <xf numFmtId="0" fontId="152" fillId="0" borderId="0" xfId="0" applyFont="1" applyFill="1" applyBorder="1" applyAlignment="1" applyProtection="1">
      <alignment horizontal="center" vertical="center" wrapText="1"/>
      <protection hidden="1"/>
    </xf>
    <xf numFmtId="0" fontId="152" fillId="0" borderId="0" xfId="0" applyFont="1" applyBorder="1" applyAlignment="1" applyProtection="1">
      <alignment horizontal="justify" vertical="center" wrapText="1"/>
      <protection hidden="1"/>
    </xf>
    <xf numFmtId="0" fontId="135" fillId="0" borderId="55" xfId="0" applyFont="1" applyBorder="1" applyAlignment="1" applyProtection="1">
      <alignment horizontal="left" vertical="center" wrapText="1"/>
      <protection hidden="1"/>
    </xf>
    <xf numFmtId="168" fontId="141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141" fillId="0" borderId="55" xfId="0" applyFont="1" applyFill="1" applyBorder="1" applyAlignment="1" applyProtection="1">
      <alignment horizontal="center" vertical="center" wrapText="1"/>
      <protection hidden="1"/>
    </xf>
    <xf numFmtId="0" fontId="159" fillId="0" borderId="57" xfId="0" applyFont="1" applyBorder="1" applyAlignment="1" applyProtection="1">
      <alignment horizontal="center" vertical="center" wrapText="1"/>
      <protection hidden="1"/>
    </xf>
    <xf numFmtId="0" fontId="140" fillId="0" borderId="0" xfId="0" applyFont="1" applyFill="1" applyBorder="1" applyAlignment="1" applyProtection="1">
      <alignment horizontal="left" vertical="center" wrapText="1"/>
      <protection hidden="1"/>
    </xf>
    <xf numFmtId="0" fontId="152" fillId="0" borderId="0" xfId="0" applyFont="1" applyFill="1" applyBorder="1" applyAlignment="1" applyProtection="1">
      <alignment horizontal="center" wrapText="1"/>
      <protection hidden="1"/>
    </xf>
    <xf numFmtId="0" fontId="91" fillId="0" borderId="72" xfId="4" applyFont="1" applyBorder="1" applyAlignment="1" applyProtection="1">
      <alignment horizontal="center" vertical="center"/>
      <protection hidden="1"/>
    </xf>
    <xf numFmtId="0" fontId="91" fillId="0" borderId="73" xfId="4" applyFont="1" applyBorder="1" applyAlignment="1" applyProtection="1">
      <alignment horizontal="center" vertical="center"/>
      <protection hidden="1"/>
    </xf>
    <xf numFmtId="0" fontId="91" fillId="0" borderId="74" xfId="4" applyFont="1" applyBorder="1" applyAlignment="1" applyProtection="1">
      <alignment horizontal="center" vertical="center"/>
      <protection hidden="1"/>
    </xf>
    <xf numFmtId="0" fontId="136" fillId="0" borderId="55" xfId="0" applyFont="1" applyBorder="1" applyAlignment="1" applyProtection="1">
      <alignment horizontal="left" vertical="center" wrapText="1"/>
      <protection hidden="1"/>
    </xf>
    <xf numFmtId="168" fontId="141" fillId="11" borderId="55" xfId="0" applyNumberFormat="1" applyFont="1" applyFill="1" applyBorder="1" applyAlignment="1" applyProtection="1">
      <alignment horizontal="center" vertical="center" wrapText="1"/>
      <protection hidden="1"/>
    </xf>
    <xf numFmtId="0" fontId="135" fillId="19" borderId="72" xfId="0" applyFont="1" applyFill="1" applyBorder="1" applyAlignment="1" applyProtection="1">
      <alignment horizontal="left" vertical="center" wrapText="1"/>
      <protection hidden="1"/>
    </xf>
    <xf numFmtId="0" fontId="135" fillId="19" borderId="73" xfId="0" applyFont="1" applyFill="1" applyBorder="1" applyAlignment="1" applyProtection="1">
      <alignment horizontal="left" vertical="center" wrapText="1"/>
      <protection hidden="1"/>
    </xf>
    <xf numFmtId="168" fontId="141" fillId="0" borderId="74" xfId="0" applyNumberFormat="1" applyFont="1" applyFill="1" applyBorder="1" applyAlignment="1" applyProtection="1">
      <alignment horizontal="center" vertical="center" wrapText="1"/>
      <protection hidden="1"/>
    </xf>
    <xf numFmtId="0" fontId="135" fillId="0" borderId="75" xfId="0" applyFont="1" applyBorder="1" applyAlignment="1" applyProtection="1">
      <alignment horizontal="left" vertical="center" wrapText="1"/>
      <protection hidden="1"/>
    </xf>
    <xf numFmtId="168" fontId="141" fillId="11" borderId="75" xfId="0" applyNumberFormat="1" applyFont="1" applyFill="1" applyBorder="1" applyAlignment="1" applyProtection="1">
      <alignment horizontal="center" vertical="center" wrapText="1"/>
      <protection hidden="1"/>
    </xf>
    <xf numFmtId="0" fontId="135" fillId="0" borderId="62" xfId="0" applyFont="1" applyBorder="1" applyAlignment="1" applyProtection="1">
      <alignment horizontal="left" vertical="center" wrapText="1"/>
      <protection hidden="1"/>
    </xf>
    <xf numFmtId="0" fontId="135" fillId="0" borderId="0" xfId="0" applyFont="1" applyBorder="1" applyAlignment="1" applyProtection="1">
      <alignment horizontal="left" vertical="center" wrapText="1"/>
      <protection hidden="1"/>
    </xf>
    <xf numFmtId="0" fontId="135" fillId="0" borderId="57" xfId="0" applyFont="1" applyBorder="1" applyAlignment="1" applyProtection="1">
      <alignment horizontal="left" vertical="center" wrapText="1"/>
      <protection hidden="1"/>
    </xf>
    <xf numFmtId="0" fontId="135" fillId="0" borderId="73" xfId="0" applyFont="1" applyBorder="1" applyAlignment="1" applyProtection="1">
      <alignment horizontal="left" vertical="center" wrapText="1"/>
      <protection hidden="1"/>
    </xf>
    <xf numFmtId="0" fontId="135" fillId="0" borderId="74" xfId="0" applyFont="1" applyBorder="1" applyAlignment="1" applyProtection="1">
      <alignment horizontal="left" vertical="center" wrapText="1"/>
      <protection hidden="1"/>
    </xf>
    <xf numFmtId="168" fontId="135" fillId="0" borderId="55" xfId="0" applyNumberFormat="1" applyFont="1" applyFill="1" applyBorder="1" applyAlignment="1" applyProtection="1">
      <alignment horizontal="right" vertical="center" wrapText="1"/>
      <protection hidden="1"/>
    </xf>
    <xf numFmtId="0" fontId="141" fillId="0" borderId="76" xfId="0" applyFont="1" applyBorder="1" applyAlignment="1" applyProtection="1">
      <alignment horizontal="left" vertical="center" wrapText="1"/>
      <protection hidden="1"/>
    </xf>
    <xf numFmtId="0" fontId="135" fillId="0" borderId="72" xfId="0" applyFont="1" applyBorder="1" applyAlignment="1" applyProtection="1">
      <alignment horizontal="left" vertical="center" wrapText="1"/>
      <protection hidden="1"/>
    </xf>
    <xf numFmtId="0" fontId="136" fillId="0" borderId="73" xfId="0" applyFont="1" applyBorder="1" applyAlignment="1" applyProtection="1">
      <alignment horizontal="center" vertical="center" wrapText="1"/>
      <protection hidden="1"/>
    </xf>
    <xf numFmtId="0" fontId="136" fillId="0" borderId="74" xfId="0" applyFont="1" applyBorder="1" applyAlignment="1" applyProtection="1">
      <alignment horizontal="center" vertical="center" wrapText="1"/>
      <protection hidden="1"/>
    </xf>
    <xf numFmtId="168" fontId="141" fillId="11" borderId="74" xfId="0" applyNumberFormat="1" applyFont="1" applyFill="1" applyBorder="1" applyAlignment="1" applyProtection="1">
      <alignment horizontal="center" vertical="center" wrapText="1"/>
      <protection hidden="1"/>
    </xf>
    <xf numFmtId="0" fontId="136" fillId="0" borderId="55" xfId="0" applyFont="1" applyBorder="1" applyAlignment="1" applyProtection="1">
      <alignment horizontal="center" vertical="center" wrapText="1"/>
      <protection hidden="1"/>
    </xf>
    <xf numFmtId="168" fontId="140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55" xfId="0" applyFont="1" applyBorder="1" applyAlignment="1" applyProtection="1">
      <alignment horizontal="center" vertical="center" wrapText="1"/>
      <protection hidden="1"/>
    </xf>
    <xf numFmtId="168" fontId="140" fillId="28" borderId="55" xfId="0" applyNumberFormat="1" applyFont="1" applyFill="1" applyBorder="1" applyAlignment="1" applyProtection="1">
      <alignment horizontal="center" vertical="center" wrapText="1"/>
      <protection locked="0"/>
    </xf>
    <xf numFmtId="168" fontId="140" fillId="28" borderId="55" xfId="0" applyNumberFormat="1" applyFont="1" applyFill="1" applyBorder="1" applyAlignment="1" applyProtection="1">
      <alignment horizontal="center" vertical="center" wrapText="1"/>
      <protection hidden="1"/>
    </xf>
    <xf numFmtId="168" fontId="121" fillId="11" borderId="5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58" fillId="49" borderId="55" xfId="0" applyFont="1" applyFill="1" applyBorder="1" applyAlignment="1" applyProtection="1">
      <alignment horizontal="left" vertical="center" wrapText="1"/>
      <protection hidden="1"/>
    </xf>
    <xf numFmtId="0" fontId="141" fillId="49" borderId="55" xfId="0" applyFont="1" applyFill="1" applyBorder="1" applyAlignment="1" applyProtection="1">
      <alignment horizontal="center" vertical="center" wrapText="1"/>
      <protection hidden="1"/>
    </xf>
    <xf numFmtId="168" fontId="140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140" fillId="0" borderId="74" xfId="0" applyNumberFormat="1" applyFont="1" applyFill="1" applyBorder="1" applyAlignment="1" applyProtection="1">
      <alignment horizontal="center" vertical="center" wrapText="1"/>
      <protection hidden="1"/>
    </xf>
    <xf numFmtId="168" fontId="140" fillId="19" borderId="48" xfId="0" applyNumberFormat="1" applyFont="1" applyFill="1" applyBorder="1" applyAlignment="1" applyProtection="1">
      <alignment horizontal="center" vertical="center" wrapText="1"/>
      <protection hidden="1"/>
    </xf>
    <xf numFmtId="0" fontId="99" fillId="0" borderId="48" xfId="0" applyFont="1" applyBorder="1" applyAlignment="1" applyProtection="1">
      <alignment horizontal="center" vertical="center"/>
      <protection hidden="1"/>
    </xf>
    <xf numFmtId="168" fontId="139" fillId="0" borderId="48" xfId="0" applyNumberFormat="1" applyFont="1" applyFill="1" applyBorder="1" applyAlignment="1" applyProtection="1">
      <alignment horizontal="center" vertical="center" wrapText="1"/>
      <protection hidden="1"/>
    </xf>
    <xf numFmtId="168" fontId="140" fillId="0" borderId="48" xfId="0" applyNumberFormat="1" applyFont="1" applyFill="1" applyBorder="1" applyAlignment="1" applyProtection="1">
      <alignment horizontal="right" vertical="center" wrapText="1"/>
      <protection hidden="1"/>
    </xf>
    <xf numFmtId="168" fontId="141" fillId="0" borderId="48" xfId="0" applyNumberFormat="1" applyFont="1" applyFill="1" applyBorder="1" applyAlignment="1" applyProtection="1">
      <alignment horizontal="right" vertical="center" wrapText="1"/>
      <protection hidden="1"/>
    </xf>
    <xf numFmtId="0" fontId="157" fillId="0" borderId="48" xfId="0" applyFont="1" applyBorder="1" applyAlignment="1" applyProtection="1">
      <alignment horizontal="left" vertical="center"/>
      <protection hidden="1"/>
    </xf>
    <xf numFmtId="0" fontId="154" fillId="0" borderId="48" xfId="0" applyFont="1" applyBorder="1" applyAlignment="1" applyProtection="1">
      <alignment horizontal="left" vertical="center" wrapText="1"/>
      <protection hidden="1"/>
    </xf>
    <xf numFmtId="168" fontId="137" fillId="0" borderId="48" xfId="0" applyNumberFormat="1" applyFont="1" applyFill="1" applyBorder="1" applyAlignment="1" applyProtection="1">
      <alignment horizontal="right" vertical="center" wrapText="1"/>
      <protection hidden="1"/>
    </xf>
    <xf numFmtId="168" fontId="141" fillId="0" borderId="48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66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67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68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69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70" xfId="0" applyNumberFormat="1" applyFont="1" applyFill="1" applyBorder="1" applyAlignment="1" applyProtection="1">
      <alignment horizontal="center" vertical="center" wrapText="1"/>
      <protection hidden="1"/>
    </xf>
    <xf numFmtId="168" fontId="83" fillId="19" borderId="71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66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67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68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69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70" xfId="0" applyNumberFormat="1" applyFont="1" applyFill="1" applyBorder="1" applyAlignment="1" applyProtection="1">
      <alignment horizontal="center" vertical="center" wrapText="1"/>
      <protection hidden="1"/>
    </xf>
    <xf numFmtId="168" fontId="139" fillId="19" borderId="7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140" fillId="0" borderId="48" xfId="0" applyFont="1" applyBorder="1" applyAlignment="1" applyProtection="1">
      <alignment horizontal="center" vertical="center" wrapText="1"/>
      <protection hidden="1"/>
    </xf>
    <xf numFmtId="0" fontId="176" fillId="0" borderId="48" xfId="0" applyFont="1" applyBorder="1" applyAlignment="1" applyProtection="1">
      <alignment horizontal="left" vertical="center"/>
      <protection hidden="1"/>
    </xf>
    <xf numFmtId="0" fontId="154" fillId="0" borderId="48" xfId="0" applyFont="1" applyBorder="1" applyAlignment="1" applyProtection="1">
      <alignment horizontal="center" vertical="center" wrapText="1"/>
      <protection hidden="1"/>
    </xf>
    <xf numFmtId="0" fontId="102" fillId="49" borderId="48" xfId="0" applyFont="1" applyFill="1" applyBorder="1" applyAlignment="1" applyProtection="1">
      <alignment horizontal="left" vertical="center" wrapText="1"/>
      <protection hidden="1"/>
    </xf>
    <xf numFmtId="0" fontId="102" fillId="49" borderId="48" xfId="0" applyFont="1" applyFill="1" applyBorder="1" applyAlignment="1" applyProtection="1">
      <alignment horizontal="center" vertical="center" wrapText="1"/>
      <protection hidden="1"/>
    </xf>
    <xf numFmtId="0" fontId="135" fillId="49" borderId="48" xfId="0" applyFont="1" applyFill="1" applyBorder="1" applyAlignment="1" applyProtection="1">
      <alignment horizontal="center" vertical="center" wrapText="1"/>
      <protection hidden="1"/>
    </xf>
    <xf numFmtId="168" fontId="135" fillId="0" borderId="48" xfId="0" applyNumberFormat="1" applyFont="1" applyFill="1" applyBorder="1" applyAlignment="1" applyProtection="1">
      <alignment horizontal="right" vertical="center" wrapText="1"/>
      <protection hidden="1"/>
    </xf>
    <xf numFmtId="0" fontId="156" fillId="0" borderId="48" xfId="0" applyFont="1" applyBorder="1" applyAlignment="1" applyProtection="1">
      <alignment horizontal="left" vertical="center" wrapText="1"/>
      <protection hidden="1"/>
    </xf>
    <xf numFmtId="168" fontId="121" fillId="11" borderId="48" xfId="0" applyNumberFormat="1" applyFont="1" applyFill="1" applyBorder="1" applyAlignment="1" applyProtection="1">
      <alignment horizontal="right" vertical="center" wrapText="1"/>
      <protection hidden="1"/>
    </xf>
    <xf numFmtId="0" fontId="152" fillId="0" borderId="48" xfId="0" applyFont="1" applyBorder="1" applyAlignment="1" applyProtection="1">
      <alignment horizontal="center" vertical="center" wrapText="1"/>
      <protection hidden="1"/>
    </xf>
    <xf numFmtId="168" fontId="140" fillId="11" borderId="48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48" xfId="0" applyNumberFormat="1" applyFont="1" applyFill="1" applyBorder="1" applyAlignment="1" applyProtection="1">
      <alignment horizontal="right" vertical="center" wrapText="1"/>
      <protection hidden="1"/>
    </xf>
    <xf numFmtId="0" fontId="135" fillId="0" borderId="48" xfId="0" applyFont="1" applyBorder="1" applyAlignment="1" applyProtection="1">
      <alignment horizontal="left" vertical="center" wrapText="1"/>
      <protection hidden="1"/>
    </xf>
    <xf numFmtId="0" fontId="152" fillId="0" borderId="48" xfId="0" applyFont="1" applyFill="1" applyBorder="1" applyAlignment="1" applyProtection="1">
      <alignment horizontal="left" vertical="center" wrapText="1"/>
      <protection hidden="1"/>
    </xf>
    <xf numFmtId="168" fontId="140" fillId="11" borderId="48" xfId="0" applyNumberFormat="1" applyFont="1" applyFill="1" applyBorder="1" applyAlignment="1" applyProtection="1">
      <alignment horizontal="right" vertical="center" wrapText="1"/>
      <protection hidden="1"/>
    </xf>
    <xf numFmtId="0" fontId="135" fillId="0" borderId="48" xfId="0" applyFont="1" applyFill="1" applyBorder="1" applyAlignment="1" applyProtection="1">
      <alignment horizontal="center" vertical="center" wrapText="1"/>
      <protection hidden="1"/>
    </xf>
    <xf numFmtId="0" fontId="136" fillId="0" borderId="48" xfId="0" applyFont="1" applyBorder="1" applyAlignment="1" applyProtection="1">
      <alignment horizontal="right" vertical="center" wrapText="1"/>
      <protection hidden="1"/>
    </xf>
    <xf numFmtId="168" fontId="140" fillId="48" borderId="48" xfId="0" applyNumberFormat="1" applyFont="1" applyFill="1" applyBorder="1" applyAlignment="1" applyProtection="1">
      <alignment horizontal="right" vertical="center" wrapText="1"/>
      <protection hidden="1"/>
    </xf>
    <xf numFmtId="0" fontId="149" fillId="0" borderId="0" xfId="0" applyFont="1" applyBorder="1" applyAlignment="1" applyProtection="1">
      <alignment horizontal="center" vertical="center" wrapText="1"/>
      <protection hidden="1"/>
    </xf>
    <xf numFmtId="168" fontId="135" fillId="11" borderId="48" xfId="0" applyNumberFormat="1" applyFont="1" applyFill="1" applyBorder="1" applyAlignment="1" applyProtection="1">
      <alignment horizontal="center" vertical="center" wrapText="1"/>
      <protection hidden="1"/>
    </xf>
    <xf numFmtId="168" fontId="140" fillId="0" borderId="48" xfId="0" applyNumberFormat="1" applyFont="1" applyFill="1" applyBorder="1" applyAlignment="1" applyProtection="1">
      <alignment horizontal="right" vertical="center" wrapText="1"/>
      <protection locked="0"/>
    </xf>
    <xf numFmtId="168" fontId="140" fillId="48" borderId="48" xfId="0" applyNumberFormat="1" applyFont="1" applyFill="1" applyBorder="1" applyAlignment="1" applyProtection="1">
      <alignment horizontal="right" vertical="center" wrapText="1"/>
      <protection locked="0"/>
    </xf>
    <xf numFmtId="0" fontId="138" fillId="0" borderId="48" xfId="0" applyFont="1" applyBorder="1" applyAlignment="1" applyProtection="1">
      <alignment horizontal="left" vertical="center" wrapText="1"/>
      <protection hidden="1"/>
    </xf>
    <xf numFmtId="168" fontId="141" fillId="11" borderId="48" xfId="0" applyNumberFormat="1" applyFont="1" applyFill="1" applyBorder="1" applyAlignment="1" applyProtection="1">
      <alignment horizontal="center" vertical="center" wrapText="1"/>
      <protection hidden="1"/>
    </xf>
    <xf numFmtId="0" fontId="155" fillId="0" borderId="48" xfId="0" applyFont="1" applyBorder="1" applyAlignment="1" applyProtection="1">
      <alignment horizontal="center" vertical="center" wrapText="1"/>
      <protection hidden="1"/>
    </xf>
    <xf numFmtId="0" fontId="121" fillId="0" borderId="0" xfId="0" applyFont="1" applyBorder="1" applyAlignment="1" applyProtection="1">
      <alignment horizontal="center" vertical="center" wrapText="1"/>
      <protection hidden="1"/>
    </xf>
    <xf numFmtId="0" fontId="153" fillId="0" borderId="0" xfId="0" applyFont="1" applyBorder="1" applyAlignment="1" applyProtection="1">
      <alignment horizontal="center" vertical="center" wrapText="1"/>
      <protection hidden="1"/>
    </xf>
    <xf numFmtId="0" fontId="135" fillId="0" borderId="0" xfId="0" applyFont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left" vertical="center" wrapText="1"/>
      <protection hidden="1"/>
    </xf>
    <xf numFmtId="0" fontId="100" fillId="0" borderId="0" xfId="0" applyFont="1" applyFill="1" applyBorder="1" applyAlignment="1" applyProtection="1">
      <alignment horizontal="center" vertical="center" wrapText="1"/>
      <protection hidden="1"/>
    </xf>
    <xf numFmtId="0" fontId="152" fillId="0" borderId="0" xfId="0" applyFont="1" applyBorder="1" applyAlignment="1" applyProtection="1">
      <alignment horizontal="left" vertical="center" wrapText="1"/>
      <protection hidden="1"/>
    </xf>
    <xf numFmtId="0" fontId="135" fillId="0" borderId="0" xfId="0" applyFont="1" applyFill="1" applyBorder="1" applyAlignment="1" applyProtection="1">
      <alignment horizontal="center" vertical="center" wrapText="1"/>
      <protection locked="0"/>
    </xf>
    <xf numFmtId="0" fontId="102" fillId="0" borderId="0" xfId="0" applyFont="1" applyBorder="1" applyAlignment="1" applyProtection="1">
      <alignment horizontal="center" wrapText="1"/>
      <protection hidden="1"/>
    </xf>
    <xf numFmtId="0" fontId="136" fillId="47" borderId="0" xfId="0" applyFont="1" applyFill="1" applyBorder="1" applyAlignment="1" applyProtection="1">
      <alignment horizontal="center" vertical="center" wrapText="1"/>
      <protection locked="0"/>
    </xf>
    <xf numFmtId="0" fontId="152" fillId="0" borderId="0" xfId="0" applyFont="1" applyFill="1" applyBorder="1" applyAlignment="1" applyProtection="1">
      <alignment horizontal="left" vertical="center" wrapText="1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0" fontId="100" fillId="0" borderId="0" xfId="0" applyFont="1" applyFill="1" applyBorder="1" applyAlignment="1" applyProtection="1">
      <alignment horizontal="left" vertical="center" wrapText="1"/>
      <protection hidden="1"/>
    </xf>
    <xf numFmtId="0" fontId="139" fillId="0" borderId="64" xfId="0" applyFont="1" applyBorder="1" applyAlignment="1" applyProtection="1">
      <alignment horizontal="center" vertical="center" wrapText="1"/>
      <protection hidden="1"/>
    </xf>
    <xf numFmtId="49" fontId="139" fillId="0" borderId="64" xfId="0" applyNumberFormat="1" applyFont="1" applyBorder="1" applyAlignment="1" applyProtection="1">
      <alignment horizontal="center" vertical="center" wrapText="1"/>
      <protection hidden="1"/>
    </xf>
    <xf numFmtId="0" fontId="0" fillId="0" borderId="64" xfId="0" applyBorder="1" applyAlignment="1" applyProtection="1">
      <alignment horizontal="center"/>
      <protection hidden="1"/>
    </xf>
    <xf numFmtId="49" fontId="144" fillId="0" borderId="64" xfId="0" applyNumberFormat="1" applyFont="1" applyBorder="1" applyAlignment="1" applyProtection="1">
      <alignment horizontal="center"/>
      <protection hidden="1"/>
    </xf>
    <xf numFmtId="0" fontId="137" fillId="0" borderId="64" xfId="0" applyFont="1" applyBorder="1" applyAlignment="1" applyProtection="1">
      <alignment horizontal="center" vertical="center" wrapText="1"/>
      <protection hidden="1"/>
    </xf>
    <xf numFmtId="0" fontId="139" fillId="0" borderId="64" xfId="0" applyFont="1" applyBorder="1" applyAlignment="1" applyProtection="1">
      <alignment horizontal="center" vertical="center" wrapText="1"/>
      <protection locked="0"/>
    </xf>
    <xf numFmtId="49" fontId="139" fillId="0" borderId="64" xfId="0" applyNumberFormat="1" applyFon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/>
      <protection locked="0"/>
    </xf>
    <xf numFmtId="49" fontId="144" fillId="0" borderId="64" xfId="0" applyNumberFormat="1" applyFont="1" applyBorder="1" applyAlignment="1" applyProtection="1">
      <alignment horizontal="center"/>
      <protection locked="0"/>
    </xf>
    <xf numFmtId="0" fontId="141" fillId="49" borderId="64" xfId="0" applyFont="1" applyFill="1" applyBorder="1" applyAlignment="1" applyProtection="1">
      <alignment horizontal="center" vertical="center" wrapText="1"/>
      <protection hidden="1"/>
    </xf>
    <xf numFmtId="167" fontId="137" fillId="0" borderId="44" xfId="0" applyNumberFormat="1" applyFont="1" applyBorder="1" applyAlignment="1" applyProtection="1">
      <alignment horizontal="center" vertical="center" wrapText="1"/>
      <protection hidden="1"/>
    </xf>
    <xf numFmtId="0" fontId="137" fillId="0" borderId="44" xfId="0" applyFont="1" applyBorder="1" applyAlignment="1" applyProtection="1">
      <alignment horizontal="center" vertical="center" wrapText="1"/>
      <protection hidden="1"/>
    </xf>
    <xf numFmtId="0" fontId="135" fillId="0" borderId="44" xfId="0" applyFont="1" applyFill="1" applyBorder="1" applyAlignment="1" applyProtection="1">
      <alignment horizontal="center" vertical="center" wrapText="1"/>
      <protection hidden="1"/>
    </xf>
    <xf numFmtId="0" fontId="141" fillId="0" borderId="65" xfId="0" applyFont="1" applyFill="1" applyBorder="1" applyAlignment="1" applyProtection="1">
      <alignment horizontal="center" vertical="center" wrapText="1"/>
      <protection hidden="1"/>
    </xf>
    <xf numFmtId="0" fontId="137" fillId="49" borderId="64" xfId="0" applyFont="1" applyFill="1" applyBorder="1" applyAlignment="1" applyProtection="1">
      <alignment horizontal="center" vertical="center" wrapText="1"/>
      <protection hidden="1"/>
    </xf>
    <xf numFmtId="167" fontId="139" fillId="0" borderId="44" xfId="0" applyNumberFormat="1" applyFont="1" applyBorder="1" applyAlignment="1" applyProtection="1">
      <alignment horizontal="center" vertical="center" wrapText="1"/>
      <protection hidden="1"/>
    </xf>
    <xf numFmtId="49" fontId="139" fillId="0" borderId="44" xfId="0" applyNumberFormat="1" applyFont="1" applyBorder="1" applyAlignment="1" applyProtection="1">
      <alignment horizontal="center" vertical="center" wrapText="1"/>
      <protection locked="0"/>
    </xf>
    <xf numFmtId="0" fontId="139" fillId="0" borderId="44" xfId="0" applyNumberFormat="1" applyFont="1" applyBorder="1" applyAlignment="1" applyProtection="1">
      <alignment horizontal="center" vertical="center" wrapText="1"/>
      <protection hidden="1"/>
    </xf>
    <xf numFmtId="49" fontId="139" fillId="0" borderId="44" xfId="0" applyNumberFormat="1" applyFont="1" applyBorder="1" applyAlignment="1" applyProtection="1">
      <alignment horizontal="center" vertical="center" wrapText="1"/>
      <protection hidden="1"/>
    </xf>
    <xf numFmtId="0" fontId="138" fillId="0" borderId="56" xfId="0" applyFont="1" applyFill="1" applyBorder="1" applyAlignment="1" applyProtection="1">
      <alignment horizontal="center" vertical="center" wrapText="1"/>
      <protection hidden="1"/>
    </xf>
    <xf numFmtId="0" fontId="138" fillId="0" borderId="57" xfId="0" applyFont="1" applyFill="1" applyBorder="1" applyAlignment="1" applyProtection="1">
      <alignment horizontal="center" vertical="center" wrapText="1"/>
      <protection hidden="1"/>
    </xf>
    <xf numFmtId="0" fontId="138" fillId="0" borderId="58" xfId="0" applyFont="1" applyFill="1" applyBorder="1" applyAlignment="1" applyProtection="1">
      <alignment horizontal="center" vertical="center" wrapText="1"/>
      <protection hidden="1"/>
    </xf>
    <xf numFmtId="0" fontId="138" fillId="0" borderId="62" xfId="0" applyFont="1" applyFill="1" applyBorder="1" applyAlignment="1" applyProtection="1">
      <alignment horizontal="center" vertical="center" wrapText="1"/>
      <protection hidden="1"/>
    </xf>
    <xf numFmtId="0" fontId="138" fillId="0" borderId="0" xfId="0" applyFont="1" applyFill="1" applyBorder="1" applyAlignment="1" applyProtection="1">
      <alignment horizontal="center" vertical="center" wrapText="1"/>
      <protection hidden="1"/>
    </xf>
    <xf numFmtId="0" fontId="138" fillId="0" borderId="63" xfId="0" applyFont="1" applyFill="1" applyBorder="1" applyAlignment="1" applyProtection="1">
      <alignment horizontal="center" vertical="center" wrapText="1"/>
      <protection hidden="1"/>
    </xf>
    <xf numFmtId="0" fontId="137" fillId="49" borderId="44" xfId="0" applyFont="1" applyFill="1" applyBorder="1" applyAlignment="1" applyProtection="1">
      <alignment horizontal="center" vertical="center" wrapText="1"/>
      <protection hidden="1"/>
    </xf>
    <xf numFmtId="0" fontId="135" fillId="49" borderId="44" xfId="0" applyFont="1" applyFill="1" applyBorder="1" applyAlignment="1" applyProtection="1">
      <alignment horizontal="center" vertical="center" wrapText="1"/>
      <protection hidden="1"/>
    </xf>
    <xf numFmtId="49" fontId="139" fillId="0" borderId="55" xfId="0" applyNumberFormat="1" applyFont="1" applyFill="1" applyBorder="1" applyAlignment="1" applyProtection="1">
      <alignment horizontal="center" vertical="center" wrapText="1"/>
      <protection locked="0"/>
    </xf>
    <xf numFmtId="167" fontId="140" fillId="0" borderId="55" xfId="0" applyNumberFormat="1" applyFont="1" applyFill="1" applyBorder="1" applyAlignment="1" applyProtection="1">
      <alignment horizontal="center" vertical="center" wrapText="1"/>
      <protection hidden="1"/>
    </xf>
    <xf numFmtId="167" fontId="136" fillId="0" borderId="55" xfId="0" applyNumberFormat="1" applyFont="1" applyBorder="1" applyAlignment="1" applyProtection="1">
      <alignment horizontal="center" vertical="center" wrapText="1"/>
      <protection hidden="1"/>
    </xf>
    <xf numFmtId="0" fontId="135" fillId="0" borderId="55" xfId="0" applyFont="1" applyBorder="1" applyAlignment="1" applyProtection="1">
      <alignment horizontal="center" vertical="center" wrapText="1"/>
      <protection hidden="1"/>
    </xf>
    <xf numFmtId="167" fontId="135" fillId="0" borderId="55" xfId="0" applyNumberFormat="1" applyFont="1" applyBorder="1" applyAlignment="1" applyProtection="1">
      <alignment horizontal="center" vertical="center" wrapText="1"/>
      <protection hidden="1"/>
    </xf>
    <xf numFmtId="0" fontId="135" fillId="47" borderId="55" xfId="0" applyFont="1" applyFill="1" applyBorder="1" applyAlignment="1" applyProtection="1">
      <alignment horizontal="center" vertical="center" wrapText="1"/>
      <protection locked="0"/>
    </xf>
    <xf numFmtId="49" fontId="138" fillId="0" borderId="55" xfId="0" applyNumberFormat="1" applyFont="1" applyBorder="1" applyAlignment="1" applyProtection="1">
      <alignment horizontal="center" vertical="center" wrapText="1"/>
      <protection locked="0"/>
    </xf>
    <xf numFmtId="49" fontId="135" fillId="0" borderId="55" xfId="0" applyNumberFormat="1" applyFont="1" applyBorder="1" applyAlignment="1" applyProtection="1">
      <alignment horizontal="center" vertical="center" wrapText="1"/>
      <protection locked="0"/>
    </xf>
    <xf numFmtId="0" fontId="137" fillId="38" borderId="59" xfId="0" applyFont="1" applyFill="1" applyBorder="1" applyAlignment="1" applyProtection="1">
      <alignment horizontal="center" vertical="center" wrapText="1"/>
      <protection locked="0"/>
    </xf>
    <xf numFmtId="0" fontId="137" fillId="38" borderId="60" xfId="0" applyFont="1" applyFill="1" applyBorder="1" applyAlignment="1" applyProtection="1">
      <alignment horizontal="center" vertical="center" wrapText="1"/>
      <protection locked="0"/>
    </xf>
    <xf numFmtId="0" fontId="137" fillId="38" borderId="61" xfId="0" applyFont="1" applyFill="1" applyBorder="1" applyAlignment="1" applyProtection="1">
      <alignment horizontal="center" vertical="center" wrapText="1"/>
      <protection locked="0"/>
    </xf>
    <xf numFmtId="0" fontId="147" fillId="0" borderId="55" xfId="0" applyFont="1" applyBorder="1" applyAlignment="1" applyProtection="1">
      <alignment horizontal="center" vertical="center" wrapText="1"/>
      <protection hidden="1"/>
    </xf>
    <xf numFmtId="0" fontId="136" fillId="0" borderId="55" xfId="0" applyFont="1" applyFill="1" applyBorder="1" applyAlignment="1" applyProtection="1">
      <alignment horizontal="center" vertical="center" wrapText="1"/>
      <protection hidden="1"/>
    </xf>
    <xf numFmtId="0" fontId="102" fillId="0" borderId="55" xfId="0" applyFont="1" applyBorder="1" applyAlignment="1" applyProtection="1">
      <alignment horizontal="center" vertical="center" wrapText="1"/>
      <protection hidden="1"/>
    </xf>
    <xf numFmtId="0" fontId="140" fillId="0" borderId="55" xfId="0" applyFont="1" applyFill="1" applyBorder="1" applyAlignment="1" applyProtection="1">
      <alignment horizontal="center" vertical="center" wrapText="1"/>
      <protection hidden="1"/>
    </xf>
    <xf numFmtId="0" fontId="71" fillId="0" borderId="29" xfId="4" applyFont="1" applyBorder="1" applyAlignment="1" applyProtection="1">
      <alignment horizontal="center"/>
      <protection hidden="1"/>
    </xf>
    <xf numFmtId="0" fontId="178" fillId="0" borderId="52" xfId="0" applyFont="1" applyBorder="1" applyAlignment="1" applyProtection="1">
      <alignment horizontal="center" vertical="center" wrapText="1"/>
      <protection hidden="1"/>
    </xf>
    <xf numFmtId="0" fontId="178" fillId="0" borderId="49" xfId="0" applyFont="1" applyBorder="1" applyAlignment="1" applyProtection="1">
      <alignment horizontal="center" vertical="center" wrapText="1"/>
      <protection hidden="1"/>
    </xf>
    <xf numFmtId="168" fontId="140" fillId="11" borderId="66" xfId="0" applyNumberFormat="1" applyFont="1" applyFill="1" applyBorder="1" applyAlignment="1" applyProtection="1">
      <alignment horizontal="center" vertical="center" wrapText="1"/>
      <protection hidden="1"/>
    </xf>
    <xf numFmtId="168" fontId="140" fillId="11" borderId="67" xfId="0" applyNumberFormat="1" applyFont="1" applyFill="1" applyBorder="1" applyAlignment="1" applyProtection="1">
      <alignment horizontal="center" vertical="center" wrapText="1"/>
      <protection hidden="1"/>
    </xf>
    <xf numFmtId="168" fontId="140" fillId="11" borderId="70" xfId="0" applyNumberFormat="1" applyFont="1" applyFill="1" applyBorder="1" applyAlignment="1" applyProtection="1">
      <alignment horizontal="center" vertical="center" wrapText="1"/>
      <protection hidden="1"/>
    </xf>
    <xf numFmtId="168" fontId="140" fillId="11" borderId="71" xfId="0" applyNumberFormat="1" applyFont="1" applyFill="1" applyBorder="1" applyAlignment="1" applyProtection="1">
      <alignment horizontal="center" vertical="center" wrapText="1"/>
      <protection hidden="1"/>
    </xf>
    <xf numFmtId="0" fontId="146" fillId="0" borderId="0" xfId="0" applyFont="1" applyBorder="1" applyAlignment="1" applyProtection="1">
      <alignment horizontal="center" vertical="center" wrapText="1"/>
      <protection hidden="1"/>
    </xf>
    <xf numFmtId="0" fontId="148" fillId="0" borderId="0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138" fillId="49" borderId="55" xfId="0" applyFont="1" applyFill="1" applyBorder="1" applyAlignment="1" applyProtection="1">
      <alignment horizontal="center" vertical="center" wrapText="1"/>
      <protection hidden="1"/>
    </xf>
    <xf numFmtId="168" fontId="141" fillId="11" borderId="66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67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68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69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70" xfId="0" applyNumberFormat="1" applyFont="1" applyFill="1" applyBorder="1" applyAlignment="1" applyProtection="1">
      <alignment horizontal="center" vertical="center" wrapText="1"/>
      <protection hidden="1"/>
    </xf>
    <xf numFmtId="168" fontId="141" fillId="11" borderId="71" xfId="0" applyNumberFormat="1" applyFont="1" applyFill="1" applyBorder="1" applyAlignment="1" applyProtection="1">
      <alignment horizontal="center" vertical="center" wrapText="1"/>
      <protection hidden="1"/>
    </xf>
    <xf numFmtId="0" fontId="154" fillId="0" borderId="52" xfId="0" applyFont="1" applyBorder="1" applyAlignment="1" applyProtection="1">
      <alignment horizontal="left" vertical="center" wrapText="1"/>
      <protection hidden="1"/>
    </xf>
    <xf numFmtId="0" fontId="154" fillId="0" borderId="77" xfId="0" applyFont="1" applyBorder="1" applyAlignment="1" applyProtection="1">
      <alignment horizontal="left" vertical="center" wrapText="1"/>
      <protection hidden="1"/>
    </xf>
    <xf numFmtId="0" fontId="154" fillId="0" borderId="49" xfId="0" applyFont="1" applyBorder="1" applyAlignment="1" applyProtection="1">
      <alignment horizontal="left" vertical="center" wrapText="1"/>
      <protection hidden="1"/>
    </xf>
    <xf numFmtId="3" fontId="138" fillId="38" borderId="55" xfId="0" applyNumberFormat="1" applyFont="1" applyFill="1" applyBorder="1" applyAlignment="1" applyProtection="1">
      <alignment horizontal="center" vertical="center" wrapText="1"/>
      <protection locked="0"/>
    </xf>
    <xf numFmtId="0" fontId="138" fillId="38" borderId="55" xfId="0" applyFont="1" applyFill="1" applyBorder="1" applyAlignment="1" applyProtection="1">
      <alignment horizontal="center" vertical="center" wrapText="1"/>
      <protection locked="0"/>
    </xf>
    <xf numFmtId="0" fontId="135" fillId="0" borderId="55" xfId="0" applyFont="1" applyFill="1" applyBorder="1" applyAlignment="1" applyProtection="1">
      <alignment horizontal="center" vertical="center" wrapText="1"/>
      <protection hidden="1"/>
    </xf>
    <xf numFmtId="0" fontId="137" fillId="38" borderId="56" xfId="0" applyFont="1" applyFill="1" applyBorder="1" applyAlignment="1" applyProtection="1">
      <alignment horizontal="center" vertical="center" wrapText="1"/>
      <protection hidden="1"/>
    </xf>
    <xf numFmtId="0" fontId="137" fillId="38" borderId="57" xfId="0" applyFont="1" applyFill="1" applyBorder="1" applyAlignment="1" applyProtection="1">
      <alignment horizontal="center" vertical="center" wrapText="1"/>
      <protection hidden="1"/>
    </xf>
    <xf numFmtId="0" fontId="137" fillId="38" borderId="58" xfId="0" applyFont="1" applyFill="1" applyBorder="1" applyAlignment="1" applyProtection="1">
      <alignment horizontal="center" vertical="center" wrapText="1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">
    <dxf>
      <fill>
        <patternFill patternType="solid">
          <fgColor auto="1"/>
          <bgColor theme="9" tint="0.79998168889431442"/>
        </patternFill>
      </fill>
    </dxf>
  </dxfs>
  <tableStyles count="0" defaultTableStyle="TableStyleMedium9" defaultPivotStyle="PivotStyleLight16"/>
  <colors>
    <mruColors>
      <color rgb="FFCC0099"/>
      <color rgb="FF0000FF"/>
      <color rgb="FF33CC33"/>
      <color rgb="FF400E3C"/>
      <color rgb="FFCC00FF"/>
      <color rgb="FFFFFF99"/>
      <color rgb="FFE7E8B6"/>
      <color rgb="FF990033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'GA55 Check &amp; Edit'!A1"/><Relationship Id="rId5" Type="http://schemas.openxmlformats.org/officeDocument/2006/relationships/hyperlink" Target="#Sheet1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Comprision with old &amp; New tax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30</xdr:row>
      <xdr:rowOff>133351</xdr:rowOff>
    </xdr:from>
    <xdr:to>
      <xdr:col>7</xdr:col>
      <xdr:colOff>514350</xdr:colOff>
      <xdr:row>33</xdr:row>
      <xdr:rowOff>28575</xdr:rowOff>
    </xdr:to>
    <xdr:sp macro="[1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219074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30</xdr:row>
      <xdr:rowOff>142876</xdr:rowOff>
    </xdr:from>
    <xdr:to>
      <xdr:col>10</xdr:col>
      <xdr:colOff>438150</xdr:colOff>
      <xdr:row>33</xdr:row>
      <xdr:rowOff>38100</xdr:rowOff>
    </xdr:to>
    <xdr:sp macro="[1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30</xdr:row>
      <xdr:rowOff>104775</xdr:rowOff>
    </xdr:from>
    <xdr:to>
      <xdr:col>5</xdr:col>
      <xdr:colOff>314325</xdr:colOff>
      <xdr:row>33</xdr:row>
      <xdr:rowOff>47624</xdr:rowOff>
    </xdr:to>
    <xdr:sp macro="[1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13</xdr:col>
      <xdr:colOff>361950</xdr:colOff>
      <xdr:row>33</xdr:row>
      <xdr:rowOff>161925</xdr:rowOff>
    </xdr:to>
    <xdr:grpSp>
      <xdr:nvGrpSpPr>
        <xdr:cNvPr id="13" name="Group 12"/>
        <xdr:cNvGrpSpPr/>
      </xdr:nvGrpSpPr>
      <xdr:grpSpPr>
        <a:xfrm>
          <a:off x="11887200" y="61626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590549</xdr:colOff>
      <xdr:row>58</xdr:row>
      <xdr:rowOff>123824</xdr:rowOff>
    </xdr:from>
    <xdr:to>
      <xdr:col>18</xdr:col>
      <xdr:colOff>66674</xdr:colOff>
      <xdr:row>61</xdr:row>
      <xdr:rowOff>161924</xdr:rowOff>
    </xdr:to>
    <xdr:sp macro="" textlink="">
      <xdr:nvSpPr>
        <xdr:cNvPr id="8" name="Left-Right Arrow 7"/>
        <xdr:cNvSpPr/>
      </xdr:nvSpPr>
      <xdr:spPr>
        <a:xfrm rot="16200000">
          <a:off x="10868024" y="12277724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45845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190501</xdr:colOff>
      <xdr:row>60</xdr:row>
      <xdr:rowOff>28575</xdr:rowOff>
    </xdr:from>
    <xdr:to>
      <xdr:col>20</xdr:col>
      <xdr:colOff>161925</xdr:colOff>
      <xdr:row>62</xdr:row>
      <xdr:rowOff>200025</xdr:rowOff>
    </xdr:to>
    <xdr:sp macro="" textlink="">
      <xdr:nvSpPr>
        <xdr:cNvPr id="7" name="Rounded Rectangle 6"/>
        <xdr:cNvSpPr/>
      </xdr:nvSpPr>
      <xdr:spPr>
        <a:xfrm>
          <a:off x="10258426" y="12401550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18</xdr:col>
      <xdr:colOff>541856</xdr:colOff>
      <xdr:row>57</xdr:row>
      <xdr:rowOff>71773</xdr:rowOff>
    </xdr:from>
    <xdr:to>
      <xdr:col>20</xdr:col>
      <xdr:colOff>81339</xdr:colOff>
      <xdr:row>58</xdr:row>
      <xdr:rowOff>165591</xdr:rowOff>
    </xdr:to>
    <xdr:sp macro="" textlink="">
      <xdr:nvSpPr>
        <xdr:cNvPr id="17" name="U-Turn Arrow 16"/>
        <xdr:cNvSpPr/>
      </xdr:nvSpPr>
      <xdr:spPr>
        <a:xfrm rot="9573967">
          <a:off x="11800406" y="11882773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746770</xdr:colOff>
      <xdr:row>43</xdr:row>
      <xdr:rowOff>34279</xdr:rowOff>
    </xdr:from>
    <xdr:to>
      <xdr:col>20</xdr:col>
      <xdr:colOff>240513</xdr:colOff>
      <xdr:row>44</xdr:row>
      <xdr:rowOff>173837</xdr:rowOff>
    </xdr:to>
    <xdr:sp macro="" textlink="">
      <xdr:nvSpPr>
        <xdr:cNvPr id="15" name="U-Turn Arrow 14"/>
        <xdr:cNvSpPr/>
      </xdr:nvSpPr>
      <xdr:spPr>
        <a:xfrm rot="5979138">
          <a:off x="11982450" y="9058274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youtube.com/c/Heeralaljat/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FwBqjLiBd2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kSG6hPX7VS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youtube.com/watch?v=NWwIhkhEU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C6" sqref="C6"/>
    </sheetView>
  </sheetViews>
  <sheetFormatPr defaultColWidth="0" defaultRowHeight="15" zeroHeight="1"/>
  <cols>
    <col min="1" max="1" width="10.375" style="14" customWidth="1"/>
    <col min="2" max="2" width="23.75" style="14" customWidth="1"/>
    <col min="3" max="3" width="111" style="14" customWidth="1"/>
    <col min="4" max="4" width="33.875" style="14" customWidth="1"/>
    <col min="5" max="16384" width="9" style="14" hidden="1"/>
  </cols>
  <sheetData>
    <row r="1" spans="2:4" ht="22.5">
      <c r="C1" s="167" t="s">
        <v>226</v>
      </c>
    </row>
    <row r="2" spans="2:4" ht="15.75" thickBot="1"/>
    <row r="3" spans="2:4" ht="57" customHeight="1" thickTop="1" thickBot="1">
      <c r="B3" s="259" t="s">
        <v>434</v>
      </c>
      <c r="C3" s="259"/>
    </row>
    <row r="4" spans="2:4" ht="24.95" customHeight="1" thickTop="1" thickBot="1">
      <c r="B4" s="260"/>
      <c r="C4" s="168" t="s">
        <v>212</v>
      </c>
    </row>
    <row r="5" spans="2:4" ht="24.95" customHeight="1" thickTop="1" thickBot="1">
      <c r="B5" s="260"/>
      <c r="C5" s="169" t="s">
        <v>213</v>
      </c>
    </row>
    <row r="6" spans="2:4" ht="79.5" customHeight="1" thickTop="1" thickBot="1">
      <c r="B6" s="261"/>
      <c r="C6" s="170" t="s">
        <v>215</v>
      </c>
      <c r="D6" s="207"/>
    </row>
    <row r="7" spans="2:4" ht="39" customHeight="1" thickTop="1" thickBot="1">
      <c r="B7" s="171" t="s">
        <v>211</v>
      </c>
      <c r="C7" s="172" t="s">
        <v>214</v>
      </c>
    </row>
    <row r="8" spans="2:4" ht="24.95" customHeight="1" thickTop="1" thickBot="1">
      <c r="B8" s="264" t="s">
        <v>216</v>
      </c>
      <c r="C8" s="265"/>
      <c r="D8" s="208" t="s">
        <v>372</v>
      </c>
    </row>
    <row r="9" spans="2:4" ht="41.25" customHeight="1" thickTop="1" thickBot="1">
      <c r="B9" s="262" t="s">
        <v>217</v>
      </c>
      <c r="C9" s="263"/>
      <c r="D9" s="208"/>
    </row>
    <row r="10" spans="2:4" ht="24.95" customHeight="1" thickTop="1">
      <c r="B10" s="266"/>
      <c r="C10" s="266"/>
    </row>
    <row r="11" spans="2:4" ht="31.5" customHeight="1">
      <c r="B11" s="173" t="s">
        <v>218</v>
      </c>
      <c r="C11" s="215" t="s">
        <v>380</v>
      </c>
      <c r="D11" s="219" t="s">
        <v>390</v>
      </c>
    </row>
    <row r="12" spans="2:4" ht="23.25" customHeight="1" thickBot="1">
      <c r="B12" s="251"/>
      <c r="C12" s="251"/>
      <c r="D12" s="220"/>
    </row>
    <row r="13" spans="2:4" ht="39.75" customHeight="1" thickTop="1" thickBot="1">
      <c r="B13" s="252" t="s">
        <v>220</v>
      </c>
      <c r="C13" s="252"/>
      <c r="D13" s="221" t="s">
        <v>391</v>
      </c>
    </row>
    <row r="14" spans="2:4" ht="16.5" thickTop="1" thickBot="1"/>
    <row r="15" spans="2:4" ht="30" customHeight="1">
      <c r="B15" s="253" t="s">
        <v>221</v>
      </c>
      <c r="C15" s="254"/>
    </row>
    <row r="16" spans="2:4" ht="30" customHeight="1">
      <c r="B16" s="255" t="s">
        <v>222</v>
      </c>
      <c r="C16" s="256"/>
    </row>
    <row r="17" spans="2:3" ht="30" customHeight="1">
      <c r="B17" s="257" t="s">
        <v>225</v>
      </c>
      <c r="C17" s="258"/>
    </row>
    <row r="18" spans="2:3" ht="30" customHeight="1">
      <c r="B18" s="247" t="s">
        <v>223</v>
      </c>
      <c r="C18" s="248"/>
    </row>
    <row r="19" spans="2:3" ht="30" customHeight="1" thickBot="1">
      <c r="B19" s="249" t="s">
        <v>224</v>
      </c>
      <c r="C19" s="250"/>
    </row>
    <row r="20" spans="2:3" ht="40.5" customHeight="1"/>
    <row r="21" spans="2:3" ht="26.25" customHeight="1">
      <c r="C21" s="246" t="s">
        <v>373</v>
      </c>
    </row>
    <row r="22" spans="2:3">
      <c r="C22" s="246"/>
    </row>
    <row r="23" spans="2:3"/>
    <row r="24" spans="2:3" ht="24" customHeight="1">
      <c r="C24" s="214" t="s">
        <v>378</v>
      </c>
    </row>
    <row r="25" spans="2:3"/>
    <row r="26" spans="2:3" ht="33" customHeight="1">
      <c r="C26" s="212" t="s">
        <v>374</v>
      </c>
    </row>
    <row r="27" spans="2:3"/>
    <row r="28" spans="2:3" ht="22.5" customHeight="1">
      <c r="C28" s="213" t="s">
        <v>375</v>
      </c>
    </row>
    <row r="29" spans="2:3" s="17" customFormat="1" ht="15" customHeight="1">
      <c r="C29" s="209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37"/>
  <sheetViews>
    <sheetView showGridLines="0" workbookViewId="0">
      <selection activeCell="N26" sqref="N26"/>
    </sheetView>
  </sheetViews>
  <sheetFormatPr defaultColWidth="0" defaultRowHeight="0" customHeight="1" zeroHeight="1"/>
  <cols>
    <col min="1" max="1" width="4.125" style="14" customWidth="1"/>
    <col min="2" max="2" width="17" style="14" customWidth="1"/>
    <col min="3" max="3" width="14.25" style="14" customWidth="1"/>
    <col min="4" max="4" width="15" style="14" customWidth="1"/>
    <col min="5" max="5" width="12" style="14" customWidth="1"/>
    <col min="6" max="6" width="16.375" style="14" customWidth="1"/>
    <col min="7" max="7" width="15.625" style="14" customWidth="1"/>
    <col min="8" max="8" width="17.125" style="14" customWidth="1"/>
    <col min="9" max="10" width="14.375" style="14" customWidth="1"/>
    <col min="11" max="11" width="15.75" style="14" customWidth="1"/>
    <col min="12" max="12" width="15.125" style="14" customWidth="1"/>
    <col min="13" max="13" width="14.125" style="14" customWidth="1"/>
    <col min="14" max="14" width="17.625" style="14" customWidth="1"/>
    <col min="15" max="15" width="11.125" style="14" customWidth="1"/>
    <col min="16" max="30" width="0" style="14" hidden="1" customWidth="1"/>
    <col min="31" max="16384" width="9.125" style="14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63">
        <v>1</v>
      </c>
      <c r="AD1" s="97">
        <v>43922</v>
      </c>
    </row>
    <row r="2" spans="1:30" ht="24.75" thickTop="1" thickBot="1">
      <c r="A2" s="1"/>
      <c r="B2" s="283" t="s">
        <v>381</v>
      </c>
      <c r="C2" s="284"/>
      <c r="D2" s="285"/>
      <c r="E2" s="281" t="s">
        <v>0</v>
      </c>
      <c r="F2" s="282"/>
      <c r="G2" s="282"/>
      <c r="H2" s="282"/>
      <c r="I2" s="12"/>
      <c r="J2" s="96"/>
      <c r="K2" s="96"/>
      <c r="L2" s="96"/>
      <c r="M2" s="1"/>
      <c r="N2" s="1"/>
      <c r="O2" s="1"/>
      <c r="T2" s="14" t="s">
        <v>17</v>
      </c>
      <c r="U2" s="14">
        <v>20</v>
      </c>
      <c r="AA2" s="97">
        <v>43678</v>
      </c>
      <c r="AC2" s="163">
        <v>2</v>
      </c>
      <c r="AD2" s="97">
        <v>43952</v>
      </c>
    </row>
    <row r="3" spans="1:30" ht="14.25" customHeight="1" thickBot="1">
      <c r="A3" s="1"/>
      <c r="B3" s="3"/>
      <c r="C3" s="3"/>
      <c r="D3" s="12"/>
      <c r="E3" s="12"/>
      <c r="F3" s="20"/>
      <c r="G3" s="20"/>
      <c r="H3" s="20"/>
      <c r="I3" s="12"/>
      <c r="J3" s="96"/>
      <c r="K3" s="96"/>
      <c r="L3" s="96"/>
      <c r="M3" s="1"/>
      <c r="N3" s="1"/>
      <c r="O3" s="1"/>
      <c r="AA3" s="97"/>
      <c r="AC3" s="163">
        <v>3</v>
      </c>
      <c r="AD3" s="97">
        <v>43983</v>
      </c>
    </row>
    <row r="4" spans="1:30" ht="22.5" thickTop="1" thickBot="1">
      <c r="A4" s="1"/>
      <c r="B4" s="271" t="s">
        <v>35</v>
      </c>
      <c r="C4" s="271"/>
      <c r="D4" s="275" t="s">
        <v>425</v>
      </c>
      <c r="E4" s="276"/>
      <c r="F4" s="276"/>
      <c r="G4" s="276"/>
      <c r="H4" s="276"/>
      <c r="I4" s="276"/>
      <c r="J4" s="2"/>
      <c r="K4" s="270"/>
      <c r="L4" s="270"/>
      <c r="M4" s="270"/>
      <c r="N4" s="270"/>
      <c r="O4" s="1"/>
      <c r="T4" s="14" t="s">
        <v>19</v>
      </c>
      <c r="X4" s="14">
        <v>1000</v>
      </c>
      <c r="AA4" s="97">
        <v>43709</v>
      </c>
      <c r="AC4" s="163">
        <v>4</v>
      </c>
      <c r="AD4" s="97">
        <v>44013</v>
      </c>
    </row>
    <row r="5" spans="1:30" ht="8.1" customHeight="1" thickTop="1" thickBot="1">
      <c r="A5" s="98"/>
      <c r="B5" s="99"/>
      <c r="C5" s="99"/>
      <c r="D5" s="100"/>
      <c r="E5" s="100"/>
      <c r="F5" s="100"/>
      <c r="G5" s="100"/>
      <c r="H5" s="100"/>
      <c r="I5" s="100"/>
      <c r="J5" s="4"/>
      <c r="K5" s="92"/>
      <c r="L5" s="92"/>
      <c r="M5" s="92"/>
      <c r="N5" s="92"/>
      <c r="O5" s="1"/>
      <c r="AA5" s="97"/>
      <c r="AC5" s="163">
        <v>5</v>
      </c>
      <c r="AD5" s="97">
        <v>44044</v>
      </c>
    </row>
    <row r="6" spans="1:30" ht="22.5" thickTop="1" thickBot="1">
      <c r="A6" s="1"/>
      <c r="B6" s="271" t="s">
        <v>36</v>
      </c>
      <c r="C6" s="271"/>
      <c r="D6" s="272" t="s">
        <v>20</v>
      </c>
      <c r="E6" s="272"/>
      <c r="F6" s="273" t="s">
        <v>21</v>
      </c>
      <c r="G6" s="273"/>
      <c r="H6" s="274" t="s">
        <v>422</v>
      </c>
      <c r="I6" s="274"/>
      <c r="J6" s="2"/>
      <c r="K6" s="1"/>
      <c r="L6" s="1"/>
      <c r="M6" s="1"/>
      <c r="N6" s="1"/>
      <c r="O6" s="1"/>
      <c r="T6" s="14" t="s">
        <v>22</v>
      </c>
      <c r="X6" s="14">
        <v>620</v>
      </c>
      <c r="AA6" s="97">
        <v>43739</v>
      </c>
      <c r="AC6" s="163">
        <v>6</v>
      </c>
      <c r="AD6" s="97">
        <v>44075</v>
      </c>
    </row>
    <row r="7" spans="1:30" ht="8.1" customHeight="1" thickTop="1" thickBot="1">
      <c r="A7" s="98"/>
      <c r="B7" s="99"/>
      <c r="C7" s="99"/>
      <c r="D7" s="101"/>
      <c r="E7" s="101"/>
      <c r="F7" s="99"/>
      <c r="G7" s="99"/>
      <c r="H7" s="101"/>
      <c r="I7" s="101"/>
      <c r="J7" s="4"/>
      <c r="K7" s="1"/>
      <c r="L7" s="1"/>
      <c r="M7" s="1"/>
      <c r="N7" s="1"/>
      <c r="O7" s="1"/>
      <c r="AA7" s="97"/>
      <c r="AC7" s="163">
        <v>7</v>
      </c>
      <c r="AD7" s="97">
        <v>44105</v>
      </c>
    </row>
    <row r="8" spans="1:30" ht="20.25" thickTop="1" thickBot="1">
      <c r="A8" s="1"/>
      <c r="B8" s="271" t="s">
        <v>38</v>
      </c>
      <c r="C8" s="271" t="s">
        <v>23</v>
      </c>
      <c r="D8" s="286" t="s">
        <v>424</v>
      </c>
      <c r="E8" s="287"/>
      <c r="F8" s="273" t="s">
        <v>24</v>
      </c>
      <c r="G8" s="273"/>
      <c r="H8" s="274" t="s">
        <v>420</v>
      </c>
      <c r="I8" s="274"/>
      <c r="J8" s="2"/>
      <c r="K8" s="1"/>
      <c r="L8" s="1"/>
      <c r="M8" s="1"/>
      <c r="N8" s="1"/>
      <c r="O8" s="1"/>
      <c r="T8" s="14" t="s">
        <v>25</v>
      </c>
      <c r="AA8" s="97">
        <v>43770</v>
      </c>
      <c r="AC8" s="163">
        <v>8</v>
      </c>
      <c r="AD8" s="97">
        <v>44136</v>
      </c>
    </row>
    <row r="9" spans="1:30" ht="8.1" customHeight="1" thickTop="1" thickBot="1">
      <c r="A9" s="98"/>
      <c r="B9" s="99"/>
      <c r="C9" s="99"/>
      <c r="D9" s="101"/>
      <c r="E9" s="101"/>
      <c r="F9" s="99"/>
      <c r="G9" s="99"/>
      <c r="H9" s="101"/>
      <c r="I9" s="101"/>
      <c r="J9" s="4"/>
      <c r="K9" s="1"/>
      <c r="L9" s="1"/>
      <c r="M9" s="1"/>
      <c r="N9" s="1"/>
      <c r="O9" s="1"/>
      <c r="AA9" s="97"/>
      <c r="AC9" s="163">
        <v>9</v>
      </c>
      <c r="AD9" s="97">
        <v>44166</v>
      </c>
    </row>
    <row r="10" spans="1:30" ht="22.5" thickTop="1" thickBot="1">
      <c r="A10" s="1"/>
      <c r="B10" s="280" t="s">
        <v>421</v>
      </c>
      <c r="C10" s="271"/>
      <c r="D10" s="288">
        <v>390263384</v>
      </c>
      <c r="E10" s="288"/>
      <c r="F10" s="273" t="s">
        <v>26</v>
      </c>
      <c r="G10" s="273"/>
      <c r="H10" s="289">
        <v>123465471475</v>
      </c>
      <c r="I10" s="289"/>
      <c r="J10" s="2"/>
      <c r="K10" s="8"/>
      <c r="L10" s="8"/>
      <c r="M10" s="8"/>
      <c r="N10" s="1"/>
      <c r="O10" s="1"/>
      <c r="T10" s="14" t="s">
        <v>2</v>
      </c>
      <c r="AA10" s="97">
        <v>43800</v>
      </c>
      <c r="AC10" s="163">
        <v>10</v>
      </c>
      <c r="AD10" s="97">
        <v>44197</v>
      </c>
    </row>
    <row r="11" spans="1:30" ht="8.1" customHeight="1" thickTop="1" thickBot="1">
      <c r="A11" s="98"/>
      <c r="B11" s="99"/>
      <c r="C11" s="99"/>
      <c r="D11" s="101"/>
      <c r="E11" s="101"/>
      <c r="F11" s="99"/>
      <c r="G11" s="99"/>
      <c r="H11" s="102"/>
      <c r="I11" s="102"/>
      <c r="J11" s="4"/>
      <c r="K11" s="8"/>
      <c r="L11" s="8"/>
      <c r="M11" s="8"/>
      <c r="N11" s="1"/>
      <c r="O11" s="1"/>
      <c r="AA11" s="97"/>
      <c r="AC11" s="163">
        <v>11</v>
      </c>
      <c r="AD11" s="97">
        <v>44228</v>
      </c>
    </row>
    <row r="12" spans="1:30" ht="22.5" thickTop="1" thickBot="1">
      <c r="A12" s="1"/>
      <c r="B12" s="271" t="s">
        <v>37</v>
      </c>
      <c r="C12" s="271"/>
      <c r="D12" s="295" t="s">
        <v>209</v>
      </c>
      <c r="E12" s="295"/>
      <c r="F12" s="273" t="s">
        <v>27</v>
      </c>
      <c r="G12" s="273"/>
      <c r="H12" s="274"/>
      <c r="I12" s="274"/>
      <c r="J12" s="2"/>
      <c r="K12" s="293"/>
      <c r="L12" s="293"/>
      <c r="M12" s="293"/>
      <c r="N12" s="293"/>
      <c r="O12" s="1"/>
      <c r="T12" s="14" t="s">
        <v>28</v>
      </c>
      <c r="AA12" s="97">
        <v>43831</v>
      </c>
      <c r="AC12" s="163">
        <v>12</v>
      </c>
      <c r="AD12" s="97"/>
    </row>
    <row r="13" spans="1:30" ht="8.1" customHeight="1" thickTop="1" thickBot="1">
      <c r="A13" s="98"/>
      <c r="B13" s="99"/>
      <c r="C13" s="99"/>
      <c r="D13" s="103"/>
      <c r="E13" s="103"/>
      <c r="F13" s="99"/>
      <c r="G13" s="99"/>
      <c r="H13" s="101"/>
      <c r="I13" s="101"/>
      <c r="J13" s="4"/>
      <c r="K13" s="91"/>
      <c r="L13" s="91"/>
      <c r="M13" s="91"/>
      <c r="N13" s="91"/>
      <c r="O13" s="1"/>
      <c r="AA13" s="97"/>
      <c r="AC13" s="163"/>
    </row>
    <row r="14" spans="1:30" ht="22.5" thickTop="1" thickBot="1">
      <c r="A14" s="1"/>
      <c r="B14" s="271" t="s">
        <v>29</v>
      </c>
      <c r="C14" s="271"/>
      <c r="D14" s="274">
        <v>11</v>
      </c>
      <c r="E14" s="274"/>
      <c r="F14" s="273" t="s">
        <v>30</v>
      </c>
      <c r="G14" s="273"/>
      <c r="H14" s="274">
        <v>123456</v>
      </c>
      <c r="I14" s="274"/>
      <c r="J14" s="2"/>
      <c r="K14" s="8"/>
      <c r="L14" s="8"/>
      <c r="M14" s="8"/>
      <c r="N14" s="1"/>
      <c r="O14" s="1"/>
      <c r="T14" s="14" t="s">
        <v>31</v>
      </c>
      <c r="AA14" s="97">
        <v>43862</v>
      </c>
    </row>
    <row r="15" spans="1:30" ht="8.1" customHeight="1" thickTop="1" thickBot="1">
      <c r="A15" s="98"/>
      <c r="B15" s="99"/>
      <c r="C15" s="99"/>
      <c r="D15" s="101"/>
      <c r="E15" s="101"/>
      <c r="F15" s="99"/>
      <c r="G15" s="99"/>
      <c r="H15" s="101"/>
      <c r="I15" s="101"/>
      <c r="J15" s="4"/>
      <c r="K15" s="8"/>
      <c r="L15" s="8"/>
      <c r="M15" s="8"/>
      <c r="N15" s="1"/>
      <c r="O15" s="1"/>
      <c r="AA15" s="97"/>
    </row>
    <row r="16" spans="1:30" ht="22.5" thickTop="1" thickBot="1">
      <c r="A16" s="1"/>
      <c r="B16" s="271" t="s">
        <v>32</v>
      </c>
      <c r="C16" s="271"/>
      <c r="D16" s="290">
        <v>110161963331</v>
      </c>
      <c r="E16" s="290"/>
      <c r="F16" s="271" t="s">
        <v>33</v>
      </c>
      <c r="G16" s="271"/>
      <c r="H16" s="290">
        <v>121212121212121</v>
      </c>
      <c r="I16" s="290"/>
      <c r="J16" s="9"/>
      <c r="K16" s="9"/>
      <c r="L16" s="9"/>
      <c r="M16" s="9"/>
      <c r="N16" s="9"/>
      <c r="O16" s="1"/>
    </row>
    <row r="17" spans="1:29" ht="8.1" customHeight="1" thickTop="1" thickBot="1">
      <c r="A17" s="98"/>
      <c r="B17" s="99"/>
      <c r="C17" s="99"/>
      <c r="D17" s="101"/>
      <c r="E17" s="101"/>
      <c r="F17" s="99"/>
      <c r="G17" s="99"/>
      <c r="H17" s="100"/>
      <c r="I17" s="100"/>
      <c r="J17" s="9"/>
      <c r="K17" s="9"/>
      <c r="L17" s="9"/>
      <c r="M17" s="9"/>
      <c r="N17" s="9"/>
      <c r="O17" s="1"/>
    </row>
    <row r="18" spans="1:29" ht="21.75" customHeight="1" thickTop="1" thickBot="1">
      <c r="A18" s="1"/>
      <c r="B18" s="271" t="s">
        <v>430</v>
      </c>
      <c r="C18" s="271"/>
      <c r="D18" s="274" t="s">
        <v>7</v>
      </c>
      <c r="E18" s="274"/>
      <c r="F18" s="273" t="s">
        <v>395</v>
      </c>
      <c r="G18" s="273"/>
      <c r="H18" s="274" t="s">
        <v>423</v>
      </c>
      <c r="I18" s="274"/>
      <c r="J18" s="2"/>
      <c r="K18" s="294" t="s">
        <v>18</v>
      </c>
      <c r="L18" s="294"/>
      <c r="M18" s="294"/>
      <c r="N18" s="294"/>
      <c r="O18" s="1"/>
      <c r="S18" s="14" t="s">
        <v>1</v>
      </c>
      <c r="T18" s="225" t="s">
        <v>7</v>
      </c>
      <c r="U18" s="14">
        <v>8</v>
      </c>
      <c r="V18" s="14" t="s">
        <v>4</v>
      </c>
      <c r="W18" s="14" t="s">
        <v>5</v>
      </c>
      <c r="Y18" s="14" t="s">
        <v>6</v>
      </c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98"/>
      <c r="N19" s="98"/>
      <c r="O19" s="98"/>
      <c r="P19" s="18"/>
      <c r="Q19" s="18"/>
      <c r="R19" s="18"/>
      <c r="S19" s="14" t="s">
        <v>8</v>
      </c>
      <c r="T19" s="15" t="s">
        <v>46</v>
      </c>
      <c r="U19" s="14">
        <v>9</v>
      </c>
      <c r="V19" s="14" t="s">
        <v>9</v>
      </c>
      <c r="W19" s="14" t="s">
        <v>10</v>
      </c>
      <c r="Y19" s="14" t="s">
        <v>11</v>
      </c>
      <c r="Z19" s="18"/>
      <c r="AA19" s="18"/>
      <c r="AB19" s="18"/>
      <c r="AC19" s="18"/>
    </row>
    <row r="20" spans="1:29" ht="26.25" customHeight="1">
      <c r="A20" s="1"/>
      <c r="B20" s="1"/>
      <c r="C20" s="1"/>
      <c r="D20" s="1"/>
      <c r="E20" s="277" t="s">
        <v>210</v>
      </c>
      <c r="F20" s="278"/>
      <c r="G20" s="278"/>
      <c r="H20" s="279"/>
      <c r="I20" s="1"/>
      <c r="J20" s="98"/>
      <c r="K20" s="98"/>
      <c r="L20" s="98"/>
      <c r="M20" s="98"/>
      <c r="N20" s="98"/>
      <c r="O20" s="98"/>
      <c r="P20" s="18"/>
      <c r="Q20" s="18"/>
      <c r="R20" s="18"/>
      <c r="T20" s="15" t="s">
        <v>219</v>
      </c>
      <c r="Z20" s="18"/>
      <c r="AA20" s="18"/>
      <c r="AB20" s="18"/>
      <c r="AC20" s="18"/>
    </row>
    <row r="21" spans="1:29" ht="8.25" customHeight="1">
      <c r="A21" s="1"/>
      <c r="B21" s="1"/>
      <c r="C21" s="1"/>
      <c r="D21" s="1"/>
      <c r="E21" s="1"/>
      <c r="F21" s="1"/>
      <c r="G21" s="1"/>
      <c r="H21" s="1"/>
      <c r="I21" s="1"/>
      <c r="J21" s="98"/>
      <c r="K21" s="98"/>
      <c r="L21" s="98"/>
      <c r="M21" s="98"/>
      <c r="N21" s="98"/>
      <c r="O21" s="9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8.1" customHeight="1" thickBot="1">
      <c r="A22" s="98"/>
      <c r="B22" s="104"/>
      <c r="C22" s="104"/>
      <c r="D22" s="104"/>
      <c r="E22" s="108"/>
      <c r="F22" s="106"/>
      <c r="G22" s="106"/>
      <c r="H22" s="106"/>
      <c r="I22" s="105"/>
      <c r="J22" s="107"/>
      <c r="K22" s="227"/>
      <c r="L22" s="227"/>
      <c r="M22" s="227"/>
      <c r="N22" s="227"/>
      <c r="O22" s="98"/>
      <c r="AA22" s="97"/>
    </row>
    <row r="23" spans="1:29" ht="22.5" thickTop="1" thickBot="1">
      <c r="A23" s="1"/>
      <c r="B23" s="269" t="s">
        <v>12</v>
      </c>
      <c r="C23" s="269" t="s">
        <v>12</v>
      </c>
      <c r="D23" s="269"/>
      <c r="E23" s="10">
        <v>0</v>
      </c>
      <c r="F23" s="268" t="s">
        <v>13</v>
      </c>
      <c r="G23" s="268"/>
      <c r="H23" s="268"/>
      <c r="I23" s="226" t="s">
        <v>6</v>
      </c>
      <c r="J23" s="228"/>
      <c r="K23" s="230"/>
      <c r="L23" s="230"/>
      <c r="M23" s="230"/>
      <c r="N23" s="231"/>
      <c r="O23" s="98"/>
      <c r="AA23" s="97"/>
    </row>
    <row r="24" spans="1:29" ht="8.1" customHeight="1" thickTop="1" thickBot="1">
      <c r="A24" s="98"/>
      <c r="B24" s="106"/>
      <c r="C24" s="106"/>
      <c r="D24" s="106"/>
      <c r="E24" s="105"/>
      <c r="F24" s="106"/>
      <c r="G24" s="106"/>
      <c r="H24" s="106"/>
      <c r="I24" s="109"/>
      <c r="J24" s="4"/>
      <c r="K24" s="230"/>
      <c r="L24" s="230"/>
      <c r="M24" s="230"/>
      <c r="N24" s="231"/>
      <c r="O24" s="98"/>
      <c r="AA24" s="97"/>
    </row>
    <row r="25" spans="1:29" ht="22.5" thickTop="1" thickBot="1">
      <c r="A25" s="1"/>
      <c r="B25" s="269" t="s">
        <v>39</v>
      </c>
      <c r="C25" s="269"/>
      <c r="D25" s="269"/>
      <c r="E25" s="11">
        <v>8</v>
      </c>
      <c r="F25" s="267" t="s">
        <v>40</v>
      </c>
      <c r="G25" s="267"/>
      <c r="H25" s="267"/>
      <c r="I25" s="226" t="s">
        <v>9</v>
      </c>
      <c r="J25" s="4"/>
      <c r="K25" s="110"/>
      <c r="L25" s="228"/>
      <c r="M25" s="229"/>
      <c r="N25" s="98"/>
      <c r="O25" s="98"/>
      <c r="AA25" s="14" t="s">
        <v>3</v>
      </c>
      <c r="AB25" s="16">
        <v>43891</v>
      </c>
    </row>
    <row r="26" spans="1:29" ht="8.1" customHeight="1" thickTop="1">
      <c r="A26" s="98"/>
      <c r="B26" s="106"/>
      <c r="C26" s="106"/>
      <c r="D26" s="106"/>
      <c r="E26" s="111"/>
      <c r="F26" s="112"/>
      <c r="G26" s="106"/>
      <c r="H26" s="106"/>
      <c r="I26" s="109"/>
      <c r="J26" s="4"/>
      <c r="K26" s="230"/>
      <c r="L26" s="230"/>
      <c r="M26" s="230"/>
      <c r="N26" s="231"/>
      <c r="O26" s="98"/>
      <c r="AA26" s="14" t="s">
        <v>47</v>
      </c>
      <c r="AB26" s="16">
        <v>43922</v>
      </c>
    </row>
    <row r="27" spans="1:29" ht="15">
      <c r="A27" s="1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6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14" t="s">
        <v>14</v>
      </c>
      <c r="AB27" s="16">
        <v>43952</v>
      </c>
      <c r="AC27" s="18"/>
    </row>
    <row r="28" spans="1:29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AA28" s="14" t="s">
        <v>15</v>
      </c>
      <c r="AB28" s="16">
        <v>43983</v>
      </c>
    </row>
    <row r="29" spans="1:29" ht="30" customHeight="1">
      <c r="A29" s="1"/>
      <c r="B29" s="1"/>
      <c r="C29" s="292" t="s">
        <v>41</v>
      </c>
      <c r="D29" s="292"/>
      <c r="E29" s="292"/>
      <c r="F29" s="292"/>
      <c r="G29" s="292"/>
      <c r="H29" s="292"/>
      <c r="I29" s="292"/>
      <c r="J29" s="292"/>
      <c r="K29" s="292"/>
      <c r="L29" s="1"/>
      <c r="M29" s="1"/>
      <c r="N29" s="1"/>
      <c r="O29" s="1"/>
      <c r="AA29" s="14" t="s">
        <v>16</v>
      </c>
      <c r="AB29" s="16">
        <v>44013</v>
      </c>
    </row>
    <row r="30" spans="1:29" ht="25.5" customHeight="1">
      <c r="A30" s="1"/>
      <c r="B30" s="1"/>
      <c r="C30" s="1"/>
      <c r="D30" s="1"/>
      <c r="E30" s="1"/>
      <c r="F30" s="291" t="s">
        <v>52</v>
      </c>
      <c r="G30" s="291"/>
      <c r="H30" s="291"/>
      <c r="I30" s="1"/>
      <c r="J30" s="1"/>
      <c r="K30" s="1"/>
      <c r="L30" s="1"/>
      <c r="M30" s="1"/>
      <c r="N30" s="1"/>
      <c r="O30" s="1"/>
      <c r="AA30" s="14" t="s">
        <v>17</v>
      </c>
      <c r="AB30" s="16">
        <v>44044</v>
      </c>
    </row>
    <row r="31" spans="1:29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AA31" s="14" t="s">
        <v>19</v>
      </c>
      <c r="AB31" s="16">
        <v>44075</v>
      </c>
    </row>
    <row r="32" spans="1:29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AA32" s="14" t="s">
        <v>22</v>
      </c>
      <c r="AB32" s="16">
        <v>44105</v>
      </c>
    </row>
    <row r="33" spans="1:28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AA33" s="14" t="s">
        <v>25</v>
      </c>
      <c r="AB33" s="16">
        <v>44136</v>
      </c>
    </row>
    <row r="34" spans="1:28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AA34" s="14" t="s">
        <v>2</v>
      </c>
      <c r="AB34" s="16">
        <v>44166</v>
      </c>
    </row>
    <row r="35" spans="1:28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AA35" s="14" t="s">
        <v>28</v>
      </c>
      <c r="AB35" s="16">
        <v>44197</v>
      </c>
    </row>
    <row r="36" spans="1:2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AA36" s="14" t="s">
        <v>31</v>
      </c>
      <c r="AB36" s="16">
        <v>44228</v>
      </c>
    </row>
    <row r="37" spans="1:2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sheetProtection password="E6D1" sheet="1" objects="1" scenarios="1" selectLockedCells="1"/>
  <mergeCells count="42">
    <mergeCell ref="F30:H30"/>
    <mergeCell ref="B8:C8"/>
    <mergeCell ref="B14:C14"/>
    <mergeCell ref="D14:E14"/>
    <mergeCell ref="F14:G14"/>
    <mergeCell ref="H14:I14"/>
    <mergeCell ref="B16:C16"/>
    <mergeCell ref="D16:E16"/>
    <mergeCell ref="B18:C18"/>
    <mergeCell ref="D18:E18"/>
    <mergeCell ref="C29:K29"/>
    <mergeCell ref="K12:N12"/>
    <mergeCell ref="K18:N18"/>
    <mergeCell ref="D12:E12"/>
    <mergeCell ref="F12:G12"/>
    <mergeCell ref="H12:I12"/>
    <mergeCell ref="D10:E10"/>
    <mergeCell ref="F10:G10"/>
    <mergeCell ref="H10:I10"/>
    <mergeCell ref="F16:G16"/>
    <mergeCell ref="H16:I16"/>
    <mergeCell ref="E2:H2"/>
    <mergeCell ref="B2:D2"/>
    <mergeCell ref="D8:E8"/>
    <mergeCell ref="F8:G8"/>
    <mergeCell ref="H8:I8"/>
    <mergeCell ref="F25:H25"/>
    <mergeCell ref="F23:H23"/>
    <mergeCell ref="B25:D25"/>
    <mergeCell ref="K4:N4"/>
    <mergeCell ref="B6:C6"/>
    <mergeCell ref="D6:E6"/>
    <mergeCell ref="F6:G6"/>
    <mergeCell ref="H6:I6"/>
    <mergeCell ref="B4:C4"/>
    <mergeCell ref="D4:I4"/>
    <mergeCell ref="B12:C12"/>
    <mergeCell ref="B23:D23"/>
    <mergeCell ref="E20:H20"/>
    <mergeCell ref="F18:G18"/>
    <mergeCell ref="H18:I18"/>
    <mergeCell ref="B10:C10"/>
  </mergeCells>
  <dataValidations count="25">
    <dataValidation type="custom" allowBlank="1" showInputMessage="1" showErrorMessage="1" sqref="D5:I5">
      <formula1>ISTEXT(D5:I5)=TRUE</formula1>
    </dataValidation>
    <dataValidation type="list" allowBlank="1" showInputMessage="1" showErrorMessage="1" sqref="I26">
      <formula1>gp</formula1>
    </dataValidation>
    <dataValidation type="list" allowBlank="1" showInputMessage="1" showErrorMessage="1" sqref="I24">
      <formula1>pay</formula1>
    </dataValidation>
    <dataValidation type="list" allowBlank="1" showInputMessage="1" showErrorMessage="1" sqref="E26">
      <formula1>"8,16,20,25"</formula1>
    </dataValidation>
    <dataValidation type="list" allowBlank="1" showInputMessage="1" showErrorMessage="1" sqref="E22">
      <formula1>"Under 60, Above 60"</formula1>
    </dataValidation>
    <dataValidation type="list" allowBlank="1" showInputMessage="1" showErrorMessage="1" error="केवल हाँ अथवा ना सलेक्ट करें।" sqref="I22">
      <formula1>ye</formula1>
    </dataValidation>
    <dataValidation type="custom" allowBlank="1" showInputMessage="1" showErrorMessage="1" sqref="E24">
      <formula1>ISNUMBER(E24)=TRUE</formula1>
    </dataValidation>
    <dataValidation type="list" allowBlank="1" showInputMessage="1" showErrorMessage="1" errorTitle="Select GPF / NPS" error="सलेक्ट बटन में से GPF / NPS  चुनें।  " sqref="I25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3">
      <formula1>pay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3:N24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26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3">
      <formula1>600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Age Group" error="यहाँ आयु वर्ग को सलेक्ट करें।" sqref="D18:E18">
      <formula1>und</formula1>
    </dataValidation>
    <dataValidation type="textLength" operator="lessThanOrEqual" allowBlank="1" showInputMessage="1" showErrorMessage="1" errorTitle="write employee ID" error="भाई साहब  एम्प्लोयी आई डी 14 डिजिट तक ही होती है। " sqref="D10:E10">
      <formula1>14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</dataValidations>
  <hyperlinks>
    <hyperlink ref="B2" r:id="rId1"/>
  </hyperlinks>
  <pageMargins left="0.7" right="0.7" top="0.75" bottom="0.75" header="0.3" footer="0.3"/>
  <pageSetup orientation="portrait" horizontalDpi="300" verticalDpi="0" copies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K29"/>
  <sheetViews>
    <sheetView showGridLines="0" showRowColHeaders="0" topLeftCell="A4" workbookViewId="0">
      <selection activeCell="I18" sqref="I18"/>
    </sheetView>
  </sheetViews>
  <sheetFormatPr defaultColWidth="0" defaultRowHeight="15" zeroHeight="1"/>
  <cols>
    <col min="1" max="1" width="9" style="14" customWidth="1"/>
    <col min="2" max="2" width="3.5" style="14" customWidth="1"/>
    <col min="3" max="3" width="59" style="14" customWidth="1"/>
    <col min="4" max="4" width="6.25" style="14" customWidth="1"/>
    <col min="5" max="5" width="18.625" style="14" customWidth="1"/>
    <col min="6" max="6" width="3.375" style="14" customWidth="1"/>
    <col min="7" max="7" width="70.75" style="14" customWidth="1"/>
    <col min="8" max="8" width="8.125" style="14" customWidth="1"/>
    <col min="9" max="9" width="16.625" style="14" customWidth="1"/>
    <col min="10" max="10" width="3.375" style="14" customWidth="1"/>
    <col min="11" max="11" width="9" style="14" customWidth="1"/>
    <col min="12" max="16384" width="9" style="14" hidden="1"/>
  </cols>
  <sheetData>
    <row r="1" spans="1:11" ht="37.5" customHeight="1">
      <c r="A1" s="296" t="s">
        <v>383</v>
      </c>
      <c r="B1" s="297"/>
      <c r="C1" s="297"/>
      <c r="D1" s="113"/>
      <c r="E1" s="113"/>
      <c r="F1" s="113"/>
      <c r="G1" s="113"/>
      <c r="H1" s="113"/>
      <c r="I1" s="113"/>
      <c r="J1" s="113"/>
      <c r="K1" s="113"/>
    </row>
    <row r="2" spans="1:11" ht="18.75" customHeight="1">
      <c r="A2" s="113"/>
      <c r="B2" s="298" t="s">
        <v>384</v>
      </c>
      <c r="C2" s="298"/>
      <c r="D2" s="113"/>
      <c r="E2" s="113"/>
      <c r="F2" s="113"/>
      <c r="G2" s="113"/>
      <c r="H2" s="113"/>
      <c r="I2" s="113"/>
      <c r="J2" s="113"/>
      <c r="K2" s="113"/>
    </row>
    <row r="3" spans="1:11" ht="27" customHeight="1">
      <c r="A3" s="113"/>
      <c r="B3" s="113"/>
      <c r="C3" s="299" t="s">
        <v>53</v>
      </c>
      <c r="D3" s="299"/>
      <c r="E3" s="299"/>
      <c r="F3" s="299"/>
      <c r="G3" s="299"/>
      <c r="H3" s="299"/>
      <c r="I3" s="299"/>
      <c r="J3" s="113"/>
      <c r="K3" s="113"/>
    </row>
    <row r="4" spans="1:11" ht="15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.75" customHeight="1">
      <c r="A5" s="113"/>
      <c r="B5" s="114"/>
      <c r="C5" s="115"/>
      <c r="D5" s="115"/>
      <c r="E5" s="115"/>
      <c r="F5" s="115"/>
      <c r="G5" s="115"/>
      <c r="H5" s="115"/>
      <c r="I5" s="115"/>
      <c r="J5" s="114"/>
      <c r="K5" s="113"/>
    </row>
    <row r="6" spans="1:11" ht="24.95" customHeight="1">
      <c r="A6" s="113"/>
      <c r="B6" s="116"/>
      <c r="C6" s="323" t="s">
        <v>426</v>
      </c>
      <c r="D6" s="324"/>
      <c r="E6" s="234"/>
      <c r="F6" s="300"/>
      <c r="G6" s="301" t="s">
        <v>171</v>
      </c>
      <c r="H6" s="301"/>
      <c r="I6" s="117"/>
      <c r="J6" s="307"/>
      <c r="K6" s="113"/>
    </row>
    <row r="7" spans="1:11" ht="24.95" customHeight="1">
      <c r="A7" s="113"/>
      <c r="B7" s="116"/>
      <c r="C7" s="309" t="s">
        <v>161</v>
      </c>
      <c r="D7" s="310"/>
      <c r="E7" s="117">
        <v>50000</v>
      </c>
      <c r="F7" s="300"/>
      <c r="G7" s="304" t="s">
        <v>172</v>
      </c>
      <c r="H7" s="305"/>
      <c r="I7" s="117"/>
      <c r="J7" s="307"/>
      <c r="K7" s="113"/>
    </row>
    <row r="8" spans="1:11" ht="24.95" customHeight="1">
      <c r="A8" s="113"/>
      <c r="B8" s="116"/>
      <c r="C8" s="311" t="s">
        <v>162</v>
      </c>
      <c r="D8" s="312"/>
      <c r="E8" s="117"/>
      <c r="F8" s="300"/>
      <c r="G8" s="301" t="s">
        <v>193</v>
      </c>
      <c r="H8" s="301"/>
      <c r="I8" s="117"/>
      <c r="J8" s="307"/>
      <c r="K8" s="113"/>
    </row>
    <row r="9" spans="1:11" ht="24.95" customHeight="1">
      <c r="A9" s="113"/>
      <c r="B9" s="116"/>
      <c r="C9" s="311" t="s">
        <v>163</v>
      </c>
      <c r="D9" s="312"/>
      <c r="E9" s="117"/>
      <c r="F9" s="300"/>
      <c r="G9" s="301" t="s">
        <v>173</v>
      </c>
      <c r="H9" s="301"/>
      <c r="I9" s="117"/>
      <c r="J9" s="307"/>
      <c r="K9" s="113"/>
    </row>
    <row r="10" spans="1:11" ht="24.95" customHeight="1">
      <c r="A10" s="113"/>
      <c r="B10" s="116"/>
      <c r="C10" s="311" t="s">
        <v>164</v>
      </c>
      <c r="D10" s="312"/>
      <c r="E10" s="117"/>
      <c r="F10" s="300"/>
      <c r="G10" s="301" t="s">
        <v>194</v>
      </c>
      <c r="H10" s="301"/>
      <c r="I10" s="117"/>
      <c r="J10" s="307"/>
      <c r="K10" s="113"/>
    </row>
    <row r="11" spans="1:11" ht="33" customHeight="1">
      <c r="A11" s="113"/>
      <c r="B11" s="116"/>
      <c r="C11" s="311" t="s">
        <v>165</v>
      </c>
      <c r="D11" s="312"/>
      <c r="E11" s="117"/>
      <c r="F11" s="300"/>
      <c r="G11" s="302" t="s">
        <v>174</v>
      </c>
      <c r="H11" s="302"/>
      <c r="I11" s="117"/>
      <c r="J11" s="307"/>
      <c r="K11" s="113"/>
    </row>
    <row r="12" spans="1:11" ht="24.95" customHeight="1">
      <c r="A12" s="113"/>
      <c r="B12" s="116"/>
      <c r="C12" s="311" t="s">
        <v>166</v>
      </c>
      <c r="D12" s="312"/>
      <c r="E12" s="117"/>
      <c r="F12" s="300"/>
      <c r="G12" s="301" t="s">
        <v>175</v>
      </c>
      <c r="H12" s="301"/>
      <c r="I12" s="117"/>
      <c r="J12" s="307"/>
      <c r="K12" s="113"/>
    </row>
    <row r="13" spans="1:11" ht="24.95" customHeight="1">
      <c r="A13" s="113"/>
      <c r="B13" s="116"/>
      <c r="C13" s="313" t="s">
        <v>167</v>
      </c>
      <c r="D13" s="314"/>
      <c r="E13" s="117"/>
      <c r="F13" s="300"/>
      <c r="G13" s="301" t="s">
        <v>368</v>
      </c>
      <c r="H13" s="301"/>
      <c r="I13" s="117"/>
      <c r="J13" s="307"/>
      <c r="K13" s="113"/>
    </row>
    <row r="14" spans="1:11" ht="24.95" customHeight="1">
      <c r="A14" s="113"/>
      <c r="B14" s="116"/>
      <c r="C14" s="315" t="s">
        <v>431</v>
      </c>
      <c r="D14" s="316"/>
      <c r="E14" s="117"/>
      <c r="F14" s="300"/>
      <c r="G14" s="303" t="s">
        <v>176</v>
      </c>
      <c r="H14" s="303"/>
      <c r="I14" s="117">
        <v>50000</v>
      </c>
      <c r="J14" s="307"/>
      <c r="K14" s="113"/>
    </row>
    <row r="15" spans="1:11" ht="24.95" customHeight="1">
      <c r="A15" s="113"/>
      <c r="B15" s="116"/>
      <c r="C15" s="317" t="s">
        <v>186</v>
      </c>
      <c r="D15" s="318"/>
      <c r="E15" s="117"/>
      <c r="F15" s="300"/>
      <c r="G15" s="301" t="s">
        <v>177</v>
      </c>
      <c r="H15" s="301"/>
      <c r="I15" s="117"/>
      <c r="J15" s="307"/>
      <c r="K15" s="113"/>
    </row>
    <row r="16" spans="1:11" ht="24.95" customHeight="1">
      <c r="A16" s="113"/>
      <c r="B16" s="116"/>
      <c r="C16" s="319" t="s">
        <v>187</v>
      </c>
      <c r="D16" s="320"/>
      <c r="E16" s="117"/>
      <c r="F16" s="300"/>
      <c r="G16" s="301" t="s">
        <v>178</v>
      </c>
      <c r="H16" s="301"/>
      <c r="I16" s="117"/>
      <c r="J16" s="307"/>
      <c r="K16" s="113"/>
    </row>
    <row r="17" spans="1:11" ht="24.95" customHeight="1">
      <c r="A17" s="113"/>
      <c r="B17" s="116"/>
      <c r="C17" s="317" t="s">
        <v>168</v>
      </c>
      <c r="D17" s="318"/>
      <c r="E17" s="117"/>
      <c r="F17" s="300"/>
      <c r="G17" s="301" t="s">
        <v>179</v>
      </c>
      <c r="H17" s="301"/>
      <c r="I17" s="117"/>
      <c r="J17" s="307"/>
      <c r="K17" s="113"/>
    </row>
    <row r="18" spans="1:11" ht="24.95" customHeight="1">
      <c r="A18" s="113"/>
      <c r="B18" s="116"/>
      <c r="C18" s="317" t="s">
        <v>188</v>
      </c>
      <c r="D18" s="318"/>
      <c r="E18" s="117"/>
      <c r="F18" s="300"/>
      <c r="G18" s="301" t="s">
        <v>180</v>
      </c>
      <c r="H18" s="301"/>
      <c r="I18" s="117"/>
      <c r="J18" s="307"/>
      <c r="K18" s="113"/>
    </row>
    <row r="19" spans="1:11" ht="24.95" customHeight="1">
      <c r="A19" s="113"/>
      <c r="B19" s="116"/>
      <c r="C19" s="317" t="s">
        <v>169</v>
      </c>
      <c r="D19" s="318"/>
      <c r="E19" s="117"/>
      <c r="F19" s="300"/>
      <c r="G19" s="301" t="s">
        <v>181</v>
      </c>
      <c r="H19" s="301"/>
      <c r="I19" s="117"/>
      <c r="J19" s="307"/>
      <c r="K19" s="113"/>
    </row>
    <row r="20" spans="1:11" ht="24.95" customHeight="1">
      <c r="A20" s="113"/>
      <c r="B20" s="116"/>
      <c r="C20" s="317" t="s">
        <v>189</v>
      </c>
      <c r="D20" s="318"/>
      <c r="E20" s="117"/>
      <c r="F20" s="300"/>
      <c r="G20" s="301" t="s">
        <v>182</v>
      </c>
      <c r="H20" s="301"/>
      <c r="I20" s="117"/>
      <c r="J20" s="307"/>
      <c r="K20" s="113"/>
    </row>
    <row r="21" spans="1:11" ht="24.95" customHeight="1">
      <c r="A21" s="113"/>
      <c r="B21" s="116"/>
      <c r="C21" s="317" t="s">
        <v>190</v>
      </c>
      <c r="D21" s="318"/>
      <c r="E21" s="117"/>
      <c r="F21" s="300"/>
      <c r="G21" s="308" t="s">
        <v>195</v>
      </c>
      <c r="H21" s="308"/>
      <c r="I21" s="117">
        <v>1000</v>
      </c>
      <c r="J21" s="307"/>
      <c r="K21" s="113"/>
    </row>
    <row r="22" spans="1:11" ht="24.95" customHeight="1">
      <c r="A22" s="113"/>
      <c r="B22" s="116"/>
      <c r="C22" s="317" t="s">
        <v>191</v>
      </c>
      <c r="D22" s="318"/>
      <c r="E22" s="117"/>
      <c r="F22" s="300"/>
      <c r="G22" s="301" t="s">
        <v>183</v>
      </c>
      <c r="H22" s="301"/>
      <c r="I22" s="117"/>
      <c r="J22" s="307"/>
      <c r="K22" s="113"/>
    </row>
    <row r="23" spans="1:11" ht="24.95" customHeight="1">
      <c r="A23" s="113"/>
      <c r="B23" s="116"/>
      <c r="C23" s="317" t="s">
        <v>192</v>
      </c>
      <c r="D23" s="318"/>
      <c r="E23" s="117"/>
      <c r="F23" s="300"/>
      <c r="G23" s="321" t="s">
        <v>197</v>
      </c>
      <c r="H23" s="322"/>
      <c r="I23" s="117"/>
      <c r="J23" s="307"/>
      <c r="K23" s="113"/>
    </row>
    <row r="24" spans="1:11" ht="24.95" customHeight="1">
      <c r="A24" s="113"/>
      <c r="B24" s="116"/>
      <c r="C24" s="317" t="s">
        <v>170</v>
      </c>
      <c r="D24" s="318"/>
      <c r="E24" s="117"/>
      <c r="F24" s="300"/>
      <c r="G24" s="325" t="s">
        <v>427</v>
      </c>
      <c r="H24" s="326"/>
      <c r="I24" s="117">
        <v>0</v>
      </c>
      <c r="J24" s="307"/>
      <c r="K24" s="113"/>
    </row>
    <row r="25" spans="1:11" ht="16.5" customHeight="1">
      <c r="A25" s="113"/>
      <c r="B25" s="114"/>
      <c r="C25" s="306"/>
      <c r="D25" s="306"/>
      <c r="E25" s="306"/>
      <c r="F25" s="306"/>
      <c r="G25" s="306"/>
      <c r="H25" s="306"/>
      <c r="I25" s="306"/>
      <c r="J25" s="114"/>
      <c r="K25" s="113"/>
    </row>
    <row r="26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</row>
  </sheetData>
  <sheetProtection password="C407" sheet="1" objects="1" scenarios="1" selectLockedCells="1"/>
  <mergeCells count="44">
    <mergeCell ref="C6:D6"/>
    <mergeCell ref="G24:H24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  <mergeCell ref="C25:I25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</mergeCells>
  <dataValidations count="4">
    <dataValidation type="custom" allowBlank="1" showInputMessage="1" showErrorMessage="1" errorTitle="write Digit in only" error="Please input Data in Digit Only" sqref="I24">
      <formula1>ISNUMBER(I24)=TRUE</formula1>
    </dataValidation>
    <dataValidation type="custom" allowBlank="1" showInputMessage="1" showErrorMessage="1" errorTitle="write Digit in only" error="Please input Data in Digit Only" sqref="I6:I23">
      <formula1>ISNUMBER(I6)=TRUE</formula1>
    </dataValidation>
    <dataValidation type="custom" allowBlank="1" showInputMessage="1" showErrorMessage="1" errorTitle="Write in Digit only" error="Please input Data  in Digit / Number only" sqref="E7:E24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view="pageBreakPreview" zoomScaleSheetLayoutView="100" workbookViewId="0">
      <selection activeCell="H22" sqref="H22"/>
    </sheetView>
  </sheetViews>
  <sheetFormatPr defaultColWidth="9.125" defaultRowHeight="15.75"/>
  <cols>
    <col min="1" max="1" width="4" style="22" customWidth="1"/>
    <col min="2" max="2" width="12.125" style="22" customWidth="1"/>
    <col min="3" max="3" width="7.75" style="22" customWidth="1"/>
    <col min="4" max="4" width="6.625" style="22" customWidth="1"/>
    <col min="5" max="5" width="5.625" style="22" customWidth="1"/>
    <col min="6" max="6" width="5.75" style="22" customWidth="1"/>
    <col min="7" max="7" width="5.375" style="22" customWidth="1"/>
    <col min="8" max="8" width="5.25" style="22" customWidth="1"/>
    <col min="9" max="9" width="6.25" style="22" customWidth="1"/>
    <col min="10" max="10" width="6.375" style="22" customWidth="1"/>
    <col min="11" max="12" width="5.875" style="22" customWidth="1"/>
    <col min="13" max="13" width="7.625" style="22" customWidth="1"/>
    <col min="14" max="14" width="5.25" style="22" customWidth="1"/>
    <col min="15" max="15" width="5.375" style="22" customWidth="1"/>
    <col min="16" max="16" width="5.25" style="22" customWidth="1"/>
    <col min="17" max="17" width="5.625" style="22" customWidth="1"/>
    <col min="18" max="18" width="5.75" style="22" customWidth="1"/>
    <col min="19" max="20" width="5.25" style="22" customWidth="1"/>
    <col min="21" max="21" width="5.5" style="22" customWidth="1"/>
    <col min="22" max="22" width="5.625" style="22" customWidth="1"/>
    <col min="23" max="25" width="5.75" style="22" customWidth="1"/>
    <col min="26" max="26" width="7.75" style="22" customWidth="1"/>
    <col min="27" max="27" width="8" style="46" customWidth="1"/>
    <col min="28" max="28" width="7.125" style="46" customWidth="1"/>
    <col min="29" max="29" width="8.25" style="14" customWidth="1"/>
    <col min="30" max="32" width="9.125" style="14" customWidth="1"/>
    <col min="33" max="33" width="22.625" style="22" customWidth="1"/>
    <col min="34" max="34" width="9.125" style="14" customWidth="1"/>
    <col min="35" max="35" width="10.875" style="14" customWidth="1"/>
    <col min="36" max="51" width="9.125" style="14" customWidth="1"/>
    <col min="52" max="52" width="11.25" style="14" customWidth="1"/>
    <col min="53" max="85" width="9.125" style="14" customWidth="1"/>
    <col min="86" max="86" width="8.375" style="14" customWidth="1"/>
    <col min="87" max="271" width="9.125" style="14" customWidth="1"/>
    <col min="272" max="16384" width="9.125" style="14"/>
  </cols>
  <sheetData>
    <row r="1" spans="1:33" ht="27.75" customHeight="1">
      <c r="A1" s="21"/>
      <c r="B1" s="331" t="str">
        <f>IF(AND('Master Data'!D4=""),"",CONCATENATE("Office Name :- ",PROPER('Master Data'!D4)))</f>
        <v xml:space="preserve">Office Name :- Principal, H.S.S.Girls Pichhore (3932003025) M.P.
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48"/>
      <c r="AB1" s="348"/>
      <c r="AC1" s="349"/>
    </row>
    <row r="2" spans="1:33" s="23" customFormat="1" ht="25.5" customHeight="1">
      <c r="A2" s="350" t="s">
        <v>49</v>
      </c>
      <c r="B2" s="351"/>
      <c r="C2" s="351"/>
      <c r="D2" s="352" t="str">
        <f>UPPER(IF('Master Data'!D6="","",'Master Data'!D6))</f>
        <v>HEERALAL JAT</v>
      </c>
      <c r="E2" s="352"/>
      <c r="F2" s="352"/>
      <c r="G2" s="352"/>
      <c r="H2" s="352"/>
      <c r="I2" s="356" t="s">
        <v>21</v>
      </c>
      <c r="J2" s="356"/>
      <c r="K2" s="356"/>
      <c r="L2" s="356"/>
      <c r="M2" s="353" t="str">
        <f>UPPER(IF('Master Data'!H6="","",'Master Data'!H6))</f>
        <v>MIDDLE TEACHER</v>
      </c>
      <c r="N2" s="353"/>
      <c r="O2" s="353"/>
      <c r="P2" s="353"/>
      <c r="Q2" s="351" t="s">
        <v>23</v>
      </c>
      <c r="R2" s="351"/>
      <c r="S2" s="351"/>
      <c r="T2" s="351"/>
      <c r="U2" s="353" t="str">
        <f>UPPER(IF('Master Data'!D8="","",'Master Data'!D8))</f>
        <v xml:space="preserve">GHS HARIJAN BASTI PICHHORE </v>
      </c>
      <c r="V2" s="353"/>
      <c r="W2" s="353"/>
      <c r="X2" s="353"/>
      <c r="Y2" s="353"/>
      <c r="Z2" s="353"/>
      <c r="AA2" s="353"/>
      <c r="AB2" s="354" t="s">
        <v>54</v>
      </c>
      <c r="AC2" s="355"/>
      <c r="AG2" s="24"/>
    </row>
    <row r="3" spans="1:33" s="23" customFormat="1" ht="23.25" customHeight="1">
      <c r="A3" s="343" t="s">
        <v>55</v>
      </c>
      <c r="B3" s="344"/>
      <c r="C3" s="345" t="str">
        <f>UPPER(IF('Master Data'!D12="","",'Master Data'!D12))</f>
        <v>ABCDE1234H</v>
      </c>
      <c r="D3" s="345"/>
      <c r="E3" s="345"/>
      <c r="F3" s="47" t="s">
        <v>419</v>
      </c>
      <c r="G3" s="345">
        <f>IF(AND('Master Data'!D10=""),"",'Master Data'!D10)</f>
        <v>390263384</v>
      </c>
      <c r="H3" s="345"/>
      <c r="I3" s="345"/>
      <c r="J3" s="25" t="s">
        <v>4</v>
      </c>
      <c r="K3" s="346">
        <f>IF(AND('Master Data'!D14=""),"",'Master Data'!D14)</f>
        <v>11</v>
      </c>
      <c r="L3" s="346"/>
      <c r="M3" s="346"/>
      <c r="N3" s="346"/>
      <c r="O3" s="347" t="s">
        <v>32</v>
      </c>
      <c r="P3" s="347"/>
      <c r="Q3" s="347"/>
      <c r="R3" s="346">
        <f>IF(AND('Master Data'!D16=""),"",'Master Data'!D16)</f>
        <v>110161963331</v>
      </c>
      <c r="S3" s="346"/>
      <c r="T3" s="346"/>
      <c r="U3" s="346"/>
      <c r="V3" s="346"/>
      <c r="W3" s="332" t="s">
        <v>56</v>
      </c>
      <c r="X3" s="332"/>
      <c r="Y3" s="332"/>
      <c r="Z3" s="332"/>
      <c r="AA3" s="333">
        <f>IF(AND('Master Data'!H16=""),"",'Master Data'!H16)</f>
        <v>121212121212121</v>
      </c>
      <c r="AB3" s="333"/>
      <c r="AC3" s="334"/>
      <c r="AG3" s="24"/>
    </row>
    <row r="4" spans="1:33" s="26" customFormat="1" ht="21.75" customHeight="1">
      <c r="A4" s="335" t="s">
        <v>401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7"/>
      <c r="N4" s="338" t="s">
        <v>402</v>
      </c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9" t="s">
        <v>418</v>
      </c>
      <c r="AB4" s="341" t="s">
        <v>416</v>
      </c>
      <c r="AC4" s="342" t="s">
        <v>417</v>
      </c>
      <c r="AG4" s="15"/>
    </row>
    <row r="5" spans="1:33" s="29" customFormat="1" ht="47.25" customHeight="1">
      <c r="A5" s="27" t="s">
        <v>42</v>
      </c>
      <c r="B5" s="28" t="s">
        <v>43</v>
      </c>
      <c r="C5" s="28" t="s">
        <v>396</v>
      </c>
      <c r="D5" s="28" t="s">
        <v>397</v>
      </c>
      <c r="E5" s="28" t="s">
        <v>398</v>
      </c>
      <c r="F5" s="28" t="s">
        <v>406</v>
      </c>
      <c r="G5" s="28" t="s">
        <v>44</v>
      </c>
      <c r="H5" s="28" t="s">
        <v>34</v>
      </c>
      <c r="I5" s="28" t="s">
        <v>399</v>
      </c>
      <c r="J5" s="244" t="s">
        <v>400</v>
      </c>
      <c r="K5" s="244" t="s">
        <v>407</v>
      </c>
      <c r="L5" s="244" t="s">
        <v>408</v>
      </c>
      <c r="M5" s="28" t="s">
        <v>428</v>
      </c>
      <c r="N5" s="28" t="s">
        <v>403</v>
      </c>
      <c r="O5" s="28" t="s">
        <v>4</v>
      </c>
      <c r="P5" s="28" t="s">
        <v>9</v>
      </c>
      <c r="Q5" s="28" t="s">
        <v>404</v>
      </c>
      <c r="R5" s="232" t="s">
        <v>405</v>
      </c>
      <c r="S5" s="28" t="s">
        <v>409</v>
      </c>
      <c r="T5" s="28" t="s">
        <v>410</v>
      </c>
      <c r="U5" s="28" t="s">
        <v>411</v>
      </c>
      <c r="V5" s="244" t="s">
        <v>412</v>
      </c>
      <c r="W5" s="244" t="s">
        <v>413</v>
      </c>
      <c r="X5" s="244" t="s">
        <v>414</v>
      </c>
      <c r="Y5" s="28" t="s">
        <v>415</v>
      </c>
      <c r="Z5" s="28" t="s">
        <v>429</v>
      </c>
      <c r="AA5" s="340"/>
      <c r="AB5" s="341"/>
      <c r="AC5" s="342"/>
      <c r="AG5" s="30"/>
    </row>
    <row r="6" spans="1:33" ht="21.95" customHeight="1">
      <c r="A6" s="31">
        <v>1</v>
      </c>
      <c r="B6" s="235">
        <v>43891</v>
      </c>
      <c r="C6" s="236">
        <v>35800</v>
      </c>
      <c r="D6" s="236"/>
      <c r="E6" s="236">
        <v>1234</v>
      </c>
      <c r="F6" s="236"/>
      <c r="G6" s="236">
        <v>398</v>
      </c>
      <c r="H6" s="236">
        <v>200</v>
      </c>
      <c r="I6" s="236"/>
      <c r="J6" s="236"/>
      <c r="K6" s="236"/>
      <c r="L6" s="236"/>
      <c r="M6" s="237">
        <f>IF(AND(B6=""),"",SUM(C6:L6))</f>
        <v>37632</v>
      </c>
      <c r="N6" s="236"/>
      <c r="O6" s="236"/>
      <c r="P6" s="238">
        <f>IF(AND('GA55 '!$B6=""),"",ROUND((C6+D6+E6)*0.1,0))</f>
        <v>3703</v>
      </c>
      <c r="Q6" s="236">
        <v>200</v>
      </c>
      <c r="R6" s="236"/>
      <c r="S6" s="236">
        <v>1000</v>
      </c>
      <c r="T6" s="236">
        <v>208</v>
      </c>
      <c r="U6" s="236"/>
      <c r="V6" s="236"/>
      <c r="W6" s="236"/>
      <c r="X6" s="236"/>
      <c r="Y6" s="236"/>
      <c r="Z6" s="239">
        <f>IF(AND(B6="",M6=""),"",SUM(N6:Y6))</f>
        <v>5111</v>
      </c>
      <c r="AA6" s="240">
        <f>IF(AND(Z6="",M6=""),"",SUM(M6-Z6))</f>
        <v>32521</v>
      </c>
      <c r="AB6" s="241"/>
      <c r="AC6" s="242"/>
    </row>
    <row r="7" spans="1:33" ht="21.95" customHeight="1">
      <c r="A7" s="31">
        <v>2</v>
      </c>
      <c r="B7" s="235">
        <v>43922</v>
      </c>
      <c r="C7" s="241">
        <f>IF(AND('GA55 '!$B7=""),"",'GA55 '!C$6)</f>
        <v>35800</v>
      </c>
      <c r="D7" s="241">
        <f>IF(AND('Master Data'!$I$23='Master Data'!$Y$19),0,IF(AND('GA55 '!$B7=""),"",'GA55 '!D$6))</f>
        <v>0</v>
      </c>
      <c r="E7" s="241">
        <f>IF(AND('Master Data'!$I$23='Master Data'!$Y$19),0,IF(AND('GA55 '!$B7=""),"",'GA55 '!E$6))</f>
        <v>1234</v>
      </c>
      <c r="F7" s="241">
        <f>IF(AND('Master Data'!$I$23='Master Data'!$Y$19),"",IF(AND('GA55 '!$B7=""),"",'GA55 '!F$6))</f>
        <v>0</v>
      </c>
      <c r="G7" s="241">
        <f>IF(AND('Master Data'!$I$23='Master Data'!$Y$19),"",IF(AND('GA55 '!$B7=""),"",'GA55 '!G$6))</f>
        <v>398</v>
      </c>
      <c r="H7" s="241">
        <f>IF(AND('Master Data'!$I$23='Master Data'!$Y$19),"",IF(AND('GA55 '!$B7=""),"",'GA55 '!H$6))</f>
        <v>200</v>
      </c>
      <c r="I7" s="241">
        <f>IF(AND('Master Data'!$I$23='Master Data'!$Y$19),"",IF(AND('GA55 '!$B7=""),"",'GA55 '!I$6))</f>
        <v>0</v>
      </c>
      <c r="J7" s="241">
        <f>IF(AND('Master Data'!$I$23='Master Data'!$Y$19),"",IF(AND('GA55 '!$B7=""),"",'GA55 '!J$6))</f>
        <v>0</v>
      </c>
      <c r="K7" s="241">
        <f>IF(AND('Master Data'!$I$23='Master Data'!$Y$19),"",IF(AND('GA55 '!$B7=""),"",'GA55 '!K$6))</f>
        <v>0</v>
      </c>
      <c r="L7" s="241">
        <f>IF(AND('Master Data'!$I$23='Master Data'!$Y$19),"",IF(AND('GA55 '!$B7=""),"",'GA55 '!L$6))</f>
        <v>0</v>
      </c>
      <c r="M7" s="237">
        <f>IF(AND(B7=""),"",SUM(C7:L7))</f>
        <v>37632</v>
      </c>
      <c r="N7" s="241">
        <f>IF(AND('Master Data'!$I$23='Master Data'!$Y$19),"",IF(AND('GA55 '!$B7=""),"",'GA55 '!N$6))</f>
        <v>0</v>
      </c>
      <c r="O7" s="241">
        <f>IF(AND('Master Data'!$I$23='Master Data'!$Y$19),"",IF(AND('GA55 '!$B7=""),"",'GA55 '!O$6))</f>
        <v>0</v>
      </c>
      <c r="P7" s="243">
        <f>IF(AND('GA55 '!$B7=""),"",ROUND((C7+D7+E7)*0.1,0))</f>
        <v>3703</v>
      </c>
      <c r="Q7" s="241">
        <f>IF(AND('Master Data'!$I$23='Master Data'!$Y$19),"",IF(AND('GA55 '!$B7=""),"",'GA55 '!Q$6))</f>
        <v>200</v>
      </c>
      <c r="R7" s="241">
        <f>IF(AND('Master Data'!$I$23='Master Data'!$Y$19),"",IF(AND('GA55 '!$B7=""),"",'GA55 '!R$6))</f>
        <v>0</v>
      </c>
      <c r="S7" s="241">
        <f>IF(AND('Master Data'!$I$23='Master Data'!$Y$19),"",IF(AND('GA55 '!$B7=""),"",'GA55 '!S$6))</f>
        <v>1000</v>
      </c>
      <c r="T7" s="241">
        <f>IF(AND('Master Data'!$I$23='Master Data'!$Y$19),"",IF(AND('GA55 '!$B7=""),"",'GA55 '!T$6))</f>
        <v>208</v>
      </c>
      <c r="U7" s="241">
        <f>IF(AND('Master Data'!$I$23='Master Data'!$Y$19),"",IF(AND('GA55 '!$B7=""),"",'GA55 '!U$6))</f>
        <v>0</v>
      </c>
      <c r="V7" s="241">
        <f>IF(AND('Master Data'!$I$23='Master Data'!$Y$19),"",IF(AND('GA55 '!$B7=""),"",'GA55 '!V$6))</f>
        <v>0</v>
      </c>
      <c r="W7" s="241">
        <f>IF(AND('Master Data'!$I$23='Master Data'!$Y$19),"",IF(AND('GA55 '!$B7=""),"",'GA55 '!W$6))</f>
        <v>0</v>
      </c>
      <c r="X7" s="241">
        <f>IF(AND('Master Data'!$I$23='Master Data'!$Y$19),"",IF(AND('GA55 '!$B7=""),"",'GA55 '!X$6))</f>
        <v>0</v>
      </c>
      <c r="Y7" s="241">
        <f>IF(AND('Master Data'!$I$23='Master Data'!$Y$19),"",IF(AND('GA55 '!$B7=""),"",'GA55 '!Y$6))</f>
        <v>0</v>
      </c>
      <c r="Z7" s="239">
        <f t="shared" ref="Z7:Z26" si="0">IF(AND(B7="",M7=""),"",SUM(N7:Y7))</f>
        <v>5111</v>
      </c>
      <c r="AA7" s="240">
        <f t="shared" ref="AA7:AA26" si="1">IF(AND(Z7="",M7=""),"",SUM(M7-Z7))</f>
        <v>32521</v>
      </c>
      <c r="AB7" s="241"/>
      <c r="AC7" s="242"/>
    </row>
    <row r="8" spans="1:33" ht="21.95" customHeight="1">
      <c r="A8" s="31">
        <v>3</v>
      </c>
      <c r="B8" s="235">
        <v>43952</v>
      </c>
      <c r="C8" s="241">
        <f>IF(AND('GA55 '!$B8=""),"",'GA55 '!C$6)</f>
        <v>35800</v>
      </c>
      <c r="D8" s="241">
        <f>IF(AND('Master Data'!$I$23='Master Data'!$Y$19),0,IF(AND('GA55 '!$B8=""),"",'GA55 '!D$6))</f>
        <v>0</v>
      </c>
      <c r="E8" s="241">
        <f>IF(AND('Master Data'!$I$23='Master Data'!$Y$19),0,IF(AND('GA55 '!$B8=""),"",'GA55 '!E$6))</f>
        <v>1234</v>
      </c>
      <c r="F8" s="241">
        <f>IF(AND('Master Data'!$I$23='Master Data'!$Y$19),"",IF(AND('GA55 '!$B8=""),"",'GA55 '!F$6))</f>
        <v>0</v>
      </c>
      <c r="G8" s="241">
        <f>IF(AND('Master Data'!$I$23='Master Data'!$Y$19),"",IF(AND('GA55 '!$B8=""),"",'GA55 '!G$6))</f>
        <v>398</v>
      </c>
      <c r="H8" s="241">
        <f>IF(AND('Master Data'!$I$23='Master Data'!$Y$19),"",IF(AND('GA55 '!$B8=""),"",'GA55 '!H$6))</f>
        <v>200</v>
      </c>
      <c r="I8" s="241">
        <f>IF(AND('Master Data'!$I$23='Master Data'!$Y$19),"",IF(AND('GA55 '!$B8=""),"",'GA55 '!I$6))</f>
        <v>0</v>
      </c>
      <c r="J8" s="241">
        <f>IF(AND('Master Data'!$I$23='Master Data'!$Y$19),"",IF(AND('GA55 '!$B8=""),"",'GA55 '!J$6))</f>
        <v>0</v>
      </c>
      <c r="K8" s="241">
        <f>IF(AND('Master Data'!$I$23='Master Data'!$Y$19),"",IF(AND('GA55 '!$B8=""),"",'GA55 '!K$6))</f>
        <v>0</v>
      </c>
      <c r="L8" s="241">
        <f>IF(AND('Master Data'!$I$23='Master Data'!$Y$19),"",IF(AND('GA55 '!$B8=""),"",'GA55 '!L$6))</f>
        <v>0</v>
      </c>
      <c r="M8" s="237">
        <f t="shared" ref="M8:M26" si="2">IF(AND(B8=""),"",SUM(C8:L8))</f>
        <v>37632</v>
      </c>
      <c r="N8" s="241">
        <f>IF(AND('Master Data'!$I$23='Master Data'!$Y$19),"",IF(AND('GA55 '!$B8=""),"",'GA55 '!N$6))</f>
        <v>0</v>
      </c>
      <c r="O8" s="241">
        <f>IF(AND('Master Data'!$I$23='Master Data'!$Y$19),"",IF(AND('GA55 '!$B8=""),"",'GA55 '!O$6))</f>
        <v>0</v>
      </c>
      <c r="P8" s="243">
        <f>IF(AND('GA55 '!$B8=""),"",ROUND((C8+D8+E8)*0.1,0))</f>
        <v>3703</v>
      </c>
      <c r="Q8" s="241">
        <f>IF(AND('Master Data'!$I$23='Master Data'!$Y$19),"",IF(AND('GA55 '!$B8=""),"",'GA55 '!Q$6))</f>
        <v>200</v>
      </c>
      <c r="R8" s="241">
        <f>IF(AND('Master Data'!$I$23='Master Data'!$Y$19),"",IF(AND('GA55 '!$B8=""),"",'GA55 '!R$6))</f>
        <v>0</v>
      </c>
      <c r="S8" s="241">
        <f>IF(AND('Master Data'!$I$23='Master Data'!$Y$19),"",IF(AND('GA55 '!$B8=""),"",'GA55 '!S$6))</f>
        <v>1000</v>
      </c>
      <c r="T8" s="241">
        <f>IF(AND('Master Data'!$I$23='Master Data'!$Y$19),"",IF(AND('GA55 '!$B8=""),"",'GA55 '!T$6))</f>
        <v>208</v>
      </c>
      <c r="U8" s="241">
        <f>IF(AND('Master Data'!$I$23='Master Data'!$Y$19),"",IF(AND('GA55 '!$B8=""),"",'GA55 '!U$6))</f>
        <v>0</v>
      </c>
      <c r="V8" s="241">
        <f>IF(AND('Master Data'!$I$23='Master Data'!$Y$19),"",IF(AND('GA55 '!$B8=""),"",'GA55 '!V$6))</f>
        <v>0</v>
      </c>
      <c r="W8" s="241">
        <f>IF(AND('Master Data'!$I$23='Master Data'!$Y$19),"",IF(AND('GA55 '!$B8=""),"",'GA55 '!W$6))</f>
        <v>0</v>
      </c>
      <c r="X8" s="241">
        <f>IF(AND('Master Data'!$I$23='Master Data'!$Y$19),"",IF(AND('GA55 '!$B8=""),"",'GA55 '!X$6))</f>
        <v>0</v>
      </c>
      <c r="Y8" s="241">
        <f>IF(AND('Master Data'!$I$23='Master Data'!$Y$19),"",IF(AND('GA55 '!$B8=""),"",'GA55 '!Y$6))</f>
        <v>0</v>
      </c>
      <c r="Z8" s="239">
        <f t="shared" si="0"/>
        <v>5111</v>
      </c>
      <c r="AA8" s="240">
        <f t="shared" si="1"/>
        <v>32521</v>
      </c>
      <c r="AB8" s="241"/>
      <c r="AC8" s="242"/>
    </row>
    <row r="9" spans="1:33" ht="21.95" customHeight="1">
      <c r="A9" s="31">
        <v>4</v>
      </c>
      <c r="B9" s="235">
        <v>43983</v>
      </c>
      <c r="C9" s="241">
        <f>IF(AND('GA55 '!$B9=""),"",'GA55 '!C$6)</f>
        <v>35800</v>
      </c>
      <c r="D9" s="241">
        <f>IF(AND('Master Data'!$I$23='Master Data'!$Y$19),0,IF(AND('GA55 '!$B9=""),"",'GA55 '!D$6))</f>
        <v>0</v>
      </c>
      <c r="E9" s="241">
        <f>IF(AND('Master Data'!$I$23='Master Data'!$Y$19),0,IF(AND('GA55 '!$B9=""),"",'GA55 '!E$6))</f>
        <v>1234</v>
      </c>
      <c r="F9" s="241">
        <f>IF(AND('Master Data'!$I$23='Master Data'!$Y$19),"",IF(AND('GA55 '!$B9=""),"",'GA55 '!F$6))</f>
        <v>0</v>
      </c>
      <c r="G9" s="241">
        <f>IF(AND('Master Data'!$I$23='Master Data'!$Y$19),"",IF(AND('GA55 '!$B9=""),"",'GA55 '!G$6))</f>
        <v>398</v>
      </c>
      <c r="H9" s="241">
        <f>IF(AND('Master Data'!$I$23='Master Data'!$Y$19),"",IF(AND('GA55 '!$B9=""),"",'GA55 '!H$6))</f>
        <v>200</v>
      </c>
      <c r="I9" s="241">
        <f>IF(AND('Master Data'!$I$23='Master Data'!$Y$19),"",IF(AND('GA55 '!$B9=""),"",'GA55 '!I$6))</f>
        <v>0</v>
      </c>
      <c r="J9" s="241">
        <f>IF(AND('Master Data'!$I$23='Master Data'!$Y$19),"",IF(AND('GA55 '!$B9=""),"",'GA55 '!J$6))</f>
        <v>0</v>
      </c>
      <c r="K9" s="241">
        <f>IF(AND('Master Data'!$I$23='Master Data'!$Y$19),"",IF(AND('GA55 '!$B9=""),"",'GA55 '!K$6))</f>
        <v>0</v>
      </c>
      <c r="L9" s="241">
        <f>IF(AND('Master Data'!$I$23='Master Data'!$Y$19),"",IF(AND('GA55 '!$B9=""),"",'GA55 '!L$6))</f>
        <v>0</v>
      </c>
      <c r="M9" s="237">
        <f t="shared" si="2"/>
        <v>37632</v>
      </c>
      <c r="N9" s="241">
        <f>IF(AND('Master Data'!$I$23='Master Data'!$Y$19),"",IF(AND('GA55 '!$B9=""),"",'GA55 '!N$6))</f>
        <v>0</v>
      </c>
      <c r="O9" s="241">
        <f>IF(AND('Master Data'!$I$23='Master Data'!$Y$19),"",IF(AND('GA55 '!$B9=""),"",'GA55 '!O$6))</f>
        <v>0</v>
      </c>
      <c r="P9" s="243">
        <f>IF(AND('GA55 '!$B9=""),"",ROUND((C9+D9+E9)*0.1,0))</f>
        <v>3703</v>
      </c>
      <c r="Q9" s="241">
        <f>IF(AND('Master Data'!$I$23='Master Data'!$Y$19),"",IF(AND('GA55 '!$B9=""),"",'GA55 '!Q$6))</f>
        <v>200</v>
      </c>
      <c r="R9" s="241">
        <f>IF(AND('Master Data'!$I$23='Master Data'!$Y$19),"",IF(AND('GA55 '!$B9=""),"",'GA55 '!R$6))</f>
        <v>0</v>
      </c>
      <c r="S9" s="241">
        <f>IF(AND('Master Data'!$I$23='Master Data'!$Y$19),"",IF(AND('GA55 '!$B9=""),"",'GA55 '!S$6))</f>
        <v>1000</v>
      </c>
      <c r="T9" s="241">
        <f>IF(AND('Master Data'!$I$23='Master Data'!$Y$19),"",IF(AND('GA55 '!$B9=""),"",'GA55 '!T$6))</f>
        <v>208</v>
      </c>
      <c r="U9" s="241">
        <f>IF(AND('Master Data'!$I$23='Master Data'!$Y$19),"",IF(AND('GA55 '!$B9=""),"",'GA55 '!U$6))</f>
        <v>0</v>
      </c>
      <c r="V9" s="241">
        <f>IF(AND('Master Data'!$I$23='Master Data'!$Y$19),"",IF(AND('GA55 '!$B9=""),"",'GA55 '!V$6))</f>
        <v>0</v>
      </c>
      <c r="W9" s="241">
        <f>IF(AND('Master Data'!$I$23='Master Data'!$Y$19),"",IF(AND('GA55 '!$B9=""),"",'GA55 '!W$6))</f>
        <v>0</v>
      </c>
      <c r="X9" s="241">
        <f>IF(AND('Master Data'!$I$23='Master Data'!$Y$19),"",IF(AND('GA55 '!$B9=""),"",'GA55 '!X$6))</f>
        <v>0</v>
      </c>
      <c r="Y9" s="241">
        <f>IF(AND('Master Data'!$I$23='Master Data'!$Y$19),"",IF(AND('GA55 '!$B9=""),"",'GA55 '!Y$6))</f>
        <v>0</v>
      </c>
      <c r="Z9" s="239">
        <f t="shared" si="0"/>
        <v>5111</v>
      </c>
      <c r="AA9" s="240">
        <f t="shared" si="1"/>
        <v>32521</v>
      </c>
      <c r="AB9" s="241"/>
      <c r="AC9" s="242"/>
    </row>
    <row r="10" spans="1:33" ht="21.95" customHeight="1">
      <c r="A10" s="31">
        <v>5</v>
      </c>
      <c r="B10" s="235">
        <v>44013</v>
      </c>
      <c r="C10" s="241">
        <f>IF(AND('GA55 '!$B10=""),"",'GA55 '!C$6)</f>
        <v>35800</v>
      </c>
      <c r="D10" s="241">
        <f>IF(AND('Master Data'!$I$23='Master Data'!$Y$19),0,IF(AND('GA55 '!$B10=""),"",'GA55 '!D$6))</f>
        <v>0</v>
      </c>
      <c r="E10" s="241">
        <f>IF(AND('Master Data'!$I$23='Master Data'!$Y$19),0,IF(AND('GA55 '!$B10=""),"",'GA55 '!E$6))</f>
        <v>1234</v>
      </c>
      <c r="F10" s="241">
        <f>IF(AND('Master Data'!$I$23='Master Data'!$Y$19),"",IF(AND('GA55 '!$B10=""),"",'GA55 '!F$6))</f>
        <v>0</v>
      </c>
      <c r="G10" s="241">
        <f>IF(AND('Master Data'!$I$23='Master Data'!$Y$19),"",IF(AND('GA55 '!$B10=""),"",'GA55 '!G$6))</f>
        <v>398</v>
      </c>
      <c r="H10" s="241">
        <f>IF(AND('Master Data'!$I$23='Master Data'!$Y$19),"",IF(AND('GA55 '!$B10=""),"",'GA55 '!H$6))</f>
        <v>200</v>
      </c>
      <c r="I10" s="241">
        <f>IF(AND('Master Data'!$I$23='Master Data'!$Y$19),"",IF(AND('GA55 '!$B10=""),"",'GA55 '!I$6))</f>
        <v>0</v>
      </c>
      <c r="J10" s="241">
        <f>IF(AND('Master Data'!$I$23='Master Data'!$Y$19),"",IF(AND('GA55 '!$B10=""),"",'GA55 '!J$6))</f>
        <v>0</v>
      </c>
      <c r="K10" s="241">
        <f>IF(AND('Master Data'!$I$23='Master Data'!$Y$19),"",IF(AND('GA55 '!$B10=""),"",'GA55 '!K$6))</f>
        <v>0</v>
      </c>
      <c r="L10" s="241">
        <f>IF(AND('Master Data'!$I$23='Master Data'!$Y$19),"",IF(AND('GA55 '!$B10=""),"",'GA55 '!L$6))</f>
        <v>0</v>
      </c>
      <c r="M10" s="237">
        <f t="shared" si="2"/>
        <v>37632</v>
      </c>
      <c r="N10" s="241">
        <f>IF(AND('Master Data'!$I$23='Master Data'!$Y$19),"",IF(AND('GA55 '!$B10=""),"",'GA55 '!N$6))</f>
        <v>0</v>
      </c>
      <c r="O10" s="241">
        <f>IF(AND('Master Data'!$I$23='Master Data'!$Y$19),"",IF(AND('GA55 '!$B10=""),"",'GA55 '!O$6))</f>
        <v>0</v>
      </c>
      <c r="P10" s="243">
        <f>IF(AND('GA55 '!$B10=""),"",ROUND((C10+D10+E10)*0.1,0))</f>
        <v>3703</v>
      </c>
      <c r="Q10" s="241">
        <f>IF(AND('Master Data'!$I$23='Master Data'!$Y$19),"",IF(AND('GA55 '!$B10=""),"",'GA55 '!Q$6))</f>
        <v>200</v>
      </c>
      <c r="R10" s="241">
        <f>IF(AND('Master Data'!$I$23='Master Data'!$Y$19),"",IF(AND('GA55 '!$B10=""),"",'GA55 '!R$6))</f>
        <v>0</v>
      </c>
      <c r="S10" s="241">
        <f>IF(AND('Master Data'!$I$23='Master Data'!$Y$19),"",IF(AND('GA55 '!$B10=""),"",'GA55 '!S$6))</f>
        <v>1000</v>
      </c>
      <c r="T10" s="241">
        <f>IF(AND('Master Data'!$I$23='Master Data'!$Y$19),"",IF(AND('GA55 '!$B10=""),"",'GA55 '!T$6))</f>
        <v>208</v>
      </c>
      <c r="U10" s="241">
        <f>IF(AND('Master Data'!$I$23='Master Data'!$Y$19),"",IF(AND('GA55 '!$B10=""),"",'GA55 '!U$6))</f>
        <v>0</v>
      </c>
      <c r="V10" s="241">
        <f>IF(AND('Master Data'!$I$23='Master Data'!$Y$19),"",IF(AND('GA55 '!$B10=""),"",'GA55 '!V$6))</f>
        <v>0</v>
      </c>
      <c r="W10" s="241">
        <f>IF(AND('Master Data'!$I$23='Master Data'!$Y$19),"",IF(AND('GA55 '!$B10=""),"",'GA55 '!W$6))</f>
        <v>0</v>
      </c>
      <c r="X10" s="241">
        <f>IF(AND('Master Data'!$I$23='Master Data'!$Y$19),"",IF(AND('GA55 '!$B10=""),"",'GA55 '!X$6))</f>
        <v>0</v>
      </c>
      <c r="Y10" s="241">
        <f>IF(AND('Master Data'!$I$23='Master Data'!$Y$19),"",IF(AND('GA55 '!$B10=""),"",'GA55 '!Y$6))</f>
        <v>0</v>
      </c>
      <c r="Z10" s="239">
        <f t="shared" si="0"/>
        <v>5111</v>
      </c>
      <c r="AA10" s="240">
        <f t="shared" si="1"/>
        <v>32521</v>
      </c>
      <c r="AB10" s="241"/>
      <c r="AC10" s="242"/>
    </row>
    <row r="11" spans="1:33" ht="21.95" customHeight="1">
      <c r="A11" s="31">
        <v>6</v>
      </c>
      <c r="B11" s="235">
        <v>44044</v>
      </c>
      <c r="C11" s="241">
        <f>IF(AND('GA55 '!$B11=""),"",'GA55 '!C$6)</f>
        <v>35800</v>
      </c>
      <c r="D11" s="241">
        <f>IF(AND('Master Data'!$I$23='Master Data'!$Y$19),0,IF(AND('GA55 '!$B11=""),"",'GA55 '!D$6))</f>
        <v>0</v>
      </c>
      <c r="E11" s="241">
        <f>IF(AND('Master Data'!$I$23='Master Data'!$Y$19),0,IF(AND('GA55 '!$B11=""),"",'GA55 '!E$6))</f>
        <v>1234</v>
      </c>
      <c r="F11" s="241">
        <f>IF(AND('Master Data'!$I$23='Master Data'!$Y$19),"",IF(AND('GA55 '!$B11=""),"",'GA55 '!F$6))</f>
        <v>0</v>
      </c>
      <c r="G11" s="241">
        <f>IF(AND('Master Data'!$I$23='Master Data'!$Y$19),"",IF(AND('GA55 '!$B11=""),"",'GA55 '!G$6))</f>
        <v>398</v>
      </c>
      <c r="H11" s="241">
        <f>IF(AND('Master Data'!$I$23='Master Data'!$Y$19),"",IF(AND('GA55 '!$B11=""),"",'GA55 '!H$6))</f>
        <v>200</v>
      </c>
      <c r="I11" s="241">
        <f>IF(AND('Master Data'!$I$23='Master Data'!$Y$19),"",IF(AND('GA55 '!$B11=""),"",'GA55 '!I$6))</f>
        <v>0</v>
      </c>
      <c r="J11" s="241">
        <f>IF(AND('Master Data'!$I$23='Master Data'!$Y$19),"",IF(AND('GA55 '!$B11=""),"",'GA55 '!J$6))</f>
        <v>0</v>
      </c>
      <c r="K11" s="241">
        <f>IF(AND('Master Data'!$I$23='Master Data'!$Y$19),"",IF(AND('GA55 '!$B11=""),"",'GA55 '!K$6))</f>
        <v>0</v>
      </c>
      <c r="L11" s="241">
        <f>IF(AND('Master Data'!$I$23='Master Data'!$Y$19),"",IF(AND('GA55 '!$B11=""),"",'GA55 '!L$6))</f>
        <v>0</v>
      </c>
      <c r="M11" s="237">
        <f t="shared" si="2"/>
        <v>37632</v>
      </c>
      <c r="N11" s="241">
        <f>IF(AND('Master Data'!$I$23='Master Data'!$Y$19),"",IF(AND('GA55 '!$B11=""),"",'GA55 '!N$6))</f>
        <v>0</v>
      </c>
      <c r="O11" s="241">
        <f>IF(AND('Master Data'!$I$23='Master Data'!$Y$19),"",IF(AND('GA55 '!$B11=""),"",'GA55 '!O$6))</f>
        <v>0</v>
      </c>
      <c r="P11" s="243">
        <f>IF(AND('GA55 '!$B11=""),"",ROUND((C11+D11+E11)*0.1,0))</f>
        <v>3703</v>
      </c>
      <c r="Q11" s="241">
        <f>IF(AND('Master Data'!$I$23='Master Data'!$Y$19),"",IF(AND('GA55 '!$B11=""),"",'GA55 '!Q$6))</f>
        <v>200</v>
      </c>
      <c r="R11" s="241">
        <f>IF(AND('Master Data'!$I$23='Master Data'!$Y$19),"",IF(AND('GA55 '!$B11=""),"",'GA55 '!R$6))</f>
        <v>0</v>
      </c>
      <c r="S11" s="241">
        <f>IF(AND('Master Data'!$I$23='Master Data'!$Y$19),"",IF(AND('GA55 '!$B11=""),"",'GA55 '!S$6))</f>
        <v>1000</v>
      </c>
      <c r="T11" s="241">
        <f>IF(AND('Master Data'!$I$23='Master Data'!$Y$19),"",IF(AND('GA55 '!$B11=""),"",'GA55 '!T$6))</f>
        <v>208</v>
      </c>
      <c r="U11" s="241">
        <f>IF(AND('Master Data'!$I$23='Master Data'!$Y$19),"",IF(AND('GA55 '!$B11=""),"",'GA55 '!U$6))</f>
        <v>0</v>
      </c>
      <c r="V11" s="241">
        <f>IF(AND('Master Data'!$I$23='Master Data'!$Y$19),"",IF(AND('GA55 '!$B11=""),"",'GA55 '!V$6))</f>
        <v>0</v>
      </c>
      <c r="W11" s="241">
        <f>IF(AND('Master Data'!$I$23='Master Data'!$Y$19),"",IF(AND('GA55 '!$B11=""),"",'GA55 '!W$6))</f>
        <v>0</v>
      </c>
      <c r="X11" s="241">
        <f>IF(AND('Master Data'!$I$23='Master Data'!$Y$19),"",IF(AND('GA55 '!$B11=""),"",'GA55 '!X$6))</f>
        <v>0</v>
      </c>
      <c r="Y11" s="241">
        <f>IF(AND('Master Data'!$I$23='Master Data'!$Y$19),"",IF(AND('GA55 '!$B11=""),"",'GA55 '!Y$6))</f>
        <v>0</v>
      </c>
      <c r="Z11" s="239">
        <f t="shared" si="0"/>
        <v>5111</v>
      </c>
      <c r="AA11" s="240">
        <f t="shared" si="1"/>
        <v>32521</v>
      </c>
      <c r="AB11" s="241"/>
      <c r="AC11" s="242"/>
    </row>
    <row r="12" spans="1:33" ht="21.95" customHeight="1">
      <c r="A12" s="31">
        <v>7</v>
      </c>
      <c r="B12" s="235">
        <v>44075</v>
      </c>
      <c r="C12" s="241">
        <f>IF(AND('GA55 '!$B12=""),"",'GA55 '!C$6)</f>
        <v>35800</v>
      </c>
      <c r="D12" s="241">
        <f>IF(AND('Master Data'!$I$23='Master Data'!$Y$19),0,IF(AND('GA55 '!$B12=""),"",'GA55 '!D$6))</f>
        <v>0</v>
      </c>
      <c r="E12" s="241">
        <f>IF(AND('Master Data'!$I$23='Master Data'!$Y$19),0,IF(AND('GA55 '!$B12=""),"",'GA55 '!E$6))</f>
        <v>1234</v>
      </c>
      <c r="F12" s="241">
        <f>IF(AND('Master Data'!$I$23='Master Data'!$Y$19),"",IF(AND('GA55 '!$B12=""),"",'GA55 '!F$6))</f>
        <v>0</v>
      </c>
      <c r="G12" s="241">
        <f>IF(AND('Master Data'!$I$23='Master Data'!$Y$19),"",IF(AND('GA55 '!$B12=""),"",'GA55 '!G$6))</f>
        <v>398</v>
      </c>
      <c r="H12" s="241">
        <f>IF(AND('Master Data'!$I$23='Master Data'!$Y$19),"",IF(AND('GA55 '!$B12=""),"",'GA55 '!H$6))</f>
        <v>200</v>
      </c>
      <c r="I12" s="241">
        <f>IF(AND('Master Data'!$I$23='Master Data'!$Y$19),"",IF(AND('GA55 '!$B12=""),"",'GA55 '!I$6))</f>
        <v>0</v>
      </c>
      <c r="J12" s="241">
        <f>IF(AND('Master Data'!$I$23='Master Data'!$Y$19),"",IF(AND('GA55 '!$B12=""),"",'GA55 '!J$6))</f>
        <v>0</v>
      </c>
      <c r="K12" s="241">
        <f>IF(AND('Master Data'!$I$23='Master Data'!$Y$19),"",IF(AND('GA55 '!$B12=""),"",'GA55 '!K$6))</f>
        <v>0</v>
      </c>
      <c r="L12" s="241">
        <f>IF(AND('Master Data'!$I$23='Master Data'!$Y$19),"",IF(AND('GA55 '!$B12=""),"",'GA55 '!L$6))</f>
        <v>0</v>
      </c>
      <c r="M12" s="237">
        <f t="shared" si="2"/>
        <v>37632</v>
      </c>
      <c r="N12" s="241">
        <f>IF(AND('Master Data'!$I$23='Master Data'!$Y$19),"",IF(AND('GA55 '!$B12=""),"",'GA55 '!N$6))</f>
        <v>0</v>
      </c>
      <c r="O12" s="241">
        <f>IF(AND('Master Data'!$I$23='Master Data'!$Y$19),"",IF(AND('GA55 '!$B12=""),"",'GA55 '!O$6))</f>
        <v>0</v>
      </c>
      <c r="P12" s="243">
        <f>IF(AND('GA55 '!$B12=""),"",ROUND((C12+D12+E12)*0.1,0))</f>
        <v>3703</v>
      </c>
      <c r="Q12" s="241">
        <f>IF(AND('Master Data'!$I$23='Master Data'!$Y$19),"",IF(AND('GA55 '!$B12=""),"",'GA55 '!Q$6))</f>
        <v>200</v>
      </c>
      <c r="R12" s="241">
        <f>IF(AND('Master Data'!$I$23='Master Data'!$Y$19),"",IF(AND('GA55 '!$B12=""),"",'GA55 '!R$6))</f>
        <v>0</v>
      </c>
      <c r="S12" s="241">
        <f>IF(AND('Master Data'!$I$23='Master Data'!$Y$19),"",IF(AND('GA55 '!$B12=""),"",'GA55 '!S$6))</f>
        <v>1000</v>
      </c>
      <c r="T12" s="241">
        <f>IF(AND('Master Data'!$I$23='Master Data'!$Y$19),"",IF(AND('GA55 '!$B12=""),"",'GA55 '!T$6))</f>
        <v>208</v>
      </c>
      <c r="U12" s="241">
        <f>IF(AND('Master Data'!$I$23='Master Data'!$Y$19),"",IF(AND('GA55 '!$B12=""),"",'GA55 '!U$6))</f>
        <v>0</v>
      </c>
      <c r="V12" s="241">
        <f>IF(AND('Master Data'!$I$23='Master Data'!$Y$19),"",IF(AND('GA55 '!$B12=""),"",'GA55 '!V$6))</f>
        <v>0</v>
      </c>
      <c r="W12" s="241">
        <f>IF(AND('Master Data'!$I$23='Master Data'!$Y$19),"",IF(AND('GA55 '!$B12=""),"",'GA55 '!W$6))</f>
        <v>0</v>
      </c>
      <c r="X12" s="241">
        <f>IF(AND('Master Data'!$I$23='Master Data'!$Y$19),"",IF(AND('GA55 '!$B12=""),"",'GA55 '!X$6))</f>
        <v>0</v>
      </c>
      <c r="Y12" s="241">
        <f>IF(AND('Master Data'!$I$23='Master Data'!$Y$19),"",IF(AND('GA55 '!$B12=""),"",'GA55 '!Y$6))</f>
        <v>0</v>
      </c>
      <c r="Z12" s="239">
        <f t="shared" si="0"/>
        <v>5111</v>
      </c>
      <c r="AA12" s="240">
        <f t="shared" si="1"/>
        <v>32521</v>
      </c>
      <c r="AB12" s="241"/>
      <c r="AC12" s="242"/>
    </row>
    <row r="13" spans="1:33" ht="21.95" customHeight="1">
      <c r="A13" s="31">
        <v>8</v>
      </c>
      <c r="B13" s="235">
        <v>44105</v>
      </c>
      <c r="C13" s="241">
        <f>IF(AND('GA55 '!$B13=""),"",'GA55 '!C$6)</f>
        <v>35800</v>
      </c>
      <c r="D13" s="241">
        <f>IF(AND('Master Data'!$I$23='Master Data'!$Y$19),0,IF(AND('GA55 '!$B13=""),"",'GA55 '!D$6))</f>
        <v>0</v>
      </c>
      <c r="E13" s="241">
        <f>IF(AND('Master Data'!$I$23='Master Data'!$Y$19),0,IF(AND('GA55 '!$B13=""),"",'GA55 '!E$6))</f>
        <v>1234</v>
      </c>
      <c r="F13" s="241">
        <f>IF(AND('Master Data'!$I$23='Master Data'!$Y$19),"",IF(AND('GA55 '!$B13=""),"",'GA55 '!F$6))</f>
        <v>0</v>
      </c>
      <c r="G13" s="241">
        <f>IF(AND('Master Data'!$I$23='Master Data'!$Y$19),"",IF(AND('GA55 '!$B13=""),"",'GA55 '!G$6))</f>
        <v>398</v>
      </c>
      <c r="H13" s="241">
        <f>IF(AND('Master Data'!$I$23='Master Data'!$Y$19),"",IF(AND('GA55 '!$B13=""),"",'GA55 '!H$6))</f>
        <v>200</v>
      </c>
      <c r="I13" s="241">
        <f>IF(AND('Master Data'!$I$23='Master Data'!$Y$19),"",IF(AND('GA55 '!$B13=""),"",'GA55 '!I$6))</f>
        <v>0</v>
      </c>
      <c r="J13" s="241">
        <f>IF(AND('Master Data'!$I$23='Master Data'!$Y$19),"",IF(AND('GA55 '!$B13=""),"",'GA55 '!J$6))</f>
        <v>0</v>
      </c>
      <c r="K13" s="241">
        <f>IF(AND('Master Data'!$I$23='Master Data'!$Y$19),"",IF(AND('GA55 '!$B13=""),"",'GA55 '!K$6))</f>
        <v>0</v>
      </c>
      <c r="L13" s="241">
        <f>IF(AND('Master Data'!$I$23='Master Data'!$Y$19),"",IF(AND('GA55 '!$B13=""),"",'GA55 '!L$6))</f>
        <v>0</v>
      </c>
      <c r="M13" s="237">
        <f t="shared" si="2"/>
        <v>37632</v>
      </c>
      <c r="N13" s="241">
        <f>IF(AND('Master Data'!$I$23='Master Data'!$Y$19),"",IF(AND('GA55 '!$B13=""),"",'GA55 '!N$6))</f>
        <v>0</v>
      </c>
      <c r="O13" s="241">
        <f>IF(AND('Master Data'!$I$23='Master Data'!$Y$19),"",IF(AND('GA55 '!$B13=""),"",'GA55 '!O$6))</f>
        <v>0</v>
      </c>
      <c r="P13" s="243">
        <f>IF(AND('GA55 '!$B13=""),"",ROUND((C13+D13+E13)*0.1,0))</f>
        <v>3703</v>
      </c>
      <c r="Q13" s="241">
        <f>IF(AND('Master Data'!$I$23='Master Data'!$Y$19),"",IF(AND('GA55 '!$B13=""),"",'GA55 '!Q$6))</f>
        <v>200</v>
      </c>
      <c r="R13" s="241">
        <f>IF(AND('Master Data'!$I$23='Master Data'!$Y$19),"",IF(AND('GA55 '!$B13=""),"",'GA55 '!R$6))</f>
        <v>0</v>
      </c>
      <c r="S13" s="241">
        <f>IF(AND('Master Data'!$I$23='Master Data'!$Y$19),"",IF(AND('GA55 '!$B13=""),"",'GA55 '!S$6))</f>
        <v>1000</v>
      </c>
      <c r="T13" s="241">
        <f>IF(AND('Master Data'!$I$23='Master Data'!$Y$19),"",IF(AND('GA55 '!$B13=""),"",'GA55 '!T$6))</f>
        <v>208</v>
      </c>
      <c r="U13" s="241">
        <f>IF(AND('Master Data'!$I$23='Master Data'!$Y$19),"",IF(AND('GA55 '!$B13=""),"",'GA55 '!U$6))</f>
        <v>0</v>
      </c>
      <c r="V13" s="241">
        <f>IF(AND('Master Data'!$I$23='Master Data'!$Y$19),"",IF(AND('GA55 '!$B13=""),"",'GA55 '!V$6))</f>
        <v>0</v>
      </c>
      <c r="W13" s="241">
        <f>IF(AND('Master Data'!$I$23='Master Data'!$Y$19),"",IF(AND('GA55 '!$B13=""),"",'GA55 '!W$6))</f>
        <v>0</v>
      </c>
      <c r="X13" s="241">
        <f>IF(AND('Master Data'!$I$23='Master Data'!$Y$19),"",IF(AND('GA55 '!$B13=""),"",'GA55 '!X$6))</f>
        <v>0</v>
      </c>
      <c r="Y13" s="241">
        <f>IF(AND('Master Data'!$I$23='Master Data'!$Y$19),"",IF(AND('GA55 '!$B13=""),"",'GA55 '!Y$6))</f>
        <v>0</v>
      </c>
      <c r="Z13" s="239">
        <f t="shared" si="0"/>
        <v>5111</v>
      </c>
      <c r="AA13" s="240">
        <f t="shared" si="1"/>
        <v>32521</v>
      </c>
      <c r="AB13" s="241"/>
      <c r="AC13" s="242"/>
    </row>
    <row r="14" spans="1:33" ht="21.95" customHeight="1">
      <c r="A14" s="31">
        <v>9</v>
      </c>
      <c r="B14" s="235">
        <v>44136</v>
      </c>
      <c r="C14" s="241">
        <f>IF(AND('GA55 '!$B14=""),"",'GA55 '!C$6)</f>
        <v>35800</v>
      </c>
      <c r="D14" s="241">
        <f>IF(AND('Master Data'!$I$23='Master Data'!$Y$19),0,IF(AND('GA55 '!$B14=""),"",'GA55 '!D$6))</f>
        <v>0</v>
      </c>
      <c r="E14" s="241">
        <f>IF(AND('Master Data'!$I$23='Master Data'!$Y$19),0,IF(AND('GA55 '!$B14=""),"",'GA55 '!E$6))</f>
        <v>1234</v>
      </c>
      <c r="F14" s="241">
        <f>IF(AND('Master Data'!$I$23='Master Data'!$Y$19),"",IF(AND('GA55 '!$B14=""),"",'GA55 '!F$6))</f>
        <v>0</v>
      </c>
      <c r="G14" s="241">
        <f>IF(AND('Master Data'!$I$23='Master Data'!$Y$19),"",IF(AND('GA55 '!$B14=""),"",'GA55 '!G$6))</f>
        <v>398</v>
      </c>
      <c r="H14" s="241">
        <f>IF(AND('Master Data'!$I$23='Master Data'!$Y$19),"",IF(AND('GA55 '!$B14=""),"",'GA55 '!H$6))</f>
        <v>200</v>
      </c>
      <c r="I14" s="241">
        <f>IF(AND('Master Data'!$I$23='Master Data'!$Y$19),"",IF(AND('GA55 '!$B14=""),"",'GA55 '!I$6))</f>
        <v>0</v>
      </c>
      <c r="J14" s="241">
        <f>IF(AND('Master Data'!$I$23='Master Data'!$Y$19),"",IF(AND('GA55 '!$B14=""),"",'GA55 '!J$6))</f>
        <v>0</v>
      </c>
      <c r="K14" s="241">
        <f>IF(AND('Master Data'!$I$23='Master Data'!$Y$19),"",IF(AND('GA55 '!$B14=""),"",'GA55 '!K$6))</f>
        <v>0</v>
      </c>
      <c r="L14" s="241">
        <f>IF(AND('Master Data'!$I$23='Master Data'!$Y$19),"",IF(AND('GA55 '!$B14=""),"",'GA55 '!L$6))</f>
        <v>0</v>
      </c>
      <c r="M14" s="237">
        <f t="shared" si="2"/>
        <v>37632</v>
      </c>
      <c r="N14" s="241">
        <f>IF(AND('Master Data'!$I$23='Master Data'!$Y$19),"",IF(AND('GA55 '!$B14=""),"",'GA55 '!N$6))</f>
        <v>0</v>
      </c>
      <c r="O14" s="241">
        <f>IF(AND('Master Data'!$I$23='Master Data'!$Y$19),"",IF(AND('GA55 '!$B14=""),"",'GA55 '!O$6))</f>
        <v>0</v>
      </c>
      <c r="P14" s="243">
        <f>IF(AND('GA55 '!$B14=""),"",ROUND((C14+D14+E14)*0.1,0))</f>
        <v>3703</v>
      </c>
      <c r="Q14" s="241">
        <f>IF(AND('Master Data'!$I$23='Master Data'!$Y$19),"",IF(AND('GA55 '!$B14=""),"",'GA55 '!Q$6))</f>
        <v>200</v>
      </c>
      <c r="R14" s="241">
        <f>IF(AND('Master Data'!$I$23='Master Data'!$Y$19),"",IF(AND('GA55 '!$B14=""),"",'GA55 '!R$6))</f>
        <v>0</v>
      </c>
      <c r="S14" s="241">
        <f>IF(AND('Master Data'!$I$23='Master Data'!$Y$19),"",IF(AND('GA55 '!$B14=""),"",'GA55 '!S$6))</f>
        <v>1000</v>
      </c>
      <c r="T14" s="241">
        <f>IF(AND('Master Data'!$I$23='Master Data'!$Y$19),"",IF(AND('GA55 '!$B14=""),"",'GA55 '!T$6))</f>
        <v>208</v>
      </c>
      <c r="U14" s="241">
        <f>IF(AND('Master Data'!$I$23='Master Data'!$Y$19),"",IF(AND('GA55 '!$B14=""),"",'GA55 '!U$6))</f>
        <v>0</v>
      </c>
      <c r="V14" s="241">
        <f>IF(AND('Master Data'!$I$23='Master Data'!$Y$19),"",IF(AND('GA55 '!$B14=""),"",'GA55 '!V$6))</f>
        <v>0</v>
      </c>
      <c r="W14" s="241">
        <f>IF(AND('Master Data'!$I$23='Master Data'!$Y$19),"",IF(AND('GA55 '!$B14=""),"",'GA55 '!W$6))</f>
        <v>0</v>
      </c>
      <c r="X14" s="241">
        <f>IF(AND('Master Data'!$I$23='Master Data'!$Y$19),"",IF(AND('GA55 '!$B14=""),"",'GA55 '!X$6))</f>
        <v>0</v>
      </c>
      <c r="Y14" s="241">
        <f>IF(AND('Master Data'!$I$23='Master Data'!$Y$19),"",IF(AND('GA55 '!$B14=""),"",'GA55 '!Y$6))</f>
        <v>0</v>
      </c>
      <c r="Z14" s="239">
        <f t="shared" si="0"/>
        <v>5111</v>
      </c>
      <c r="AA14" s="240">
        <f t="shared" si="1"/>
        <v>32521</v>
      </c>
      <c r="AB14" s="241"/>
      <c r="AC14" s="242"/>
      <c r="AF14" s="32"/>
    </row>
    <row r="15" spans="1:33" ht="21.95" customHeight="1">
      <c r="A15" s="31">
        <v>10</v>
      </c>
      <c r="B15" s="235">
        <v>44166</v>
      </c>
      <c r="C15" s="241">
        <f>IF(AND('GA55 '!$B15=""),"",'GA55 '!C$6)</f>
        <v>35800</v>
      </c>
      <c r="D15" s="241">
        <f>IF(AND('Master Data'!$I$23='Master Data'!$Y$19),0,IF(AND('GA55 '!$B15=""),"",'GA55 '!D$6))</f>
        <v>0</v>
      </c>
      <c r="E15" s="241">
        <f>IF(AND('Master Data'!$I$23='Master Data'!$Y$19),0,IF(AND('GA55 '!$B15=""),"",'GA55 '!E$6))</f>
        <v>1234</v>
      </c>
      <c r="F15" s="241">
        <f>IF(AND('Master Data'!$I$23='Master Data'!$Y$19),"",IF(AND('GA55 '!$B15=""),"",'GA55 '!F$6))</f>
        <v>0</v>
      </c>
      <c r="G15" s="241">
        <f>IF(AND('Master Data'!$I$23='Master Data'!$Y$19),"",IF(AND('GA55 '!$B15=""),"",'GA55 '!G$6))</f>
        <v>398</v>
      </c>
      <c r="H15" s="241">
        <f>IF(AND('Master Data'!$I$23='Master Data'!$Y$19),"",IF(AND('GA55 '!$B15=""),"",'GA55 '!H$6))</f>
        <v>200</v>
      </c>
      <c r="I15" s="241">
        <f>IF(AND('Master Data'!$I$23='Master Data'!$Y$19),"",IF(AND('GA55 '!$B15=""),"",'GA55 '!I$6))</f>
        <v>0</v>
      </c>
      <c r="J15" s="241">
        <f>IF(AND('Master Data'!$I$23='Master Data'!$Y$19),"",IF(AND('GA55 '!$B15=""),"",'GA55 '!J$6))</f>
        <v>0</v>
      </c>
      <c r="K15" s="241">
        <f>IF(AND('Master Data'!$I$23='Master Data'!$Y$19),"",IF(AND('GA55 '!$B15=""),"",'GA55 '!K$6))</f>
        <v>0</v>
      </c>
      <c r="L15" s="241">
        <f>IF(AND('Master Data'!$I$23='Master Data'!$Y$19),"",IF(AND('GA55 '!$B15=""),"",'GA55 '!L$6))</f>
        <v>0</v>
      </c>
      <c r="M15" s="237">
        <f t="shared" si="2"/>
        <v>37632</v>
      </c>
      <c r="N15" s="241">
        <f>IF(AND('Master Data'!$I$23='Master Data'!$Y$19),"",IF(AND('GA55 '!$B15=""),"",'GA55 '!N$6))</f>
        <v>0</v>
      </c>
      <c r="O15" s="241">
        <f>IF(AND('Master Data'!$I$23='Master Data'!$Y$19),"",IF(AND('GA55 '!$B15=""),"",'GA55 '!O$6))</f>
        <v>0</v>
      </c>
      <c r="P15" s="243">
        <f>IF(AND('GA55 '!$B15=""),"",ROUND((C15+D15+E15)*0.1,0))</f>
        <v>3703</v>
      </c>
      <c r="Q15" s="241">
        <f>IF(AND('Master Data'!$I$23='Master Data'!$Y$19),"",IF(AND('GA55 '!$B15=""),"",'GA55 '!Q$6))</f>
        <v>200</v>
      </c>
      <c r="R15" s="241">
        <f>IF(AND('Master Data'!$I$23='Master Data'!$Y$19),"",IF(AND('GA55 '!$B15=""),"",'GA55 '!R$6))</f>
        <v>0</v>
      </c>
      <c r="S15" s="241">
        <f>IF(AND('Master Data'!$I$23='Master Data'!$Y$19),"",IF(AND('GA55 '!$B15=""),"",'GA55 '!S$6))</f>
        <v>1000</v>
      </c>
      <c r="T15" s="241">
        <f>IF(AND('Master Data'!$I$23='Master Data'!$Y$19),"",IF(AND('GA55 '!$B15=""),"",'GA55 '!T$6))</f>
        <v>208</v>
      </c>
      <c r="U15" s="241">
        <f>IF(AND('Master Data'!$I$23='Master Data'!$Y$19),"",IF(AND('GA55 '!$B15=""),"",'GA55 '!U$6))</f>
        <v>0</v>
      </c>
      <c r="V15" s="241">
        <f>IF(AND('Master Data'!$I$23='Master Data'!$Y$19),"",IF(AND('GA55 '!$B15=""),"",'GA55 '!V$6))</f>
        <v>0</v>
      </c>
      <c r="W15" s="241">
        <f>IF(AND('Master Data'!$I$23='Master Data'!$Y$19),"",IF(AND('GA55 '!$B15=""),"",'GA55 '!W$6))</f>
        <v>0</v>
      </c>
      <c r="X15" s="241">
        <f>IF(AND('Master Data'!$I$23='Master Data'!$Y$19),"",IF(AND('GA55 '!$B15=""),"",'GA55 '!X$6))</f>
        <v>0</v>
      </c>
      <c r="Y15" s="241">
        <f>IF(AND('Master Data'!$I$23='Master Data'!$Y$19),"",IF(AND('GA55 '!$B15=""),"",'GA55 '!Y$6))</f>
        <v>0</v>
      </c>
      <c r="Z15" s="239">
        <f t="shared" si="0"/>
        <v>5111</v>
      </c>
      <c r="AA15" s="240">
        <f t="shared" si="1"/>
        <v>32521</v>
      </c>
      <c r="AB15" s="241"/>
      <c r="AC15" s="242"/>
    </row>
    <row r="16" spans="1:33" ht="21.95" customHeight="1">
      <c r="A16" s="31">
        <v>11</v>
      </c>
      <c r="B16" s="235">
        <v>44197</v>
      </c>
      <c r="C16" s="241">
        <f>IF(AND('GA55 '!$B16=""),"",'GA55 '!C$6)</f>
        <v>35800</v>
      </c>
      <c r="D16" s="241">
        <f>IF(AND('Master Data'!$I$23='Master Data'!$Y$19),0,IF(AND('GA55 '!$B16=""),"",'GA55 '!D$6))</f>
        <v>0</v>
      </c>
      <c r="E16" s="241">
        <f>IF(AND('Master Data'!$I$23='Master Data'!$Y$19),0,IF(AND('GA55 '!$B16=""),"",'GA55 '!E$6))</f>
        <v>1234</v>
      </c>
      <c r="F16" s="241">
        <f>IF(AND('Master Data'!$I$23='Master Data'!$Y$19),"",IF(AND('GA55 '!$B16=""),"",'GA55 '!F$6))</f>
        <v>0</v>
      </c>
      <c r="G16" s="241">
        <f>IF(AND('Master Data'!$I$23='Master Data'!$Y$19),"",IF(AND('GA55 '!$B16=""),"",'GA55 '!G$6))</f>
        <v>398</v>
      </c>
      <c r="H16" s="241">
        <f>IF(AND('Master Data'!$I$23='Master Data'!$Y$19),"",IF(AND('GA55 '!$B16=""),"",'GA55 '!H$6))</f>
        <v>200</v>
      </c>
      <c r="I16" s="241">
        <f>IF(AND('Master Data'!$I$23='Master Data'!$Y$19),"",IF(AND('GA55 '!$B16=""),"",'GA55 '!I$6))</f>
        <v>0</v>
      </c>
      <c r="J16" s="241">
        <f>IF(AND('Master Data'!$I$23='Master Data'!$Y$19),"",IF(AND('GA55 '!$B16=""),"",'GA55 '!J$6))</f>
        <v>0</v>
      </c>
      <c r="K16" s="241">
        <f>IF(AND('Master Data'!$I$23='Master Data'!$Y$19),"",IF(AND('GA55 '!$B16=""),"",'GA55 '!K$6))</f>
        <v>0</v>
      </c>
      <c r="L16" s="241">
        <f>IF(AND('Master Data'!$I$23='Master Data'!$Y$19),"",IF(AND('GA55 '!$B16=""),"",'GA55 '!L$6))</f>
        <v>0</v>
      </c>
      <c r="M16" s="237">
        <f t="shared" si="2"/>
        <v>37632</v>
      </c>
      <c r="N16" s="241">
        <f>IF(AND('Master Data'!$I$23='Master Data'!$Y$19),"",IF(AND('GA55 '!$B16=""),"",'GA55 '!N$6))</f>
        <v>0</v>
      </c>
      <c r="O16" s="241">
        <f>IF(AND('Master Data'!$I$23='Master Data'!$Y$19),"",IF(AND('GA55 '!$B16=""),"",'GA55 '!O$6))</f>
        <v>0</v>
      </c>
      <c r="P16" s="243">
        <f>IF(AND('GA55 '!$B16=""),"",ROUND((C16+D16+E16)*0.1,0))</f>
        <v>3703</v>
      </c>
      <c r="Q16" s="241">
        <f>IF(AND('Master Data'!$I$23='Master Data'!$Y$19),"",IF(AND('GA55 '!$B16=""),"",'GA55 '!Q$6))</f>
        <v>200</v>
      </c>
      <c r="R16" s="241">
        <f>IF(AND('Master Data'!$I$23='Master Data'!$Y$19),"",IF(AND('GA55 '!$B16=""),"",'GA55 '!R$6))</f>
        <v>0</v>
      </c>
      <c r="S16" s="241">
        <f>IF(AND('Master Data'!$I$23='Master Data'!$Y$19),"",IF(AND('GA55 '!$B16=""),"",'GA55 '!S$6))</f>
        <v>1000</v>
      </c>
      <c r="T16" s="241">
        <f>IF(AND('Master Data'!$I$23='Master Data'!$Y$19),"",IF(AND('GA55 '!$B16=""),"",'GA55 '!T$6))</f>
        <v>208</v>
      </c>
      <c r="U16" s="241">
        <f>IF(AND('Master Data'!$I$23='Master Data'!$Y$19),"",IF(AND('GA55 '!$B16=""),"",'GA55 '!U$6))</f>
        <v>0</v>
      </c>
      <c r="V16" s="241">
        <f>IF(AND('Master Data'!$I$23='Master Data'!$Y$19),"",IF(AND('GA55 '!$B16=""),"",'GA55 '!V$6))</f>
        <v>0</v>
      </c>
      <c r="W16" s="241">
        <f>IF(AND('Master Data'!$I$23='Master Data'!$Y$19),"",IF(AND('GA55 '!$B16=""),"",'GA55 '!W$6))</f>
        <v>0</v>
      </c>
      <c r="X16" s="241">
        <f>IF(AND('Master Data'!$I$23='Master Data'!$Y$19),"",IF(AND('GA55 '!$B16=""),"",'GA55 '!X$6))</f>
        <v>0</v>
      </c>
      <c r="Y16" s="241">
        <f>IF(AND('Master Data'!$I$23='Master Data'!$Y$19),"",IF(AND('GA55 '!$B16=""),"",'GA55 '!Y$6))</f>
        <v>0</v>
      </c>
      <c r="Z16" s="239">
        <f t="shared" si="0"/>
        <v>5111</v>
      </c>
      <c r="AA16" s="240">
        <f t="shared" si="1"/>
        <v>32521</v>
      </c>
      <c r="AB16" s="241"/>
      <c r="AC16" s="242"/>
    </row>
    <row r="17" spans="1:29" ht="21.95" customHeight="1">
      <c r="A17" s="31">
        <v>12</v>
      </c>
      <c r="B17" s="235">
        <v>44228</v>
      </c>
      <c r="C17" s="241">
        <f>IF(AND('GA55 '!$B17=""),"",'GA55 '!C$6)</f>
        <v>35800</v>
      </c>
      <c r="D17" s="241">
        <f>IF(AND('Master Data'!$I$23='Master Data'!$Y$19),0,IF(AND('GA55 '!$B17=""),"",'GA55 '!D$6))</f>
        <v>0</v>
      </c>
      <c r="E17" s="241">
        <f>IF(AND('Master Data'!$I$23='Master Data'!$Y$19),0,IF(AND('GA55 '!$B17=""),"",'GA55 '!E$6))</f>
        <v>1234</v>
      </c>
      <c r="F17" s="241">
        <f>IF(AND('Master Data'!$I$23='Master Data'!$Y$19),"",IF(AND('GA55 '!$B17=""),"",'GA55 '!F$6))</f>
        <v>0</v>
      </c>
      <c r="G17" s="241">
        <f>IF(AND('Master Data'!$I$23='Master Data'!$Y$19),"",IF(AND('GA55 '!$B17=""),"",'GA55 '!G$6))</f>
        <v>398</v>
      </c>
      <c r="H17" s="241">
        <f>IF(AND('Master Data'!$I$23='Master Data'!$Y$19),"",IF(AND('GA55 '!$B17=""),"",'GA55 '!H$6))</f>
        <v>200</v>
      </c>
      <c r="I17" s="241">
        <f>IF(AND('Master Data'!$I$23='Master Data'!$Y$19),"",IF(AND('GA55 '!$B17=""),"",'GA55 '!I$6))</f>
        <v>0</v>
      </c>
      <c r="J17" s="241">
        <f>IF(AND('Master Data'!$I$23='Master Data'!$Y$19),"",IF(AND('GA55 '!$B17=""),"",'GA55 '!J$6))</f>
        <v>0</v>
      </c>
      <c r="K17" s="241">
        <f>IF(AND('Master Data'!$I$23='Master Data'!$Y$19),"",IF(AND('GA55 '!$B17=""),"",'GA55 '!K$6))</f>
        <v>0</v>
      </c>
      <c r="L17" s="241">
        <f>IF(AND('Master Data'!$I$23='Master Data'!$Y$19),"",IF(AND('GA55 '!$B17=""),"",'GA55 '!L$6))</f>
        <v>0</v>
      </c>
      <c r="M17" s="237">
        <f t="shared" si="2"/>
        <v>37632</v>
      </c>
      <c r="N17" s="241">
        <f>IF(AND('Master Data'!$I$23='Master Data'!$Y$19),"",IF(AND('GA55 '!$B17=""),"",'GA55 '!N$6))</f>
        <v>0</v>
      </c>
      <c r="O17" s="241">
        <f>IF(AND('Master Data'!$I$23='Master Data'!$Y$19),"",IF(AND('GA55 '!$B17=""),"",'GA55 '!O$6))</f>
        <v>0</v>
      </c>
      <c r="P17" s="243">
        <f>IF(AND('GA55 '!$B17=""),"",ROUND((C17+D17+E17)*0.1,0))</f>
        <v>3703</v>
      </c>
      <c r="Q17" s="241">
        <f>IF(AND('Master Data'!$I$23='Master Data'!$Y$19),"",IF(AND('GA55 '!$B17=""),"",'GA55 '!Q$6))</f>
        <v>200</v>
      </c>
      <c r="R17" s="241">
        <f>IF(AND('Master Data'!$I$23='Master Data'!$Y$19),"",IF(AND('GA55 '!$B17=""),"",'GA55 '!R$6))</f>
        <v>0</v>
      </c>
      <c r="S17" s="241">
        <f>IF(AND('Master Data'!$I$23='Master Data'!$Y$19),"",IF(AND('GA55 '!$B17=""),"",'GA55 '!S$6))</f>
        <v>1000</v>
      </c>
      <c r="T17" s="241">
        <f>IF(AND('Master Data'!$I$23='Master Data'!$Y$19),"",IF(AND('GA55 '!$B17=""),"",'GA55 '!T$6))</f>
        <v>208</v>
      </c>
      <c r="U17" s="241">
        <f>IF(AND('Master Data'!$I$23='Master Data'!$Y$19),"",IF(AND('GA55 '!$B17=""),"",'GA55 '!U$6))</f>
        <v>0</v>
      </c>
      <c r="V17" s="241">
        <f>IF(AND('Master Data'!$I$23='Master Data'!$Y$19),"",IF(AND('GA55 '!$B17=""),"",'GA55 '!V$6))</f>
        <v>0</v>
      </c>
      <c r="W17" s="241">
        <f>IF(AND('Master Data'!$I$23='Master Data'!$Y$19),"",IF(AND('GA55 '!$B17=""),"",'GA55 '!W$6))</f>
        <v>0</v>
      </c>
      <c r="X17" s="241">
        <f>IF(AND('Master Data'!$I$23='Master Data'!$Y$19),"",IF(AND('GA55 '!$B17=""),"",'GA55 '!X$6))</f>
        <v>0</v>
      </c>
      <c r="Y17" s="241">
        <f>IF(AND('Master Data'!$I$23='Master Data'!$Y$19),"",IF(AND('GA55 '!$B17=""),"",'GA55 '!Y$6))</f>
        <v>0</v>
      </c>
      <c r="Z17" s="239">
        <f t="shared" si="0"/>
        <v>5111</v>
      </c>
      <c r="AA17" s="240">
        <f t="shared" si="1"/>
        <v>32521</v>
      </c>
      <c r="AB17" s="241"/>
      <c r="AC17" s="242"/>
    </row>
    <row r="18" spans="1:29" ht="21.95" customHeight="1">
      <c r="A18" s="31">
        <v>13</v>
      </c>
      <c r="B18" s="235" t="s">
        <v>45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37">
        <f t="shared" si="2"/>
        <v>0</v>
      </c>
      <c r="N18" s="241"/>
      <c r="O18" s="241"/>
      <c r="P18" s="243">
        <f>IF(AND('GA55 '!$B18=""),"",ROUND((C18+D18+E18)*0.1,0))</f>
        <v>0</v>
      </c>
      <c r="Q18" s="241"/>
      <c r="R18" s="241"/>
      <c r="S18" s="241"/>
      <c r="T18" s="241"/>
      <c r="U18" s="241"/>
      <c r="V18" s="241"/>
      <c r="W18" s="241"/>
      <c r="X18" s="241"/>
      <c r="Y18" s="241"/>
      <c r="Z18" s="239">
        <f t="shared" si="0"/>
        <v>0</v>
      </c>
      <c r="AA18" s="240">
        <f t="shared" si="1"/>
        <v>0</v>
      </c>
      <c r="AB18" s="241"/>
      <c r="AC18" s="242"/>
    </row>
    <row r="19" spans="1:29" ht="21.95" customHeight="1">
      <c r="A19" s="31">
        <v>14</v>
      </c>
      <c r="B19" s="235" t="s">
        <v>155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37">
        <f t="shared" si="2"/>
        <v>0</v>
      </c>
      <c r="N19" s="241"/>
      <c r="O19" s="241"/>
      <c r="P19" s="243">
        <f>IF(AND('GA55 '!$B19=""),"",ROUND((C19+D19+E19)*0.1,0))</f>
        <v>0</v>
      </c>
      <c r="Q19" s="241"/>
      <c r="R19" s="241"/>
      <c r="S19" s="241"/>
      <c r="T19" s="241"/>
      <c r="U19" s="241"/>
      <c r="V19" s="241"/>
      <c r="W19" s="241"/>
      <c r="X19" s="241"/>
      <c r="Y19" s="241"/>
      <c r="Z19" s="239">
        <f t="shared" si="0"/>
        <v>0</v>
      </c>
      <c r="AA19" s="240">
        <f t="shared" si="1"/>
        <v>0</v>
      </c>
      <c r="AB19" s="241"/>
      <c r="AC19" s="242"/>
    </row>
    <row r="20" spans="1:29" ht="21.95" customHeight="1">
      <c r="A20" s="31">
        <v>15</v>
      </c>
      <c r="B20" s="235" t="s">
        <v>156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37">
        <f t="shared" si="2"/>
        <v>0</v>
      </c>
      <c r="N20" s="241"/>
      <c r="O20" s="241"/>
      <c r="P20" s="243">
        <f>IF(AND('GA55 '!$B20=""),"",ROUND((C20+D20+E20)*0.1,0))</f>
        <v>0</v>
      </c>
      <c r="Q20" s="241"/>
      <c r="R20" s="241"/>
      <c r="S20" s="241"/>
      <c r="T20" s="241"/>
      <c r="U20" s="241"/>
      <c r="V20" s="241"/>
      <c r="W20" s="241"/>
      <c r="X20" s="241"/>
      <c r="Y20" s="241"/>
      <c r="Z20" s="239">
        <f t="shared" si="0"/>
        <v>0</v>
      </c>
      <c r="AA20" s="240">
        <f t="shared" si="1"/>
        <v>0</v>
      </c>
      <c r="AB20" s="241"/>
      <c r="AC20" s="242"/>
    </row>
    <row r="21" spans="1:29" ht="21.95" customHeight="1">
      <c r="A21" s="31">
        <v>16</v>
      </c>
      <c r="B21" s="235" t="s">
        <v>48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37">
        <f t="shared" si="2"/>
        <v>0</v>
      </c>
      <c r="N21" s="241"/>
      <c r="O21" s="241"/>
      <c r="P21" s="243">
        <f>IF(AND('GA55 '!$B21=""),"",ROUND((C21+D21+E21)*0.1,0))</f>
        <v>0</v>
      </c>
      <c r="Q21" s="241"/>
      <c r="R21" s="241"/>
      <c r="S21" s="241"/>
      <c r="T21" s="241"/>
      <c r="U21" s="241"/>
      <c r="V21" s="241"/>
      <c r="W21" s="241"/>
      <c r="X21" s="241"/>
      <c r="Y21" s="241"/>
      <c r="Z21" s="239">
        <f t="shared" si="0"/>
        <v>0</v>
      </c>
      <c r="AA21" s="240">
        <f t="shared" si="1"/>
        <v>0</v>
      </c>
      <c r="AB21" s="241"/>
      <c r="AC21" s="242"/>
    </row>
    <row r="22" spans="1:29" ht="21.95" customHeight="1">
      <c r="A22" s="31">
        <v>17</v>
      </c>
      <c r="B22" s="235" t="s">
        <v>50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37">
        <f t="shared" si="2"/>
        <v>0</v>
      </c>
      <c r="N22" s="241"/>
      <c r="O22" s="241"/>
      <c r="P22" s="243">
        <f>IF(AND('GA55 '!$B22=""),"",ROUND((C22+D22+E22)*0.1,0))</f>
        <v>0</v>
      </c>
      <c r="Q22" s="241"/>
      <c r="R22" s="241"/>
      <c r="S22" s="241"/>
      <c r="T22" s="241"/>
      <c r="U22" s="241"/>
      <c r="V22" s="241"/>
      <c r="W22" s="241"/>
      <c r="X22" s="241"/>
      <c r="Y22" s="241"/>
      <c r="Z22" s="239">
        <f t="shared" si="0"/>
        <v>0</v>
      </c>
      <c r="AA22" s="240">
        <f t="shared" si="1"/>
        <v>0</v>
      </c>
      <c r="AB22" s="241"/>
      <c r="AC22" s="242"/>
    </row>
    <row r="23" spans="1:29" ht="21.95" customHeight="1">
      <c r="A23" s="31">
        <v>18</v>
      </c>
      <c r="B23" s="235" t="s">
        <v>51</v>
      </c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37">
        <f t="shared" si="2"/>
        <v>0</v>
      </c>
      <c r="N23" s="241"/>
      <c r="O23" s="241"/>
      <c r="P23" s="243">
        <f>IF(AND('GA55 '!$B23=""),"",ROUND((C23+D23+E23)*0.1,0))</f>
        <v>0</v>
      </c>
      <c r="Q23" s="241"/>
      <c r="R23" s="241"/>
      <c r="S23" s="241"/>
      <c r="T23" s="241"/>
      <c r="U23" s="241"/>
      <c r="V23" s="241"/>
      <c r="W23" s="241"/>
      <c r="X23" s="241"/>
      <c r="Y23" s="241"/>
      <c r="Z23" s="239">
        <f t="shared" si="0"/>
        <v>0</v>
      </c>
      <c r="AA23" s="240">
        <f t="shared" si="1"/>
        <v>0</v>
      </c>
      <c r="AB23" s="241"/>
      <c r="AC23" s="242"/>
    </row>
    <row r="24" spans="1:29" ht="21.95" customHeight="1">
      <c r="A24" s="31">
        <v>19</v>
      </c>
      <c r="B24" s="235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37" t="str">
        <f t="shared" si="2"/>
        <v/>
      </c>
      <c r="N24" s="241"/>
      <c r="O24" s="241"/>
      <c r="P24" s="243" t="str">
        <f>IF(AND('GA55 '!$B24=""),"",ROUND((C24+D24+E24)*0.1,0))</f>
        <v/>
      </c>
      <c r="Q24" s="241"/>
      <c r="R24" s="241"/>
      <c r="S24" s="241"/>
      <c r="T24" s="241"/>
      <c r="U24" s="241"/>
      <c r="V24" s="241"/>
      <c r="W24" s="241"/>
      <c r="X24" s="241"/>
      <c r="Y24" s="241"/>
      <c r="Z24" s="239" t="str">
        <f t="shared" si="0"/>
        <v/>
      </c>
      <c r="AA24" s="240" t="str">
        <f t="shared" si="1"/>
        <v/>
      </c>
      <c r="AB24" s="241"/>
      <c r="AC24" s="242"/>
    </row>
    <row r="25" spans="1:29" ht="21.95" customHeight="1">
      <c r="A25" s="31">
        <v>20</v>
      </c>
      <c r="B25" s="235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37" t="str">
        <f t="shared" si="2"/>
        <v/>
      </c>
      <c r="N25" s="241"/>
      <c r="O25" s="241"/>
      <c r="P25" s="243" t="str">
        <f>IF(AND('GA55 '!$B25=""),"",ROUND((C25+D25+E25)*0.1,0))</f>
        <v/>
      </c>
      <c r="Q25" s="241"/>
      <c r="R25" s="241"/>
      <c r="S25" s="241"/>
      <c r="T25" s="241"/>
      <c r="U25" s="241"/>
      <c r="V25" s="241"/>
      <c r="W25" s="241"/>
      <c r="X25" s="241"/>
      <c r="Y25" s="241"/>
      <c r="Z25" s="239" t="str">
        <f t="shared" si="0"/>
        <v/>
      </c>
      <c r="AA25" s="240" t="str">
        <f t="shared" si="1"/>
        <v/>
      </c>
      <c r="AB25" s="241"/>
      <c r="AC25" s="242"/>
    </row>
    <row r="26" spans="1:29" ht="21.95" customHeight="1">
      <c r="A26" s="31">
        <v>21</v>
      </c>
      <c r="B26" s="235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37" t="str">
        <f t="shared" si="2"/>
        <v/>
      </c>
      <c r="N26" s="241"/>
      <c r="O26" s="241"/>
      <c r="P26" s="243" t="str">
        <f>IF(AND('GA55 '!$B26=""),"",ROUND((C26+D26+E26)*0.1,0))</f>
        <v/>
      </c>
      <c r="Q26" s="241"/>
      <c r="R26" s="241"/>
      <c r="S26" s="241"/>
      <c r="T26" s="241"/>
      <c r="U26" s="241"/>
      <c r="V26" s="241"/>
      <c r="W26" s="241"/>
      <c r="X26" s="241"/>
      <c r="Y26" s="241"/>
      <c r="Z26" s="239" t="str">
        <f t="shared" si="0"/>
        <v/>
      </c>
      <c r="AA26" s="240" t="str">
        <f t="shared" si="1"/>
        <v/>
      </c>
      <c r="AB26" s="241"/>
      <c r="AC26" s="242"/>
    </row>
    <row r="27" spans="1:29" ht="28.5" customHeight="1">
      <c r="A27" s="33"/>
      <c r="B27" s="34" t="s">
        <v>57</v>
      </c>
      <c r="C27" s="233">
        <f>IF(AND($D$2=""),"",SUM(C6:C26))</f>
        <v>429600</v>
      </c>
      <c r="D27" s="233">
        <f t="shared" ref="D27:AA27" si="3">IF(AND($D$2=""),"",SUM(D6:D26))</f>
        <v>0</v>
      </c>
      <c r="E27" s="233">
        <f t="shared" si="3"/>
        <v>14808</v>
      </c>
      <c r="F27" s="233">
        <f t="shared" si="3"/>
        <v>0</v>
      </c>
      <c r="G27" s="233">
        <f t="shared" si="3"/>
        <v>4776</v>
      </c>
      <c r="H27" s="233">
        <f t="shared" si="3"/>
        <v>2400</v>
      </c>
      <c r="I27" s="233">
        <f t="shared" si="3"/>
        <v>0</v>
      </c>
      <c r="J27" s="233">
        <f t="shared" si="3"/>
        <v>0</v>
      </c>
      <c r="K27" s="233">
        <f t="shared" si="3"/>
        <v>0</v>
      </c>
      <c r="L27" s="233">
        <f t="shared" si="3"/>
        <v>0</v>
      </c>
      <c r="M27" s="233">
        <f t="shared" si="3"/>
        <v>451584</v>
      </c>
      <c r="N27" s="233">
        <f t="shared" si="3"/>
        <v>0</v>
      </c>
      <c r="O27" s="233">
        <f t="shared" si="3"/>
        <v>0</v>
      </c>
      <c r="P27" s="233">
        <f t="shared" si="3"/>
        <v>44436</v>
      </c>
      <c r="Q27" s="233">
        <f t="shared" si="3"/>
        <v>2400</v>
      </c>
      <c r="R27" s="233">
        <f t="shared" si="3"/>
        <v>0</v>
      </c>
      <c r="S27" s="233">
        <f t="shared" si="3"/>
        <v>12000</v>
      </c>
      <c r="T27" s="233">
        <f t="shared" si="3"/>
        <v>2496</v>
      </c>
      <c r="U27" s="233">
        <f t="shared" si="3"/>
        <v>0</v>
      </c>
      <c r="V27" s="233">
        <f t="shared" si="3"/>
        <v>0</v>
      </c>
      <c r="W27" s="233">
        <f t="shared" si="3"/>
        <v>0</v>
      </c>
      <c r="X27" s="233">
        <f t="shared" si="3"/>
        <v>0</v>
      </c>
      <c r="Y27" s="233">
        <f t="shared" si="3"/>
        <v>0</v>
      </c>
      <c r="Z27" s="233">
        <f t="shared" si="3"/>
        <v>61332</v>
      </c>
      <c r="AA27" s="233">
        <f t="shared" si="3"/>
        <v>390252</v>
      </c>
      <c r="AB27" s="35"/>
      <c r="AC27" s="206"/>
    </row>
    <row r="28" spans="1:29" ht="34.5" customHeight="1">
      <c r="A28" s="36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</row>
    <row r="29" spans="1:29" ht="20.25" customHeight="1">
      <c r="A29" s="36"/>
      <c r="B29" s="94"/>
      <c r="C29" s="327" t="str">
        <f>UPPER(IF('Master Data'!D6="","",'Master Data'!D6))</f>
        <v>HEERALAL JAT</v>
      </c>
      <c r="D29" s="327"/>
      <c r="E29" s="327"/>
      <c r="F29" s="327"/>
      <c r="G29" s="327"/>
      <c r="H29" s="327"/>
      <c r="I29" s="94"/>
      <c r="J29" s="94"/>
      <c r="K29" s="94"/>
      <c r="L29" s="94"/>
      <c r="M29" s="94"/>
      <c r="N29" s="94"/>
      <c r="O29" s="94"/>
      <c r="P29" s="94"/>
      <c r="Q29" s="37"/>
      <c r="R29" s="37"/>
      <c r="S29" s="328" t="str">
        <f>IF(AND('Master Data'!H8=""),"",CONCATENATE("( ",UPPER('Master Data'!H8), " )",))</f>
        <v>( B.E.O.PICHHOR )</v>
      </c>
      <c r="T29" s="328"/>
      <c r="U29" s="328"/>
      <c r="V29" s="328"/>
      <c r="W29" s="328"/>
      <c r="X29" s="328"/>
      <c r="Y29" s="328"/>
      <c r="Z29" s="328"/>
      <c r="AA29" s="328"/>
      <c r="AB29" s="39"/>
      <c r="AC29" s="38"/>
    </row>
    <row r="30" spans="1:29" ht="21" customHeight="1" thickBot="1">
      <c r="A30" s="40"/>
      <c r="B30" s="41"/>
      <c r="C30" s="329" t="s">
        <v>58</v>
      </c>
      <c r="D30" s="329"/>
      <c r="E30" s="329"/>
      <c r="F30" s="329"/>
      <c r="G30" s="329"/>
      <c r="H30" s="329"/>
      <c r="I30" s="42"/>
      <c r="J30" s="42"/>
      <c r="K30" s="41"/>
      <c r="L30" s="41"/>
      <c r="M30" s="41"/>
      <c r="N30" s="41"/>
      <c r="O30" s="41"/>
      <c r="P30" s="41"/>
      <c r="Q30" s="43"/>
      <c r="R30" s="43"/>
      <c r="S30" s="330" t="s">
        <v>59</v>
      </c>
      <c r="T30" s="330"/>
      <c r="U30" s="330"/>
      <c r="V30" s="330"/>
      <c r="W30" s="330"/>
      <c r="X30" s="330"/>
      <c r="Y30" s="330"/>
      <c r="Z30" s="330"/>
      <c r="AA30" s="330"/>
      <c r="AB30" s="44"/>
      <c r="AC30" s="45"/>
    </row>
    <row r="31" spans="1:29" ht="15">
      <c r="AA31" s="22"/>
      <c r="AB31" s="22"/>
    </row>
    <row r="32" spans="1:29" ht="15">
      <c r="AA32" s="22"/>
      <c r="AB32" s="22"/>
    </row>
  </sheetData>
  <sheetProtection password="C407" sheet="1" objects="1" scenarios="1" formatCells="0" formatColumns="0" formatRows="0"/>
  <mergeCells count="26"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G31" sqref="G31"/>
    </sheetView>
  </sheetViews>
  <sheetFormatPr defaultColWidth="9.125" defaultRowHeight="15"/>
  <cols>
    <col min="1" max="1" width="4" style="14" customWidth="1"/>
    <col min="2" max="2" width="4.375" style="14" customWidth="1"/>
    <col min="3" max="3" width="10.125" style="14" customWidth="1"/>
    <col min="4" max="4" width="11.125" style="14" customWidth="1"/>
    <col min="5" max="5" width="8.625" style="14" customWidth="1"/>
    <col min="6" max="6" width="3.125" style="14" customWidth="1"/>
    <col min="7" max="7" width="12.375" style="14" customWidth="1"/>
    <col min="8" max="8" width="4.625" style="14" customWidth="1"/>
    <col min="9" max="9" width="12.125" style="14" customWidth="1"/>
    <col min="10" max="10" width="11.125" style="14" customWidth="1"/>
    <col min="11" max="11" width="9.25" style="14" customWidth="1"/>
    <col min="12" max="12" width="3.25" style="14" customWidth="1"/>
    <col min="13" max="13" width="10.25" style="14" customWidth="1"/>
    <col min="14" max="14" width="3" style="14" customWidth="1"/>
    <col min="15" max="15" width="15.625" style="14" customWidth="1"/>
    <col min="16" max="16" width="9.125" style="14"/>
    <col min="17" max="17" width="5.125" style="14" customWidth="1"/>
    <col min="18" max="18" width="10.5" style="14" customWidth="1"/>
    <col min="19" max="19" width="10.625" style="14" customWidth="1"/>
    <col min="20" max="20" width="8.875" style="14" hidden="1" customWidth="1"/>
    <col min="21" max="21" width="11.625" style="14" customWidth="1"/>
    <col min="22" max="23" width="7.375" style="14" customWidth="1"/>
    <col min="24" max="32" width="9.125" style="14" hidden="1" customWidth="1"/>
    <col min="33" max="33" width="9.125" style="14" customWidth="1"/>
    <col min="34" max="34" width="10.875" style="14" customWidth="1"/>
    <col min="35" max="35" width="11" style="14" customWidth="1"/>
    <col min="36" max="36" width="12" style="14" customWidth="1"/>
    <col min="37" max="37" width="10.625" style="14" customWidth="1"/>
    <col min="38" max="16384" width="9.125" style="14"/>
  </cols>
  <sheetData>
    <row r="1" spans="1:23" ht="18.75">
      <c r="A1" s="462" t="str">
        <f>IF(AND('Master Data'!D4=""),"",CONCATENATE("Office Name :- ",PROPER('Master Data'!D4)))</f>
        <v xml:space="preserve">Office Name :- Principal, H.S.S.Girls Pichhore (3932003025) M.P.
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T1" s="162">
        <v>2</v>
      </c>
    </row>
    <row r="2" spans="1:23" ht="19.5" thickBot="1">
      <c r="A2" s="48"/>
      <c r="B2" s="48"/>
      <c r="C2" s="468" t="s">
        <v>159</v>
      </c>
      <c r="D2" s="468"/>
      <c r="E2" s="468"/>
      <c r="F2" s="469" t="s">
        <v>158</v>
      </c>
      <c r="G2" s="469"/>
      <c r="H2" s="470" t="s">
        <v>160</v>
      </c>
      <c r="I2" s="470"/>
      <c r="J2" s="473" t="s">
        <v>379</v>
      </c>
      <c r="K2" s="473"/>
      <c r="L2" s="471" t="str">
        <f>IF(T14=T2,"Old Tax Regime","New Tax Regime")</f>
        <v>Old Tax Regime</v>
      </c>
      <c r="M2" s="472"/>
      <c r="N2" s="472"/>
      <c r="O2" s="472"/>
      <c r="T2" s="162">
        <v>1</v>
      </c>
    </row>
    <row r="3" spans="1:23" ht="17.25" thickTop="1" thickBot="1">
      <c r="A3" s="118">
        <v>1</v>
      </c>
      <c r="B3" s="463" t="s">
        <v>60</v>
      </c>
      <c r="C3" s="463"/>
      <c r="D3" s="464" t="str">
        <f>UPPER('Master Data'!D6)</f>
        <v>HEERALAL JAT</v>
      </c>
      <c r="E3" s="464"/>
      <c r="F3" s="464"/>
      <c r="G3" s="464"/>
      <c r="H3" s="464"/>
      <c r="I3" s="119" t="s">
        <v>61</v>
      </c>
      <c r="J3" s="465" t="str">
        <f>UPPER('Master Data'!H6)</f>
        <v>MIDDLE TEACHER</v>
      </c>
      <c r="K3" s="465"/>
      <c r="L3" s="465"/>
      <c r="M3" s="120" t="s">
        <v>62</v>
      </c>
      <c r="N3" s="466" t="str">
        <f>UPPER('Master Data'!D12)</f>
        <v>ABCDE1234H</v>
      </c>
      <c r="O3" s="467"/>
      <c r="P3" s="121"/>
      <c r="Q3" s="121"/>
      <c r="T3" s="163"/>
    </row>
    <row r="4" spans="1:23" ht="18.75" customHeight="1">
      <c r="A4" s="442">
        <v>2</v>
      </c>
      <c r="B4" s="438" t="s">
        <v>154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122" t="s">
        <v>63</v>
      </c>
      <c r="O4" s="123">
        <f>'GA55 '!M27</f>
        <v>451584</v>
      </c>
      <c r="P4" s="124"/>
      <c r="Q4" s="49"/>
      <c r="R4" s="476" t="s">
        <v>185</v>
      </c>
      <c r="S4" s="477"/>
      <c r="T4" s="477"/>
      <c r="U4" s="477"/>
      <c r="V4" s="478"/>
      <c r="W4" s="93"/>
    </row>
    <row r="5" spans="1:23" ht="15.75" customHeight="1">
      <c r="A5" s="443"/>
      <c r="B5" s="418" t="s">
        <v>153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20"/>
      <c r="N5" s="122" t="s">
        <v>63</v>
      </c>
      <c r="O5" s="123">
        <f>IF('Master Data'!H18="Yes",0,IF('Master Data'!I25='Master Data'!V19,'GA55 '!P27,0))</f>
        <v>44436</v>
      </c>
      <c r="P5" s="124"/>
      <c r="Q5" s="49"/>
      <c r="R5" s="479"/>
      <c r="S5" s="480"/>
      <c r="T5" s="480"/>
      <c r="U5" s="480"/>
      <c r="V5" s="481"/>
      <c r="W5" s="93"/>
    </row>
    <row r="6" spans="1:23" ht="15.75" customHeight="1">
      <c r="A6" s="125">
        <v>3</v>
      </c>
      <c r="B6" s="396" t="s">
        <v>65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122" t="s">
        <v>63</v>
      </c>
      <c r="O6" s="123">
        <f>IF(T14=T2,SUM('Extra Ded. '!I7+'Extra Ded. '!E6+'Master Data'!E23),"0")</f>
        <v>0</v>
      </c>
      <c r="P6" s="126"/>
      <c r="Q6" s="49" t="s">
        <v>64</v>
      </c>
      <c r="R6" s="479"/>
      <c r="S6" s="480"/>
      <c r="T6" s="480"/>
      <c r="U6" s="480"/>
      <c r="V6" s="481"/>
      <c r="W6" s="93"/>
    </row>
    <row r="7" spans="1:23" ht="18.75">
      <c r="A7" s="125">
        <v>4</v>
      </c>
      <c r="B7" s="399" t="s">
        <v>66</v>
      </c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122" t="s">
        <v>63</v>
      </c>
      <c r="O7" s="123">
        <f>(O4+O5)-O6</f>
        <v>496020</v>
      </c>
      <c r="P7" s="126"/>
      <c r="Q7" s="126"/>
      <c r="R7" s="479"/>
      <c r="S7" s="480"/>
      <c r="T7" s="480"/>
      <c r="U7" s="480"/>
      <c r="V7" s="481"/>
      <c r="W7" s="93"/>
    </row>
    <row r="8" spans="1:23" ht="19.5" thickBot="1">
      <c r="A8" s="357">
        <v>5</v>
      </c>
      <c r="B8" s="438" t="s">
        <v>67</v>
      </c>
      <c r="C8" s="438"/>
      <c r="D8" s="438"/>
      <c r="E8" s="438"/>
      <c r="F8" s="438"/>
      <c r="G8" s="438"/>
      <c r="H8" s="438"/>
      <c r="I8" s="438"/>
      <c r="J8" s="438"/>
      <c r="K8" s="439">
        <f>IF(T14=T2,'Extra Ded. '!E8,"0")</f>
        <v>0</v>
      </c>
      <c r="L8" s="439"/>
      <c r="M8" s="439"/>
      <c r="N8" s="440"/>
      <c r="O8" s="441"/>
      <c r="P8" s="127"/>
      <c r="Q8" s="127"/>
      <c r="R8" s="482"/>
      <c r="S8" s="483"/>
      <c r="T8" s="483"/>
      <c r="U8" s="483"/>
      <c r="V8" s="484"/>
      <c r="W8" s="93"/>
    </row>
    <row r="9" spans="1:23" ht="18.75">
      <c r="A9" s="357"/>
      <c r="B9" s="438" t="s">
        <v>68</v>
      </c>
      <c r="C9" s="438"/>
      <c r="D9" s="438"/>
      <c r="E9" s="438"/>
      <c r="F9" s="438"/>
      <c r="G9" s="438"/>
      <c r="H9" s="438"/>
      <c r="I9" s="438"/>
      <c r="J9" s="438"/>
      <c r="K9" s="439">
        <f>IF(T14=T2,'Extra Ded. '!E9,"0")</f>
        <v>0</v>
      </c>
      <c r="L9" s="439"/>
      <c r="M9" s="439"/>
      <c r="N9" s="440"/>
      <c r="O9" s="441"/>
      <c r="P9" s="127"/>
      <c r="Q9" s="127"/>
      <c r="R9" s="50"/>
      <c r="S9" s="50"/>
      <c r="T9" s="50"/>
      <c r="U9" s="50"/>
      <c r="V9" s="50"/>
      <c r="W9" s="50"/>
    </row>
    <row r="10" spans="1:23" ht="20.25">
      <c r="A10" s="357"/>
      <c r="B10" s="438" t="s">
        <v>69</v>
      </c>
      <c r="C10" s="438"/>
      <c r="D10" s="438"/>
      <c r="E10" s="438"/>
      <c r="F10" s="438"/>
      <c r="G10" s="438"/>
      <c r="H10" s="438"/>
      <c r="I10" s="438"/>
      <c r="J10" s="438"/>
      <c r="K10" s="474">
        <f>IF(T14=T2,'Extra Ded. '!E7,"0")</f>
        <v>50000</v>
      </c>
      <c r="L10" s="474"/>
      <c r="M10" s="474"/>
      <c r="N10" s="122" t="s">
        <v>63</v>
      </c>
      <c r="O10" s="123">
        <f>SUM(K8:M10)</f>
        <v>50000</v>
      </c>
      <c r="P10" s="126"/>
      <c r="Q10" s="126"/>
      <c r="R10" s="83"/>
      <c r="S10" s="83"/>
      <c r="T10" s="83"/>
      <c r="U10" s="83"/>
      <c r="V10" s="83"/>
      <c r="W10" s="83"/>
    </row>
    <row r="11" spans="1:23" ht="17.25" customHeight="1">
      <c r="A11" s="125">
        <v>6</v>
      </c>
      <c r="B11" s="475" t="s">
        <v>70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122" t="s">
        <v>63</v>
      </c>
      <c r="O11" s="123">
        <f>O7-O10</f>
        <v>446020</v>
      </c>
      <c r="P11" s="126"/>
      <c r="Q11" s="126"/>
      <c r="R11" s="84"/>
      <c r="S11" s="84"/>
      <c r="T11" s="164"/>
      <c r="U11" s="84"/>
      <c r="V11" s="84"/>
      <c r="W11" s="84"/>
    </row>
    <row r="12" spans="1:23" ht="15.75">
      <c r="A12" s="357">
        <v>7</v>
      </c>
      <c r="B12" s="438" t="s">
        <v>71</v>
      </c>
      <c r="C12" s="438"/>
      <c r="D12" s="438"/>
      <c r="E12" s="438"/>
      <c r="F12" s="438"/>
      <c r="G12" s="438"/>
      <c r="H12" s="438"/>
      <c r="I12" s="415" t="s">
        <v>72</v>
      </c>
      <c r="J12" s="415"/>
      <c r="K12" s="439">
        <f>'Extra Ded. '!E10</f>
        <v>0</v>
      </c>
      <c r="L12" s="439"/>
      <c r="M12" s="439"/>
      <c r="N12" s="447"/>
      <c r="O12" s="448"/>
      <c r="P12" s="128"/>
      <c r="Q12" s="128"/>
      <c r="T12" s="163"/>
    </row>
    <row r="13" spans="1:23" ht="15.75">
      <c r="A13" s="357"/>
      <c r="B13" s="449" t="s">
        <v>73</v>
      </c>
      <c r="C13" s="449"/>
      <c r="D13" s="431" t="s">
        <v>74</v>
      </c>
      <c r="E13" s="431"/>
      <c r="F13" s="431" t="s">
        <v>75</v>
      </c>
      <c r="G13" s="431"/>
      <c r="H13" s="431"/>
      <c r="I13" s="431" t="s">
        <v>76</v>
      </c>
      <c r="J13" s="431"/>
      <c r="K13" s="415" t="s">
        <v>77</v>
      </c>
      <c r="L13" s="415"/>
      <c r="M13" s="415"/>
      <c r="N13" s="447"/>
      <c r="O13" s="448"/>
      <c r="P13" s="128"/>
      <c r="Q13" s="128"/>
      <c r="T13" s="163"/>
    </row>
    <row r="14" spans="1:23" ht="15.75">
      <c r="A14" s="357"/>
      <c r="B14" s="449"/>
      <c r="C14" s="449"/>
      <c r="D14" s="439">
        <f>IF(T14=T2,ROUND(K12*0.3,0),"0")</f>
        <v>0</v>
      </c>
      <c r="E14" s="439"/>
      <c r="F14" s="439">
        <f>IF(T14=T2,'Extra Ded. '!E13,"0")</f>
        <v>0</v>
      </c>
      <c r="G14" s="439"/>
      <c r="H14" s="439"/>
      <c r="I14" s="439">
        <f>IF(T14=T2,'Extra Ded. '!E11,"0")</f>
        <v>0</v>
      </c>
      <c r="J14" s="439"/>
      <c r="K14" s="439">
        <f>D14+F14+I14</f>
        <v>0</v>
      </c>
      <c r="L14" s="439"/>
      <c r="M14" s="439"/>
      <c r="N14" s="447"/>
      <c r="O14" s="448"/>
      <c r="P14" s="128"/>
      <c r="Q14" s="128"/>
      <c r="T14" s="162">
        <v>1</v>
      </c>
    </row>
    <row r="15" spans="1:23" ht="15.75">
      <c r="A15" s="125"/>
      <c r="B15" s="399" t="s">
        <v>78</v>
      </c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122" t="s">
        <v>63</v>
      </c>
      <c r="O15" s="123">
        <f>K12-K14</f>
        <v>0</v>
      </c>
      <c r="P15" s="126"/>
      <c r="Q15" s="126"/>
      <c r="T15" s="163"/>
    </row>
    <row r="16" spans="1:23" ht="15.75">
      <c r="A16" s="125">
        <v>8</v>
      </c>
      <c r="B16" s="438" t="s">
        <v>79</v>
      </c>
      <c r="C16" s="438"/>
      <c r="D16" s="438"/>
      <c r="E16" s="450">
        <f>'Extra Ded. '!I21</f>
        <v>1000</v>
      </c>
      <c r="F16" s="450"/>
      <c r="G16" s="415" t="s">
        <v>81</v>
      </c>
      <c r="H16" s="415"/>
      <c r="I16" s="129">
        <f>'Extra Ded. '!E24</f>
        <v>0</v>
      </c>
      <c r="J16" s="399" t="s">
        <v>80</v>
      </c>
      <c r="K16" s="399"/>
      <c r="L16" s="399"/>
      <c r="M16" s="399"/>
      <c r="N16" s="122" t="s">
        <v>63</v>
      </c>
      <c r="O16" s="123">
        <f>O11+O15</f>
        <v>446020</v>
      </c>
      <c r="P16" s="126"/>
      <c r="Q16" s="126"/>
      <c r="T16" s="163"/>
    </row>
    <row r="17" spans="1:37" ht="15.75">
      <c r="A17" s="125">
        <v>9</v>
      </c>
      <c r="B17" s="444" t="s">
        <v>198</v>
      </c>
      <c r="C17" s="445"/>
      <c r="D17" s="446"/>
      <c r="E17" s="413">
        <f>'Extra Ded. '!I23</f>
        <v>0</v>
      </c>
      <c r="F17" s="414"/>
      <c r="G17" s="416" t="s">
        <v>157</v>
      </c>
      <c r="H17" s="417"/>
      <c r="I17" s="130">
        <f>'Extra Ded. '!E23</f>
        <v>0</v>
      </c>
      <c r="J17" s="418" t="s">
        <v>82</v>
      </c>
      <c r="K17" s="419"/>
      <c r="L17" s="419"/>
      <c r="M17" s="420"/>
      <c r="N17" s="122" t="s">
        <v>63</v>
      </c>
      <c r="O17" s="123">
        <f>E16+E17+I16+I17</f>
        <v>1000</v>
      </c>
      <c r="P17" s="126"/>
      <c r="Q17" s="126"/>
      <c r="T17" s="163"/>
    </row>
    <row r="18" spans="1:37" ht="15.75">
      <c r="A18" s="125">
        <v>10</v>
      </c>
      <c r="B18" s="421" t="s">
        <v>83</v>
      </c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3"/>
      <c r="N18" s="122" t="s">
        <v>63</v>
      </c>
      <c r="O18" s="123">
        <f>O16+O17</f>
        <v>447020</v>
      </c>
      <c r="P18" s="124"/>
      <c r="Q18" s="124"/>
      <c r="T18" s="163"/>
    </row>
    <row r="19" spans="1:37" ht="15.75">
      <c r="A19" s="357">
        <v>11</v>
      </c>
      <c r="B19" s="424" t="s">
        <v>84</v>
      </c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5"/>
      <c r="P19" s="131"/>
      <c r="Q19" s="131"/>
      <c r="R19" s="380" t="s">
        <v>376</v>
      </c>
      <c r="S19" s="380"/>
      <c r="T19" s="163"/>
    </row>
    <row r="20" spans="1:37">
      <c r="A20" s="357"/>
      <c r="B20" s="426" t="s">
        <v>85</v>
      </c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7"/>
      <c r="P20" s="132"/>
      <c r="Q20" s="132"/>
      <c r="T20" s="163"/>
    </row>
    <row r="21" spans="1:37" ht="15.75">
      <c r="A21" s="357"/>
      <c r="B21" s="133" t="s">
        <v>86</v>
      </c>
      <c r="C21" s="397" t="s">
        <v>87</v>
      </c>
      <c r="D21" s="397"/>
      <c r="E21" s="397"/>
      <c r="F21" s="134" t="s">
        <v>63</v>
      </c>
      <c r="G21" s="135">
        <f>IF(T14=T2,SUM('GA55 '!N27),"0")</f>
        <v>0</v>
      </c>
      <c r="H21" s="136" t="s">
        <v>88</v>
      </c>
      <c r="I21" s="428" t="s">
        <v>89</v>
      </c>
      <c r="J21" s="429"/>
      <c r="K21" s="430"/>
      <c r="L21" s="134" t="s">
        <v>63</v>
      </c>
      <c r="M21" s="224">
        <f>IF('Master Data'!I25='Master Data'!V18,0,IF(T14=T1,0,IF(T34=T36,AA27,AB23)))</f>
        <v>44436</v>
      </c>
      <c r="N21" s="431"/>
      <c r="O21" s="432"/>
      <c r="P21" s="137"/>
      <c r="Q21" s="137"/>
      <c r="R21" s="216"/>
      <c r="S21" s="216"/>
      <c r="T21" s="217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</row>
    <row r="22" spans="1:37" ht="15.75" customHeight="1">
      <c r="A22" s="357"/>
      <c r="B22" s="133" t="s">
        <v>90</v>
      </c>
      <c r="C22" s="433" t="s">
        <v>433</v>
      </c>
      <c r="D22" s="433"/>
      <c r="E22" s="433"/>
      <c r="F22" s="134" t="s">
        <v>63</v>
      </c>
      <c r="G22" s="135">
        <f>IF(T14=T2,'GA55 '!Y27,"0")</f>
        <v>0</v>
      </c>
      <c r="H22" s="136" t="s">
        <v>91</v>
      </c>
      <c r="I22" s="398" t="s">
        <v>92</v>
      </c>
      <c r="J22" s="398"/>
      <c r="K22" s="398"/>
      <c r="L22" s="134" t="s">
        <v>63</v>
      </c>
      <c r="M22" s="135">
        <f>IF(T14=T2,'Extra Ded. '!I12,"0")</f>
        <v>0</v>
      </c>
      <c r="N22" s="431"/>
      <c r="O22" s="432"/>
      <c r="P22" s="137"/>
      <c r="Q22" s="451" t="s">
        <v>386</v>
      </c>
      <c r="R22" s="451"/>
      <c r="S22" s="451"/>
      <c r="T22" s="451"/>
      <c r="U22" s="451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</row>
    <row r="23" spans="1:37" ht="15.75" customHeight="1">
      <c r="A23" s="357"/>
      <c r="B23" s="133" t="s">
        <v>93</v>
      </c>
      <c r="C23" s="397" t="s">
        <v>94</v>
      </c>
      <c r="D23" s="397"/>
      <c r="E23" s="397"/>
      <c r="F23" s="134" t="s">
        <v>63</v>
      </c>
      <c r="G23" s="135">
        <f>IF(T14=T2,'Extra Ded. '!E18,"0")</f>
        <v>0</v>
      </c>
      <c r="H23" s="136" t="s">
        <v>95</v>
      </c>
      <c r="I23" s="398" t="s">
        <v>96</v>
      </c>
      <c r="J23" s="398"/>
      <c r="K23" s="398"/>
      <c r="L23" s="134" t="s">
        <v>63</v>
      </c>
      <c r="M23" s="138">
        <f>IF(T14=T2,'Extra Ded. '!E19,"0")</f>
        <v>0</v>
      </c>
      <c r="N23" s="431"/>
      <c r="O23" s="432"/>
      <c r="P23" s="137"/>
      <c r="Q23" s="451"/>
      <c r="R23" s="451"/>
      <c r="S23" s="451"/>
      <c r="T23" s="451"/>
      <c r="U23" s="451"/>
      <c r="V23" s="216"/>
      <c r="W23" s="216"/>
      <c r="X23" s="216"/>
      <c r="Y23" s="216"/>
      <c r="Z23" s="216">
        <f>IF(AA23&gt;AB23,AB23,AA23)</f>
        <v>44436</v>
      </c>
      <c r="AA23" s="216">
        <f>IF('Master Data'!I25='Master Data'!V18,0,ROUND(10%*'GA55 '!M27,0))</f>
        <v>45158</v>
      </c>
      <c r="AB23" s="216">
        <f>IF('Master Data'!I25='Master Data'!V19,'GA55 '!P27,0)</f>
        <v>44436</v>
      </c>
      <c r="AC23" s="216"/>
      <c r="AD23" s="216"/>
      <c r="AE23" s="216"/>
      <c r="AF23" s="216"/>
      <c r="AG23" s="216"/>
      <c r="AH23" s="452" t="s">
        <v>387</v>
      </c>
      <c r="AI23" s="452"/>
      <c r="AJ23" s="452"/>
      <c r="AK23" s="452"/>
    </row>
    <row r="24" spans="1:37" ht="15.75">
      <c r="A24" s="357"/>
      <c r="B24" s="133" t="s">
        <v>97</v>
      </c>
      <c r="C24" s="397" t="s">
        <v>98</v>
      </c>
      <c r="D24" s="397"/>
      <c r="E24" s="397"/>
      <c r="F24" s="134" t="s">
        <v>63</v>
      </c>
      <c r="G24" s="135">
        <f>IF(T14=T2,'Extra Ded. '!E20,"0")</f>
        <v>0</v>
      </c>
      <c r="H24" s="136" t="s">
        <v>99</v>
      </c>
      <c r="I24" s="398" t="s">
        <v>100</v>
      </c>
      <c r="J24" s="398"/>
      <c r="K24" s="398"/>
      <c r="L24" s="134" t="s">
        <v>63</v>
      </c>
      <c r="M24" s="138">
        <f>IF(T14=T2,'Extra Ded. '!E16,"0")</f>
        <v>0</v>
      </c>
      <c r="N24" s="431"/>
      <c r="O24" s="432"/>
      <c r="P24" s="137"/>
      <c r="Q24" s="451"/>
      <c r="R24" s="451"/>
      <c r="S24" s="451"/>
      <c r="T24" s="451"/>
      <c r="U24" s="451"/>
      <c r="V24" s="216"/>
      <c r="W24" s="216"/>
      <c r="X24" s="216"/>
      <c r="Y24" s="216"/>
      <c r="Z24" s="218">
        <f>SUM(G21:G31)+SUM(M22:M30)+O33</f>
        <v>46836</v>
      </c>
      <c r="AA24" s="216">
        <f>IF('Extra Ded. '!I14&gt;50000,50000,'Extra Ded. '!I14)</f>
        <v>50000</v>
      </c>
      <c r="AB24" s="216">
        <f>IF(Z24&gt;150000,Z24-150000,0)</f>
        <v>0</v>
      </c>
      <c r="AC24" s="216"/>
      <c r="AD24" s="216"/>
      <c r="AE24" s="216"/>
      <c r="AF24" s="216"/>
      <c r="AG24" s="216"/>
      <c r="AH24" s="452"/>
      <c r="AI24" s="452"/>
      <c r="AJ24" s="452"/>
      <c r="AK24" s="452"/>
    </row>
    <row r="25" spans="1:37" ht="16.5" thickBot="1">
      <c r="A25" s="357"/>
      <c r="B25" s="133" t="s">
        <v>101</v>
      </c>
      <c r="C25" s="397" t="s">
        <v>102</v>
      </c>
      <c r="D25" s="397"/>
      <c r="E25" s="397"/>
      <c r="F25" s="134" t="s">
        <v>63</v>
      </c>
      <c r="G25" s="135">
        <f>IF(T14=T2,'Extra Ded. '!E21,"0")</f>
        <v>0</v>
      </c>
      <c r="H25" s="136" t="s">
        <v>103</v>
      </c>
      <c r="I25" s="398" t="s">
        <v>104</v>
      </c>
      <c r="J25" s="398"/>
      <c r="K25" s="398"/>
      <c r="L25" s="134" t="s">
        <v>63</v>
      </c>
      <c r="M25" s="135">
        <f>IF(T14=T2,'Extra Ded. '!I6,"0")</f>
        <v>0</v>
      </c>
      <c r="N25" s="431"/>
      <c r="O25" s="432"/>
      <c r="P25" s="127"/>
      <c r="Q25" s="127"/>
      <c r="S25" s="87"/>
    </row>
    <row r="26" spans="1:37" ht="15.75">
      <c r="A26" s="357"/>
      <c r="B26" s="133" t="s">
        <v>105</v>
      </c>
      <c r="C26" s="397" t="s">
        <v>106</v>
      </c>
      <c r="D26" s="397"/>
      <c r="E26" s="397"/>
      <c r="F26" s="134" t="s">
        <v>63</v>
      </c>
      <c r="G26" s="135" t="str">
        <f>IF(AND(T14=T2,'Master Data'!I25='Master Data'!V18),'GA55 '!O27,"0")</f>
        <v>0</v>
      </c>
      <c r="H26" s="136" t="s">
        <v>107</v>
      </c>
      <c r="I26" s="398" t="s">
        <v>108</v>
      </c>
      <c r="J26" s="398"/>
      <c r="K26" s="398"/>
      <c r="L26" s="134" t="s">
        <v>63</v>
      </c>
      <c r="M26" s="135">
        <f>IF(T14=T2,'Extra Ded. '!I8,"0")</f>
        <v>0</v>
      </c>
      <c r="N26" s="431"/>
      <c r="O26" s="432"/>
      <c r="P26" s="127"/>
      <c r="Q26" s="453" t="s">
        <v>208</v>
      </c>
      <c r="R26" s="454"/>
      <c r="S26" s="455"/>
    </row>
    <row r="27" spans="1:37" ht="15.75" customHeight="1">
      <c r="A27" s="357"/>
      <c r="B27" s="133" t="s">
        <v>109</v>
      </c>
      <c r="C27" s="397" t="s">
        <v>110</v>
      </c>
      <c r="D27" s="397"/>
      <c r="E27" s="397"/>
      <c r="F27" s="134" t="s">
        <v>63</v>
      </c>
      <c r="G27" s="138">
        <f>IF(T14=T2,'GA55 '!Q27,"0")</f>
        <v>2400</v>
      </c>
      <c r="H27" s="136" t="s">
        <v>111</v>
      </c>
      <c r="I27" s="435" t="s">
        <v>112</v>
      </c>
      <c r="J27" s="435"/>
      <c r="K27" s="435"/>
      <c r="L27" s="134" t="s">
        <v>63</v>
      </c>
      <c r="M27" s="135">
        <f>IF(T14=T2,'Extra Ded. '!E15,"0")</f>
        <v>0</v>
      </c>
      <c r="N27" s="431"/>
      <c r="O27" s="432"/>
      <c r="P27" s="127"/>
      <c r="Q27" s="456"/>
      <c r="R27" s="457"/>
      <c r="S27" s="458"/>
      <c r="AA27" s="14">
        <f>IFERROR(SUM(Z23)-MIN(AA24,AB24),0)</f>
        <v>44436</v>
      </c>
      <c r="AC27" s="14">
        <f>MIN(AA24,AB24)</f>
        <v>0</v>
      </c>
    </row>
    <row r="28" spans="1:37" ht="15.75" customHeight="1">
      <c r="A28" s="357"/>
      <c r="B28" s="133" t="s">
        <v>113</v>
      </c>
      <c r="C28" s="397" t="s">
        <v>114</v>
      </c>
      <c r="D28" s="397"/>
      <c r="E28" s="397"/>
      <c r="F28" s="134" t="s">
        <v>63</v>
      </c>
      <c r="G28" s="138">
        <f>IF(T14=T2,'Extra Ded. '!E17,"0")</f>
        <v>0</v>
      </c>
      <c r="H28" s="136" t="s">
        <v>115</v>
      </c>
      <c r="I28" s="412" t="s">
        <v>367</v>
      </c>
      <c r="J28" s="412"/>
      <c r="K28" s="412"/>
      <c r="L28" s="134" t="s">
        <v>63</v>
      </c>
      <c r="M28" s="135">
        <f>IF(T14=T2,'Extra Ded. '!I10,"0")</f>
        <v>0</v>
      </c>
      <c r="N28" s="431"/>
      <c r="O28" s="432"/>
      <c r="P28" s="127"/>
      <c r="Q28" s="456"/>
      <c r="R28" s="457"/>
      <c r="S28" s="458"/>
    </row>
    <row r="29" spans="1:37" ht="15.75">
      <c r="A29" s="357"/>
      <c r="B29" s="133" t="s">
        <v>116</v>
      </c>
      <c r="C29" s="397" t="s">
        <v>117</v>
      </c>
      <c r="D29" s="397"/>
      <c r="E29" s="397"/>
      <c r="F29" s="134" t="s">
        <v>63</v>
      </c>
      <c r="G29" s="138">
        <f>IF(T14=T2,'Extra Ded. '!E12,"0")</f>
        <v>0</v>
      </c>
      <c r="H29" s="136" t="s">
        <v>118</v>
      </c>
      <c r="I29" s="412" t="s">
        <v>119</v>
      </c>
      <c r="J29" s="412"/>
      <c r="K29" s="412"/>
      <c r="L29" s="134" t="s">
        <v>63</v>
      </c>
      <c r="M29" s="135">
        <f>IF(T14=T2,'Extra Ded. '!E22,"0")</f>
        <v>0</v>
      </c>
      <c r="N29" s="431"/>
      <c r="O29" s="432"/>
      <c r="P29" s="127"/>
      <c r="Q29" s="456"/>
      <c r="R29" s="457"/>
      <c r="S29" s="458"/>
      <c r="AA29" s="14">
        <f>IF(Z24&gt;=200000,50000,AC27)</f>
        <v>0</v>
      </c>
    </row>
    <row r="30" spans="1:37" ht="15.75">
      <c r="A30" s="357"/>
      <c r="B30" s="133" t="s">
        <v>120</v>
      </c>
      <c r="C30" s="434" t="s">
        <v>432</v>
      </c>
      <c r="D30" s="434"/>
      <c r="E30" s="434"/>
      <c r="F30" s="134" t="s">
        <v>63</v>
      </c>
      <c r="G30" s="135">
        <f>IF(T14=T2,'Extra Ded. '!E14,"0")</f>
        <v>0</v>
      </c>
      <c r="H30" s="136" t="s">
        <v>121</v>
      </c>
      <c r="I30" s="435" t="s">
        <v>369</v>
      </c>
      <c r="J30" s="435"/>
      <c r="K30" s="435"/>
      <c r="L30" s="134" t="s">
        <v>63</v>
      </c>
      <c r="M30" s="135">
        <f>IF(T14=T2,'Extra Ded. '!E24,"0")</f>
        <v>0</v>
      </c>
      <c r="N30" s="431"/>
      <c r="O30" s="432"/>
      <c r="P30" s="127"/>
      <c r="Q30" s="456"/>
      <c r="R30" s="457"/>
      <c r="S30" s="458"/>
    </row>
    <row r="31" spans="1:37" ht="16.5" thickBot="1">
      <c r="A31" s="357"/>
      <c r="B31" s="133" t="s">
        <v>388</v>
      </c>
      <c r="C31" s="363"/>
      <c r="D31" s="363"/>
      <c r="E31" s="363"/>
      <c r="F31" s="134" t="s">
        <v>63</v>
      </c>
      <c r="G31" s="224"/>
      <c r="H31" s="360" t="s">
        <v>122</v>
      </c>
      <c r="I31" s="361"/>
      <c r="J31" s="361"/>
      <c r="K31" s="362"/>
      <c r="L31" s="134" t="s">
        <v>63</v>
      </c>
      <c r="M31" s="139">
        <f>SUM(G21:G31)+SUM(M21:M30)</f>
        <v>46836</v>
      </c>
      <c r="N31" s="431"/>
      <c r="O31" s="432"/>
      <c r="P31" s="127"/>
      <c r="Q31" s="459"/>
      <c r="R31" s="460"/>
      <c r="S31" s="461"/>
      <c r="AA31" s="14">
        <f>('Extra Ded. '!I23+'Extra Ded. '!I21)</f>
        <v>1000</v>
      </c>
    </row>
    <row r="32" spans="1:37" ht="15.75" customHeight="1">
      <c r="A32" s="357"/>
      <c r="B32" s="399" t="s">
        <v>123</v>
      </c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140" t="s">
        <v>63</v>
      </c>
      <c r="O32" s="123">
        <f>IF(M31&lt;150001,ROUND(M31,0),150000)</f>
        <v>46836</v>
      </c>
      <c r="P32" s="124"/>
      <c r="Q32" s="49"/>
      <c r="R32" s="95" t="s">
        <v>207</v>
      </c>
      <c r="S32" s="381" t="s">
        <v>382</v>
      </c>
      <c r="T32" s="165"/>
      <c r="U32" s="90"/>
      <c r="V32" s="90"/>
      <c r="W32" s="90"/>
      <c r="AA32" s="14">
        <f>IF(AA31&gt;10000,10000,AA31)</f>
        <v>1000</v>
      </c>
      <c r="AB32" s="14">
        <f>IF(AA31&gt;50000,50000,AA31)</f>
        <v>1000</v>
      </c>
    </row>
    <row r="33" spans="1:28" ht="15.75" customHeight="1">
      <c r="A33" s="357"/>
      <c r="B33" s="402" t="s">
        <v>124</v>
      </c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140"/>
      <c r="O33" s="123">
        <f>IF('Master Data'!I25='Master Data'!V19,'GA55 '!P27,0)</f>
        <v>44436</v>
      </c>
      <c r="P33" s="126"/>
      <c r="Q33" s="49"/>
      <c r="R33" s="90"/>
      <c r="S33" s="382"/>
      <c r="T33" s="165"/>
      <c r="U33" s="90"/>
      <c r="V33" s="90"/>
      <c r="W33" s="90"/>
      <c r="AA33" s="14">
        <f>IF('Master Data'!D18="Under 60",AA32,IF('Master Data'!D18="Above 60",AB32,IF('Master Data'!D18="Above 80",AB32,0)))</f>
        <v>1000</v>
      </c>
    </row>
    <row r="34" spans="1:28" ht="15.75" customHeight="1">
      <c r="A34" s="357"/>
      <c r="B34" s="436" t="s">
        <v>125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140" t="s">
        <v>63</v>
      </c>
      <c r="O34" s="223">
        <f>IF(T14=T1,0,IF(T34=T36,AB35,0))</f>
        <v>0</v>
      </c>
      <c r="P34" s="126"/>
      <c r="Q34" s="126"/>
      <c r="R34" s="90"/>
      <c r="S34" s="382"/>
      <c r="T34" s="166" t="b">
        <v>0</v>
      </c>
      <c r="U34" s="90"/>
      <c r="V34" s="90"/>
      <c r="W34" s="90"/>
    </row>
    <row r="35" spans="1:28" ht="17.25" customHeight="1">
      <c r="A35" s="357"/>
      <c r="B35" s="437" t="s">
        <v>126</v>
      </c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140" t="s">
        <v>63</v>
      </c>
      <c r="O35" s="123">
        <f>SUM(O32:O34)</f>
        <v>91272</v>
      </c>
      <c r="P35" s="124"/>
      <c r="Q35" s="124"/>
      <c r="R35" s="90"/>
      <c r="S35" s="90"/>
      <c r="T35" s="165"/>
      <c r="U35" s="90"/>
      <c r="V35" s="90"/>
      <c r="W35" s="90"/>
      <c r="AB35" s="14">
        <f>IF('Master Data'!I25='Master Data'!V19,AA29,0)</f>
        <v>0</v>
      </c>
    </row>
    <row r="36" spans="1:28" ht="15.75" customHeight="1">
      <c r="A36" s="357">
        <v>12</v>
      </c>
      <c r="B36" s="400" t="s">
        <v>127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1"/>
      <c r="P36" s="131"/>
      <c r="Q36" s="131"/>
      <c r="R36" s="90"/>
      <c r="S36" s="90"/>
      <c r="T36" s="166" t="b">
        <v>1</v>
      </c>
      <c r="U36" s="90"/>
      <c r="V36" s="90"/>
      <c r="W36" s="90"/>
    </row>
    <row r="37" spans="1:28" s="51" customFormat="1" ht="15.75" customHeight="1">
      <c r="A37" s="357"/>
      <c r="B37" s="396" t="s">
        <v>128</v>
      </c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140" t="s">
        <v>63</v>
      </c>
      <c r="O37" s="141">
        <f>IF(T14=T2,'Extra Ded. '!I15,"0")</f>
        <v>0</v>
      </c>
      <c r="P37" s="126"/>
      <c r="Q37" s="126"/>
      <c r="R37" s="90"/>
      <c r="S37" s="90"/>
      <c r="T37" s="90"/>
      <c r="U37" s="90"/>
      <c r="V37" s="90"/>
      <c r="W37" s="90"/>
    </row>
    <row r="38" spans="1:28" s="51" customFormat="1" ht="15.75">
      <c r="A38" s="357"/>
      <c r="B38" s="396" t="s">
        <v>129</v>
      </c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140" t="s">
        <v>63</v>
      </c>
      <c r="O38" s="141">
        <f>IF(T14=T2,'Extra Ded. '!I16,"0")</f>
        <v>0</v>
      </c>
      <c r="P38" s="126"/>
      <c r="Q38" s="126"/>
      <c r="AB38" s="88">
        <f>'GA55 '!N27+'GA55 '!P27+'Extra Ded. '!E18+'Extra Ded. '!E20+'Extra Ded. '!E21+'GA55 '!O27+'GA55 '!Y27+'Extra Ded. '!E17+'Extra Ded. '!E12+'Extra Ded. '!E14+'Extra Ded. '!I12+'Extra Ded. '!E19+'Extra Ded. '!E16+'Extra Ded. '!I6+'Extra Ded. '!I8+'Extra Ded. '!E15+'Extra Ded. '!I10+'Extra Ded. '!E22+'Extra Ded. '!E24</f>
        <v>44436</v>
      </c>
    </row>
    <row r="39" spans="1:28" s="51" customFormat="1" ht="15.75">
      <c r="A39" s="357"/>
      <c r="B39" s="396" t="s">
        <v>130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140" t="s">
        <v>63</v>
      </c>
      <c r="O39" s="141">
        <f>IF(T14=T2,'Extra Ded. '!I17,"0")</f>
        <v>0</v>
      </c>
      <c r="P39" s="126"/>
      <c r="Q39" s="126"/>
    </row>
    <row r="40" spans="1:28" s="51" customFormat="1" ht="16.5" thickBot="1">
      <c r="A40" s="357"/>
      <c r="B40" s="396" t="s">
        <v>131</v>
      </c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140" t="s">
        <v>63</v>
      </c>
      <c r="O40" s="141">
        <f>IF(T14=T2,'Extra Ded. '!I18,"0")</f>
        <v>0</v>
      </c>
      <c r="P40" s="126"/>
      <c r="Q40" s="126"/>
      <c r="AB40" s="89">
        <f>'Extra Ded. '!I15+'Extra Ded. '!I16+'Extra Ded. '!I17+'Extra Ded. '!I18+('Extra Ded. '!I19+'GA55 '!U27)+'Extra Ded. '!I20+AA33+'Extra Ded. '!I22</f>
        <v>1000</v>
      </c>
    </row>
    <row r="41" spans="1:28" s="51" customFormat="1" ht="16.5" thickTop="1">
      <c r="A41" s="357"/>
      <c r="B41" s="396" t="s">
        <v>196</v>
      </c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140" t="s">
        <v>63</v>
      </c>
      <c r="O41" s="245">
        <f>IF(T14=T2,('Extra Ded. '!I19+'GA55 '!S27),"0")</f>
        <v>12000</v>
      </c>
      <c r="P41" s="126"/>
      <c r="Q41" s="126"/>
      <c r="R41" s="383" t="s">
        <v>385</v>
      </c>
      <c r="S41" s="384"/>
      <c r="T41" s="384"/>
      <c r="U41" s="384"/>
      <c r="V41" s="385"/>
    </row>
    <row r="42" spans="1:28" s="51" customFormat="1" ht="15.75">
      <c r="A42" s="357"/>
      <c r="B42" s="396" t="s">
        <v>132</v>
      </c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140" t="s">
        <v>63</v>
      </c>
      <c r="O42" s="141">
        <f>IF(T14=T2,'Extra Ded. '!I20,"0")</f>
        <v>0</v>
      </c>
      <c r="P42" s="126"/>
      <c r="Q42" s="126"/>
      <c r="R42" s="386"/>
      <c r="S42" s="387"/>
      <c r="T42" s="387"/>
      <c r="U42" s="387"/>
      <c r="V42" s="388"/>
    </row>
    <row r="43" spans="1:28" s="51" customFormat="1" ht="16.5" thickBot="1">
      <c r="A43" s="357"/>
      <c r="B43" s="396" t="s">
        <v>133</v>
      </c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140" t="s">
        <v>63</v>
      </c>
      <c r="O43" s="141">
        <f>IF(T14=T2,AA33,"0")</f>
        <v>1000</v>
      </c>
      <c r="P43" s="126"/>
      <c r="Q43" s="126"/>
      <c r="R43" s="386"/>
      <c r="S43" s="387"/>
      <c r="T43" s="387"/>
      <c r="U43" s="389"/>
      <c r="V43" s="390"/>
    </row>
    <row r="44" spans="1:28" ht="16.5" thickTop="1">
      <c r="A44" s="357"/>
      <c r="B44" s="396" t="s">
        <v>134</v>
      </c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140" t="s">
        <v>63</v>
      </c>
      <c r="O44" s="141">
        <f>IF(T14=T2,'Extra Ded. '!I22,"0")</f>
        <v>0</v>
      </c>
      <c r="P44" s="126"/>
      <c r="Q44" s="126"/>
      <c r="R44" s="391" t="s">
        <v>376</v>
      </c>
      <c r="S44" s="392"/>
      <c r="T44" s="210"/>
    </row>
    <row r="45" spans="1:28" ht="16.5" thickBot="1">
      <c r="A45" s="357"/>
      <c r="B45" s="399" t="s">
        <v>135</v>
      </c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140" t="s">
        <v>63</v>
      </c>
      <c r="O45" s="142">
        <f>SUM(O37:O44)</f>
        <v>13000</v>
      </c>
      <c r="P45" s="143"/>
      <c r="Q45" s="143"/>
      <c r="R45" s="393"/>
      <c r="S45" s="394"/>
      <c r="T45" s="211"/>
    </row>
    <row r="46" spans="1:28" ht="16.5" thickTop="1">
      <c r="A46" s="125">
        <v>13</v>
      </c>
      <c r="B46" s="395" t="s">
        <v>136</v>
      </c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140" t="s">
        <v>63</v>
      </c>
      <c r="O46" s="123">
        <f>O35+O45</f>
        <v>104272</v>
      </c>
      <c r="P46" s="126"/>
      <c r="Q46" s="126"/>
    </row>
    <row r="47" spans="1:28" ht="15.75">
      <c r="A47" s="125">
        <v>14</v>
      </c>
      <c r="B47" s="396" t="s">
        <v>137</v>
      </c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140" t="s">
        <v>63</v>
      </c>
      <c r="O47" s="123">
        <f>(O18-O46)</f>
        <v>342748</v>
      </c>
      <c r="P47" s="126"/>
      <c r="Q47" s="126"/>
    </row>
    <row r="48" spans="1:28" s="51" customFormat="1" ht="15.75">
      <c r="A48" s="125">
        <v>15</v>
      </c>
      <c r="B48" s="395" t="s">
        <v>138</v>
      </c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140" t="s">
        <v>63</v>
      </c>
      <c r="O48" s="123">
        <f>ROUND(O47,-1)</f>
        <v>342750</v>
      </c>
      <c r="P48" s="124"/>
      <c r="Q48" s="124"/>
    </row>
    <row r="49" spans="1:31" s="51" customFormat="1" ht="15.75">
      <c r="A49" s="357">
        <v>16</v>
      </c>
      <c r="B49" s="396" t="s">
        <v>139</v>
      </c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408"/>
      <c r="P49" s="144"/>
      <c r="Q49" s="144"/>
      <c r="X49" s="251" t="s">
        <v>200</v>
      </c>
      <c r="Y49" s="251"/>
      <c r="Z49" s="251"/>
      <c r="AB49" s="251" t="s">
        <v>201</v>
      </c>
      <c r="AC49" s="251"/>
      <c r="AD49" s="251"/>
    </row>
    <row r="50" spans="1:31" s="51" customFormat="1" ht="15.75">
      <c r="A50" s="357"/>
      <c r="B50" s="409" t="s">
        <v>140</v>
      </c>
      <c r="C50" s="409"/>
      <c r="D50" s="409"/>
      <c r="E50" s="409"/>
      <c r="F50" s="409" t="s">
        <v>141</v>
      </c>
      <c r="G50" s="409"/>
      <c r="H50" s="409"/>
      <c r="I50" s="409"/>
      <c r="J50" s="409" t="s">
        <v>142</v>
      </c>
      <c r="K50" s="409"/>
      <c r="L50" s="409"/>
      <c r="M50" s="409"/>
      <c r="N50" s="145"/>
      <c r="O50" s="146"/>
      <c r="P50" s="147"/>
      <c r="Q50" s="147"/>
      <c r="X50" s="51">
        <v>0</v>
      </c>
      <c r="Y50" s="51">
        <v>0</v>
      </c>
      <c r="Z50" s="51">
        <v>0</v>
      </c>
      <c r="AA50" s="85">
        <v>0</v>
      </c>
      <c r="AB50" s="51">
        <v>0</v>
      </c>
      <c r="AC50" s="51">
        <v>0</v>
      </c>
      <c r="AD50" s="51">
        <v>0</v>
      </c>
      <c r="AE50" s="86">
        <v>0</v>
      </c>
    </row>
    <row r="51" spans="1:31" s="51" customFormat="1" ht="15.75">
      <c r="A51" s="357"/>
      <c r="B51" s="358" t="s">
        <v>184</v>
      </c>
      <c r="C51" s="358"/>
      <c r="D51" s="358"/>
      <c r="E51" s="148">
        <v>0</v>
      </c>
      <c r="F51" s="358" t="str">
        <f>IF(T14=T2,"Up to Rs. 3,00,000","Up to Rs. 2,50,000")</f>
        <v>Up to Rs. 3,00,000</v>
      </c>
      <c r="G51" s="358"/>
      <c r="H51" s="358"/>
      <c r="I51" s="148">
        <v>0</v>
      </c>
      <c r="J51" s="358" t="str">
        <f>IF(T14=T2,"","Up to Rs. 2,50,000")</f>
        <v/>
      </c>
      <c r="K51" s="358"/>
      <c r="L51" s="358"/>
      <c r="M51" s="148">
        <v>0</v>
      </c>
      <c r="N51" s="140" t="s">
        <v>63</v>
      </c>
      <c r="O51" s="149">
        <v>0</v>
      </c>
      <c r="P51" s="150"/>
      <c r="Q51" s="150"/>
      <c r="X51" s="51">
        <f>ROUND(IF(O48&lt;=250000,0,IF(O48&gt;=500000,12500,IF(O48&lt;=500000,0+(O48-250000)*0.05))),0)</f>
        <v>4638</v>
      </c>
      <c r="Y51" s="51">
        <f>ROUND(IF(O48&lt;=300000,0,IF(O48&gt;=500000,10000,IF(O48&lt;=500000,(O48-300000)*0.05))),0)</f>
        <v>2138</v>
      </c>
      <c r="Z51" s="51">
        <v>0</v>
      </c>
      <c r="AA51" s="85">
        <f>IF('Master Data'!D18="Under 60",X51,IF('Master Data'!D18="Above 60",Y51,Z51))</f>
        <v>4638</v>
      </c>
      <c r="AB51" s="51">
        <f>ROUND(IF(O48&lt;250001,0,IF(O48&gt;500000,12500,((O48-250000)*0.05))),0)</f>
        <v>4638</v>
      </c>
      <c r="AC51" s="51">
        <f>ROUND(IF(O48&lt;250001,0,IF(O48&gt;500000,12500,((O48-250000)*0.05))),0)</f>
        <v>4638</v>
      </c>
      <c r="AD51" s="51">
        <f>ROUND(IF(O48&lt;250001,0,IF(O48&gt;500000,12500,((O48-250000)*0.05))),0)</f>
        <v>4638</v>
      </c>
      <c r="AE51" s="86">
        <f>IF('Master Data'!D18="Under 60",AB51,IF('Master Data'!D18="Above 60",AC51,AD51))</f>
        <v>4638</v>
      </c>
    </row>
    <row r="52" spans="1:31" s="51" customFormat="1" ht="15.75">
      <c r="A52" s="357"/>
      <c r="B52" s="358" t="s">
        <v>199</v>
      </c>
      <c r="C52" s="358"/>
      <c r="D52" s="358"/>
      <c r="E52" s="148">
        <v>0.05</v>
      </c>
      <c r="F52" s="358" t="str">
        <f>IF(T14=T2,"3,00,001 to 5,00,000"," 2,50,001 to  5,00,000")</f>
        <v>3,00,001 to 5,00,000</v>
      </c>
      <c r="G52" s="358"/>
      <c r="H52" s="358"/>
      <c r="I52" s="148">
        <v>0.05</v>
      </c>
      <c r="J52" s="358" t="str">
        <f>IF(T14=T2,"Up to Rs. 5,00,000","2,50,001 to  5,00,000")</f>
        <v>Up to Rs. 5,00,000</v>
      </c>
      <c r="K52" s="358"/>
      <c r="L52" s="358"/>
      <c r="M52" s="151" t="str">
        <f>IF(T14=T2,"0%","5%")</f>
        <v>0%</v>
      </c>
      <c r="N52" s="140" t="s">
        <v>63</v>
      </c>
      <c r="O52" s="149">
        <f>IF($T$14=$T$2,AA51,AE51)</f>
        <v>4638</v>
      </c>
      <c r="P52" s="150"/>
      <c r="Q52" s="150"/>
      <c r="X52" s="51">
        <f>ROUND(IF(O48&lt;=500000,0,IF(O48&gt;=1000000,100000,IF(O48&lt;=1000000,(O48-500000)*0.2,"0"))),0)</f>
        <v>0</v>
      </c>
      <c r="Y52" s="51">
        <f>ROUND(IF(O48&lt;=500000,0,IF(O48&gt;=1000000,100000,IF(O48&lt;=1000000,(O48-500000)*0.2,"0"))),0)</f>
        <v>0</v>
      </c>
      <c r="Z52" s="51">
        <f>ROUND(IF(O48&lt;=500000,0,IF(O48&gt;=1000000,100000,IF(O48&lt;=1000000,(O48-500000)*0.2,"0"))),0)</f>
        <v>0</v>
      </c>
      <c r="AA52" s="85">
        <f>IF('Master Data'!D18="Under 60",X52,IF('Master Data'!D18="Above 60",Y52,Z52))</f>
        <v>0</v>
      </c>
      <c r="AB52" s="51">
        <f>ROUND(IF(O48&lt;500001,0,IF(O48&gt;750000,25000,((O48-500000)*0.1))),0)</f>
        <v>0</v>
      </c>
      <c r="AC52" s="51">
        <f>ROUND(IF(O48&lt;500001,0,IF(O48&gt;750000,25000,((O48-500000)*0.1))),0)</f>
        <v>0</v>
      </c>
      <c r="AD52" s="51">
        <f>ROUND(IF(O48&lt;500001,0,IF(O48&gt;750000,25000,((O48-500000)*0.1))),0)</f>
        <v>0</v>
      </c>
      <c r="AE52" s="86">
        <f>IF('Master Data'!D18="Under 60",AB52,IF('Master Data'!D18="Above 60",AC52,AD52))</f>
        <v>0</v>
      </c>
    </row>
    <row r="53" spans="1:31" s="51" customFormat="1" ht="15.75">
      <c r="A53" s="357"/>
      <c r="B53" s="358" t="str">
        <f>IF(T14=T2,"5,00,001 to 10,00,000","5,00,001  to  7,50,000")</f>
        <v>5,00,001 to 10,00,000</v>
      </c>
      <c r="C53" s="358"/>
      <c r="D53" s="358"/>
      <c r="E53" s="148" t="str">
        <f>IF(T14=T2,"20%","10%")</f>
        <v>20%</v>
      </c>
      <c r="F53" s="358" t="str">
        <f>IF(T14=T2,"5,00,001 to 10,00,000","5,00,001  to  7,50,000")</f>
        <v>5,00,001 to 10,00,000</v>
      </c>
      <c r="G53" s="358"/>
      <c r="H53" s="358"/>
      <c r="I53" s="148" t="str">
        <f>IF(T14=T2,"20%","10%")</f>
        <v>20%</v>
      </c>
      <c r="J53" s="358" t="str">
        <f>IF(T14=T2,"5,00,001 to 10,00,000","5,00,001  to  7,50,000")</f>
        <v>5,00,001 to 10,00,000</v>
      </c>
      <c r="K53" s="358"/>
      <c r="L53" s="358"/>
      <c r="M53" s="148" t="str">
        <f>IF(T14=T2,"20%","10%")</f>
        <v>20%</v>
      </c>
      <c r="N53" s="140" t="s">
        <v>63</v>
      </c>
      <c r="O53" s="149">
        <f t="shared" ref="O53:O56" si="0">IF($T$14=$T$2,AA52,AE52)</f>
        <v>0</v>
      </c>
      <c r="P53" s="150"/>
      <c r="Q53" s="150"/>
      <c r="X53" s="51">
        <f>ROUND(IF(O48&gt;1000000,(O48-1000000)*0.3,"0"),0)</f>
        <v>0</v>
      </c>
      <c r="Y53" s="51">
        <f>ROUND(IF(O48&gt;1000000,(O48-1000000)*0.3,"0"),0)</f>
        <v>0</v>
      </c>
      <c r="Z53" s="51">
        <f>ROUND(IF(O48&gt;1000000,(O48-1000000)*0.3,"0"),0)</f>
        <v>0</v>
      </c>
      <c r="AA53" s="85">
        <f>IF('Master Data'!D18="Under 60",X53,IF('Master Data'!D18="Above 60",Y53,Z53))</f>
        <v>0</v>
      </c>
      <c r="AB53" s="51">
        <f>ROUND(IF(O48&lt;750001,0,IF(O48&gt;1000000,37500,((O48-750000)*0.15))),0)</f>
        <v>0</v>
      </c>
      <c r="AC53" s="51">
        <f>ROUND(IF(O48&lt;750001,0,IF(O48&gt;1000000,37500,((O48-750000)*0.15))),0)</f>
        <v>0</v>
      </c>
      <c r="AD53" s="51">
        <f>ROUND(IF(O48&lt;750001,0,IF(O48&gt;1000000,37500,((O48-750000)*0.15))),0)</f>
        <v>0</v>
      </c>
      <c r="AE53" s="86">
        <f>IF('Master Data'!D18="Under 60",AB53,IF('Master Data'!D18="Above 60",AC53,AD53))</f>
        <v>0</v>
      </c>
    </row>
    <row r="54" spans="1:31" s="51" customFormat="1" ht="16.5" thickBot="1">
      <c r="A54" s="357"/>
      <c r="B54" s="358" t="str">
        <f>IF(T14=T2,"Above  10,00,000"," 7,50,001 to  10,00,000")</f>
        <v>Above  10,00,000</v>
      </c>
      <c r="C54" s="379"/>
      <c r="D54" s="379"/>
      <c r="E54" s="148" t="str">
        <f>IF(T14=T2,"30%","15%")</f>
        <v>30%</v>
      </c>
      <c r="F54" s="358" t="str">
        <f>IF(T14=T2,"Above  10,00,000"," 7,50,001 to  10,00,000")</f>
        <v>Above  10,00,000</v>
      </c>
      <c r="G54" s="358"/>
      <c r="H54" s="358"/>
      <c r="I54" s="148" t="str">
        <f>IF(T14=T2,"30%","15%")</f>
        <v>30%</v>
      </c>
      <c r="J54" s="358" t="str">
        <f>IF(T14=T2,"Above  10,00,000"," 7,50,001 to  10,00,000")</f>
        <v>Above  10,00,000</v>
      </c>
      <c r="K54" s="358"/>
      <c r="L54" s="358"/>
      <c r="M54" s="148" t="str">
        <f>IF(T14=T2,"30%","15%")</f>
        <v>30%</v>
      </c>
      <c r="N54" s="140" t="s">
        <v>63</v>
      </c>
      <c r="O54" s="149">
        <f t="shared" si="0"/>
        <v>0</v>
      </c>
      <c r="P54" s="150"/>
      <c r="Q54" s="150"/>
      <c r="AA54" s="85">
        <f>IF('Master Data'!D18="Under 60",X54,IF('Master Data'!D18="Above 60",Y54,Z54))</f>
        <v>0</v>
      </c>
      <c r="AB54" s="51">
        <f>ROUND(IF(O48&lt;1000001,0,IF(O48&gt;1250000,50000,((O48-1000000)*0.2))),0)</f>
        <v>0</v>
      </c>
      <c r="AC54" s="51">
        <f>ROUND(IF(O48&lt;1000001,0,IF(O48&gt;1250000,50000,((O48-1000000)*0.2))),0)</f>
        <v>0</v>
      </c>
      <c r="AD54" s="51">
        <f>ROUND(IF(O48&lt;1000001,0,IF(O48&gt;1250000,50000,((O48-1000000)*0.2))),0)</f>
        <v>0</v>
      </c>
      <c r="AE54" s="86">
        <f>IF('Master Data'!D18="Under 60",AB54,IF('Master Data'!D18="Above 60",AC54,AD54))</f>
        <v>0</v>
      </c>
    </row>
    <row r="55" spans="1:31" s="51" customFormat="1" ht="16.5" thickTop="1">
      <c r="A55" s="357"/>
      <c r="B55" s="410" t="str">
        <f>IF(T14=T2," ","10,00,001 to  12,50,000")</f>
        <v xml:space="preserve"> </v>
      </c>
      <c r="C55" s="411"/>
      <c r="D55" s="411"/>
      <c r="E55" s="148" t="str">
        <f>IF(T14=T2," ","20%")</f>
        <v xml:space="preserve"> </v>
      </c>
      <c r="F55" s="358" t="str">
        <f>IF(T14=T2," ","10,00,001 to  12,50,000")</f>
        <v xml:space="preserve"> </v>
      </c>
      <c r="G55" s="358"/>
      <c r="H55" s="358"/>
      <c r="I55" s="148" t="str">
        <f>IF(T14=T2," ","20%")</f>
        <v xml:space="preserve"> </v>
      </c>
      <c r="J55" s="358" t="str">
        <f>IF(T14=T2," ","10,00,001 to  12,50,000")</f>
        <v xml:space="preserve"> </v>
      </c>
      <c r="K55" s="358"/>
      <c r="L55" s="358"/>
      <c r="M55" s="148" t="str">
        <f>IF(T14=T2," ","20%")</f>
        <v xml:space="preserve"> </v>
      </c>
      <c r="N55" s="140" t="str">
        <f>IF(T14=T2," ","#-")</f>
        <v xml:space="preserve"> </v>
      </c>
      <c r="O55" s="149">
        <f>IF($T$14=$T$2,AA54,AE54)</f>
        <v>0</v>
      </c>
      <c r="P55" s="150"/>
      <c r="Q55" s="150"/>
      <c r="R55" s="369" t="s">
        <v>377</v>
      </c>
      <c r="S55" s="370"/>
      <c r="T55" s="370"/>
      <c r="U55" s="370"/>
      <c r="V55" s="371"/>
      <c r="AA55" s="85">
        <f>IF('Master Data'!D18="Under 60",X55,IF('Master Data'!D18="Above 60",Y55,Z55))</f>
        <v>0</v>
      </c>
      <c r="AB55" s="51">
        <f>ROUND(IF(O48&lt;1250001,0,IF(O48&gt;1500000,62500,((O48-1250000)*0.25))),0)</f>
        <v>0</v>
      </c>
      <c r="AC55" s="51">
        <f>ROUND(IF(O48&lt;1250001,0,IF(O48&gt;1500000,62500,((O48-1250000)*0.25))),0)</f>
        <v>0</v>
      </c>
      <c r="AD55" s="51">
        <f>ROUND(IF(O48&lt;1250001,0,IF(O48&gt;1500000,62500,((O48-1250000)*0.25))),0)</f>
        <v>0</v>
      </c>
      <c r="AE55" s="86">
        <f>IF('Master Data'!D18="Under 60",AB55,IF('Master Data'!D18="Above 60",AC55,AD55))</f>
        <v>0</v>
      </c>
    </row>
    <row r="56" spans="1:31" s="51" customFormat="1" ht="16.5" customHeight="1">
      <c r="A56" s="357"/>
      <c r="B56" s="410" t="str">
        <f>IF(T14=T2," ","12,50,001 to  15,00,000")</f>
        <v xml:space="preserve"> </v>
      </c>
      <c r="C56" s="411"/>
      <c r="D56" s="411"/>
      <c r="E56" s="148" t="str">
        <f>IF(T14=T2," ","25%")</f>
        <v xml:space="preserve"> </v>
      </c>
      <c r="F56" s="358" t="str">
        <f>IF(T14=T2," ","12,50,001 to  15,00,000")</f>
        <v xml:space="preserve"> </v>
      </c>
      <c r="G56" s="358"/>
      <c r="H56" s="358"/>
      <c r="I56" s="148" t="str">
        <f>IF(T14=T2," ","25%")</f>
        <v xml:space="preserve"> </v>
      </c>
      <c r="J56" s="358" t="str">
        <f>IF(T14=T2," ","12,50,001 to  15,00,000")</f>
        <v xml:space="preserve"> </v>
      </c>
      <c r="K56" s="358"/>
      <c r="L56" s="358"/>
      <c r="M56" s="148" t="str">
        <f>IF(T14=T2," ","25%")</f>
        <v xml:space="preserve"> </v>
      </c>
      <c r="N56" s="140" t="str">
        <f>IF(T14=T2," ","#-")</f>
        <v xml:space="preserve"> </v>
      </c>
      <c r="O56" s="149">
        <f t="shared" si="0"/>
        <v>0</v>
      </c>
      <c r="P56" s="150"/>
      <c r="Q56" s="150"/>
      <c r="R56" s="372"/>
      <c r="S56" s="373"/>
      <c r="T56" s="373"/>
      <c r="U56" s="373"/>
      <c r="V56" s="374"/>
      <c r="AA56" s="85">
        <f>IF('Master Data'!D18="Under 60",X56,IF('Master Data'!D18="Above 60",Y56,Z56))</f>
        <v>0</v>
      </c>
      <c r="AB56" s="51">
        <f>ROUND(IF(O48&lt;1500001,0,(O48-1500000)*0.3),0)</f>
        <v>0</v>
      </c>
      <c r="AC56" s="51">
        <f>ROUND(IF(O48&lt;1500001,0,(O48-1500000)*0.3),0)</f>
        <v>0</v>
      </c>
      <c r="AD56" s="51">
        <f>ROUND(IF(O48&lt;1500001,0,(O48-1500000)*0.3),0)</f>
        <v>0</v>
      </c>
      <c r="AE56" s="86">
        <f>IF('Master Data'!D18="Under 60",AB56,IF('Master Data'!D18="Above 60",AC56,AD56))</f>
        <v>0</v>
      </c>
    </row>
    <row r="57" spans="1:31" s="51" customFormat="1" ht="16.5" thickBot="1">
      <c r="A57" s="357"/>
      <c r="B57" s="410" t="str">
        <f>IF(T14=T2," ","Above Rs. 15,00,000")</f>
        <v xml:space="preserve"> </v>
      </c>
      <c r="C57" s="411"/>
      <c r="D57" s="411"/>
      <c r="E57" s="148" t="str">
        <f>IF(T14=T2," ","30%")</f>
        <v xml:space="preserve"> </v>
      </c>
      <c r="F57" s="358" t="str">
        <f>IF(T14=T2," ","Above Rs. 15,00,000")</f>
        <v xml:space="preserve"> </v>
      </c>
      <c r="G57" s="358"/>
      <c r="H57" s="358"/>
      <c r="I57" s="148" t="str">
        <f>IF(T14=T2," ","30%")</f>
        <v xml:space="preserve"> </v>
      </c>
      <c r="J57" s="358" t="str">
        <f>IF(T14=T2," ","Above Rs. 15,00,000")</f>
        <v xml:space="preserve"> </v>
      </c>
      <c r="K57" s="358"/>
      <c r="L57" s="358"/>
      <c r="M57" s="148" t="str">
        <f>IF(T14=T2," ","30%")</f>
        <v xml:space="preserve"> </v>
      </c>
      <c r="N57" s="140" t="str">
        <f>IF(T14=T2," ","#-")</f>
        <v xml:space="preserve"> </v>
      </c>
      <c r="O57" s="149">
        <f>IF($T$14=$T$2,AA56,AE56)</f>
        <v>0</v>
      </c>
      <c r="P57" s="150"/>
      <c r="Q57" s="150"/>
      <c r="R57" s="375"/>
      <c r="S57" s="376"/>
      <c r="T57" s="376"/>
      <c r="U57" s="376"/>
      <c r="V57" s="377"/>
      <c r="X57" s="51">
        <f>SUM(X50:X53)</f>
        <v>4638</v>
      </c>
      <c r="Y57" s="51">
        <f t="shared" ref="Y57:Z57" si="1">SUM(Y50:Y53)</f>
        <v>2138</v>
      </c>
      <c r="Z57" s="51">
        <f t="shared" si="1"/>
        <v>0</v>
      </c>
      <c r="AA57" s="85">
        <f>IF('Master Data'!D18="Under 60",X57,IF('Master Data'!D18="Above 60",Y57,Z57))</f>
        <v>4638</v>
      </c>
      <c r="AB57" s="51">
        <f>SUM(AB50:AB56)</f>
        <v>4638</v>
      </c>
      <c r="AC57" s="51">
        <f t="shared" ref="AC57:AD57" si="2">SUM(AC50:AC56)</f>
        <v>4638</v>
      </c>
      <c r="AD57" s="51">
        <f t="shared" si="2"/>
        <v>4638</v>
      </c>
      <c r="AE57" s="86">
        <f>IF('Master Data'!D18="Under 60",AB57,IF('Master Data'!D18="Above 60",AC57,AD57))</f>
        <v>4638</v>
      </c>
    </row>
    <row r="58" spans="1:31" s="51" customFormat="1" ht="16.5" thickTop="1">
      <c r="A58" s="357"/>
      <c r="B58" s="359" t="s">
        <v>143</v>
      </c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140" t="s">
        <v>63</v>
      </c>
      <c r="O58" s="123">
        <f>SUM(O51:O57)</f>
        <v>4638</v>
      </c>
      <c r="P58" s="124"/>
      <c r="Q58" s="124"/>
    </row>
    <row r="59" spans="1:31" s="51" customFormat="1" ht="15.75">
      <c r="A59" s="357"/>
      <c r="B59" s="378" t="s">
        <v>371</v>
      </c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140" t="s">
        <v>63</v>
      </c>
      <c r="O59" s="123">
        <f>IF(O48&gt;500000,0,IF(O58&lt;12500,O58,12500))</f>
        <v>4638</v>
      </c>
      <c r="P59" s="126"/>
      <c r="Q59" s="368"/>
      <c r="R59" s="368"/>
      <c r="S59" s="368"/>
      <c r="X59" s="51">
        <f>ROUND(IF(O48&lt;=250000,0,IF(O48&lt;=500000,(O48-250000)*0.05,IF(O48&lt;=1000000,12500+(O48-500000)*0.2,IF(O48&gt;1000000,112500+(O48-1000000)*0.3,"0")))),0)</f>
        <v>4638</v>
      </c>
      <c r="Y59" s="51">
        <f>ROUND(IF(O48&lt;=300000,0,IF(O48&lt;=500000,(O48-300000)*0.05,IF(O48&lt;=1000000,10000+(O48-500000)*0.2,IF(O48&gt;1000000,110000+(O48-1000000)*0.3,"0")))),0)</f>
        <v>2138</v>
      </c>
      <c r="Z59" s="51">
        <f>ROUND(IF(O48&lt;=250000,0,IF(O48&lt;=500000,(O48-250000)*0.05,IF(O48&lt;=1000000,0+(O48-500000)*0.2,IF(O48&gt;1000000,100000+(O48-1000000)*0.3,"0")))),0)</f>
        <v>4638</v>
      </c>
    </row>
    <row r="60" spans="1:31" s="51" customFormat="1" ht="15.75">
      <c r="A60" s="357"/>
      <c r="B60" s="359" t="s">
        <v>144</v>
      </c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140" t="s">
        <v>63</v>
      </c>
      <c r="O60" s="123">
        <f>O58-O59</f>
        <v>0</v>
      </c>
      <c r="P60" s="124"/>
      <c r="Q60" s="368"/>
      <c r="R60" s="368"/>
      <c r="S60" s="368"/>
      <c r="Y60" s="51">
        <f>IF(T63&gt;350000,0,IF(T63&lt;2501,T63,2500))</f>
        <v>0</v>
      </c>
    </row>
    <row r="61" spans="1:31" ht="15.75">
      <c r="A61" s="357"/>
      <c r="B61" s="82" t="s">
        <v>145</v>
      </c>
      <c r="C61" s="378" t="s">
        <v>146</v>
      </c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140" t="s">
        <v>63</v>
      </c>
      <c r="O61" s="123">
        <f>ROUND((O60*0.04),0)</f>
        <v>0</v>
      </c>
      <c r="P61" s="126"/>
      <c r="Q61" s="126"/>
    </row>
    <row r="62" spans="1:31" ht="15.75">
      <c r="A62" s="357"/>
      <c r="B62" s="404" t="s">
        <v>147</v>
      </c>
      <c r="C62" s="404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140" t="s">
        <v>63</v>
      </c>
      <c r="O62" s="123">
        <f>SUM(O60:O61)</f>
        <v>0</v>
      </c>
      <c r="P62" s="124"/>
      <c r="Q62" s="124"/>
    </row>
    <row r="63" spans="1:31" ht="16.5">
      <c r="A63" s="125">
        <v>17</v>
      </c>
      <c r="B63" s="405" t="s">
        <v>148</v>
      </c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140" t="s">
        <v>63</v>
      </c>
      <c r="O63" s="123">
        <f>'Extra Ded. '!I24</f>
        <v>0</v>
      </c>
      <c r="P63" s="126"/>
      <c r="Q63" s="126"/>
    </row>
    <row r="64" spans="1:31" ht="15.75">
      <c r="A64" s="125">
        <v>18</v>
      </c>
      <c r="B64" s="400" t="s">
        <v>149</v>
      </c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140" t="s">
        <v>63</v>
      </c>
      <c r="O64" s="123">
        <f>O62-O63</f>
        <v>0</v>
      </c>
      <c r="P64" s="124"/>
      <c r="Q64" s="124"/>
    </row>
    <row r="65" spans="1:26" ht="29.25" customHeight="1">
      <c r="A65" s="357">
        <v>19</v>
      </c>
      <c r="B65" s="364" t="s">
        <v>150</v>
      </c>
      <c r="C65" s="364"/>
      <c r="D65" s="364"/>
      <c r="E65" s="364" t="s">
        <v>206</v>
      </c>
      <c r="F65" s="364"/>
      <c r="G65" s="364"/>
      <c r="H65" s="364" t="s">
        <v>205</v>
      </c>
      <c r="I65" s="364"/>
      <c r="J65" s="152" t="s">
        <v>204</v>
      </c>
      <c r="K65" s="365" t="s">
        <v>203</v>
      </c>
      <c r="L65" s="365"/>
      <c r="M65" s="366" t="s">
        <v>202</v>
      </c>
      <c r="N65" s="366"/>
      <c r="O65" s="153" t="s">
        <v>151</v>
      </c>
      <c r="P65" s="154"/>
      <c r="Q65" s="154"/>
    </row>
    <row r="66" spans="1:26" ht="15.75">
      <c r="A66" s="357"/>
      <c r="B66" s="364"/>
      <c r="C66" s="364"/>
      <c r="D66" s="364"/>
      <c r="E66" s="367">
        <f>SUM('GA55 '!T6:T12)</f>
        <v>1456</v>
      </c>
      <c r="F66" s="367"/>
      <c r="G66" s="367"/>
      <c r="H66" s="367">
        <f>SUM('GA55 '!T13:T15)</f>
        <v>624</v>
      </c>
      <c r="I66" s="367"/>
      <c r="J66" s="155">
        <f>'GA55 '!T16</f>
        <v>208</v>
      </c>
      <c r="K66" s="367">
        <f>'GA55 '!T17</f>
        <v>208</v>
      </c>
      <c r="L66" s="367"/>
      <c r="M66" s="367">
        <f>SUM('GA55 '!T27-(E66+H66+J66+K66))+'Extra Ded. '!I9</f>
        <v>0</v>
      </c>
      <c r="N66" s="367"/>
      <c r="O66" s="156">
        <f>SUM(E66,H66,J66,K66,M66)</f>
        <v>2496</v>
      </c>
      <c r="P66" s="157"/>
      <c r="Q66" s="157"/>
    </row>
    <row r="67" spans="1:26" ht="19.5" thickBot="1">
      <c r="A67" s="406" t="str">
        <f>IF(O64&gt;O66,"Income Tax Payable",IF(O64&lt;O66,"Income Tax Refundable","Income Tax Payble/Refundable"))</f>
        <v>Income Tax Refundable</v>
      </c>
      <c r="B67" s="407"/>
      <c r="C67" s="407"/>
      <c r="D67" s="407"/>
      <c r="E67" s="407"/>
      <c r="F67" s="407"/>
      <c r="G67" s="407"/>
      <c r="H67" s="407"/>
      <c r="I67" s="407"/>
      <c r="J67" s="407"/>
      <c r="K67" s="407"/>
      <c r="L67" s="407"/>
      <c r="M67" s="407"/>
      <c r="N67" s="158" t="s">
        <v>63</v>
      </c>
      <c r="O67" s="159">
        <f>IF(O64&gt;O66,O64-O66,O66-O64)</f>
        <v>2496</v>
      </c>
      <c r="P67" s="126"/>
      <c r="Q67" s="126"/>
    </row>
    <row r="68" spans="1:26" ht="16.5" thickTop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1"/>
      <c r="O68" s="126"/>
      <c r="P68" s="126"/>
      <c r="Q68" s="126"/>
    </row>
    <row r="69" spans="1:26" ht="16.5">
      <c r="A69" s="52"/>
      <c r="B69" s="53"/>
      <c r="C69" s="53"/>
      <c r="D69" s="54"/>
      <c r="E69" s="53"/>
      <c r="F69" s="53"/>
      <c r="G69" s="53"/>
      <c r="H69" s="53"/>
      <c r="I69" s="53"/>
      <c r="J69" s="53"/>
      <c r="K69" s="53"/>
      <c r="L69" s="403" t="s">
        <v>152</v>
      </c>
      <c r="M69" s="403"/>
      <c r="N69" s="403"/>
      <c r="O69" s="55"/>
      <c r="P69" s="55"/>
      <c r="Q69" s="55"/>
    </row>
    <row r="70" spans="1:26" ht="16.5">
      <c r="A70" s="52"/>
      <c r="B70" s="53"/>
      <c r="C70" s="53"/>
      <c r="D70" s="54"/>
      <c r="E70" s="53"/>
      <c r="F70" s="53"/>
      <c r="G70" s="53"/>
      <c r="H70" s="53"/>
      <c r="I70" s="53"/>
      <c r="J70" s="53"/>
      <c r="K70" s="53"/>
      <c r="L70" s="56"/>
      <c r="M70" s="57"/>
      <c r="N70" s="58"/>
      <c r="O70" s="55"/>
      <c r="P70" s="55"/>
      <c r="Q70" s="55"/>
    </row>
    <row r="71" spans="1:26" ht="15.7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/>
      <c r="P71" s="61"/>
      <c r="Q71" s="6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>
      <c r="A72" s="62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/>
      <c r="P72" s="61"/>
      <c r="Q72" s="6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>
      <c r="A73" s="59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1"/>
      <c r="P73" s="61"/>
      <c r="Q73" s="6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>
      <c r="A74" s="59"/>
      <c r="B74" s="63"/>
      <c r="C74" s="63"/>
      <c r="D74" s="63"/>
      <c r="E74" s="63"/>
      <c r="F74" s="63"/>
      <c r="G74" s="63"/>
      <c r="H74" s="63"/>
      <c r="I74" s="64"/>
      <c r="J74" s="64"/>
      <c r="K74" s="64"/>
      <c r="L74" s="64"/>
      <c r="M74" s="64"/>
      <c r="N74" s="64"/>
      <c r="O74" s="61"/>
      <c r="P74" s="61"/>
      <c r="Q74" s="6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>
      <c r="A75" s="59"/>
      <c r="B75" s="63"/>
      <c r="C75" s="63"/>
      <c r="D75" s="63"/>
      <c r="E75" s="63"/>
      <c r="F75" s="63"/>
      <c r="G75" s="63"/>
      <c r="H75" s="63"/>
      <c r="I75" s="64"/>
      <c r="J75" s="64"/>
      <c r="K75" s="64"/>
      <c r="L75" s="64"/>
      <c r="M75" s="64"/>
      <c r="N75" s="64"/>
      <c r="O75" s="61"/>
      <c r="P75" s="61"/>
      <c r="Q75" s="6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>
      <c r="A76" s="59"/>
      <c r="B76" s="63"/>
      <c r="C76" s="63"/>
      <c r="D76" s="63"/>
      <c r="E76" s="63"/>
      <c r="F76" s="63"/>
      <c r="G76" s="63"/>
      <c r="H76" s="63"/>
      <c r="I76" s="64"/>
      <c r="J76" s="64"/>
      <c r="K76" s="64"/>
      <c r="L76" s="64"/>
      <c r="M76" s="64"/>
      <c r="N76" s="64"/>
      <c r="O76" s="61"/>
      <c r="P76" s="61"/>
      <c r="Q76" s="6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>
      <c r="A77" s="59"/>
      <c r="B77" s="63"/>
      <c r="C77" s="63"/>
      <c r="D77" s="63"/>
      <c r="E77" s="63"/>
      <c r="F77" s="63"/>
      <c r="G77" s="63"/>
      <c r="H77" s="63"/>
      <c r="I77" s="64"/>
      <c r="J77" s="64"/>
      <c r="K77" s="64"/>
      <c r="L77" s="64"/>
      <c r="M77" s="64"/>
      <c r="N77" s="64"/>
      <c r="O77" s="61"/>
      <c r="P77" s="61"/>
      <c r="Q77" s="6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>
      <c r="A78" s="59"/>
      <c r="B78" s="63"/>
      <c r="C78" s="63"/>
      <c r="D78" s="63"/>
      <c r="E78" s="63"/>
      <c r="F78" s="63"/>
      <c r="G78" s="63"/>
      <c r="H78" s="63"/>
      <c r="I78" s="64"/>
      <c r="J78" s="64"/>
      <c r="K78" s="64"/>
      <c r="L78" s="64"/>
      <c r="M78" s="64"/>
      <c r="N78" s="64"/>
      <c r="O78" s="61"/>
      <c r="P78" s="61"/>
      <c r="Q78" s="6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>
      <c r="A79" s="62"/>
      <c r="B79" s="65"/>
      <c r="C79" s="66"/>
      <c r="D79" s="66"/>
      <c r="E79" s="66"/>
      <c r="F79" s="66"/>
      <c r="G79" s="66"/>
      <c r="H79" s="65"/>
      <c r="I79" s="64"/>
      <c r="J79" s="64"/>
      <c r="K79" s="64"/>
      <c r="L79" s="64"/>
      <c r="M79" s="64"/>
      <c r="N79" s="64"/>
      <c r="O79" s="61"/>
      <c r="P79" s="61"/>
      <c r="Q79" s="61"/>
      <c r="R79" s="51"/>
      <c r="S79" s="51"/>
      <c r="T79" s="51"/>
      <c r="U79" s="51"/>
      <c r="V79" s="51"/>
      <c r="W79" s="51"/>
      <c r="X79" s="51"/>
      <c r="Y79" s="51"/>
      <c r="Z79" s="51"/>
    </row>
    <row r="80" spans="1:26" s="71" customFormat="1" ht="15.75">
      <c r="A80" s="67"/>
      <c r="B80" s="68"/>
      <c r="C80" s="68"/>
      <c r="D80" s="68"/>
      <c r="E80" s="68"/>
      <c r="F80" s="68"/>
      <c r="G80" s="68"/>
      <c r="H80" s="68"/>
      <c r="I80" s="64"/>
      <c r="J80" s="64"/>
      <c r="K80" s="64"/>
      <c r="L80" s="64"/>
      <c r="M80" s="64"/>
      <c r="N80" s="64"/>
      <c r="O80" s="69"/>
      <c r="P80" s="69"/>
      <c r="Q80" s="69"/>
      <c r="R80" s="70"/>
      <c r="S80" s="70"/>
      <c r="T80" s="70"/>
      <c r="U80" s="70"/>
      <c r="V80" s="70"/>
      <c r="W80" s="70"/>
      <c r="X80" s="70"/>
      <c r="Y80" s="70"/>
      <c r="Z80" s="70"/>
    </row>
    <row r="81" spans="1:26" s="71" customFormat="1" ht="15.75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72"/>
      <c r="N81" s="73"/>
      <c r="O81" s="69"/>
      <c r="P81" s="69"/>
      <c r="Q81" s="69"/>
      <c r="R81" s="70"/>
      <c r="S81" s="70"/>
      <c r="T81" s="70"/>
      <c r="U81" s="70"/>
      <c r="V81" s="70"/>
      <c r="W81" s="70"/>
      <c r="X81" s="70"/>
      <c r="Y81" s="70"/>
      <c r="Z81" s="70"/>
    </row>
    <row r="82" spans="1:26" s="71" customFormat="1" ht="15.75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72"/>
      <c r="N82" s="73"/>
      <c r="O82" s="69"/>
      <c r="P82" s="69"/>
      <c r="Q82" s="69"/>
      <c r="R82" s="70"/>
      <c r="S82" s="70"/>
      <c r="T82" s="70"/>
      <c r="U82" s="70"/>
      <c r="V82" s="70"/>
      <c r="W82" s="70"/>
      <c r="X82" s="70"/>
      <c r="Y82" s="70"/>
      <c r="Z82" s="70"/>
    </row>
    <row r="83" spans="1:26" s="71" customFormat="1" ht="15.75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72"/>
      <c r="N83" s="73"/>
      <c r="O83" s="69"/>
      <c r="P83" s="69"/>
      <c r="Q83" s="69"/>
      <c r="R83" s="70"/>
      <c r="S83" s="70"/>
      <c r="T83" s="70"/>
      <c r="U83" s="70"/>
      <c r="V83" s="70"/>
      <c r="W83" s="70"/>
      <c r="X83" s="70"/>
      <c r="Y83" s="70"/>
      <c r="Z83" s="70"/>
    </row>
    <row r="84" spans="1:26" s="71" customFormat="1" ht="15.75">
      <c r="A84" s="67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74"/>
      <c r="M84" s="72"/>
      <c r="N84" s="75"/>
      <c r="O84" s="69"/>
      <c r="P84" s="69"/>
      <c r="Q84" s="69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15.7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8"/>
      <c r="N85" s="79"/>
      <c r="O85" s="55"/>
      <c r="P85" s="55"/>
      <c r="Q85" s="55"/>
      <c r="R85" s="51"/>
      <c r="S85" s="51"/>
      <c r="T85" s="51"/>
      <c r="U85" s="51"/>
      <c r="V85" s="51"/>
      <c r="W85" s="51"/>
      <c r="X85" s="51"/>
      <c r="Y85" s="51"/>
      <c r="Z85" s="51"/>
    </row>
    <row r="86" spans="1:26">
      <c r="A86" s="80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51"/>
      <c r="S86" s="51"/>
      <c r="T86" s="51"/>
      <c r="U86" s="51"/>
      <c r="V86" s="51"/>
      <c r="W86" s="51"/>
      <c r="X86" s="51"/>
      <c r="Y86" s="51"/>
      <c r="Z86" s="51"/>
    </row>
    <row r="87" spans="1:26">
      <c r="A87" s="80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51"/>
      <c r="S87" s="51"/>
      <c r="T87" s="51"/>
      <c r="U87" s="51"/>
      <c r="V87" s="51"/>
      <c r="W87" s="51"/>
      <c r="X87" s="51"/>
      <c r="Y87" s="51"/>
      <c r="Z87" s="51"/>
    </row>
    <row r="88" spans="1:26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51"/>
      <c r="S88" s="51"/>
      <c r="T88" s="51"/>
      <c r="U88" s="51"/>
      <c r="V88" s="51"/>
      <c r="W88" s="51"/>
      <c r="X88" s="51"/>
      <c r="Y88" s="51"/>
      <c r="Z88" s="51"/>
    </row>
    <row r="89" spans="1:26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</sheetData>
  <sheetProtection password="C407" sheet="1" objects="1" scenarios="1" formatCells="0" formatColumns="0" formatRows="0"/>
  <mergeCells count="149"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B4:M4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43:M43"/>
    <mergeCell ref="B44:M44"/>
    <mergeCell ref="B48:M48"/>
    <mergeCell ref="B36:O36"/>
    <mergeCell ref="B33:M33"/>
    <mergeCell ref="A36:A45"/>
    <mergeCell ref="F54:H54"/>
    <mergeCell ref="J54:L54"/>
    <mergeCell ref="B58:M58"/>
    <mergeCell ref="H31:K31"/>
    <mergeCell ref="C31:E31"/>
    <mergeCell ref="X49:Z49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B1:M142"/>
  <sheetViews>
    <sheetView showGridLines="0" showRowColHeaders="0" view="pageBreakPreview" zoomScale="120" zoomScaleSheetLayoutView="120" workbookViewId="0">
      <selection activeCell="N20" sqref="N20"/>
    </sheetView>
  </sheetViews>
  <sheetFormatPr defaultRowHeight="15"/>
  <cols>
    <col min="1" max="1" width="9" style="14"/>
    <col min="2" max="2" width="8.5" style="14" customWidth="1"/>
    <col min="3" max="3" width="8" style="14" customWidth="1"/>
    <col min="4" max="4" width="5.5" style="14" customWidth="1"/>
    <col min="5" max="5" width="11.5" style="14" customWidth="1"/>
    <col min="6" max="6" width="17.375" style="14" customWidth="1"/>
    <col min="7" max="7" width="7" style="14" customWidth="1"/>
    <col min="8" max="8" width="6.625" style="14" customWidth="1"/>
    <col min="9" max="9" width="7.875" style="14" customWidth="1"/>
    <col min="10" max="10" width="6.625" style="14" customWidth="1"/>
    <col min="11" max="11" width="8.375" style="14" customWidth="1"/>
    <col min="12" max="12" width="6.75" style="14" customWidth="1"/>
    <col min="13" max="16384" width="9" style="14"/>
  </cols>
  <sheetData>
    <row r="1" spans="2:12" ht="13.5" customHeight="1">
      <c r="B1" s="642" t="s">
        <v>227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2:12" ht="11.25" customHeight="1">
      <c r="B2" s="643" t="s">
        <v>228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</row>
    <row r="3" spans="2:12" ht="11.25" customHeight="1">
      <c r="B3" s="644" t="s">
        <v>229</v>
      </c>
      <c r="C3" s="644"/>
      <c r="D3" s="644"/>
      <c r="E3" s="644"/>
      <c r="F3" s="644"/>
      <c r="G3" s="644"/>
      <c r="H3" s="644"/>
      <c r="I3" s="644"/>
      <c r="J3" s="644"/>
      <c r="K3" s="644"/>
      <c r="L3" s="644"/>
    </row>
    <row r="4" spans="2:12" ht="18" customHeight="1" thickBot="1">
      <c r="B4" s="644" t="s">
        <v>230</v>
      </c>
      <c r="C4" s="644"/>
      <c r="D4" s="644"/>
      <c r="E4" s="644"/>
      <c r="F4" s="644"/>
      <c r="G4" s="644"/>
      <c r="H4" s="644"/>
      <c r="I4" s="644"/>
      <c r="J4" s="644"/>
      <c r="K4" s="644"/>
      <c r="L4" s="644"/>
    </row>
    <row r="5" spans="2:12" ht="16.5" thickTop="1" thickBot="1">
      <c r="B5" s="645" t="s">
        <v>231</v>
      </c>
      <c r="C5" s="645"/>
      <c r="D5" s="645"/>
      <c r="E5" s="645"/>
      <c r="F5" s="645"/>
      <c r="G5" s="645" t="s">
        <v>232</v>
      </c>
      <c r="H5" s="645"/>
      <c r="I5" s="645"/>
      <c r="J5" s="645"/>
      <c r="K5" s="645"/>
      <c r="L5" s="645"/>
    </row>
    <row r="6" spans="2:12" ht="14.25" customHeight="1" thickTop="1" thickBot="1">
      <c r="B6" s="658" t="str">
        <f>IF('Master Data'!H8="","",UPPER('Master Data'!H8))</f>
        <v>B.E.O.PICHHOR</v>
      </c>
      <c r="C6" s="659"/>
      <c r="D6" s="659"/>
      <c r="E6" s="659"/>
      <c r="F6" s="660"/>
      <c r="G6" s="631" t="str">
        <f>IF('Master Data'!D6="","",UPPER('Master Data'!D6))</f>
        <v>HEERALAL JAT</v>
      </c>
      <c r="H6" s="631"/>
      <c r="I6" s="631"/>
      <c r="J6" s="631"/>
      <c r="K6" s="631"/>
      <c r="L6" s="631"/>
    </row>
    <row r="7" spans="2:12" ht="14.25" customHeight="1" thickTop="1" thickBot="1">
      <c r="B7" s="628"/>
      <c r="C7" s="629"/>
      <c r="D7" s="629"/>
      <c r="E7" s="629"/>
      <c r="F7" s="630"/>
      <c r="G7" s="631" t="str">
        <f>IF('Master Data'!D8="","",UPPER('Master Data'!D8))</f>
        <v xml:space="preserve">GHS HARIJAN BASTI PICHHORE </v>
      </c>
      <c r="H7" s="631"/>
      <c r="I7" s="631"/>
      <c r="J7" s="631"/>
      <c r="K7" s="631"/>
      <c r="L7" s="631"/>
    </row>
    <row r="8" spans="2:12" ht="14.25" customHeight="1" thickTop="1" thickBot="1">
      <c r="B8" s="632" t="s">
        <v>233</v>
      </c>
      <c r="C8" s="632"/>
      <c r="D8" s="632"/>
      <c r="E8" s="632" t="s">
        <v>234</v>
      </c>
      <c r="F8" s="632"/>
      <c r="G8" s="632" t="s">
        <v>235</v>
      </c>
      <c r="H8" s="632"/>
      <c r="I8" s="632"/>
      <c r="J8" s="632" t="s">
        <v>236</v>
      </c>
      <c r="K8" s="632"/>
      <c r="L8" s="632"/>
    </row>
    <row r="9" spans="2:12" ht="13.5" customHeight="1" thickTop="1" thickBot="1">
      <c r="B9" s="655"/>
      <c r="C9" s="656"/>
      <c r="D9" s="656"/>
      <c r="E9" s="623">
        <f>'Master Data'!H12</f>
        <v>0</v>
      </c>
      <c r="F9" s="623"/>
      <c r="G9" s="623" t="str">
        <f>UPPER('Master Data'!D12)</f>
        <v>ABCDE1234H</v>
      </c>
      <c r="H9" s="623"/>
      <c r="I9" s="623"/>
      <c r="J9" s="623" t="str">
        <f>UPPER('Master Data'!D10)</f>
        <v>390263384</v>
      </c>
      <c r="K9" s="623"/>
      <c r="L9" s="623"/>
    </row>
    <row r="10" spans="2:12" ht="13.5" customHeight="1" thickTop="1" thickBot="1">
      <c r="B10" s="657" t="s">
        <v>237</v>
      </c>
      <c r="C10" s="657"/>
      <c r="D10" s="657"/>
      <c r="E10" s="657"/>
      <c r="F10" s="657"/>
      <c r="G10" s="623" t="s">
        <v>238</v>
      </c>
      <c r="H10" s="623"/>
      <c r="I10" s="623" t="s">
        <v>239</v>
      </c>
      <c r="J10" s="623"/>
      <c r="K10" s="623"/>
      <c r="L10" s="623"/>
    </row>
    <row r="11" spans="2:12" ht="14.25" customHeight="1" thickTop="1" thickBot="1">
      <c r="B11" s="178" t="s">
        <v>240</v>
      </c>
      <c r="C11" s="625" t="s">
        <v>354</v>
      </c>
      <c r="D11" s="625"/>
      <c r="E11" s="625"/>
      <c r="F11" s="625"/>
      <c r="G11" s="626" t="s">
        <v>241</v>
      </c>
      <c r="H11" s="626"/>
      <c r="I11" s="523" t="s">
        <v>242</v>
      </c>
      <c r="J11" s="523"/>
      <c r="K11" s="623" t="s">
        <v>243</v>
      </c>
      <c r="L11" s="623"/>
    </row>
    <row r="12" spans="2:12" ht="14.25" customHeight="1" thickTop="1" thickBot="1">
      <c r="B12" s="178" t="s">
        <v>244</v>
      </c>
      <c r="C12" s="625" t="s">
        <v>355</v>
      </c>
      <c r="D12" s="625"/>
      <c r="E12" s="178" t="s">
        <v>245</v>
      </c>
      <c r="F12" s="175">
        <v>306401</v>
      </c>
      <c r="G12" s="626"/>
      <c r="H12" s="626"/>
      <c r="I12" s="627" t="s">
        <v>246</v>
      </c>
      <c r="J12" s="627"/>
      <c r="K12" s="627" t="s">
        <v>247</v>
      </c>
      <c r="L12" s="627"/>
    </row>
    <row r="13" spans="2:12" ht="17.25" customHeight="1" thickTop="1" thickBot="1">
      <c r="B13" s="633" t="s">
        <v>248</v>
      </c>
      <c r="C13" s="633"/>
      <c r="D13" s="633"/>
      <c r="E13" s="633"/>
      <c r="F13" s="633"/>
      <c r="G13" s="633"/>
      <c r="H13" s="633"/>
      <c r="I13" s="633"/>
      <c r="J13" s="633"/>
      <c r="K13" s="633"/>
      <c r="L13" s="633"/>
    </row>
    <row r="14" spans="2:12" ht="25.5" customHeight="1" thickTop="1" thickBot="1">
      <c r="B14" s="179" t="s">
        <v>249</v>
      </c>
      <c r="C14" s="634" t="s">
        <v>250</v>
      </c>
      <c r="D14" s="634"/>
      <c r="E14" s="634"/>
      <c r="F14" s="179" t="s">
        <v>251</v>
      </c>
      <c r="G14" s="523" t="s">
        <v>252</v>
      </c>
      <c r="H14" s="523"/>
      <c r="I14" s="523"/>
      <c r="J14" s="632" t="s">
        <v>253</v>
      </c>
      <c r="K14" s="632"/>
      <c r="L14" s="632"/>
    </row>
    <row r="15" spans="2:12" ht="16.5" customHeight="1" thickTop="1" thickBot="1">
      <c r="B15" s="180" t="s">
        <v>357</v>
      </c>
      <c r="C15" s="620"/>
      <c r="D15" s="620"/>
      <c r="E15" s="620"/>
      <c r="F15" s="177"/>
      <c r="G15" s="621">
        <f>SUM('GA55 '!T6:T8)</f>
        <v>624</v>
      </c>
      <c r="H15" s="621"/>
      <c r="I15" s="621"/>
      <c r="J15" s="622">
        <f>G15</f>
        <v>624</v>
      </c>
      <c r="K15" s="622"/>
      <c r="L15" s="622"/>
    </row>
    <row r="16" spans="2:12" ht="20.25" customHeight="1" thickTop="1" thickBot="1">
      <c r="B16" s="180" t="s">
        <v>356</v>
      </c>
      <c r="C16" s="620"/>
      <c r="D16" s="620"/>
      <c r="E16" s="620"/>
      <c r="F16" s="177"/>
      <c r="G16" s="621">
        <f>SUM('GA55 '!T9:T11)</f>
        <v>624</v>
      </c>
      <c r="H16" s="621"/>
      <c r="I16" s="621"/>
      <c r="J16" s="622">
        <f>G16</f>
        <v>624</v>
      </c>
      <c r="K16" s="622"/>
      <c r="L16" s="622"/>
    </row>
    <row r="17" spans="2:12" ht="15.75" customHeight="1" thickTop="1" thickBot="1">
      <c r="B17" s="181" t="s">
        <v>358</v>
      </c>
      <c r="C17" s="620"/>
      <c r="D17" s="620"/>
      <c r="E17" s="620"/>
      <c r="F17" s="177"/>
      <c r="G17" s="621">
        <f>SUM('GA55 '!T12:T14)</f>
        <v>624</v>
      </c>
      <c r="H17" s="621"/>
      <c r="I17" s="621"/>
      <c r="J17" s="622">
        <f>G17</f>
        <v>624</v>
      </c>
      <c r="K17" s="622"/>
      <c r="L17" s="622"/>
    </row>
    <row r="18" spans="2:12" ht="15" customHeight="1" thickTop="1" thickBot="1">
      <c r="B18" s="181" t="s">
        <v>359</v>
      </c>
      <c r="C18" s="620"/>
      <c r="D18" s="620"/>
      <c r="E18" s="620"/>
      <c r="F18" s="177"/>
      <c r="G18" s="621">
        <f>SUM('GA55 '!T15:T26)</f>
        <v>624</v>
      </c>
      <c r="H18" s="621"/>
      <c r="I18" s="621"/>
      <c r="J18" s="622">
        <f>G18</f>
        <v>624</v>
      </c>
      <c r="K18" s="622"/>
      <c r="L18" s="622"/>
    </row>
    <row r="19" spans="2:12" ht="16.5" thickTop="1" thickBot="1">
      <c r="B19" s="623" t="s">
        <v>254</v>
      </c>
      <c r="C19" s="623"/>
      <c r="D19" s="623"/>
      <c r="E19" s="623"/>
      <c r="F19" s="182">
        <f>SUM(F15:F18)</f>
        <v>0</v>
      </c>
      <c r="G19" s="624">
        <f>SUM(G15:G18)</f>
        <v>2496</v>
      </c>
      <c r="H19" s="624"/>
      <c r="I19" s="624"/>
      <c r="J19" s="624">
        <f>SUM(J15:J18)</f>
        <v>2496</v>
      </c>
      <c r="K19" s="624"/>
      <c r="L19" s="624"/>
    </row>
    <row r="20" spans="2:12" ht="15.75" thickTop="1">
      <c r="B20" s="612" t="s">
        <v>255</v>
      </c>
      <c r="C20" s="613"/>
      <c r="D20" s="613"/>
      <c r="E20" s="613"/>
      <c r="F20" s="613"/>
      <c r="G20" s="613"/>
      <c r="H20" s="613"/>
      <c r="I20" s="613"/>
      <c r="J20" s="613"/>
      <c r="K20" s="613"/>
      <c r="L20" s="614"/>
    </row>
    <row r="21" spans="2:12" ht="15.75" thickBot="1">
      <c r="B21" s="615" t="s">
        <v>256</v>
      </c>
      <c r="C21" s="616"/>
      <c r="D21" s="616"/>
      <c r="E21" s="616"/>
      <c r="F21" s="616"/>
      <c r="G21" s="616"/>
      <c r="H21" s="616"/>
      <c r="I21" s="616"/>
      <c r="J21" s="616"/>
      <c r="K21" s="616"/>
      <c r="L21" s="617"/>
    </row>
    <row r="22" spans="2:12" ht="16.5" thickTop="1" thickBot="1">
      <c r="B22" s="618" t="s">
        <v>42</v>
      </c>
      <c r="C22" s="619" t="s">
        <v>257</v>
      </c>
      <c r="D22" s="619"/>
      <c r="E22" s="619" t="s">
        <v>258</v>
      </c>
      <c r="F22" s="619"/>
      <c r="G22" s="619"/>
      <c r="H22" s="619"/>
      <c r="I22" s="619"/>
      <c r="J22" s="619"/>
      <c r="K22" s="619"/>
      <c r="L22" s="619"/>
    </row>
    <row r="23" spans="2:12" ht="38.25" customHeight="1" thickTop="1" thickBot="1">
      <c r="B23" s="618"/>
      <c r="C23" s="619"/>
      <c r="D23" s="619"/>
      <c r="E23" s="183" t="s">
        <v>259</v>
      </c>
      <c r="F23" s="183" t="s">
        <v>260</v>
      </c>
      <c r="G23" s="619" t="s">
        <v>261</v>
      </c>
      <c r="H23" s="619"/>
      <c r="I23" s="619"/>
      <c r="J23" s="619" t="s">
        <v>262</v>
      </c>
      <c r="K23" s="619"/>
      <c r="L23" s="619"/>
    </row>
    <row r="24" spans="2:12" ht="13.5" customHeight="1" thickTop="1" thickBot="1">
      <c r="B24" s="184">
        <v>1</v>
      </c>
      <c r="C24" s="608">
        <f>'GA55 '!X6</f>
        <v>0</v>
      </c>
      <c r="D24" s="608"/>
      <c r="E24" s="176"/>
      <c r="F24" s="176"/>
      <c r="G24" s="609"/>
      <c r="H24" s="609"/>
      <c r="I24" s="609"/>
      <c r="J24" s="610" t="str">
        <f>IF(E24&gt;"0","Yes","-")</f>
        <v>-</v>
      </c>
      <c r="K24" s="610"/>
      <c r="L24" s="610"/>
    </row>
    <row r="25" spans="2:12" ht="13.5" customHeight="1" thickTop="1" thickBot="1">
      <c r="B25" s="184">
        <v>2</v>
      </c>
      <c r="C25" s="608">
        <f>'GA55 '!X7</f>
        <v>0</v>
      </c>
      <c r="D25" s="608"/>
      <c r="E25" s="176"/>
      <c r="F25" s="176"/>
      <c r="G25" s="609"/>
      <c r="H25" s="609"/>
      <c r="I25" s="609"/>
      <c r="J25" s="610" t="str">
        <f t="shared" ref="J25:J37" si="0">IF(E25&gt;"0","Yes","-")</f>
        <v>-</v>
      </c>
      <c r="K25" s="610"/>
      <c r="L25" s="610"/>
    </row>
    <row r="26" spans="2:12" ht="13.5" customHeight="1" thickTop="1" thickBot="1">
      <c r="B26" s="184">
        <v>3</v>
      </c>
      <c r="C26" s="608">
        <f>'GA55 '!X8</f>
        <v>0</v>
      </c>
      <c r="D26" s="608"/>
      <c r="E26" s="176"/>
      <c r="F26" s="176"/>
      <c r="G26" s="609"/>
      <c r="H26" s="609"/>
      <c r="I26" s="609"/>
      <c r="J26" s="610" t="str">
        <f t="shared" si="0"/>
        <v>-</v>
      </c>
      <c r="K26" s="610"/>
      <c r="L26" s="610"/>
    </row>
    <row r="27" spans="2:12" ht="13.5" customHeight="1" thickTop="1" thickBot="1">
      <c r="B27" s="184">
        <v>4</v>
      </c>
      <c r="C27" s="608">
        <f>'GA55 '!X9</f>
        <v>0</v>
      </c>
      <c r="D27" s="608"/>
      <c r="E27" s="176"/>
      <c r="F27" s="176"/>
      <c r="G27" s="609"/>
      <c r="H27" s="609"/>
      <c r="I27" s="609"/>
      <c r="J27" s="610" t="str">
        <f t="shared" si="0"/>
        <v>-</v>
      </c>
      <c r="K27" s="610"/>
      <c r="L27" s="610"/>
    </row>
    <row r="28" spans="2:12" ht="13.5" customHeight="1" thickTop="1" thickBot="1">
      <c r="B28" s="184">
        <v>5</v>
      </c>
      <c r="C28" s="608">
        <f>'GA55 '!X10</f>
        <v>0</v>
      </c>
      <c r="D28" s="608"/>
      <c r="E28" s="176"/>
      <c r="F28" s="176"/>
      <c r="G28" s="609"/>
      <c r="H28" s="609"/>
      <c r="I28" s="609"/>
      <c r="J28" s="610" t="str">
        <f t="shared" si="0"/>
        <v>-</v>
      </c>
      <c r="K28" s="610"/>
      <c r="L28" s="610"/>
    </row>
    <row r="29" spans="2:12" ht="13.5" customHeight="1" thickTop="1" thickBot="1">
      <c r="B29" s="184">
        <v>6</v>
      </c>
      <c r="C29" s="608">
        <f>'GA55 '!X11</f>
        <v>0</v>
      </c>
      <c r="D29" s="608"/>
      <c r="E29" s="176"/>
      <c r="F29" s="176"/>
      <c r="G29" s="609"/>
      <c r="H29" s="609"/>
      <c r="I29" s="609"/>
      <c r="J29" s="610" t="str">
        <f t="shared" si="0"/>
        <v>-</v>
      </c>
      <c r="K29" s="610"/>
      <c r="L29" s="610"/>
    </row>
    <row r="30" spans="2:12" ht="13.5" customHeight="1" thickTop="1" thickBot="1">
      <c r="B30" s="184">
        <v>7</v>
      </c>
      <c r="C30" s="608">
        <f>'GA55 '!X12</f>
        <v>0</v>
      </c>
      <c r="D30" s="608"/>
      <c r="E30" s="176"/>
      <c r="F30" s="176"/>
      <c r="G30" s="609"/>
      <c r="H30" s="609"/>
      <c r="I30" s="609"/>
      <c r="J30" s="610" t="str">
        <f t="shared" si="0"/>
        <v>-</v>
      </c>
      <c r="K30" s="610"/>
      <c r="L30" s="610"/>
    </row>
    <row r="31" spans="2:12" ht="13.5" customHeight="1" thickTop="1" thickBot="1">
      <c r="B31" s="184">
        <v>8</v>
      </c>
      <c r="C31" s="608">
        <f>'GA55 '!X13</f>
        <v>0</v>
      </c>
      <c r="D31" s="608"/>
      <c r="E31" s="176"/>
      <c r="F31" s="176"/>
      <c r="G31" s="609"/>
      <c r="H31" s="609"/>
      <c r="I31" s="609"/>
      <c r="J31" s="610" t="str">
        <f t="shared" si="0"/>
        <v>-</v>
      </c>
      <c r="K31" s="610"/>
      <c r="L31" s="610"/>
    </row>
    <row r="32" spans="2:12" ht="13.5" customHeight="1" thickTop="1" thickBot="1">
      <c r="B32" s="184">
        <v>9</v>
      </c>
      <c r="C32" s="608">
        <f>'GA55 '!X14</f>
        <v>0</v>
      </c>
      <c r="D32" s="608"/>
      <c r="E32" s="176"/>
      <c r="F32" s="176"/>
      <c r="G32" s="609"/>
      <c r="H32" s="609"/>
      <c r="I32" s="609"/>
      <c r="J32" s="610" t="str">
        <f t="shared" si="0"/>
        <v>-</v>
      </c>
      <c r="K32" s="610"/>
      <c r="L32" s="610"/>
    </row>
    <row r="33" spans="2:12" ht="13.5" customHeight="1" thickTop="1" thickBot="1">
      <c r="B33" s="184">
        <v>10</v>
      </c>
      <c r="C33" s="608">
        <f>'GA55 '!X15</f>
        <v>0</v>
      </c>
      <c r="D33" s="608"/>
      <c r="E33" s="176"/>
      <c r="F33" s="176"/>
      <c r="G33" s="609"/>
      <c r="H33" s="609"/>
      <c r="I33" s="609"/>
      <c r="J33" s="610" t="str">
        <f t="shared" si="0"/>
        <v>-</v>
      </c>
      <c r="K33" s="610"/>
      <c r="L33" s="610"/>
    </row>
    <row r="34" spans="2:12" ht="13.5" customHeight="1" thickTop="1" thickBot="1">
      <c r="B34" s="184">
        <v>11</v>
      </c>
      <c r="C34" s="608">
        <f>'GA55 '!X16</f>
        <v>0</v>
      </c>
      <c r="D34" s="608"/>
      <c r="E34" s="176"/>
      <c r="F34" s="176"/>
      <c r="G34" s="609"/>
      <c r="H34" s="609"/>
      <c r="I34" s="609"/>
      <c r="J34" s="610" t="str">
        <f t="shared" si="0"/>
        <v>-</v>
      </c>
      <c r="K34" s="610"/>
      <c r="L34" s="610"/>
    </row>
    <row r="35" spans="2:12" ht="13.5" customHeight="1" thickTop="1" thickBot="1">
      <c r="B35" s="184">
        <v>12</v>
      </c>
      <c r="C35" s="608">
        <f>'GA55 '!X17</f>
        <v>0</v>
      </c>
      <c r="D35" s="608"/>
      <c r="E35" s="176"/>
      <c r="F35" s="176"/>
      <c r="G35" s="609"/>
      <c r="H35" s="609"/>
      <c r="I35" s="609"/>
      <c r="J35" s="610" t="str">
        <f t="shared" si="0"/>
        <v>-</v>
      </c>
      <c r="K35" s="610"/>
      <c r="L35" s="610"/>
    </row>
    <row r="36" spans="2:12" ht="13.5" customHeight="1" thickTop="1" thickBot="1">
      <c r="B36" s="184">
        <v>13</v>
      </c>
      <c r="C36" s="608">
        <f>SUM(C24:D34)-'GA55 '!X27</f>
        <v>0</v>
      </c>
      <c r="D36" s="608"/>
      <c r="E36" s="176"/>
      <c r="F36" s="176"/>
      <c r="G36" s="609"/>
      <c r="H36" s="609"/>
      <c r="I36" s="609"/>
      <c r="J36" s="610" t="str">
        <f t="shared" si="0"/>
        <v>-</v>
      </c>
      <c r="K36" s="610"/>
      <c r="L36" s="610"/>
    </row>
    <row r="37" spans="2:12" ht="13.5" hidden="1" customHeight="1">
      <c r="B37" s="184">
        <v>14</v>
      </c>
      <c r="C37" s="608">
        <f>'[2]G.A. 55'!T24+'[2]G.A. 55'!T26</f>
        <v>0</v>
      </c>
      <c r="D37" s="608"/>
      <c r="E37" s="185"/>
      <c r="F37" s="185"/>
      <c r="G37" s="611"/>
      <c r="H37" s="611"/>
      <c r="I37" s="611"/>
      <c r="J37" s="610" t="str">
        <f t="shared" si="0"/>
        <v>-</v>
      </c>
      <c r="K37" s="610"/>
      <c r="L37" s="610"/>
    </row>
    <row r="38" spans="2:12" ht="14.25" customHeight="1" thickTop="1" thickBot="1">
      <c r="B38" s="186" t="s">
        <v>263</v>
      </c>
      <c r="C38" s="603">
        <f>SUM(C24:D37)</f>
        <v>0</v>
      </c>
      <c r="D38" s="603"/>
      <c r="E38" s="604"/>
      <c r="F38" s="604"/>
      <c r="G38" s="604"/>
      <c r="H38" s="604"/>
      <c r="I38" s="604"/>
      <c r="J38" s="604"/>
      <c r="K38" s="604"/>
      <c r="L38" s="604"/>
    </row>
    <row r="39" spans="2:12" ht="12.75" customHeight="1" thickTop="1" thickBot="1">
      <c r="B39" s="605" t="s">
        <v>264</v>
      </c>
      <c r="C39" s="605"/>
      <c r="D39" s="605"/>
      <c r="E39" s="605"/>
      <c r="F39" s="605"/>
      <c r="G39" s="605"/>
      <c r="H39" s="605"/>
      <c r="I39" s="605"/>
      <c r="J39" s="605"/>
      <c r="K39" s="605"/>
      <c r="L39" s="605"/>
    </row>
    <row r="40" spans="2:12" ht="12.75" customHeight="1" thickTop="1" thickBot="1">
      <c r="B40" s="606" t="s">
        <v>265</v>
      </c>
      <c r="C40" s="606"/>
      <c r="D40" s="606"/>
      <c r="E40" s="606"/>
      <c r="F40" s="606"/>
      <c r="G40" s="606"/>
      <c r="H40" s="606"/>
      <c r="I40" s="606"/>
      <c r="J40" s="606"/>
      <c r="K40" s="606"/>
      <c r="L40" s="606"/>
    </row>
    <row r="41" spans="2:12" ht="12.75" customHeight="1" thickTop="1" thickBot="1">
      <c r="B41" s="602" t="s">
        <v>42</v>
      </c>
      <c r="C41" s="607" t="s">
        <v>266</v>
      </c>
      <c r="D41" s="607"/>
      <c r="E41" s="602" t="s">
        <v>267</v>
      </c>
      <c r="F41" s="602"/>
      <c r="G41" s="602"/>
      <c r="H41" s="602"/>
      <c r="I41" s="602"/>
      <c r="J41" s="602"/>
      <c r="K41" s="602"/>
      <c r="L41" s="602"/>
    </row>
    <row r="42" spans="2:12" ht="35.450000000000003" customHeight="1" thickTop="1" thickBot="1">
      <c r="B42" s="602"/>
      <c r="C42" s="607"/>
      <c r="D42" s="607"/>
      <c r="E42" s="602" t="s">
        <v>268</v>
      </c>
      <c r="F42" s="602"/>
      <c r="G42" s="602" t="s">
        <v>269</v>
      </c>
      <c r="H42" s="602"/>
      <c r="I42" s="602" t="s">
        <v>270</v>
      </c>
      <c r="J42" s="602"/>
      <c r="K42" s="602" t="s">
        <v>271</v>
      </c>
      <c r="L42" s="602"/>
    </row>
    <row r="43" spans="2:12" ht="13.5" customHeight="1" thickTop="1" thickBot="1">
      <c r="B43" s="187">
        <v>1</v>
      </c>
      <c r="C43" s="598"/>
      <c r="D43" s="598"/>
      <c r="E43" s="599"/>
      <c r="F43" s="599"/>
      <c r="G43" s="600"/>
      <c r="H43" s="600"/>
      <c r="I43" s="601"/>
      <c r="J43" s="601"/>
      <c r="K43" s="595" t="str">
        <f>IF(C43&gt;"0","Yes","-")</f>
        <v>-</v>
      </c>
      <c r="L43" s="595"/>
    </row>
    <row r="44" spans="2:12" ht="13.5" customHeight="1" thickTop="1" thickBot="1">
      <c r="B44" s="187">
        <v>2</v>
      </c>
      <c r="C44" s="598"/>
      <c r="D44" s="598"/>
      <c r="E44" s="599"/>
      <c r="F44" s="599"/>
      <c r="G44" s="600"/>
      <c r="H44" s="600"/>
      <c r="I44" s="601"/>
      <c r="J44" s="601"/>
      <c r="K44" s="595" t="str">
        <f t="shared" ref="K44:K54" si="1">IF(C44&gt;"0","Yes","-")</f>
        <v>-</v>
      </c>
      <c r="L44" s="595"/>
    </row>
    <row r="45" spans="2:12" ht="13.5" customHeight="1" thickTop="1" thickBot="1">
      <c r="B45" s="187">
        <v>3</v>
      </c>
      <c r="C45" s="598"/>
      <c r="D45" s="598"/>
      <c r="E45" s="599"/>
      <c r="F45" s="599"/>
      <c r="G45" s="600"/>
      <c r="H45" s="600"/>
      <c r="I45" s="601"/>
      <c r="J45" s="601"/>
      <c r="K45" s="595" t="str">
        <f t="shared" si="1"/>
        <v>-</v>
      </c>
      <c r="L45" s="595"/>
    </row>
    <row r="46" spans="2:12" ht="13.5" customHeight="1" thickTop="1" thickBot="1">
      <c r="B46" s="187">
        <v>4</v>
      </c>
      <c r="C46" s="598"/>
      <c r="D46" s="598"/>
      <c r="E46" s="599"/>
      <c r="F46" s="599"/>
      <c r="G46" s="600"/>
      <c r="H46" s="600"/>
      <c r="I46" s="601"/>
      <c r="J46" s="601"/>
      <c r="K46" s="595" t="str">
        <f t="shared" si="1"/>
        <v>-</v>
      </c>
      <c r="L46" s="595"/>
    </row>
    <row r="47" spans="2:12" ht="13.5" customHeight="1" thickTop="1" thickBot="1">
      <c r="B47" s="187">
        <v>5</v>
      </c>
      <c r="C47" s="598"/>
      <c r="D47" s="598"/>
      <c r="E47" s="599"/>
      <c r="F47" s="599"/>
      <c r="G47" s="600"/>
      <c r="H47" s="600"/>
      <c r="I47" s="601"/>
      <c r="J47" s="601"/>
      <c r="K47" s="595" t="str">
        <f t="shared" si="1"/>
        <v>-</v>
      </c>
      <c r="L47" s="595"/>
    </row>
    <row r="48" spans="2:12" ht="13.5" customHeight="1" thickTop="1" thickBot="1">
      <c r="B48" s="187">
        <v>6</v>
      </c>
      <c r="C48" s="598"/>
      <c r="D48" s="598"/>
      <c r="E48" s="599"/>
      <c r="F48" s="599"/>
      <c r="G48" s="600"/>
      <c r="H48" s="600"/>
      <c r="I48" s="601"/>
      <c r="J48" s="601"/>
      <c r="K48" s="595" t="str">
        <f t="shared" si="1"/>
        <v>-</v>
      </c>
      <c r="L48" s="595"/>
    </row>
    <row r="49" spans="2:12" ht="13.5" customHeight="1" thickTop="1" thickBot="1">
      <c r="B49" s="187">
        <v>7</v>
      </c>
      <c r="C49" s="598"/>
      <c r="D49" s="598"/>
      <c r="E49" s="599"/>
      <c r="F49" s="599"/>
      <c r="G49" s="600"/>
      <c r="H49" s="600"/>
      <c r="I49" s="601"/>
      <c r="J49" s="601"/>
      <c r="K49" s="595" t="str">
        <f t="shared" si="1"/>
        <v>-</v>
      </c>
      <c r="L49" s="595"/>
    </row>
    <row r="50" spans="2:12" ht="13.5" customHeight="1" thickTop="1" thickBot="1">
      <c r="B50" s="187">
        <v>8</v>
      </c>
      <c r="C50" s="598"/>
      <c r="D50" s="598"/>
      <c r="E50" s="599"/>
      <c r="F50" s="599"/>
      <c r="G50" s="600"/>
      <c r="H50" s="600"/>
      <c r="I50" s="601"/>
      <c r="J50" s="601"/>
      <c r="K50" s="595" t="str">
        <f t="shared" si="1"/>
        <v>-</v>
      </c>
      <c r="L50" s="595"/>
    </row>
    <row r="51" spans="2:12" ht="13.5" customHeight="1" thickTop="1" thickBot="1">
      <c r="B51" s="187">
        <v>9</v>
      </c>
      <c r="C51" s="598"/>
      <c r="D51" s="598"/>
      <c r="E51" s="599"/>
      <c r="F51" s="599"/>
      <c r="G51" s="600"/>
      <c r="H51" s="600"/>
      <c r="I51" s="601"/>
      <c r="J51" s="601"/>
      <c r="K51" s="595" t="str">
        <f t="shared" si="1"/>
        <v>-</v>
      </c>
      <c r="L51" s="595"/>
    </row>
    <row r="52" spans="2:12" ht="13.5" customHeight="1" thickTop="1" thickBot="1">
      <c r="B52" s="187">
        <v>10</v>
      </c>
      <c r="C52" s="598"/>
      <c r="D52" s="598"/>
      <c r="E52" s="599"/>
      <c r="F52" s="599"/>
      <c r="G52" s="600"/>
      <c r="H52" s="600"/>
      <c r="I52" s="601"/>
      <c r="J52" s="601"/>
      <c r="K52" s="595" t="str">
        <f t="shared" si="1"/>
        <v>-</v>
      </c>
      <c r="L52" s="595"/>
    </row>
    <row r="53" spans="2:12" ht="13.5" customHeight="1" thickTop="1" thickBot="1">
      <c r="B53" s="187">
        <v>11</v>
      </c>
      <c r="C53" s="598"/>
      <c r="D53" s="598"/>
      <c r="E53" s="599"/>
      <c r="F53" s="599"/>
      <c r="G53" s="600"/>
      <c r="H53" s="600"/>
      <c r="I53" s="601"/>
      <c r="J53" s="601"/>
      <c r="K53" s="595" t="str">
        <f t="shared" si="1"/>
        <v>-</v>
      </c>
      <c r="L53" s="595"/>
    </row>
    <row r="54" spans="2:12" ht="13.5" customHeight="1" thickTop="1" thickBot="1">
      <c r="B54" s="187">
        <v>12</v>
      </c>
      <c r="C54" s="598"/>
      <c r="D54" s="598"/>
      <c r="E54" s="599"/>
      <c r="F54" s="599"/>
      <c r="G54" s="600"/>
      <c r="H54" s="600"/>
      <c r="I54" s="601"/>
      <c r="J54" s="601"/>
      <c r="K54" s="595" t="str">
        <f t="shared" si="1"/>
        <v>-</v>
      </c>
      <c r="L54" s="595"/>
    </row>
    <row r="55" spans="2:12" ht="13.5" hidden="1" customHeight="1">
      <c r="B55" s="187">
        <v>13</v>
      </c>
      <c r="C55" s="593"/>
      <c r="D55" s="593"/>
      <c r="E55" s="594"/>
      <c r="F55" s="594"/>
      <c r="G55" s="595"/>
      <c r="H55" s="595"/>
      <c r="I55" s="596"/>
      <c r="J55" s="596"/>
      <c r="K55" s="595"/>
      <c r="L55" s="595"/>
    </row>
    <row r="56" spans="2:12" ht="13.5" hidden="1" customHeight="1">
      <c r="B56" s="187">
        <v>14</v>
      </c>
      <c r="C56" s="593"/>
      <c r="D56" s="593"/>
      <c r="E56" s="594"/>
      <c r="F56" s="594"/>
      <c r="G56" s="595"/>
      <c r="H56" s="595"/>
      <c r="I56" s="596"/>
      <c r="J56" s="596"/>
      <c r="K56" s="595"/>
      <c r="L56" s="595"/>
    </row>
    <row r="57" spans="2:12" ht="15.6" customHeight="1" thickTop="1" thickBot="1">
      <c r="B57" s="188" t="s">
        <v>263</v>
      </c>
      <c r="C57" s="597">
        <f>SUM(C43:C56)</f>
        <v>0</v>
      </c>
      <c r="D57" s="597"/>
      <c r="E57" s="597"/>
      <c r="F57" s="597"/>
      <c r="G57" s="597"/>
      <c r="H57" s="597"/>
      <c r="I57" s="597"/>
      <c r="J57" s="597"/>
      <c r="K57" s="597"/>
      <c r="L57" s="597"/>
    </row>
    <row r="58" spans="2:12" ht="12.75" customHeight="1" thickTop="1">
      <c r="B58" s="486" t="s">
        <v>272</v>
      </c>
      <c r="C58" s="486"/>
      <c r="D58" s="486"/>
      <c r="E58" s="486"/>
      <c r="F58" s="486"/>
      <c r="G58" s="486"/>
      <c r="H58" s="486"/>
      <c r="I58" s="486"/>
      <c r="J58" s="486"/>
      <c r="K58" s="486"/>
      <c r="L58" s="486"/>
    </row>
    <row r="59" spans="2:12" ht="18.75" customHeight="1">
      <c r="B59" s="588" t="s">
        <v>273</v>
      </c>
      <c r="C59" s="588"/>
      <c r="D59" s="588"/>
      <c r="E59" s="588"/>
      <c r="F59" s="588"/>
      <c r="G59" s="588"/>
      <c r="H59" s="588"/>
      <c r="I59" s="588"/>
      <c r="J59" s="588"/>
      <c r="K59" s="588"/>
      <c r="L59" s="588"/>
    </row>
    <row r="60" spans="2:12" ht="15" customHeight="1">
      <c r="B60" s="189" t="s">
        <v>274</v>
      </c>
      <c r="C60" s="488" t="str">
        <f>B6&amp;","</f>
        <v>B.E.O.PICHHOR,</v>
      </c>
      <c r="D60" s="488"/>
      <c r="E60" s="488"/>
      <c r="F60" s="190" t="s">
        <v>275</v>
      </c>
      <c r="G60" s="589"/>
      <c r="H60" s="589"/>
      <c r="I60" s="589"/>
      <c r="J60" s="589"/>
      <c r="K60" s="590" t="s">
        <v>276</v>
      </c>
      <c r="L60" s="590"/>
    </row>
    <row r="61" spans="2:12">
      <c r="B61" s="591" t="s">
        <v>277</v>
      </c>
      <c r="C61" s="591"/>
      <c r="D61" s="589" t="s">
        <v>360</v>
      </c>
      <c r="E61" s="589"/>
      <c r="F61" s="589"/>
      <c r="G61" s="592" t="s">
        <v>278</v>
      </c>
      <c r="H61" s="592"/>
      <c r="I61" s="592"/>
      <c r="J61" s="592"/>
      <c r="K61" s="592"/>
      <c r="L61" s="592"/>
    </row>
    <row r="62" spans="2:12">
      <c r="B62" s="191" t="s">
        <v>279</v>
      </c>
      <c r="C62" s="192">
        <f>J19</f>
        <v>2496</v>
      </c>
      <c r="D62" s="585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Two Thousand Four Hundred Ninety-Six Rupees</v>
      </c>
      <c r="E62" s="585"/>
      <c r="F62" s="585"/>
      <c r="G62" s="585"/>
      <c r="H62" s="585"/>
      <c r="I62" s="586" t="s">
        <v>280</v>
      </c>
      <c r="J62" s="586"/>
      <c r="K62" s="586"/>
      <c r="L62" s="586"/>
    </row>
    <row r="63" spans="2:12">
      <c r="B63" s="495" t="s">
        <v>362</v>
      </c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2:12">
      <c r="B64" s="495" t="s">
        <v>361</v>
      </c>
      <c r="C64" s="495"/>
      <c r="D64" s="495"/>
      <c r="E64" s="495"/>
      <c r="F64" s="495"/>
      <c r="G64" s="495"/>
      <c r="H64" s="495"/>
      <c r="I64" s="495"/>
      <c r="J64" s="495"/>
      <c r="K64" s="495"/>
      <c r="L64" s="495"/>
    </row>
    <row r="65" spans="2:13" ht="27.6" customHeight="1">
      <c r="B65" s="581" t="s">
        <v>281</v>
      </c>
      <c r="C65" s="581"/>
      <c r="D65" s="587" t="str">
        <f>G7</f>
        <v xml:space="preserve">GHS HARIJAN BASTI PICHHORE </v>
      </c>
      <c r="E65" s="587"/>
      <c r="F65" s="488"/>
      <c r="G65" s="488"/>
      <c r="H65" s="488"/>
      <c r="I65" s="488"/>
      <c r="J65" s="488"/>
      <c r="K65" s="488"/>
      <c r="L65" s="488"/>
    </row>
    <row r="66" spans="2:13" ht="15.75">
      <c r="B66" s="581" t="s">
        <v>282</v>
      </c>
      <c r="C66" s="581"/>
      <c r="D66" s="490">
        <f ca="1">TODAY()</f>
        <v>44185</v>
      </c>
      <c r="E66" s="490"/>
      <c r="F66" s="582" t="s">
        <v>283</v>
      </c>
      <c r="G66" s="582"/>
      <c r="H66" s="582"/>
      <c r="I66" s="582"/>
      <c r="J66" s="582"/>
      <c r="K66" s="582"/>
      <c r="L66" s="582"/>
    </row>
    <row r="67" spans="2:13" ht="15" customHeight="1">
      <c r="B67" s="581" t="s">
        <v>284</v>
      </c>
      <c r="C67" s="581"/>
      <c r="D67" s="583" t="str">
        <f>D61</f>
        <v>PRINCIPAL</v>
      </c>
      <c r="E67" s="583"/>
      <c r="F67" s="193" t="s">
        <v>363</v>
      </c>
      <c r="G67" s="584" t="str">
        <f>B6</f>
        <v>B.E.O.PICHHOR</v>
      </c>
      <c r="H67" s="584"/>
      <c r="I67" s="584"/>
      <c r="J67" s="584"/>
      <c r="K67" s="584"/>
      <c r="L67" s="584"/>
    </row>
    <row r="68" spans="2:13" ht="15.75" thickBot="1">
      <c r="B68" s="574" t="s">
        <v>285</v>
      </c>
      <c r="C68" s="574"/>
      <c r="D68" s="574"/>
      <c r="E68" s="574"/>
      <c r="F68" s="574"/>
      <c r="G68" s="574"/>
      <c r="H68" s="574"/>
      <c r="I68" s="574"/>
      <c r="J68" s="574"/>
      <c r="K68" s="574"/>
      <c r="L68" s="574"/>
      <c r="M68" s="19"/>
    </row>
    <row r="69" spans="2:13" ht="16.5" thickTop="1" thickBot="1">
      <c r="B69" s="571" t="s">
        <v>286</v>
      </c>
      <c r="C69" s="571"/>
      <c r="D69" s="571"/>
      <c r="E69" s="571"/>
      <c r="F69" s="571"/>
      <c r="G69" s="571"/>
      <c r="H69" s="571"/>
      <c r="I69" s="571"/>
      <c r="J69" s="571"/>
      <c r="K69" s="571"/>
      <c r="L69" s="571"/>
      <c r="M69" s="19"/>
    </row>
    <row r="70" spans="2:13" ht="16.5" thickTop="1" thickBot="1">
      <c r="B70" s="568" t="s">
        <v>287</v>
      </c>
      <c r="C70" s="568"/>
      <c r="D70" s="568"/>
      <c r="E70" s="568"/>
      <c r="F70" s="568"/>
      <c r="G70" s="575"/>
      <c r="H70" s="575"/>
      <c r="I70" s="567"/>
      <c r="J70" s="567"/>
      <c r="K70" s="564"/>
      <c r="L70" s="564"/>
    </row>
    <row r="71" spans="2:13" ht="16.5" thickTop="1" thickBot="1">
      <c r="B71" s="540" t="s">
        <v>288</v>
      </c>
      <c r="C71" s="540"/>
      <c r="D71" s="540"/>
      <c r="E71" s="540"/>
      <c r="F71" s="540"/>
      <c r="G71" s="537">
        <f>COMPUTATION!O4+COMPUTATION!O5</f>
        <v>496020</v>
      </c>
      <c r="H71" s="537"/>
      <c r="I71" s="567"/>
      <c r="J71" s="567"/>
      <c r="K71" s="564"/>
      <c r="L71" s="564"/>
    </row>
    <row r="72" spans="2:13" ht="24" customHeight="1" thickTop="1" thickBot="1">
      <c r="B72" s="540" t="s">
        <v>289</v>
      </c>
      <c r="C72" s="540"/>
      <c r="D72" s="540"/>
      <c r="E72" s="540"/>
      <c r="F72" s="540"/>
      <c r="G72" s="576"/>
      <c r="H72" s="576"/>
      <c r="I72" s="567"/>
      <c r="J72" s="567"/>
      <c r="K72" s="564"/>
      <c r="L72" s="564"/>
    </row>
    <row r="73" spans="2:13" ht="27.75" customHeight="1" thickTop="1" thickBot="1">
      <c r="B73" s="540" t="s">
        <v>290</v>
      </c>
      <c r="C73" s="540"/>
      <c r="D73" s="540"/>
      <c r="E73" s="540"/>
      <c r="F73" s="540"/>
      <c r="G73" s="577">
        <v>0</v>
      </c>
      <c r="H73" s="577"/>
      <c r="I73" s="567"/>
      <c r="J73" s="567"/>
      <c r="K73" s="564"/>
      <c r="L73" s="564"/>
    </row>
    <row r="74" spans="2:13" ht="17.45" customHeight="1" thickTop="1" thickBot="1">
      <c r="B74" s="578" t="s">
        <v>291</v>
      </c>
      <c r="C74" s="578"/>
      <c r="D74" s="578"/>
      <c r="E74" s="578"/>
      <c r="F74" s="578"/>
      <c r="G74" s="579"/>
      <c r="H74" s="579"/>
      <c r="I74" s="538">
        <f>G71+G72+G73</f>
        <v>496020</v>
      </c>
      <c r="J74" s="538"/>
      <c r="K74" s="564"/>
      <c r="L74" s="564"/>
    </row>
    <row r="75" spans="2:13" ht="17.45" customHeight="1" thickTop="1" thickBot="1">
      <c r="B75" s="540" t="s">
        <v>292</v>
      </c>
      <c r="C75" s="540"/>
      <c r="D75" s="540"/>
      <c r="E75" s="540"/>
      <c r="F75" s="540"/>
      <c r="G75" s="579"/>
      <c r="H75" s="579"/>
      <c r="I75" s="570"/>
      <c r="J75" s="570"/>
      <c r="K75" s="564"/>
      <c r="L75" s="564"/>
    </row>
    <row r="76" spans="2:13" ht="16.5" thickTop="1" thickBot="1">
      <c r="B76" s="652" t="s">
        <v>293</v>
      </c>
      <c r="C76" s="653"/>
      <c r="D76" s="653"/>
      <c r="E76" s="653"/>
      <c r="F76" s="654"/>
      <c r="G76" s="579"/>
      <c r="H76" s="579"/>
      <c r="I76" s="570"/>
      <c r="J76" s="570"/>
      <c r="K76" s="564"/>
      <c r="L76" s="564"/>
    </row>
    <row r="77" spans="2:13" ht="16.5" thickTop="1" thickBot="1">
      <c r="B77" s="580" t="s">
        <v>294</v>
      </c>
      <c r="C77" s="580"/>
      <c r="D77" s="580"/>
      <c r="E77" s="194">
        <f>COMPUTATION!O6</f>
        <v>0</v>
      </c>
      <c r="F77" s="194">
        <f>E77</f>
        <v>0</v>
      </c>
      <c r="G77" s="579"/>
      <c r="H77" s="579"/>
      <c r="I77" s="570"/>
      <c r="J77" s="570"/>
      <c r="K77" s="564"/>
      <c r="L77" s="564"/>
    </row>
    <row r="78" spans="2:13" ht="16.5" thickTop="1" thickBot="1">
      <c r="B78" s="571" t="s">
        <v>295</v>
      </c>
      <c r="C78" s="571"/>
      <c r="D78" s="571"/>
      <c r="E78" s="195"/>
      <c r="F78" s="205">
        <v>0</v>
      </c>
      <c r="G78" s="537">
        <f>F77+F78</f>
        <v>0</v>
      </c>
      <c r="H78" s="537"/>
      <c r="I78" s="570"/>
      <c r="J78" s="570"/>
      <c r="K78" s="564"/>
      <c r="L78" s="564"/>
    </row>
    <row r="79" spans="2:13" ht="16.5" thickTop="1" thickBot="1">
      <c r="B79" s="568" t="s">
        <v>296</v>
      </c>
      <c r="C79" s="568"/>
      <c r="D79" s="568"/>
      <c r="E79" s="568"/>
      <c r="F79" s="568"/>
      <c r="G79" s="570"/>
      <c r="H79" s="570"/>
      <c r="I79" s="538">
        <f>I74-G78</f>
        <v>496020</v>
      </c>
      <c r="J79" s="538"/>
      <c r="K79" s="564"/>
      <c r="L79" s="564"/>
    </row>
    <row r="80" spans="2:13" ht="13.5" customHeight="1" thickTop="1" thickBot="1">
      <c r="B80" s="540" t="s">
        <v>297</v>
      </c>
      <c r="C80" s="540"/>
      <c r="D80" s="540"/>
      <c r="E80" s="540"/>
      <c r="F80" s="540"/>
      <c r="G80" s="570"/>
      <c r="H80" s="570"/>
      <c r="I80" s="646"/>
      <c r="J80" s="647"/>
      <c r="K80" s="564"/>
      <c r="L80" s="564"/>
    </row>
    <row r="81" spans="2:12" ht="13.5" customHeight="1" thickTop="1" thickBot="1">
      <c r="B81" s="572" t="s">
        <v>298</v>
      </c>
      <c r="C81" s="572"/>
      <c r="D81" s="540" t="s">
        <v>299</v>
      </c>
      <c r="E81" s="540"/>
      <c r="F81" s="540"/>
      <c r="G81" s="566">
        <f>COMPUTATION!K10</f>
        <v>50000</v>
      </c>
      <c r="H81" s="566"/>
      <c r="I81" s="648"/>
      <c r="J81" s="649"/>
      <c r="K81" s="564"/>
      <c r="L81" s="564"/>
    </row>
    <row r="82" spans="2:12" ht="13.5" customHeight="1" thickTop="1" thickBot="1">
      <c r="B82" s="572" t="s">
        <v>300</v>
      </c>
      <c r="C82" s="572"/>
      <c r="D82" s="540" t="s">
        <v>301</v>
      </c>
      <c r="E82" s="540"/>
      <c r="F82" s="540"/>
      <c r="G82" s="570">
        <f>COMPUTATION!K8</f>
        <v>0</v>
      </c>
      <c r="H82" s="570"/>
      <c r="I82" s="648"/>
      <c r="J82" s="649"/>
      <c r="K82" s="564"/>
      <c r="L82" s="564"/>
    </row>
    <row r="83" spans="2:12" ht="13.5" customHeight="1" thickTop="1" thickBot="1">
      <c r="B83" s="572" t="s">
        <v>302</v>
      </c>
      <c r="C83" s="572"/>
      <c r="D83" s="540" t="s">
        <v>303</v>
      </c>
      <c r="E83" s="540"/>
      <c r="F83" s="540"/>
      <c r="G83" s="573">
        <f>COMPUTATION!K9</f>
        <v>0</v>
      </c>
      <c r="H83" s="573"/>
      <c r="I83" s="650"/>
      <c r="J83" s="651"/>
      <c r="K83" s="564"/>
      <c r="L83" s="564"/>
    </row>
    <row r="84" spans="2:12" ht="13.5" customHeight="1" thickTop="1" thickBot="1">
      <c r="B84" s="635" t="s">
        <v>392</v>
      </c>
      <c r="C84" s="635"/>
      <c r="D84" s="636" t="s">
        <v>393</v>
      </c>
      <c r="E84" s="637"/>
      <c r="F84" s="222" t="s">
        <v>394</v>
      </c>
      <c r="G84" s="638"/>
      <c r="H84" s="639"/>
      <c r="I84" s="537">
        <f>G82+G83+G81</f>
        <v>50000</v>
      </c>
      <c r="J84" s="537"/>
      <c r="K84" s="564"/>
      <c r="L84" s="564"/>
    </row>
    <row r="85" spans="2:12" ht="13.5" customHeight="1" thickTop="1" thickBot="1">
      <c r="B85" s="537">
        <f>COMPUTATION!D14</f>
        <v>0</v>
      </c>
      <c r="C85" s="537"/>
      <c r="D85" s="537">
        <f>COMPUTATION!F14</f>
        <v>0</v>
      </c>
      <c r="E85" s="537"/>
      <c r="F85" s="205">
        <f>COMPUTATION!I14</f>
        <v>0</v>
      </c>
      <c r="G85" s="640"/>
      <c r="H85" s="641"/>
      <c r="I85" s="537">
        <f>B85+D85+F85</f>
        <v>0</v>
      </c>
      <c r="J85" s="537"/>
      <c r="K85" s="564"/>
      <c r="L85" s="564"/>
    </row>
    <row r="86" spans="2:12" ht="13.5" customHeight="1" thickTop="1" thickBot="1">
      <c r="B86" s="540" t="s">
        <v>304</v>
      </c>
      <c r="C86" s="540"/>
      <c r="D86" s="540"/>
      <c r="E86" s="540"/>
      <c r="F86" s="540"/>
      <c r="G86" s="566"/>
      <c r="H86" s="566"/>
      <c r="I86" s="538">
        <f>I84+I85</f>
        <v>50000</v>
      </c>
      <c r="J86" s="538"/>
      <c r="K86" s="564"/>
      <c r="L86" s="564"/>
    </row>
    <row r="87" spans="2:12" ht="13.5" customHeight="1" thickTop="1" thickBot="1">
      <c r="B87" s="563" t="s">
        <v>305</v>
      </c>
      <c r="C87" s="563"/>
      <c r="D87" s="563"/>
      <c r="E87" s="563"/>
      <c r="F87" s="563"/>
      <c r="G87" s="566"/>
      <c r="H87" s="566"/>
      <c r="I87" s="567"/>
      <c r="J87" s="567"/>
      <c r="K87" s="562">
        <f>I79-I86</f>
        <v>446020</v>
      </c>
      <c r="L87" s="562"/>
    </row>
    <row r="88" spans="2:12" ht="13.5" customHeight="1" thickTop="1" thickBot="1">
      <c r="B88" s="563" t="s">
        <v>306</v>
      </c>
      <c r="C88" s="563"/>
      <c r="D88" s="563"/>
      <c r="E88" s="563"/>
      <c r="F88" s="563"/>
      <c r="G88" s="566"/>
      <c r="H88" s="566"/>
      <c r="I88" s="567"/>
      <c r="J88" s="567"/>
      <c r="K88" s="564"/>
      <c r="L88" s="564"/>
    </row>
    <row r="89" spans="2:12" ht="13.5" customHeight="1" thickTop="1" thickBot="1">
      <c r="B89" s="565" t="s">
        <v>307</v>
      </c>
      <c r="C89" s="565"/>
      <c r="D89" s="565"/>
      <c r="E89" s="565"/>
      <c r="F89" s="196" t="s">
        <v>308</v>
      </c>
      <c r="G89" s="566"/>
      <c r="H89" s="566"/>
      <c r="I89" s="567"/>
      <c r="J89" s="567"/>
      <c r="K89" s="564"/>
      <c r="L89" s="564"/>
    </row>
    <row r="90" spans="2:12" ht="13.5" customHeight="1" thickTop="1" thickBot="1">
      <c r="B90" s="565" t="s">
        <v>309</v>
      </c>
      <c r="C90" s="565"/>
      <c r="D90" s="565"/>
      <c r="E90" s="565"/>
      <c r="F90" s="197">
        <f>COMPUTATION!K12</f>
        <v>0</v>
      </c>
      <c r="G90" s="566"/>
      <c r="H90" s="566"/>
      <c r="I90" s="567"/>
      <c r="J90" s="567"/>
      <c r="K90" s="564"/>
      <c r="L90" s="564"/>
    </row>
    <row r="91" spans="2:12" ht="13.5" customHeight="1" thickTop="1" thickBot="1">
      <c r="B91" s="558" t="s">
        <v>310</v>
      </c>
      <c r="C91" s="558"/>
      <c r="D91" s="558"/>
      <c r="E91" s="558"/>
      <c r="F91" s="197">
        <f>COMPUTATION!E16</f>
        <v>1000</v>
      </c>
      <c r="G91" s="566"/>
      <c r="H91" s="566"/>
      <c r="I91" s="537">
        <f>F90+F91</f>
        <v>1000</v>
      </c>
      <c r="J91" s="537"/>
      <c r="K91" s="564"/>
      <c r="L91" s="564"/>
    </row>
    <row r="92" spans="2:12" ht="14.25" customHeight="1" thickTop="1" thickBot="1">
      <c r="B92" s="568" t="s">
        <v>311</v>
      </c>
      <c r="C92" s="568"/>
      <c r="D92" s="568"/>
      <c r="E92" s="568"/>
      <c r="F92" s="568"/>
      <c r="G92" s="566"/>
      <c r="H92" s="566"/>
      <c r="I92" s="567"/>
      <c r="J92" s="567"/>
      <c r="K92" s="562">
        <f>K87+I91</f>
        <v>447020</v>
      </c>
      <c r="L92" s="562"/>
    </row>
    <row r="93" spans="2:12" ht="15" customHeight="1" thickTop="1" thickBot="1">
      <c r="B93" s="568" t="s">
        <v>312</v>
      </c>
      <c r="C93" s="568"/>
      <c r="D93" s="568"/>
      <c r="E93" s="568"/>
      <c r="F93" s="568"/>
      <c r="G93" s="566"/>
      <c r="H93" s="566"/>
      <c r="I93" s="567"/>
      <c r="J93" s="567"/>
      <c r="K93" s="564"/>
      <c r="L93" s="564"/>
    </row>
    <row r="94" spans="2:12" ht="15" customHeight="1" thickTop="1" thickBot="1">
      <c r="B94" s="569" t="s">
        <v>313</v>
      </c>
      <c r="C94" s="569"/>
      <c r="D94" s="569"/>
      <c r="E94" s="569"/>
      <c r="F94" s="569"/>
      <c r="G94" s="566"/>
      <c r="H94" s="566"/>
      <c r="I94" s="567"/>
      <c r="J94" s="567"/>
      <c r="K94" s="564"/>
      <c r="L94" s="564"/>
    </row>
    <row r="95" spans="2:12" ht="16.5" customHeight="1" thickTop="1" thickBot="1">
      <c r="B95" s="559" t="s">
        <v>314</v>
      </c>
      <c r="C95" s="559"/>
      <c r="D95" s="559"/>
      <c r="E95" s="559"/>
      <c r="F95" s="559"/>
      <c r="G95" s="560"/>
      <c r="H95" s="560"/>
      <c r="I95" s="561" t="s">
        <v>315</v>
      </c>
      <c r="J95" s="561"/>
      <c r="K95" s="561" t="s">
        <v>316</v>
      </c>
      <c r="L95" s="561"/>
    </row>
    <row r="96" spans="2:12" ht="12.75" customHeight="1" thickTop="1" thickBot="1">
      <c r="B96" s="555" t="s">
        <v>317</v>
      </c>
      <c r="C96" s="198">
        <v>1</v>
      </c>
      <c r="D96" s="556" t="s">
        <v>318</v>
      </c>
      <c r="E96" s="539" t="s">
        <v>4</v>
      </c>
      <c r="F96" s="539"/>
      <c r="G96" s="536" t="str">
        <f>COMPUTATION!G26</f>
        <v>0</v>
      </c>
      <c r="H96" s="536"/>
      <c r="I96" s="543"/>
      <c r="J96" s="544"/>
      <c r="K96" s="549"/>
      <c r="L96" s="550"/>
    </row>
    <row r="97" spans="2:12" ht="12.75" customHeight="1" thickTop="1" thickBot="1">
      <c r="B97" s="555"/>
      <c r="C97" s="198">
        <v>2</v>
      </c>
      <c r="D97" s="556"/>
      <c r="E97" s="539" t="s">
        <v>319</v>
      </c>
      <c r="F97" s="539"/>
      <c r="G97" s="536">
        <f>COMPUTATION!G21</f>
        <v>0</v>
      </c>
      <c r="H97" s="536"/>
      <c r="I97" s="545"/>
      <c r="J97" s="546"/>
      <c r="K97" s="551"/>
      <c r="L97" s="552"/>
    </row>
    <row r="98" spans="2:12" ht="12.75" customHeight="1" thickTop="1" thickBot="1">
      <c r="B98" s="555"/>
      <c r="C98" s="198">
        <v>3</v>
      </c>
      <c r="D98" s="556"/>
      <c r="E98" s="539" t="s">
        <v>320</v>
      </c>
      <c r="F98" s="539"/>
      <c r="G98" s="536">
        <f>COMPUTATION!G27</f>
        <v>2400</v>
      </c>
      <c r="H98" s="536"/>
      <c r="I98" s="545"/>
      <c r="J98" s="546"/>
      <c r="K98" s="551"/>
      <c r="L98" s="552"/>
    </row>
    <row r="99" spans="2:12" ht="12.75" customHeight="1" thickTop="1" thickBot="1">
      <c r="B99" s="555"/>
      <c r="C99" s="198">
        <v>4</v>
      </c>
      <c r="D99" s="556"/>
      <c r="E99" s="539" t="s">
        <v>321</v>
      </c>
      <c r="F99" s="539"/>
      <c r="G99" s="536">
        <f>COMPUTATION!G22+COMPUTATION!G30+COMPUTATION!M27+COMPUTATION!G28</f>
        <v>0</v>
      </c>
      <c r="H99" s="536"/>
      <c r="I99" s="545"/>
      <c r="J99" s="546"/>
      <c r="K99" s="551"/>
      <c r="L99" s="552"/>
    </row>
    <row r="100" spans="2:12" ht="12.75" customHeight="1" thickTop="1" thickBot="1">
      <c r="B100" s="555"/>
      <c r="C100" s="198">
        <v>5</v>
      </c>
      <c r="D100" s="556"/>
      <c r="E100" s="539" t="s">
        <v>322</v>
      </c>
      <c r="F100" s="539"/>
      <c r="G100" s="536">
        <f>COMPUTATION!G24</f>
        <v>0</v>
      </c>
      <c r="H100" s="536"/>
      <c r="I100" s="545"/>
      <c r="J100" s="546"/>
      <c r="K100" s="551"/>
      <c r="L100" s="552"/>
    </row>
    <row r="101" spans="2:12" ht="14.25" customHeight="1" thickTop="1" thickBot="1">
      <c r="B101" s="555"/>
      <c r="C101" s="198">
        <v>6</v>
      </c>
      <c r="D101" s="556"/>
      <c r="E101" s="539" t="s">
        <v>323</v>
      </c>
      <c r="F101" s="539"/>
      <c r="G101" s="536">
        <f>COMPUTATION!G29</f>
        <v>0</v>
      </c>
      <c r="H101" s="536"/>
      <c r="I101" s="545"/>
      <c r="J101" s="546"/>
      <c r="K101" s="551"/>
      <c r="L101" s="552"/>
    </row>
    <row r="102" spans="2:12" ht="14.25" customHeight="1" thickTop="1" thickBot="1">
      <c r="B102" s="555"/>
      <c r="C102" s="198">
        <v>7</v>
      </c>
      <c r="D102" s="556"/>
      <c r="E102" s="540" t="s">
        <v>324</v>
      </c>
      <c r="F102" s="540"/>
      <c r="G102" s="536">
        <f>'[2]TAX (OLD)'!L21</f>
        <v>0</v>
      </c>
      <c r="H102" s="536"/>
      <c r="I102" s="545"/>
      <c r="J102" s="546"/>
      <c r="K102" s="551"/>
      <c r="L102" s="552"/>
    </row>
    <row r="103" spans="2:12" ht="14.25" customHeight="1" thickTop="1" thickBot="1">
      <c r="B103" s="555"/>
      <c r="C103" s="198">
        <v>8</v>
      </c>
      <c r="D103" s="556"/>
      <c r="E103" s="557" t="s">
        <v>389</v>
      </c>
      <c r="F103" s="557"/>
      <c r="G103" s="536">
        <f>COMPUTATION!M21+COMPUTATION!M22+COMPUTATION!G31</f>
        <v>44436</v>
      </c>
      <c r="H103" s="536"/>
      <c r="I103" s="545"/>
      <c r="J103" s="546"/>
      <c r="K103" s="551"/>
      <c r="L103" s="552"/>
    </row>
    <row r="104" spans="2:12" ht="14.25" customHeight="1" thickTop="1" thickBot="1">
      <c r="B104" s="555"/>
      <c r="C104" s="198">
        <v>9</v>
      </c>
      <c r="D104" s="556"/>
      <c r="E104" s="539" t="s">
        <v>325</v>
      </c>
      <c r="F104" s="539"/>
      <c r="G104" s="536">
        <f>COMPUTATION!M24</f>
        <v>0</v>
      </c>
      <c r="H104" s="536"/>
      <c r="I104" s="545"/>
      <c r="J104" s="546"/>
      <c r="K104" s="551"/>
      <c r="L104" s="552"/>
    </row>
    <row r="105" spans="2:12" ht="14.25" customHeight="1" thickTop="1" thickBot="1">
      <c r="B105" s="555"/>
      <c r="C105" s="198">
        <v>10</v>
      </c>
      <c r="D105" s="556"/>
      <c r="E105" s="539" t="s">
        <v>326</v>
      </c>
      <c r="F105" s="539"/>
      <c r="G105" s="536">
        <f>COMPUTATION!G25+COMPUTATION!M23</f>
        <v>0</v>
      </c>
      <c r="H105" s="536"/>
      <c r="I105" s="545"/>
      <c r="J105" s="546"/>
      <c r="K105" s="551"/>
      <c r="L105" s="552"/>
    </row>
    <row r="106" spans="2:12" ht="18.75" customHeight="1" thickTop="1" thickBot="1">
      <c r="B106" s="555"/>
      <c r="C106" s="198">
        <v>11</v>
      </c>
      <c r="D106" s="556"/>
      <c r="E106" s="540" t="s">
        <v>327</v>
      </c>
      <c r="F106" s="540"/>
      <c r="G106" s="536">
        <f>COMPUTATION!M29</f>
        <v>0</v>
      </c>
      <c r="H106" s="536"/>
      <c r="I106" s="545"/>
      <c r="J106" s="546"/>
      <c r="K106" s="551"/>
      <c r="L106" s="552"/>
    </row>
    <row r="107" spans="2:12" ht="18.75" customHeight="1" thickTop="1" thickBot="1">
      <c r="B107" s="555"/>
      <c r="C107" s="198">
        <v>12</v>
      </c>
      <c r="D107" s="556"/>
      <c r="E107" s="539" t="s">
        <v>328</v>
      </c>
      <c r="F107" s="539"/>
      <c r="G107" s="536">
        <f>COMPUTATION!M30</f>
        <v>0</v>
      </c>
      <c r="H107" s="536"/>
      <c r="I107" s="547"/>
      <c r="J107" s="548"/>
      <c r="K107" s="553"/>
      <c r="L107" s="554"/>
    </row>
    <row r="108" spans="2:12" ht="18.75" customHeight="1" thickTop="1" thickBot="1">
      <c r="B108" s="555"/>
      <c r="C108" s="198">
        <v>13</v>
      </c>
      <c r="D108" s="556"/>
      <c r="E108" s="540" t="s">
        <v>329</v>
      </c>
      <c r="F108" s="540"/>
      <c r="G108" s="536">
        <f>COMPUTATION!M28</f>
        <v>0</v>
      </c>
      <c r="H108" s="536"/>
      <c r="I108" s="541">
        <f>SUM(G96:H108)</f>
        <v>46836</v>
      </c>
      <c r="J108" s="541"/>
      <c r="K108" s="542">
        <f>IF(I108&lt;=150000, I108, 150000)</f>
        <v>46836</v>
      </c>
      <c r="L108" s="542"/>
    </row>
    <row r="109" spans="2:12" ht="16.5" customHeight="1" thickTop="1" thickBot="1">
      <c r="B109" s="555"/>
      <c r="C109" s="558" t="s">
        <v>330</v>
      </c>
      <c r="D109" s="558"/>
      <c r="E109" s="558"/>
      <c r="F109" s="558"/>
      <c r="G109" s="536">
        <f>COMPUTATION!O33</f>
        <v>44436</v>
      </c>
      <c r="H109" s="536"/>
      <c r="I109" s="534">
        <f>G109</f>
        <v>44436</v>
      </c>
      <c r="J109" s="534"/>
      <c r="K109" s="534">
        <f>I109</f>
        <v>44436</v>
      </c>
      <c r="L109" s="534"/>
    </row>
    <row r="110" spans="2:12" ht="17.100000000000001" customHeight="1" thickTop="1" thickBot="1">
      <c r="B110" s="555"/>
      <c r="C110" s="535" t="s">
        <v>331</v>
      </c>
      <c r="D110" s="535"/>
      <c r="E110" s="535"/>
      <c r="F110" s="535"/>
      <c r="G110" s="536">
        <f>COMPUTATION!O34</f>
        <v>0</v>
      </c>
      <c r="H110" s="536"/>
      <c r="I110" s="537">
        <f>SUM(K108,G109,G110)</f>
        <v>91272</v>
      </c>
      <c r="J110" s="537"/>
      <c r="K110" s="538">
        <f>I110</f>
        <v>91272</v>
      </c>
      <c r="L110" s="538"/>
    </row>
    <row r="111" spans="2:12" ht="15" customHeight="1" thickTop="1">
      <c r="B111" s="199"/>
      <c r="C111" s="199"/>
      <c r="D111" s="199"/>
      <c r="E111" s="199"/>
      <c r="F111" s="199"/>
      <c r="G111" s="199"/>
      <c r="H111" s="199"/>
      <c r="I111" s="529" t="s">
        <v>332</v>
      </c>
      <c r="J111" s="529"/>
      <c r="K111" s="529"/>
      <c r="L111" s="199"/>
    </row>
    <row r="112" spans="2:12" ht="18.600000000000001" customHeight="1" thickBot="1">
      <c r="B112" s="529" t="s">
        <v>333</v>
      </c>
      <c r="C112" s="529"/>
      <c r="D112" s="529"/>
      <c r="E112" s="529"/>
      <c r="F112" s="529"/>
      <c r="G112" s="529"/>
      <c r="H112" s="529"/>
      <c r="I112" s="529"/>
      <c r="J112" s="529"/>
      <c r="K112" s="529"/>
      <c r="L112" s="529"/>
    </row>
    <row r="113" spans="2:12" ht="21" customHeight="1" thickTop="1" thickBot="1">
      <c r="B113" s="530" t="s">
        <v>364</v>
      </c>
      <c r="C113" s="530"/>
      <c r="D113" s="530"/>
      <c r="E113" s="530"/>
      <c r="F113" s="530"/>
      <c r="G113" s="531" t="s">
        <v>315</v>
      </c>
      <c r="H113" s="531"/>
      <c r="I113" s="531" t="s">
        <v>334</v>
      </c>
      <c r="J113" s="531"/>
      <c r="K113" s="531" t="s">
        <v>316</v>
      </c>
      <c r="L113" s="531"/>
    </row>
    <row r="114" spans="2:12" ht="15" customHeight="1" thickTop="1" thickBot="1">
      <c r="B114" s="200">
        <v>1</v>
      </c>
      <c r="C114" s="525" t="s">
        <v>335</v>
      </c>
      <c r="D114" s="525"/>
      <c r="E114" s="525"/>
      <c r="F114" s="525"/>
      <c r="G114" s="524">
        <f>COMPUTATION!O37</f>
        <v>0</v>
      </c>
      <c r="H114" s="524"/>
      <c r="I114" s="497">
        <f t="shared" ref="I114:I121" si="2">G114</f>
        <v>0</v>
      </c>
      <c r="J114" s="497"/>
      <c r="K114" s="528"/>
      <c r="L114" s="528"/>
    </row>
    <row r="115" spans="2:12" ht="15" customHeight="1" thickTop="1" thickBot="1">
      <c r="B115" s="200">
        <v>2</v>
      </c>
      <c r="C115" s="525" t="s">
        <v>336</v>
      </c>
      <c r="D115" s="525"/>
      <c r="E115" s="525"/>
      <c r="F115" s="525"/>
      <c r="G115" s="524">
        <f>COMPUTATION!O38</f>
        <v>0</v>
      </c>
      <c r="H115" s="524"/>
      <c r="I115" s="497">
        <f t="shared" si="2"/>
        <v>0</v>
      </c>
      <c r="J115" s="497"/>
      <c r="K115" s="528"/>
      <c r="L115" s="528"/>
    </row>
    <row r="116" spans="2:12" ht="15" customHeight="1" thickTop="1" thickBot="1">
      <c r="B116" s="200">
        <v>3</v>
      </c>
      <c r="C116" s="525" t="s">
        <v>337</v>
      </c>
      <c r="D116" s="525"/>
      <c r="E116" s="525"/>
      <c r="F116" s="525"/>
      <c r="G116" s="524">
        <f>COMPUTATION!O39</f>
        <v>0</v>
      </c>
      <c r="H116" s="524"/>
      <c r="I116" s="497">
        <f t="shared" si="2"/>
        <v>0</v>
      </c>
      <c r="J116" s="497"/>
      <c r="K116" s="528"/>
      <c r="L116" s="528"/>
    </row>
    <row r="117" spans="2:12" ht="15" customHeight="1" thickTop="1" thickBot="1">
      <c r="B117" s="200">
        <v>4</v>
      </c>
      <c r="C117" s="525" t="s">
        <v>338</v>
      </c>
      <c r="D117" s="525"/>
      <c r="E117" s="525"/>
      <c r="F117" s="525"/>
      <c r="G117" s="524">
        <f>COMPUTATION!O40</f>
        <v>0</v>
      </c>
      <c r="H117" s="524"/>
      <c r="I117" s="497">
        <f t="shared" si="2"/>
        <v>0</v>
      </c>
      <c r="J117" s="497"/>
      <c r="K117" s="528"/>
      <c r="L117" s="528"/>
    </row>
    <row r="118" spans="2:12" ht="14.25" customHeight="1" thickTop="1" thickBot="1">
      <c r="B118" s="200">
        <v>5</v>
      </c>
      <c r="C118" s="525" t="s">
        <v>339</v>
      </c>
      <c r="D118" s="525"/>
      <c r="E118" s="525"/>
      <c r="F118" s="525"/>
      <c r="G118" s="532">
        <f>COMPUTATION!O41</f>
        <v>12000</v>
      </c>
      <c r="H118" s="533"/>
      <c r="I118" s="497">
        <f t="shared" si="2"/>
        <v>12000</v>
      </c>
      <c r="J118" s="497"/>
      <c r="K118" s="528"/>
      <c r="L118" s="528"/>
    </row>
    <row r="119" spans="2:12" ht="15" customHeight="1" thickTop="1" thickBot="1">
      <c r="B119" s="200">
        <v>6</v>
      </c>
      <c r="C119" s="525" t="s">
        <v>340</v>
      </c>
      <c r="D119" s="525"/>
      <c r="E119" s="525"/>
      <c r="F119" s="525"/>
      <c r="G119" s="526"/>
      <c r="H119" s="526"/>
      <c r="I119" s="497">
        <f t="shared" si="2"/>
        <v>0</v>
      </c>
      <c r="J119" s="497"/>
      <c r="K119" s="528"/>
      <c r="L119" s="528"/>
    </row>
    <row r="120" spans="2:12" ht="15" customHeight="1" thickTop="1" thickBot="1">
      <c r="B120" s="200">
        <v>7</v>
      </c>
      <c r="C120" s="525" t="s">
        <v>341</v>
      </c>
      <c r="D120" s="525"/>
      <c r="E120" s="525"/>
      <c r="F120" s="525"/>
      <c r="G120" s="527">
        <f>COMPUTATION!O44</f>
        <v>0</v>
      </c>
      <c r="H120" s="527"/>
      <c r="I120" s="497">
        <f t="shared" si="2"/>
        <v>0</v>
      </c>
      <c r="J120" s="497"/>
      <c r="K120" s="528"/>
      <c r="L120" s="528"/>
    </row>
    <row r="121" spans="2:12" ht="15" customHeight="1" thickTop="1" thickBot="1">
      <c r="B121" s="200">
        <v>8</v>
      </c>
      <c r="C121" s="525" t="s">
        <v>342</v>
      </c>
      <c r="D121" s="525"/>
      <c r="E121" s="525"/>
      <c r="F121" s="525"/>
      <c r="G121" s="524">
        <f>COMPUTATION!O42</f>
        <v>0</v>
      </c>
      <c r="H121" s="524"/>
      <c r="I121" s="497">
        <f t="shared" si="2"/>
        <v>0</v>
      </c>
      <c r="J121" s="497"/>
      <c r="K121" s="528"/>
      <c r="L121" s="528"/>
    </row>
    <row r="122" spans="2:12" ht="16.5" customHeight="1" thickTop="1" thickBot="1">
      <c r="B122" s="180">
        <v>9</v>
      </c>
      <c r="C122" s="523" t="s">
        <v>370</v>
      </c>
      <c r="D122" s="523"/>
      <c r="E122" s="523"/>
      <c r="F122" s="523"/>
      <c r="G122" s="524">
        <f>COMPUTATION!O43</f>
        <v>1000</v>
      </c>
      <c r="H122" s="524"/>
      <c r="I122" s="497">
        <f t="shared" ref="I122" si="3">G122</f>
        <v>1000</v>
      </c>
      <c r="J122" s="497"/>
      <c r="K122" s="517">
        <f>ROUND(SUM(I114:J122),0)</f>
        <v>13000</v>
      </c>
      <c r="L122" s="517"/>
    </row>
    <row r="123" spans="2:12" ht="14.25" customHeight="1" thickTop="1" thickBot="1">
      <c r="B123" s="518" t="s">
        <v>343</v>
      </c>
      <c r="C123" s="518"/>
      <c r="D123" s="518"/>
      <c r="E123" s="518"/>
      <c r="F123" s="518"/>
      <c r="G123" s="506"/>
      <c r="H123" s="506"/>
      <c r="I123" s="506"/>
      <c r="J123" s="506"/>
      <c r="K123" s="497">
        <f>ROUND((K110+K122),0)</f>
        <v>104272</v>
      </c>
      <c r="L123" s="497"/>
    </row>
    <row r="124" spans="2:12" ht="15" customHeight="1" thickTop="1" thickBot="1">
      <c r="B124" s="519" t="s">
        <v>344</v>
      </c>
      <c r="C124" s="515"/>
      <c r="D124" s="515"/>
      <c r="E124" s="520" t="s">
        <v>345</v>
      </c>
      <c r="F124" s="521"/>
      <c r="G124" s="522"/>
      <c r="H124" s="506"/>
      <c r="I124" s="506"/>
      <c r="J124" s="506"/>
      <c r="K124" s="497">
        <f>ROUND((K92-K123),-1)</f>
        <v>342750</v>
      </c>
      <c r="L124" s="497"/>
    </row>
    <row r="125" spans="2:12" ht="15" customHeight="1" thickTop="1" thickBot="1">
      <c r="B125" s="512" t="s">
        <v>346</v>
      </c>
      <c r="C125" s="513"/>
      <c r="D125" s="513"/>
      <c r="E125" s="513"/>
      <c r="F125" s="513"/>
      <c r="G125" s="514"/>
      <c r="H125" s="514"/>
      <c r="I125" s="515"/>
      <c r="J125" s="516"/>
      <c r="K125" s="497">
        <f>ROUND(IF(K124&lt;=250000,0,IF(K124&lt;=500000,(K124-250000)*0.05,IF(K124&lt;=1000000,12500+(K124-500000)*0.2,IF(K124&gt;1000000,112500+(K124-1000000)*0.3,"0")))),0)</f>
        <v>4638</v>
      </c>
      <c r="L125" s="497"/>
    </row>
    <row r="126" spans="2:12" ht="15" customHeight="1" thickTop="1" thickBot="1">
      <c r="B126" s="507" t="s">
        <v>347</v>
      </c>
      <c r="C126" s="508"/>
      <c r="D126" s="508"/>
      <c r="E126" s="508"/>
      <c r="F126" s="508"/>
      <c r="G126" s="201"/>
      <c r="H126" s="202"/>
      <c r="I126" s="509">
        <f>COMPUTATION!O59</f>
        <v>4638</v>
      </c>
      <c r="J126" s="497"/>
      <c r="K126" s="497"/>
      <c r="L126" s="497"/>
    </row>
    <row r="127" spans="2:12" ht="15" customHeight="1" thickTop="1" thickBot="1">
      <c r="B127" s="510" t="s">
        <v>348</v>
      </c>
      <c r="C127" s="510"/>
      <c r="D127" s="510"/>
      <c r="E127" s="510"/>
      <c r="F127" s="510"/>
      <c r="G127" s="511"/>
      <c r="H127" s="511"/>
      <c r="I127" s="506"/>
      <c r="J127" s="506"/>
      <c r="K127" s="497">
        <f>K125-I126</f>
        <v>0</v>
      </c>
      <c r="L127" s="497"/>
    </row>
    <row r="128" spans="2:12" ht="15" customHeight="1" thickTop="1" thickBot="1">
      <c r="B128" s="505" t="s">
        <v>349</v>
      </c>
      <c r="C128" s="505"/>
      <c r="D128" s="505"/>
      <c r="E128" s="505"/>
      <c r="F128" s="505"/>
      <c r="G128" s="506"/>
      <c r="H128" s="506"/>
      <c r="I128" s="506"/>
      <c r="J128" s="506"/>
      <c r="K128" s="497">
        <f>ROUND((K127*0.04),0)</f>
        <v>0</v>
      </c>
      <c r="L128" s="497"/>
    </row>
    <row r="129" spans="2:12" ht="16.5" customHeight="1" thickTop="1" thickBot="1">
      <c r="B129" s="496" t="s">
        <v>350</v>
      </c>
      <c r="C129" s="496"/>
      <c r="D129" s="496"/>
      <c r="E129" s="496"/>
      <c r="F129" s="496"/>
      <c r="G129" s="506"/>
      <c r="H129" s="506"/>
      <c r="I129" s="506"/>
      <c r="J129" s="506"/>
      <c r="K129" s="497">
        <f>K127+K128</f>
        <v>0</v>
      </c>
      <c r="L129" s="497"/>
    </row>
    <row r="130" spans="2:12" ht="15" customHeight="1" thickTop="1" thickBot="1">
      <c r="B130" s="505" t="s">
        <v>351</v>
      </c>
      <c r="C130" s="505"/>
      <c r="D130" s="505"/>
      <c r="E130" s="505"/>
      <c r="F130" s="505"/>
      <c r="G130" s="506"/>
      <c r="H130" s="506"/>
      <c r="I130" s="506"/>
      <c r="J130" s="506"/>
      <c r="K130" s="497">
        <f>COMPUTATION!O63</f>
        <v>0</v>
      </c>
      <c r="L130" s="497"/>
    </row>
    <row r="131" spans="2:12" ht="15" customHeight="1" thickTop="1" thickBot="1">
      <c r="B131" s="496" t="s">
        <v>352</v>
      </c>
      <c r="C131" s="496"/>
      <c r="D131" s="496"/>
      <c r="E131" s="496"/>
      <c r="F131" s="496"/>
      <c r="G131" s="506"/>
      <c r="H131" s="506"/>
      <c r="I131" s="506"/>
      <c r="J131" s="506"/>
      <c r="K131" s="497">
        <f>K129-K130</f>
        <v>0</v>
      </c>
      <c r="L131" s="497"/>
    </row>
    <row r="132" spans="2:12" ht="15" customHeight="1" thickTop="1" thickBot="1">
      <c r="B132" s="496" t="s">
        <v>353</v>
      </c>
      <c r="C132" s="496"/>
      <c r="D132" s="496"/>
      <c r="E132" s="496"/>
      <c r="F132" s="496"/>
      <c r="G132" s="496"/>
      <c r="H132" s="496"/>
      <c r="I132" s="496"/>
      <c r="J132" s="496"/>
      <c r="K132" s="497">
        <f>COMPUTATION!O66</f>
        <v>2496</v>
      </c>
      <c r="L132" s="498"/>
    </row>
    <row r="133" spans="2:12" ht="15" customHeight="1" thickTop="1" thickBot="1">
      <c r="B133" s="502" t="str">
        <f>IF(K131&gt;K132,"Income Tax Payable",IF(K131&lt;K132,"Income Tax Refundable","Income Tax Payble/Refundable"))</f>
        <v>Income Tax Refundable</v>
      </c>
      <c r="C133" s="503"/>
      <c r="D133" s="503"/>
      <c r="E133" s="503"/>
      <c r="F133" s="503"/>
      <c r="G133" s="503"/>
      <c r="H133" s="503"/>
      <c r="I133" s="503"/>
      <c r="J133" s="504"/>
      <c r="K133" s="497">
        <f>IF(K131&gt;K132,K131-K132,K132-K131)</f>
        <v>2496</v>
      </c>
      <c r="L133" s="497"/>
    </row>
    <row r="134" spans="2:12" ht="26.25" customHeight="1" thickTop="1">
      <c r="B134" s="499" t="s">
        <v>273</v>
      </c>
      <c r="C134" s="499"/>
      <c r="D134" s="499"/>
      <c r="E134" s="499"/>
      <c r="F134" s="499"/>
      <c r="G134" s="499"/>
      <c r="H134" s="499"/>
      <c r="I134" s="499"/>
      <c r="J134" s="499"/>
      <c r="K134" s="499"/>
      <c r="L134" s="499"/>
    </row>
    <row r="135" spans="2:12" ht="15.95" customHeight="1">
      <c r="B135" s="174" t="s">
        <v>274</v>
      </c>
      <c r="C135" s="493" t="str">
        <f>B6&amp;","</f>
        <v>B.E.O.PICHHOR,</v>
      </c>
      <c r="D135" s="493"/>
      <c r="E135" s="493"/>
      <c r="F135" s="203" t="s">
        <v>275</v>
      </c>
      <c r="G135" s="500" t="str">
        <f>IF(G60="","",G60)</f>
        <v/>
      </c>
      <c r="H135" s="500"/>
      <c r="I135" s="500"/>
      <c r="J135" s="500"/>
      <c r="K135" s="501" t="s">
        <v>276</v>
      </c>
      <c r="L135" s="501"/>
    </row>
    <row r="136" spans="2:12" ht="15.95" customHeight="1">
      <c r="B136" s="492" t="s">
        <v>277</v>
      </c>
      <c r="C136" s="492"/>
      <c r="D136" s="493" t="str">
        <f>D61</f>
        <v>PRINCIPAL</v>
      </c>
      <c r="E136" s="493"/>
      <c r="F136" s="493"/>
      <c r="G136" s="494" t="s">
        <v>278</v>
      </c>
      <c r="H136" s="494"/>
      <c r="I136" s="494"/>
      <c r="J136" s="494"/>
      <c r="K136" s="494"/>
      <c r="L136" s="494"/>
    </row>
    <row r="137" spans="2:12" ht="15.95" customHeight="1">
      <c r="B137" s="174" t="s">
        <v>279</v>
      </c>
      <c r="C137" s="204">
        <f>K132</f>
        <v>2496</v>
      </c>
      <c r="D137" s="485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Two Thousand Four Hundred Ninety-Six Rupees</v>
      </c>
      <c r="E137" s="485"/>
      <c r="F137" s="485"/>
      <c r="G137" s="485"/>
      <c r="H137" s="485"/>
      <c r="I137" s="494" t="s">
        <v>365</v>
      </c>
      <c r="J137" s="494"/>
      <c r="K137" s="494"/>
      <c r="L137" s="494"/>
    </row>
    <row r="138" spans="2:12" ht="32.1" customHeight="1">
      <c r="B138" s="495" t="s">
        <v>366</v>
      </c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</row>
    <row r="139" spans="2:12" ht="24.75" customHeight="1">
      <c r="B139" s="488" t="s">
        <v>281</v>
      </c>
      <c r="C139" s="488"/>
      <c r="D139" s="489" t="str">
        <f>D65</f>
        <v xml:space="preserve">GHS HARIJAN BASTI PICHHORE </v>
      </c>
      <c r="E139" s="489"/>
      <c r="F139" s="488"/>
      <c r="G139" s="488"/>
      <c r="H139" s="488"/>
      <c r="I139" s="488"/>
      <c r="J139" s="488"/>
      <c r="K139" s="488"/>
      <c r="L139" s="488"/>
    </row>
    <row r="140" spans="2:12" ht="17.25" customHeight="1">
      <c r="B140" s="485" t="s">
        <v>282</v>
      </c>
      <c r="C140" s="485"/>
      <c r="D140" s="490">
        <f ca="1">TODAY()</f>
        <v>44185</v>
      </c>
      <c r="E140" s="490"/>
      <c r="F140" s="491" t="s">
        <v>283</v>
      </c>
      <c r="G140" s="491"/>
      <c r="H140" s="491"/>
      <c r="I140" s="491"/>
      <c r="J140" s="491"/>
      <c r="K140" s="491"/>
      <c r="L140" s="491"/>
    </row>
    <row r="141" spans="2:12" ht="18.75" customHeight="1">
      <c r="B141" s="485" t="s">
        <v>284</v>
      </c>
      <c r="C141" s="485"/>
      <c r="D141" s="486" t="str">
        <f>D136</f>
        <v>PRINCIPAL</v>
      </c>
      <c r="E141" s="486"/>
      <c r="F141" s="193" t="s">
        <v>363</v>
      </c>
      <c r="G141" s="487" t="str">
        <f>B6</f>
        <v>B.E.O.PICHHOR</v>
      </c>
      <c r="H141" s="487"/>
      <c r="I141" s="487"/>
      <c r="J141" s="487"/>
      <c r="K141" s="487"/>
      <c r="L141" s="487"/>
    </row>
    <row r="142" spans="2:12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</sheetData>
  <sheetProtection password="C407" sheet="1" objects="1" scenarios="1" formatCells="0" formatColumns="0" formatRows="0"/>
  <mergeCells count="396">
    <mergeCell ref="B84:C84"/>
    <mergeCell ref="D84:E84"/>
    <mergeCell ref="G84:H85"/>
    <mergeCell ref="I84:J84"/>
    <mergeCell ref="B85:C85"/>
    <mergeCell ref="D85:E85"/>
    <mergeCell ref="I85:J85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6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6:F86"/>
    <mergeCell ref="G86:H94"/>
    <mergeCell ref="I86:J86"/>
    <mergeCell ref="B87:F87"/>
    <mergeCell ref="I87:J90"/>
    <mergeCell ref="B92:F92"/>
    <mergeCell ref="I92:J94"/>
    <mergeCell ref="K92:L92"/>
    <mergeCell ref="B93:F93"/>
    <mergeCell ref="K93:L94"/>
    <mergeCell ref="B94:F94"/>
    <mergeCell ref="B95:F95"/>
    <mergeCell ref="G95:H95"/>
    <mergeCell ref="I95:J95"/>
    <mergeCell ref="K95:L95"/>
    <mergeCell ref="K87:L87"/>
    <mergeCell ref="B88:F88"/>
    <mergeCell ref="K88:L91"/>
    <mergeCell ref="B89:E89"/>
    <mergeCell ref="B90:E90"/>
    <mergeCell ref="B91:E91"/>
    <mergeCell ref="I91:J91"/>
    <mergeCell ref="B96:B110"/>
    <mergeCell ref="D96:D108"/>
    <mergeCell ref="E96:F96"/>
    <mergeCell ref="G96:H96"/>
    <mergeCell ref="E97:F97"/>
    <mergeCell ref="G97:H97"/>
    <mergeCell ref="E98:F98"/>
    <mergeCell ref="G98:H98"/>
    <mergeCell ref="E104:F104"/>
    <mergeCell ref="G104:H104"/>
    <mergeCell ref="E105:F105"/>
    <mergeCell ref="G105:H105"/>
    <mergeCell ref="E106:F106"/>
    <mergeCell ref="G106:H106"/>
    <mergeCell ref="E102:F102"/>
    <mergeCell ref="G102:H102"/>
    <mergeCell ref="E103:F103"/>
    <mergeCell ref="G103:H103"/>
    <mergeCell ref="C109:F109"/>
    <mergeCell ref="G109:H109"/>
    <mergeCell ref="I109:J109"/>
    <mergeCell ref="K109:L109"/>
    <mergeCell ref="C110:F110"/>
    <mergeCell ref="G110:H110"/>
    <mergeCell ref="I110:J110"/>
    <mergeCell ref="K110:L110"/>
    <mergeCell ref="E107:F107"/>
    <mergeCell ref="G107:H107"/>
    <mergeCell ref="E108:F108"/>
    <mergeCell ref="G108:H108"/>
    <mergeCell ref="I108:J108"/>
    <mergeCell ref="K108:L108"/>
    <mergeCell ref="I96:J107"/>
    <mergeCell ref="K96:L107"/>
    <mergeCell ref="E99:F99"/>
    <mergeCell ref="G99:H99"/>
    <mergeCell ref="E100:F100"/>
    <mergeCell ref="G100:H100"/>
    <mergeCell ref="E101:F101"/>
    <mergeCell ref="G101:H101"/>
    <mergeCell ref="K114:L121"/>
    <mergeCell ref="C115:F115"/>
    <mergeCell ref="G115:H115"/>
    <mergeCell ref="I115:J115"/>
    <mergeCell ref="C116:F116"/>
    <mergeCell ref="G116:H116"/>
    <mergeCell ref="I116:J116"/>
    <mergeCell ref="I111:K111"/>
    <mergeCell ref="B112:L112"/>
    <mergeCell ref="B113:F113"/>
    <mergeCell ref="G113:H113"/>
    <mergeCell ref="I113:J113"/>
    <mergeCell ref="K113:L113"/>
    <mergeCell ref="C117:F117"/>
    <mergeCell ref="G117:H117"/>
    <mergeCell ref="I117:J117"/>
    <mergeCell ref="C118:F118"/>
    <mergeCell ref="G118:H118"/>
    <mergeCell ref="I118:J118"/>
    <mergeCell ref="C114:F114"/>
    <mergeCell ref="G114:H114"/>
    <mergeCell ref="I114:J114"/>
    <mergeCell ref="C121:F121"/>
    <mergeCell ref="G121:H121"/>
    <mergeCell ref="I121:J121"/>
    <mergeCell ref="C122:F122"/>
    <mergeCell ref="G122:H122"/>
    <mergeCell ref="I122:J122"/>
    <mergeCell ref="C119:F119"/>
    <mergeCell ref="G119:H119"/>
    <mergeCell ref="I119:J119"/>
    <mergeCell ref="C120:F120"/>
    <mergeCell ref="G120:H120"/>
    <mergeCell ref="I120:J120"/>
    <mergeCell ref="K122:L122"/>
    <mergeCell ref="B123:F123"/>
    <mergeCell ref="G123:H123"/>
    <mergeCell ref="I123:J123"/>
    <mergeCell ref="K123:L123"/>
    <mergeCell ref="B124:D124"/>
    <mergeCell ref="E124:F124"/>
    <mergeCell ref="G124:H124"/>
    <mergeCell ref="I124:J124"/>
    <mergeCell ref="K124:L124"/>
    <mergeCell ref="K125:L125"/>
    <mergeCell ref="B126:F126"/>
    <mergeCell ref="I126:J126"/>
    <mergeCell ref="K126:L126"/>
    <mergeCell ref="B127:F127"/>
    <mergeCell ref="G127:H127"/>
    <mergeCell ref="I127:J127"/>
    <mergeCell ref="K127:L127"/>
    <mergeCell ref="B125:J125"/>
    <mergeCell ref="B130:F130"/>
    <mergeCell ref="G130:H130"/>
    <mergeCell ref="I130:J130"/>
    <mergeCell ref="K130:L130"/>
    <mergeCell ref="B131:F131"/>
    <mergeCell ref="G131:H131"/>
    <mergeCell ref="I131:J131"/>
    <mergeCell ref="K131:L131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B136:C136"/>
    <mergeCell ref="D136:F136"/>
    <mergeCell ref="G136:L136"/>
    <mergeCell ref="B138:L138"/>
    <mergeCell ref="B132:J132"/>
    <mergeCell ref="K132:L132"/>
    <mergeCell ref="K133:L133"/>
    <mergeCell ref="B134:L134"/>
    <mergeCell ref="C135:E135"/>
    <mergeCell ref="G135:J135"/>
    <mergeCell ref="K135:L135"/>
    <mergeCell ref="B133:J133"/>
    <mergeCell ref="I137:L137"/>
    <mergeCell ref="D137:H137"/>
    <mergeCell ref="B141:C141"/>
    <mergeCell ref="D141:E141"/>
    <mergeCell ref="G141:L141"/>
    <mergeCell ref="B139:C139"/>
    <mergeCell ref="D139:E139"/>
    <mergeCell ref="F139:L139"/>
    <mergeCell ref="B140:C140"/>
    <mergeCell ref="D140:E140"/>
    <mergeCell ref="F140:L140"/>
  </mergeCells>
  <conditionalFormatting sqref="E96:E97">
    <cfRule type="containsBlanks" dxfId="0" priority="1">
      <formula>LEN(TRIM(E96))=0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Instructions</vt:lpstr>
      <vt:lpstr>Master Data</vt:lpstr>
      <vt:lpstr>Extra Ded. </vt:lpstr>
      <vt:lpstr>GA55 </vt:lpstr>
      <vt:lpstr>COMPUTATION</vt:lpstr>
      <vt:lpstr>Form No. 16</vt:lpstr>
      <vt:lpstr>gp</vt:lpstr>
      <vt:lpstr>Month</vt:lpstr>
      <vt:lpstr>Month1</vt:lpstr>
      <vt:lpstr>pay</vt:lpstr>
      <vt:lpstr>COMPUTATION!Print_Area</vt:lpstr>
      <vt:lpstr>'Form No. 16'!Print_Area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2020-12-19T17:25:33Z</cp:lastPrinted>
  <dcterms:created xsi:type="dcterms:W3CDTF">2020-09-27T00:42:28Z</dcterms:created>
  <dcterms:modified xsi:type="dcterms:W3CDTF">2020-12-20T18:06:02Z</dcterms:modified>
</cp:coreProperties>
</file>