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812" activeTab="1"/>
  </bookViews>
  <sheets>
    <sheet name="For Help" sheetId="15" r:id="rId1"/>
    <sheet name="Basic Deta" sheetId="1" r:id="rId2"/>
    <sheet name="Exemp.(HRA+Other) &amp; Other incom" sheetId="6" r:id="rId3"/>
    <sheet name="Table (Income-Deduction)" sheetId="2" r:id="rId4"/>
    <sheet name="Income Tax Cal. Report" sheetId="8" r:id="rId5"/>
    <sheet name="Form-16" sheetId="10" r:id="rId6"/>
    <sheet name="OLD REGIME" sheetId="13" state="hidden" r:id="rId7"/>
    <sheet name="NEW REGIME" sheetId="12" state="hidden" r:id="rId8"/>
    <sheet name="10 E Us 89(1) " sheetId="14" r:id="rId9"/>
    <sheet name="HRA Receipt" sheetId="7" r:id="rId10"/>
  </sheets>
  <externalReferences>
    <externalReference r:id="rId11"/>
  </externalReferences>
  <definedNames>
    <definedName name="_xlnm.Print_Area" localSheetId="8">'10 E Us 89(1) '!$G$1:$BF$46</definedName>
    <definedName name="_xlnm.Print_Area" localSheetId="2">'Exemp.(HRA+Other) &amp; Other incom'!$R$1:$AB$28</definedName>
    <definedName name="_xlnm.Print_Area" localSheetId="9">'HRA Receipt'!$A$1:$AV$59,'HRA Receipt'!$A$60:$W$84</definedName>
    <definedName name="_xlnm.Print_Area" localSheetId="4">'Income Tax Cal. Report'!$A$1:$T$70</definedName>
    <definedName name="_xlnm.Print_Area" localSheetId="3">'Table (Income-Deduction)'!$B$1:$AC$33</definedName>
    <definedName name="rstatus">[1]data!$N$4:$N$6</definedName>
    <definedName name="Yes">'[1]Annexure-I'!$I$23:$I$24</definedName>
  </definedNames>
  <calcPr calcId="124519"/>
</workbook>
</file>

<file path=xl/calcChain.xml><?xml version="1.0" encoding="utf-8"?>
<calcChain xmlns="http://schemas.openxmlformats.org/spreadsheetml/2006/main">
  <c r="Y23" i="10"/>
  <c r="Y24"/>
  <c r="Y25"/>
  <c r="Y26"/>
  <c r="Y27"/>
  <c r="Y28"/>
  <c r="Y29"/>
  <c r="X22"/>
  <c r="X23"/>
  <c r="X24"/>
  <c r="X25"/>
  <c r="X26"/>
  <c r="X27"/>
  <c r="X28"/>
  <c r="X29"/>
  <c r="X21"/>
  <c r="X13"/>
  <c r="X14"/>
  <c r="X15"/>
  <c r="X16"/>
  <c r="X17"/>
  <c r="X18"/>
  <c r="X19"/>
  <c r="X20"/>
  <c r="X12"/>
  <c r="X4"/>
  <c r="X5"/>
  <c r="X6"/>
  <c r="X7"/>
  <c r="X8"/>
  <c r="X9"/>
  <c r="X10"/>
  <c r="X11"/>
  <c r="X3"/>
  <c r="W21"/>
  <c r="W29"/>
  <c r="W28"/>
  <c r="W27"/>
  <c r="W26"/>
  <c r="W25"/>
  <c r="W24"/>
  <c r="W23"/>
  <c r="W22"/>
  <c r="K3" i="8"/>
  <c r="M67"/>
  <c r="K67"/>
  <c r="J67"/>
  <c r="I67"/>
  <c r="F67"/>
  <c r="D67"/>
  <c r="O67"/>
  <c r="Q23"/>
  <c r="Y21" i="10" s="1"/>
  <c r="O23" i="8"/>
  <c r="M25"/>
  <c r="Y14" i="10" s="1"/>
  <c r="AA14" s="1"/>
  <c r="M26" i="8"/>
  <c r="Y15" i="10" s="1"/>
  <c r="AA15" s="1"/>
  <c r="M27" i="8"/>
  <c r="Y16" i="10" s="1"/>
  <c r="AA16" s="1"/>
  <c r="M28" i="8"/>
  <c r="Y17" i="10" s="1"/>
  <c r="AA17" s="1"/>
  <c r="M29" i="8"/>
  <c r="Y18" i="10" s="1"/>
  <c r="AA18" s="1"/>
  <c r="M30" i="8"/>
  <c r="Y19" i="10" s="1"/>
  <c r="AA19" s="1"/>
  <c r="M31" i="8"/>
  <c r="Y20" i="10" s="1"/>
  <c r="AA20" s="1"/>
  <c r="M24" i="8"/>
  <c r="Y13" i="10" s="1"/>
  <c r="AA13" s="1"/>
  <c r="M23" i="8"/>
  <c r="Y12" i="10" s="1"/>
  <c r="AA12" s="1"/>
  <c r="J23" i="8"/>
  <c r="Q15" i="6"/>
  <c r="J25" i="8"/>
  <c r="J26"/>
  <c r="J27"/>
  <c r="J28"/>
  <c r="J29"/>
  <c r="J30"/>
  <c r="J31"/>
  <c r="H26"/>
  <c r="Y6" i="10" s="1"/>
  <c r="AA6" s="1"/>
  <c r="O24" i="8"/>
  <c r="J24"/>
  <c r="H31" l="1"/>
  <c r="Y11" i="10" s="1"/>
  <c r="AA11" s="1"/>
  <c r="H30" i="8"/>
  <c r="Y10" i="10" s="1"/>
  <c r="AA10" s="1"/>
  <c r="H29" i="8"/>
  <c r="Y9" i="10" s="1"/>
  <c r="AA9" s="1"/>
  <c r="H27" i="8"/>
  <c r="Y7" i="10" s="1"/>
  <c r="AA7" s="1"/>
  <c r="H25" i="8"/>
  <c r="Y5" i="10" s="1"/>
  <c r="AA5" s="1"/>
  <c r="H24" i="8"/>
  <c r="Y4" i="10" s="1"/>
  <c r="AA4" s="1"/>
  <c r="H23" i="8"/>
  <c r="Y3" i="10" s="1"/>
  <c r="D31" i="8"/>
  <c r="D30"/>
  <c r="D29"/>
  <c r="D28"/>
  <c r="AB32" i="2" a="1"/>
  <c r="D27" i="8"/>
  <c r="D26"/>
  <c r="D25"/>
  <c r="D24"/>
  <c r="AB11" i="2" a="1"/>
  <c r="AB12" a="1"/>
  <c r="AB13" a="1"/>
  <c r="AB14" a="1"/>
  <c r="AB15" a="1"/>
  <c r="AB16" a="1"/>
  <c r="AB17" a="1"/>
  <c r="AB18" a="1"/>
  <c r="AB19" a="1"/>
  <c r="AB20" a="1"/>
  <c r="AB21" a="1"/>
  <c r="AB22" a="1"/>
  <c r="AB22" s="1"/>
  <c r="AB23" a="1"/>
  <c r="AB24" a="1"/>
  <c r="AB25" a="1"/>
  <c r="AB26" a="1"/>
  <c r="AB27" a="1"/>
  <c r="AB27" s="1"/>
  <c r="AB28" a="1"/>
  <c r="AB29" a="1"/>
  <c r="AB29" s="1"/>
  <c r="AB30" a="1"/>
  <c r="AB30" s="1"/>
  <c r="AB31" a="1"/>
  <c r="AB31" s="1"/>
  <c r="AB10" a="1"/>
  <c r="AA11" a="1"/>
  <c r="AA11" s="1"/>
  <c r="AA12" a="1"/>
  <c r="AA12" s="1"/>
  <c r="AA13" a="1"/>
  <c r="AA13" s="1"/>
  <c r="AA14" a="1"/>
  <c r="AA14" s="1"/>
  <c r="AA15" a="1"/>
  <c r="AA15" s="1"/>
  <c r="AA16" a="1"/>
  <c r="AA16" s="1"/>
  <c r="AA17" a="1"/>
  <c r="AA17" s="1"/>
  <c r="AA18" a="1"/>
  <c r="AA18" s="1"/>
  <c r="AA19" a="1"/>
  <c r="AA19" s="1"/>
  <c r="AA20" a="1"/>
  <c r="AA20" s="1"/>
  <c r="AA21" a="1"/>
  <c r="AA21" s="1"/>
  <c r="AA22" a="1"/>
  <c r="AA22" s="1"/>
  <c r="AA23" a="1"/>
  <c r="AA23" s="1"/>
  <c r="AA24" a="1"/>
  <c r="AA24" s="1"/>
  <c r="AA25" a="1"/>
  <c r="AA25" s="1"/>
  <c r="AA26" a="1"/>
  <c r="AA27" a="1"/>
  <c r="AA27" s="1"/>
  <c r="AA28" a="1"/>
  <c r="AA29" a="1"/>
  <c r="AA29" s="1"/>
  <c r="AA30" a="1"/>
  <c r="AA30" s="1"/>
  <c r="AA31" a="1"/>
  <c r="AA31" s="1"/>
  <c r="AA10" a="1"/>
  <c r="AA10" s="1"/>
  <c r="O11" a="1"/>
  <c r="O12" a="1"/>
  <c r="O13" a="1"/>
  <c r="O14" a="1"/>
  <c r="O15" a="1"/>
  <c r="O16" a="1"/>
  <c r="O17" a="1"/>
  <c r="O18" a="1"/>
  <c r="O19" a="1"/>
  <c r="O20" a="1"/>
  <c r="O21" a="1"/>
  <c r="O22" a="1"/>
  <c r="O22" s="1"/>
  <c r="O23" a="1"/>
  <c r="O24" a="1"/>
  <c r="O25" a="1"/>
  <c r="O26" a="1"/>
  <c r="O27" a="1"/>
  <c r="O27" s="1"/>
  <c r="O28" a="1"/>
  <c r="O29" a="1"/>
  <c r="O29" s="1"/>
  <c r="O30" a="1"/>
  <c r="O30" s="1"/>
  <c r="O31" a="1"/>
  <c r="O31" s="1"/>
  <c r="O10" a="1"/>
  <c r="AC21"/>
  <c r="AC20"/>
  <c r="AC19"/>
  <c r="AC18"/>
  <c r="AC17"/>
  <c r="AC16"/>
  <c r="AC15"/>
  <c r="AC14"/>
  <c r="AC13"/>
  <c r="AC12"/>
  <c r="AC11"/>
  <c r="AC10"/>
  <c r="U16"/>
  <c r="K11"/>
  <c r="K12" s="1"/>
  <c r="K13" s="1"/>
  <c r="K14" s="1"/>
  <c r="K15" s="1"/>
  <c r="K16" s="1"/>
  <c r="K17" s="1"/>
  <c r="K18" s="1"/>
  <c r="K19" s="1"/>
  <c r="K20" s="1"/>
  <c r="K21" s="1"/>
  <c r="K10"/>
  <c r="K9"/>
  <c r="U9"/>
  <c r="T10"/>
  <c r="T11" s="1"/>
  <c r="T12" s="1"/>
  <c r="T13" s="1"/>
  <c r="T14" s="1"/>
  <c r="T15" s="1"/>
  <c r="T16" s="1"/>
  <c r="T17" s="1"/>
  <c r="T18" s="1"/>
  <c r="T19" s="1"/>
  <c r="T20" s="1"/>
  <c r="T21" s="1"/>
  <c r="T9"/>
  <c r="S10"/>
  <c r="S9"/>
  <c r="R10"/>
  <c r="R9"/>
  <c r="Q10"/>
  <c r="Q11" s="1"/>
  <c r="Q12" s="1"/>
  <c r="Q13" s="1"/>
  <c r="Q14" s="1"/>
  <c r="Q15" s="1"/>
  <c r="Q16" s="1"/>
  <c r="Q17" s="1"/>
  <c r="Q18" s="1"/>
  <c r="Q19" s="1"/>
  <c r="Q20" s="1"/>
  <c r="Q21" s="1"/>
  <c r="P10"/>
  <c r="P11" s="1"/>
  <c r="P12" s="1"/>
  <c r="P13" s="1"/>
  <c r="P14" s="1"/>
  <c r="P15" s="1"/>
  <c r="P16" s="1"/>
  <c r="P17" s="1"/>
  <c r="P18" s="1"/>
  <c r="P19" s="1"/>
  <c r="P20" s="1"/>
  <c r="P21" s="1"/>
  <c r="P9"/>
  <c r="D23" i="8" s="1"/>
  <c r="J10" i="2"/>
  <c r="H20"/>
  <c r="F20"/>
  <c r="F10"/>
  <c r="G10" s="1"/>
  <c r="K10" i="1"/>
  <c r="H12" i="10"/>
  <c r="T4" i="2"/>
  <c r="Z6"/>
  <c r="F6"/>
  <c r="Y4"/>
  <c r="B2"/>
  <c r="M1" i="8" s="1"/>
  <c r="M12" i="2"/>
  <c r="M13" s="1"/>
  <c r="M14" s="1"/>
  <c r="M15" s="1"/>
  <c r="M16" s="1"/>
  <c r="M17" s="1"/>
  <c r="M18" s="1"/>
  <c r="M19" s="1"/>
  <c r="M20" s="1"/>
  <c r="M21" s="1"/>
  <c r="F4"/>
  <c r="D4" i="6"/>
  <c r="P67" i="7"/>
  <c r="D67"/>
  <c r="P32"/>
  <c r="D32"/>
  <c r="P8"/>
  <c r="D8"/>
  <c r="C155" i="10"/>
  <c r="H56"/>
  <c r="C56"/>
  <c r="P33" i="2"/>
  <c r="Z11"/>
  <c r="Z12" s="1"/>
  <c r="Z13" s="1"/>
  <c r="Z14" s="1"/>
  <c r="Z15" s="1"/>
  <c r="Z16" s="1"/>
  <c r="Z17" s="1"/>
  <c r="Z18" s="1"/>
  <c r="Z19" s="1"/>
  <c r="Z20" s="1"/>
  <c r="Z21" s="1"/>
  <c r="Y11"/>
  <c r="Y12" s="1"/>
  <c r="Y13" s="1"/>
  <c r="Y14" s="1"/>
  <c r="Y15" s="1"/>
  <c r="Y16" s="1"/>
  <c r="Y17" s="1"/>
  <c r="Y18" s="1"/>
  <c r="Y19" s="1"/>
  <c r="Y20" s="1"/>
  <c r="Y21" s="1"/>
  <c r="X11"/>
  <c r="X12" s="1"/>
  <c r="X13" s="1"/>
  <c r="X14" s="1"/>
  <c r="X15" s="1"/>
  <c r="X16" s="1"/>
  <c r="X17" s="1"/>
  <c r="X18" s="1"/>
  <c r="X19" s="1"/>
  <c r="X20" s="1"/>
  <c r="X21" s="1"/>
  <c r="Q9"/>
  <c r="G19" i="1"/>
  <c r="B1" i="2"/>
  <c r="C156" i="10"/>
  <c r="H10" i="2" l="1"/>
  <c r="O10" s="1"/>
  <c r="AB10" s="1"/>
  <c r="S11"/>
  <c r="S12" s="1"/>
  <c r="S13" s="1"/>
  <c r="S14" s="1"/>
  <c r="S15" s="1"/>
  <c r="S16" s="1"/>
  <c r="S17" s="1"/>
  <c r="S18" s="1"/>
  <c r="S19" s="1"/>
  <c r="S20" s="1"/>
  <c r="S21" s="1"/>
  <c r="W10"/>
  <c r="W11" s="1"/>
  <c r="W12" s="1"/>
  <c r="W13" s="1"/>
  <c r="W14" s="1"/>
  <c r="V10"/>
  <c r="V11" s="1"/>
  <c r="V12" s="1"/>
  <c r="V13" s="1"/>
  <c r="V14" s="1"/>
  <c r="V15" s="1"/>
  <c r="V16" s="1"/>
  <c r="V17" s="1"/>
  <c r="V18" s="1"/>
  <c r="V19" s="1"/>
  <c r="V20" s="1"/>
  <c r="V21" s="1"/>
  <c r="R11"/>
  <c r="R12" s="1"/>
  <c r="R13" s="1"/>
  <c r="R14" s="1"/>
  <c r="R15" s="1"/>
  <c r="R16" s="1"/>
  <c r="R17" s="1"/>
  <c r="R18" s="1"/>
  <c r="R19" s="1"/>
  <c r="R20" s="1"/>
  <c r="R21" s="1"/>
  <c r="J11"/>
  <c r="J12" s="1"/>
  <c r="J13" s="1"/>
  <c r="J14" s="1"/>
  <c r="J9"/>
  <c r="W15" l="1"/>
  <c r="W16" s="1"/>
  <c r="W17" s="1"/>
  <c r="W18" s="1"/>
  <c r="W19" s="1"/>
  <c r="W20" s="1"/>
  <c r="W21" s="1"/>
  <c r="J18" i="10"/>
  <c r="H18"/>
  <c r="N22" i="2"/>
  <c r="AE3" i="8"/>
  <c r="AF3" s="1"/>
  <c r="AE2"/>
  <c r="AF2" s="1"/>
  <c r="B2"/>
  <c r="AA3" i="2"/>
  <c r="AE4" i="8" l="1"/>
  <c r="C19" i="1"/>
  <c r="Q70" i="7"/>
  <c r="AF11" i="2"/>
  <c r="AF12"/>
  <c r="AF13"/>
  <c r="AF14"/>
  <c r="AF15"/>
  <c r="AK15" s="1"/>
  <c r="AF16"/>
  <c r="AK16" s="1"/>
  <c r="AF17"/>
  <c r="AF18"/>
  <c r="AF19"/>
  <c r="AF20"/>
  <c r="AF21"/>
  <c r="AF10"/>
  <c r="Q43" i="12"/>
  <c r="Q43" i="13"/>
  <c r="BC46" i="14"/>
  <c r="BB40"/>
  <c r="H13"/>
  <c r="I13" s="1"/>
  <c r="D22"/>
  <c r="C22"/>
  <c r="I14"/>
  <c r="U16"/>
  <c r="O14"/>
  <c r="M13"/>
  <c r="H14"/>
  <c r="J14" s="1"/>
  <c r="U14"/>
  <c r="H15"/>
  <c r="I15" s="1"/>
  <c r="U15"/>
  <c r="H16"/>
  <c r="I16" s="1"/>
  <c r="H17"/>
  <c r="U17"/>
  <c r="H18"/>
  <c r="J18" s="1"/>
  <c r="U18"/>
  <c r="H19"/>
  <c r="L19" s="1"/>
  <c r="M19" s="1"/>
  <c r="U19"/>
  <c r="H20"/>
  <c r="I20" s="1"/>
  <c r="U20"/>
  <c r="H21"/>
  <c r="J21" s="1"/>
  <c r="U21"/>
  <c r="G13"/>
  <c r="G14"/>
  <c r="G15"/>
  <c r="G16"/>
  <c r="G17"/>
  <c r="G18"/>
  <c r="G19"/>
  <c r="G20"/>
  <c r="G21"/>
  <c r="U13"/>
  <c r="E6"/>
  <c r="M8" i="10"/>
  <c r="B147"/>
  <c r="J156" s="1"/>
  <c r="H146"/>
  <c r="R158"/>
  <c r="R159"/>
  <c r="R160"/>
  <c r="R161"/>
  <c r="R162"/>
  <c r="R163"/>
  <c r="R164"/>
  <c r="R157"/>
  <c r="R146"/>
  <c r="R136"/>
  <c r="R147"/>
  <c r="R148"/>
  <c r="R149"/>
  <c r="R150"/>
  <c r="R151"/>
  <c r="R152"/>
  <c r="R153"/>
  <c r="R154"/>
  <c r="R137"/>
  <c r="R138"/>
  <c r="R139"/>
  <c r="R140"/>
  <c r="R141"/>
  <c r="R143"/>
  <c r="R144"/>
  <c r="R145"/>
  <c r="C146"/>
  <c r="J155" s="1"/>
  <c r="J51"/>
  <c r="J52"/>
  <c r="J53"/>
  <c r="J50"/>
  <c r="H51"/>
  <c r="H52"/>
  <c r="H53"/>
  <c r="H50"/>
  <c r="F51"/>
  <c r="F52"/>
  <c r="F53"/>
  <c r="F50"/>
  <c r="C51"/>
  <c r="L51" s="1"/>
  <c r="C52"/>
  <c r="L52" s="1"/>
  <c r="C53"/>
  <c r="L53" s="1"/>
  <c r="C50"/>
  <c r="H15"/>
  <c r="BE9" i="14" s="1"/>
  <c r="E15" i="10"/>
  <c r="M131"/>
  <c r="C43"/>
  <c r="R15" s="1"/>
  <c r="G25"/>
  <c r="B69" i="13"/>
  <c r="O67"/>
  <c r="M67"/>
  <c r="O57"/>
  <c r="L57"/>
  <c r="K57"/>
  <c r="H57"/>
  <c r="F57"/>
  <c r="C57"/>
  <c r="O56"/>
  <c r="L56"/>
  <c r="K56"/>
  <c r="H56"/>
  <c r="F56"/>
  <c r="C56"/>
  <c r="O55"/>
  <c r="L55"/>
  <c r="K55"/>
  <c r="H55"/>
  <c r="F55"/>
  <c r="C55"/>
  <c r="O54"/>
  <c r="L54"/>
  <c r="K54"/>
  <c r="H54"/>
  <c r="F54"/>
  <c r="C54"/>
  <c r="O53"/>
  <c r="L53"/>
  <c r="K53"/>
  <c r="H53"/>
  <c r="F53"/>
  <c r="C53"/>
  <c r="O52"/>
  <c r="L52"/>
  <c r="O51"/>
  <c r="L51"/>
  <c r="H51"/>
  <c r="C51"/>
  <c r="U48"/>
  <c r="V48" s="1"/>
  <c r="T48"/>
  <c r="Q44"/>
  <c r="Q42"/>
  <c r="Q41"/>
  <c r="Q39"/>
  <c r="Q38"/>
  <c r="Q37"/>
  <c r="Q34"/>
  <c r="I31"/>
  <c r="I30"/>
  <c r="O29"/>
  <c r="O28"/>
  <c r="I27"/>
  <c r="O26"/>
  <c r="I26"/>
  <c r="O25"/>
  <c r="I25"/>
  <c r="O24"/>
  <c r="O23"/>
  <c r="Q18"/>
  <c r="E18"/>
  <c r="Q17"/>
  <c r="E17"/>
  <c r="Q16"/>
  <c r="Q19" s="1"/>
  <c r="E16"/>
  <c r="K13"/>
  <c r="H13"/>
  <c r="E13"/>
  <c r="M11"/>
  <c r="M7"/>
  <c r="B69" i="12"/>
  <c r="O67"/>
  <c r="M67"/>
  <c r="O57"/>
  <c r="L57"/>
  <c r="K57"/>
  <c r="H57"/>
  <c r="F57"/>
  <c r="C57"/>
  <c r="O56"/>
  <c r="L56"/>
  <c r="K56"/>
  <c r="H56"/>
  <c r="F56"/>
  <c r="C56"/>
  <c r="O55"/>
  <c r="L55"/>
  <c r="K55"/>
  <c r="H55"/>
  <c r="F55"/>
  <c r="C55"/>
  <c r="O54"/>
  <c r="L54"/>
  <c r="K54"/>
  <c r="H54"/>
  <c r="F54"/>
  <c r="C54"/>
  <c r="O53"/>
  <c r="L53"/>
  <c r="K53"/>
  <c r="H53"/>
  <c r="F53"/>
  <c r="C53"/>
  <c r="O52"/>
  <c r="L52"/>
  <c r="O51"/>
  <c r="L51"/>
  <c r="H51"/>
  <c r="C51"/>
  <c r="U48"/>
  <c r="T48"/>
  <c r="Q44"/>
  <c r="Q42"/>
  <c r="Q41"/>
  <c r="Q40"/>
  <c r="Q39"/>
  <c r="Q38"/>
  <c r="Q37"/>
  <c r="Q34"/>
  <c r="Q33"/>
  <c r="Q35" s="1"/>
  <c r="I31"/>
  <c r="O30"/>
  <c r="I30"/>
  <c r="O29"/>
  <c r="I29"/>
  <c r="O28"/>
  <c r="I28"/>
  <c r="O27"/>
  <c r="I27"/>
  <c r="O26"/>
  <c r="I26"/>
  <c r="O25"/>
  <c r="I25"/>
  <c r="O24"/>
  <c r="I24"/>
  <c r="O23"/>
  <c r="I23"/>
  <c r="Q18"/>
  <c r="E18"/>
  <c r="Q17"/>
  <c r="E17"/>
  <c r="Q16"/>
  <c r="Q19" s="1"/>
  <c r="E16"/>
  <c r="K13"/>
  <c r="H13"/>
  <c r="E13"/>
  <c r="M11"/>
  <c r="Q9"/>
  <c r="M7"/>
  <c r="Q5"/>
  <c r="XFD9" i="6"/>
  <c r="XFD8"/>
  <c r="M11" i="8"/>
  <c r="M98" i="10" s="1"/>
  <c r="K2" i="8" l="1"/>
  <c r="K17" i="10"/>
  <c r="D19" i="1"/>
  <c r="E19" s="1"/>
  <c r="F19" s="1"/>
  <c r="U22" i="14"/>
  <c r="AR10" s="1"/>
  <c r="K13"/>
  <c r="M14"/>
  <c r="J13"/>
  <c r="L14"/>
  <c r="K14"/>
  <c r="Q14" s="1"/>
  <c r="S14" s="1"/>
  <c r="P14"/>
  <c r="L13"/>
  <c r="N14"/>
  <c r="K17"/>
  <c r="J16"/>
  <c r="L15"/>
  <c r="I17"/>
  <c r="I18"/>
  <c r="L20"/>
  <c r="M20" s="1"/>
  <c r="K18"/>
  <c r="J17"/>
  <c r="I19"/>
  <c r="J20"/>
  <c r="K20" s="1"/>
  <c r="Q20" s="1"/>
  <c r="I21"/>
  <c r="K15"/>
  <c r="J15"/>
  <c r="J19"/>
  <c r="K19" s="1"/>
  <c r="K21"/>
  <c r="H22"/>
  <c r="K16"/>
  <c r="R14"/>
  <c r="T14" s="1"/>
  <c r="O13"/>
  <c r="P13"/>
  <c r="N13"/>
  <c r="V15"/>
  <c r="V20"/>
  <c r="V13"/>
  <c r="V18"/>
  <c r="V16"/>
  <c r="V17"/>
  <c r="V21"/>
  <c r="V19"/>
  <c r="V14"/>
  <c r="C54" i="10"/>
  <c r="R16" s="1"/>
  <c r="L50"/>
  <c r="V48" i="12"/>
  <c r="M13"/>
  <c r="Q14" s="1"/>
  <c r="O32"/>
  <c r="M13" i="13"/>
  <c r="Q14" s="1"/>
  <c r="XFD10" i="6"/>
  <c r="S20" i="14" l="1"/>
  <c r="AI20" s="1"/>
  <c r="AK20" s="1"/>
  <c r="Q21"/>
  <c r="S21" s="1"/>
  <c r="AI21" s="1"/>
  <c r="AK21" s="1"/>
  <c r="Z19"/>
  <c r="AA19" s="1"/>
  <c r="W19"/>
  <c r="X19"/>
  <c r="Y19" s="1"/>
  <c r="X18"/>
  <c r="Y18"/>
  <c r="W18"/>
  <c r="Q15"/>
  <c r="S15" s="1"/>
  <c r="AI15" s="1"/>
  <c r="AK15" s="1"/>
  <c r="Q19"/>
  <c r="S19" s="1"/>
  <c r="AI19" s="1"/>
  <c r="AK19" s="1"/>
  <c r="X14"/>
  <c r="AC14"/>
  <c r="Y14"/>
  <c r="AD14"/>
  <c r="W14"/>
  <c r="Z14"/>
  <c r="AA14"/>
  <c r="AB14"/>
  <c r="Q16"/>
  <c r="S16" s="1"/>
  <c r="AI16" s="1"/>
  <c r="AK16" s="1"/>
  <c r="AL16" s="1"/>
  <c r="AM16" s="1"/>
  <c r="Y17"/>
  <c r="Z17"/>
  <c r="W17"/>
  <c r="X17"/>
  <c r="X20"/>
  <c r="Y20" s="1"/>
  <c r="Z20"/>
  <c r="AA20" s="1"/>
  <c r="W20"/>
  <c r="W21"/>
  <c r="X21"/>
  <c r="Y21"/>
  <c r="Q17"/>
  <c r="S17" s="1"/>
  <c r="AI17" s="1"/>
  <c r="AK17" s="1"/>
  <c r="AL17" s="1"/>
  <c r="AM17" s="1"/>
  <c r="Q18"/>
  <c r="S18" s="1"/>
  <c r="AI18" s="1"/>
  <c r="AK18" s="1"/>
  <c r="X16"/>
  <c r="W16"/>
  <c r="Y16"/>
  <c r="Z16"/>
  <c r="W15"/>
  <c r="X15"/>
  <c r="Y15"/>
  <c r="Z15"/>
  <c r="AA13"/>
  <c r="X13"/>
  <c r="Y13"/>
  <c r="V22"/>
  <c r="W13"/>
  <c r="Z13"/>
  <c r="AD13"/>
  <c r="AC13"/>
  <c r="AB13"/>
  <c r="R13"/>
  <c r="T13" s="1"/>
  <c r="Q13"/>
  <c r="S13" s="1"/>
  <c r="Q45" i="12"/>
  <c r="Q46" s="1"/>
  <c r="D67" l="1"/>
  <c r="D67" i="13"/>
  <c r="H19" i="1"/>
  <c r="AL15" i="14"/>
  <c r="AM15" s="1"/>
  <c r="AE21"/>
  <c r="AE20"/>
  <c r="AG20" s="1"/>
  <c r="AJ20" s="1"/>
  <c r="AL20" s="1"/>
  <c r="AM20" s="1"/>
  <c r="AE18"/>
  <c r="AG18" s="1"/>
  <c r="AJ18" s="1"/>
  <c r="AL18" s="1"/>
  <c r="AM18" s="1"/>
  <c r="AE19"/>
  <c r="AG19" s="1"/>
  <c r="AJ19" s="1"/>
  <c r="AL19" s="1"/>
  <c r="AM19" s="1"/>
  <c r="AE14"/>
  <c r="AG14" s="1"/>
  <c r="AF14"/>
  <c r="AH14" s="1"/>
  <c r="AE17"/>
  <c r="AG17" s="1"/>
  <c r="AJ17" s="1"/>
  <c r="AE15"/>
  <c r="AG15" s="1"/>
  <c r="AE16"/>
  <c r="AG16" s="1"/>
  <c r="AJ16" s="1"/>
  <c r="AG21"/>
  <c r="AJ21" s="1"/>
  <c r="AL21" s="1"/>
  <c r="AM21" s="1"/>
  <c r="AE13"/>
  <c r="AG13" s="1"/>
  <c r="AF13"/>
  <c r="AH13" s="1"/>
  <c r="B69" i="8"/>
  <c r="P67"/>
  <c r="AH48"/>
  <c r="J15" i="2"/>
  <c r="J16" s="1"/>
  <c r="J17" s="1"/>
  <c r="J18" s="1"/>
  <c r="J19" s="1"/>
  <c r="J20" s="1"/>
  <c r="J21" s="1"/>
  <c r="N12"/>
  <c r="N11"/>
  <c r="I11"/>
  <c r="I12" s="1"/>
  <c r="I13" s="1"/>
  <c r="I14" s="1"/>
  <c r="I15" s="1"/>
  <c r="I16" s="1"/>
  <c r="I17" s="1"/>
  <c r="I18" s="1"/>
  <c r="I19" s="1"/>
  <c r="I20" s="1"/>
  <c r="I21" s="1"/>
  <c r="S17" i="8"/>
  <c r="S18"/>
  <c r="S16"/>
  <c r="E18"/>
  <c r="E17"/>
  <c r="E16"/>
  <c r="N13" i="2" l="1"/>
  <c r="F67" i="12"/>
  <c r="K69" i="13"/>
  <c r="K69" i="12"/>
  <c r="K69" i="8"/>
  <c r="F67" i="13"/>
  <c r="I19" i="1"/>
  <c r="AJ15" i="14"/>
  <c r="S19" i="8"/>
  <c r="N14" i="2" l="1"/>
  <c r="J19" i="1"/>
  <c r="K19" s="1"/>
  <c r="M7" i="8"/>
  <c r="V32" i="2" a="1"/>
  <c r="V32" s="1"/>
  <c r="W32" a="1"/>
  <c r="W32" s="1"/>
  <c r="X32" a="1"/>
  <c r="X32" s="1"/>
  <c r="Y32" a="1"/>
  <c r="Y32" s="1"/>
  <c r="K32" a="1"/>
  <c r="L32" a="1"/>
  <c r="L32" s="1"/>
  <c r="M32" a="1"/>
  <c r="M32" s="1"/>
  <c r="N15" l="1"/>
  <c r="P3" i="8"/>
  <c r="P3" i="13"/>
  <c r="P3" i="12"/>
  <c r="E3" i="8"/>
  <c r="E3" i="13"/>
  <c r="E3" i="12"/>
  <c r="S80" i="7"/>
  <c r="G80"/>
  <c r="P74"/>
  <c r="D74"/>
  <c r="P65"/>
  <c r="D65"/>
  <c r="I78" s="1"/>
  <c r="S45"/>
  <c r="P39"/>
  <c r="P30"/>
  <c r="U43" s="1"/>
  <c r="G45"/>
  <c r="D39"/>
  <c r="D30"/>
  <c r="I43" s="1"/>
  <c r="S21"/>
  <c r="P15"/>
  <c r="P6"/>
  <c r="D6"/>
  <c r="I19" s="1"/>
  <c r="G21"/>
  <c r="D15"/>
  <c r="N16" i="2" l="1"/>
  <c r="L19" i="1"/>
  <c r="M19" s="1"/>
  <c r="I67" i="13"/>
  <c r="I67" i="12"/>
  <c r="U19" i="7"/>
  <c r="U78"/>
  <c r="N17" i="2" l="1"/>
  <c r="J67" i="13"/>
  <c r="J67" i="12"/>
  <c r="L67"/>
  <c r="C4" i="6"/>
  <c r="A4"/>
  <c r="A1"/>
  <c r="B1" i="8" s="1"/>
  <c r="N18" i="2" l="1"/>
  <c r="L67" i="13"/>
  <c r="K67" i="12"/>
  <c r="Q67" s="1"/>
  <c r="K67" i="13"/>
  <c r="H10" i="10"/>
  <c r="D4" i="14" s="1"/>
  <c r="D5"/>
  <c r="BC45"/>
  <c r="B1" i="12"/>
  <c r="B10" i="10"/>
  <c r="B1" i="13"/>
  <c r="W66" i="7"/>
  <c r="W31"/>
  <c r="K7"/>
  <c r="K31"/>
  <c r="K66"/>
  <c r="W7"/>
  <c r="H31"/>
  <c r="H66"/>
  <c r="T7"/>
  <c r="T66"/>
  <c r="T31"/>
  <c r="H7"/>
  <c r="N19" i="2" l="1"/>
  <c r="BE7" i="14"/>
  <c r="Q67" i="13"/>
  <c r="P4" i="2"/>
  <c r="AI11"/>
  <c r="AI12"/>
  <c r="AI13"/>
  <c r="AH15"/>
  <c r="AJ16"/>
  <c r="AI17"/>
  <c r="AI18"/>
  <c r="AI20"/>
  <c r="AI21"/>
  <c r="N20" l="1"/>
  <c r="L3" i="12"/>
  <c r="L3" i="13"/>
  <c r="AG13" i="2"/>
  <c r="AI10"/>
  <c r="AJ10" s="1"/>
  <c r="AG18"/>
  <c r="AH10"/>
  <c r="AK10" s="1"/>
  <c r="AH18"/>
  <c r="AG15"/>
  <c r="AG20"/>
  <c r="AG16"/>
  <c r="AG11"/>
  <c r="AH20"/>
  <c r="AH16"/>
  <c r="AH12"/>
  <c r="AG10"/>
  <c r="AH11"/>
  <c r="AG21"/>
  <c r="AG17"/>
  <c r="AG12"/>
  <c r="AH21"/>
  <c r="AH17"/>
  <c r="AH13"/>
  <c r="AI16"/>
  <c r="N21" l="1"/>
  <c r="T32" a="1"/>
  <c r="S32" a="1"/>
  <c r="Q32" a="1"/>
  <c r="N32" a="1"/>
  <c r="J32" a="1"/>
  <c r="J32" s="1"/>
  <c r="I32" a="1"/>
  <c r="I32" s="1"/>
  <c r="I24" i="10" l="1"/>
  <c r="L24" s="1"/>
  <c r="I22"/>
  <c r="L22" s="1"/>
  <c r="I23"/>
  <c r="L23" s="1"/>
  <c r="R32" i="2" a="1"/>
  <c r="N32"/>
  <c r="U32" a="1"/>
  <c r="U32" s="1"/>
  <c r="L14" i="6" s="1"/>
  <c r="F11" i="2"/>
  <c r="S32"/>
  <c r="R32"/>
  <c r="T32"/>
  <c r="I24" i="13" s="1"/>
  <c r="I29" l="1"/>
  <c r="H11" i="2"/>
  <c r="G11"/>
  <c r="G23" s="1"/>
  <c r="O23" s="1"/>
  <c r="AB23" s="1"/>
  <c r="S67" i="8"/>
  <c r="I21" i="10"/>
  <c r="Z32" i="2" a="1"/>
  <c r="Z32" s="1"/>
  <c r="P22"/>
  <c r="F12"/>
  <c r="M8" i="12" l="1"/>
  <c r="M8" i="13"/>
  <c r="Q9" s="1"/>
  <c r="M8" i="8"/>
  <c r="H28"/>
  <c r="Y8" i="10" s="1"/>
  <c r="AA8" s="1"/>
  <c r="O11" i="2"/>
  <c r="AB11" s="1"/>
  <c r="G12"/>
  <c r="O12" s="1"/>
  <c r="AB12" s="1"/>
  <c r="H12"/>
  <c r="M143" i="10"/>
  <c r="J57"/>
  <c r="I25"/>
  <c r="R14" s="1"/>
  <c r="R17" s="1"/>
  <c r="L21"/>
  <c r="L25" s="1"/>
  <c r="F13" i="2"/>
  <c r="F14" l="1"/>
  <c r="H13"/>
  <c r="G13"/>
  <c r="O13" s="1"/>
  <c r="AB13" s="1"/>
  <c r="F15"/>
  <c r="H14" l="1"/>
  <c r="G14"/>
  <c r="O14" s="1"/>
  <c r="AB14" s="1"/>
  <c r="F16"/>
  <c r="H15"/>
  <c r="G15"/>
  <c r="O15" s="1"/>
  <c r="AB15" s="1"/>
  <c r="AG14"/>
  <c r="AJ14"/>
  <c r="AH14"/>
  <c r="O16" l="1"/>
  <c r="AB16" s="1"/>
  <c r="F17"/>
  <c r="H16"/>
  <c r="G16"/>
  <c r="AI14"/>
  <c r="AK14"/>
  <c r="AK22" s="1"/>
  <c r="G26" s="1"/>
  <c r="O26" s="1"/>
  <c r="AJ15"/>
  <c r="AJ22" s="1"/>
  <c r="G28" s="1"/>
  <c r="O28" s="1"/>
  <c r="AI15"/>
  <c r="AB28" l="1"/>
  <c r="F18"/>
  <c r="H17"/>
  <c r="G17"/>
  <c r="G24" s="1"/>
  <c r="O24" s="1"/>
  <c r="AB24" s="1"/>
  <c r="P26"/>
  <c r="AA26" s="1"/>
  <c r="AB26" s="1"/>
  <c r="P28"/>
  <c r="AA28" s="1"/>
  <c r="O17" l="1"/>
  <c r="AB17" s="1"/>
  <c r="F19"/>
  <c r="G18"/>
  <c r="O18" s="1"/>
  <c r="AB18" s="1"/>
  <c r="H18"/>
  <c r="P32" a="1"/>
  <c r="G20" l="1"/>
  <c r="O20" s="1"/>
  <c r="AB20" s="1"/>
  <c r="G19"/>
  <c r="O19" s="1"/>
  <c r="AB19" s="1"/>
  <c r="H19"/>
  <c r="AG19" l="1"/>
  <c r="AG22" s="1"/>
  <c r="F25" s="1"/>
  <c r="Q32" l="1"/>
  <c r="I23" i="13" s="1"/>
  <c r="AH19" i="2"/>
  <c r="AH22" s="1"/>
  <c r="G25" s="1"/>
  <c r="O25" s="1"/>
  <c r="AB25" s="1"/>
  <c r="AB32" s="1"/>
  <c r="AI19"/>
  <c r="AI22" s="1"/>
  <c r="F21"/>
  <c r="G21" l="1"/>
  <c r="F4" i="6" s="1"/>
  <c r="H21" i="2"/>
  <c r="I4" i="6" s="1"/>
  <c r="E4"/>
  <c r="K32" i="2"/>
  <c r="F32" a="1"/>
  <c r="F32" s="1"/>
  <c r="O21" l="1"/>
  <c r="AB21" s="1"/>
  <c r="P32"/>
  <c r="I28" i="13" s="1"/>
  <c r="G4" i="6"/>
  <c r="H4" s="1"/>
  <c r="H32" i="2" a="1"/>
  <c r="H32" s="1"/>
  <c r="G32" a="1"/>
  <c r="G32" s="1"/>
  <c r="O32" a="1"/>
  <c r="AA32" l="1" a="1"/>
  <c r="AA32" s="1"/>
  <c r="J4" i="6"/>
  <c r="M4" s="1"/>
  <c r="O32" i="2"/>
  <c r="Q4" i="12" l="1"/>
  <c r="Q6" s="1"/>
  <c r="Q10" s="1"/>
  <c r="Q15" s="1"/>
  <c r="Q20" s="1"/>
  <c r="Q47" s="1"/>
  <c r="Q48" s="1"/>
  <c r="Q4" i="13"/>
  <c r="AC32" i="2" a="1"/>
  <c r="AC32" s="1"/>
  <c r="AK54" i="12" l="1"/>
  <c r="AL54"/>
  <c r="AH54"/>
  <c r="AH55" s="1"/>
  <c r="AM54"/>
  <c r="AI54"/>
  <c r="AN54"/>
  <c r="AJ54"/>
  <c r="Y42"/>
  <c r="X42"/>
  <c r="X44" s="1"/>
  <c r="Z42"/>
  <c r="W42"/>
  <c r="W43" s="1"/>
  <c r="AI56" l="1"/>
  <c r="AI57"/>
  <c r="AN56"/>
  <c r="AN57"/>
  <c r="AN55"/>
  <c r="Q57" s="1"/>
  <c r="AL56"/>
  <c r="AL57"/>
  <c r="AL55"/>
  <c r="Q55" s="1"/>
  <c r="AK57"/>
  <c r="AK56"/>
  <c r="AK55"/>
  <c r="AJ56"/>
  <c r="AJ57"/>
  <c r="AJ55"/>
  <c r="AM56"/>
  <c r="AM57"/>
  <c r="AM55"/>
  <c r="Q56" s="1"/>
  <c r="Q52"/>
  <c r="Q59" s="1"/>
  <c r="Y45"/>
  <c r="Y44"/>
  <c r="Y43"/>
  <c r="Z45"/>
  <c r="Z44"/>
  <c r="Z43"/>
  <c r="Q54" l="1"/>
  <c r="Q53"/>
  <c r="Q58" l="1"/>
  <c r="Q60" s="1"/>
  <c r="Q61" s="1"/>
  <c r="Q62" s="1"/>
  <c r="Q56" i="13" l="1"/>
  <c r="Q55"/>
  <c r="Q57"/>
  <c r="O27"/>
  <c r="Q40" l="1"/>
  <c r="Q45"/>
  <c r="O30" l="1"/>
  <c r="O32" s="1"/>
  <c r="Q33" s="1"/>
  <c r="Q35" s="1"/>
  <c r="Q46" s="1"/>
  <c r="J47" i="7" l="1"/>
  <c r="J82"/>
  <c r="V23"/>
  <c r="J23"/>
  <c r="V47"/>
  <c r="V82"/>
  <c r="B7" i="10"/>
  <c r="R91"/>
  <c r="H92" s="1"/>
  <c r="D2" i="14"/>
  <c r="AJ13" s="1"/>
  <c r="P2" i="8"/>
  <c r="S4" l="1"/>
  <c r="J78" i="10" s="1"/>
  <c r="K83" s="1"/>
  <c r="Q24" i="8"/>
  <c r="S154" i="10"/>
  <c r="U154" s="1"/>
  <c r="S35" i="8"/>
  <c r="H119" i="10" s="1"/>
  <c r="S143"/>
  <c r="U143" s="1"/>
  <c r="S43" i="8"/>
  <c r="S163" i="10" s="1"/>
  <c r="U163" s="1"/>
  <c r="S152"/>
  <c r="U152" s="1"/>
  <c r="S141"/>
  <c r="U141" s="1"/>
  <c r="S137"/>
  <c r="U137" s="1"/>
  <c r="H51" i="8"/>
  <c r="S42"/>
  <c r="S162" i="10" s="1"/>
  <c r="U162" s="1"/>
  <c r="AI14" i="14"/>
  <c r="AK14" s="1"/>
  <c r="AL14" s="1"/>
  <c r="AM14" s="1"/>
  <c r="S139" i="10"/>
  <c r="U139" s="1"/>
  <c r="S40" i="8"/>
  <c r="S160" i="10" s="1"/>
  <c r="U160" s="1"/>
  <c r="L51" i="8"/>
  <c r="C55"/>
  <c r="C51"/>
  <c r="L52"/>
  <c r="F54"/>
  <c r="S151" i="10"/>
  <c r="U151" s="1"/>
  <c r="S147"/>
  <c r="U147" s="1"/>
  <c r="S41" i="8"/>
  <c r="S161" i="10" s="1"/>
  <c r="U161" s="1"/>
  <c r="H54" i="8"/>
  <c r="L53"/>
  <c r="H56"/>
  <c r="C54"/>
  <c r="K13"/>
  <c r="F53"/>
  <c r="F57"/>
  <c r="C57"/>
  <c r="C53"/>
  <c r="H53"/>
  <c r="AG48"/>
  <c r="S149" i="10"/>
  <c r="U149" s="1"/>
  <c r="Q56" i="8"/>
  <c r="S150" i="10"/>
  <c r="U150" s="1"/>
  <c r="S144"/>
  <c r="U144" s="1"/>
  <c r="S39" i="8"/>
  <c r="S159" i="10" s="1"/>
  <c r="U159" s="1"/>
  <c r="S37" i="8"/>
  <c r="S140" i="10"/>
  <c r="U140" s="1"/>
  <c r="AJ14" i="14"/>
  <c r="C56" i="8"/>
  <c r="F56"/>
  <c r="L54"/>
  <c r="Q54"/>
  <c r="H13"/>
  <c r="K53"/>
  <c r="L56"/>
  <c r="Q55"/>
  <c r="Q51"/>
  <c r="S138" i="10"/>
  <c r="U138" s="1"/>
  <c r="H57" i="8"/>
  <c r="K55"/>
  <c r="K57"/>
  <c r="L57"/>
  <c r="S136" i="10"/>
  <c r="U136" s="1"/>
  <c r="V136" s="1"/>
  <c r="W136" s="1"/>
  <c r="Q136" s="1"/>
  <c r="AI13" i="14"/>
  <c r="AK13" s="1"/>
  <c r="S153" i="10"/>
  <c r="U153" s="1"/>
  <c r="S145"/>
  <c r="U145" s="1"/>
  <c r="S44" i="8"/>
  <c r="S164" i="10" s="1"/>
  <c r="U164" s="1"/>
  <c r="S38" i="8"/>
  <c r="S158" i="10" s="1"/>
  <c r="U158" s="1"/>
  <c r="S148"/>
  <c r="U148" s="1"/>
  <c r="E13" i="8"/>
  <c r="Q53"/>
  <c r="Q52"/>
  <c r="S9"/>
  <c r="R90" i="10" s="1"/>
  <c r="H91" s="1"/>
  <c r="J94" s="1"/>
  <c r="K54" i="8"/>
  <c r="K56"/>
  <c r="L55"/>
  <c r="F55"/>
  <c r="Q57"/>
  <c r="H55"/>
  <c r="Q32" l="1"/>
  <c r="S33" s="1"/>
  <c r="S36" s="1"/>
  <c r="Y22" i="10"/>
  <c r="J119"/>
  <c r="L119" s="1"/>
  <c r="H118"/>
  <c r="J118" s="1"/>
  <c r="L118" s="1"/>
  <c r="V137"/>
  <c r="W137" s="1"/>
  <c r="Q137" s="1"/>
  <c r="M13" i="8"/>
  <c r="S14" s="1"/>
  <c r="AI48"/>
  <c r="AK22" i="14"/>
  <c r="AL13"/>
  <c r="S45" i="8"/>
  <c r="S157" i="10"/>
  <c r="U157" s="1"/>
  <c r="V157" s="1"/>
  <c r="W157" s="1"/>
  <c r="Q157" s="1"/>
  <c r="S146"/>
  <c r="U146" s="1"/>
  <c r="S46" i="8" l="1"/>
  <c r="V138" i="10"/>
  <c r="W138" s="1"/>
  <c r="Q138" s="1"/>
  <c r="M99"/>
  <c r="AM13" i="14"/>
  <c r="AM22" s="1"/>
  <c r="AR22" s="1"/>
  <c r="AL22"/>
  <c r="V158" i="10"/>
  <c r="V139" l="1"/>
  <c r="W139" s="1"/>
  <c r="Q139" s="1"/>
  <c r="W158"/>
  <c r="Q158" s="1"/>
  <c r="V159"/>
  <c r="V140" l="1"/>
  <c r="W159"/>
  <c r="Q159" s="1"/>
  <c r="V160"/>
  <c r="V141" l="1"/>
  <c r="W140"/>
  <c r="Q140" s="1"/>
  <c r="W160"/>
  <c r="Q160" s="1"/>
  <c r="V161"/>
  <c r="W141" l="1"/>
  <c r="Q141" s="1"/>
  <c r="V143"/>
  <c r="W161"/>
  <c r="Q161" s="1"/>
  <c r="V162"/>
  <c r="V144" l="1"/>
  <c r="W143"/>
  <c r="Q143" s="1"/>
  <c r="W162"/>
  <c r="Q162" s="1"/>
  <c r="V163"/>
  <c r="V145" l="1"/>
  <c r="W144"/>
  <c r="Q144" s="1"/>
  <c r="W163"/>
  <c r="Q163" s="1"/>
  <c r="V164"/>
  <c r="W164" s="1"/>
  <c r="V146" l="1"/>
  <c r="W145"/>
  <c r="Q145" s="1"/>
  <c r="Q164"/>
  <c r="D127" s="1"/>
  <c r="W146" l="1"/>
  <c r="Q146" s="1"/>
  <c r="V147"/>
  <c r="D123"/>
  <c r="H123"/>
  <c r="J123" s="1"/>
  <c r="L123" s="1"/>
  <c r="H124"/>
  <c r="J124" s="1"/>
  <c r="L124" s="1"/>
  <c r="H125"/>
  <c r="J125" s="1"/>
  <c r="L125" s="1"/>
  <c r="D124"/>
  <c r="D128"/>
  <c r="D126"/>
  <c r="D125"/>
  <c r="H128"/>
  <c r="J128" s="1"/>
  <c r="L128" s="1"/>
  <c r="H127"/>
  <c r="J127" s="1"/>
  <c r="L127" s="1"/>
  <c r="H126"/>
  <c r="J126" s="1"/>
  <c r="L126" s="1"/>
  <c r="V148" l="1"/>
  <c r="W147"/>
  <c r="Q147" s="1"/>
  <c r="M129"/>
  <c r="W148" l="1"/>
  <c r="Q148" s="1"/>
  <c r="V149"/>
  <c r="V150" l="1"/>
  <c r="W149"/>
  <c r="Q149" s="1"/>
  <c r="V151" l="1"/>
  <c r="W150"/>
  <c r="Q150" s="1"/>
  <c r="W151" l="1"/>
  <c r="Q151" s="1"/>
  <c r="V152"/>
  <c r="V153" l="1"/>
  <c r="W152"/>
  <c r="Q152" s="1"/>
  <c r="W153" l="1"/>
  <c r="Q153" s="1"/>
  <c r="V154"/>
  <c r="W154" s="1"/>
  <c r="Q154" s="1"/>
  <c r="S69" i="7" l="1"/>
  <c r="G10"/>
  <c r="G9" s="1"/>
  <c r="S10"/>
  <c r="N4" i="6"/>
  <c r="G69" i="7"/>
  <c r="G68" s="1"/>
  <c r="G34"/>
  <c r="G33" s="1"/>
  <c r="D37" s="1"/>
  <c r="S34"/>
  <c r="S33" s="1"/>
  <c r="P37" s="1"/>
  <c r="L4" i="6"/>
  <c r="T4" s="1"/>
  <c r="K4" l="1"/>
  <c r="S9" i="7"/>
  <c r="S68"/>
  <c r="P72"/>
  <c r="D72"/>
  <c r="P13"/>
  <c r="D13"/>
  <c r="Q5" i="13" l="1"/>
  <c r="Q6" s="1"/>
  <c r="Q10" s="1"/>
  <c r="Q15" s="1"/>
  <c r="Q20" s="1"/>
  <c r="Q47" s="1"/>
  <c r="Q48" s="1"/>
  <c r="Y54" s="1"/>
  <c r="S5" i="8"/>
  <c r="S6" s="1"/>
  <c r="S10" s="1"/>
  <c r="S15" s="1"/>
  <c r="S20" s="1"/>
  <c r="S47" s="1"/>
  <c r="S48" s="1"/>
  <c r="AA54" i="13" l="1"/>
  <c r="AA57" s="1"/>
  <c r="W54"/>
  <c r="W55" s="1"/>
  <c r="AC54"/>
  <c r="AC55" s="1"/>
  <c r="X54"/>
  <c r="X56" s="1"/>
  <c r="Z42"/>
  <c r="Z44" s="1"/>
  <c r="AB54"/>
  <c r="AB57" s="1"/>
  <c r="J86" i="10"/>
  <c r="K88" s="1"/>
  <c r="M96" s="1"/>
  <c r="M101" s="1"/>
  <c r="Y42" i="13"/>
  <c r="Y44" s="1"/>
  <c r="W42"/>
  <c r="W43" s="1"/>
  <c r="Q52" s="1"/>
  <c r="Q59" s="1"/>
  <c r="X42"/>
  <c r="X44" s="1"/>
  <c r="Z54"/>
  <c r="Z56" s="1"/>
  <c r="AO54" i="8"/>
  <c r="AJ54"/>
  <c r="AJ55" s="1"/>
  <c r="AP54"/>
  <c r="AM54"/>
  <c r="AM42"/>
  <c r="AK42"/>
  <c r="AK44" s="1"/>
  <c r="AN54"/>
  <c r="E10" i="14"/>
  <c r="AR12" s="1"/>
  <c r="M133" i="10"/>
  <c r="AL42" i="8"/>
  <c r="AJ42"/>
  <c r="AJ43" s="1"/>
  <c r="AL54"/>
  <c r="AK54"/>
  <c r="Y57" i="13"/>
  <c r="Y56"/>
  <c r="Y55"/>
  <c r="S52" i="8" l="1"/>
  <c r="S59" s="1"/>
  <c r="M136" i="10" s="1"/>
  <c r="Y45" i="13"/>
  <c r="AC56"/>
  <c r="X57"/>
  <c r="AC57"/>
  <c r="Z57"/>
  <c r="Y43"/>
  <c r="Q53" s="1"/>
  <c r="AB56"/>
  <c r="Z55"/>
  <c r="AB55"/>
  <c r="AA56"/>
  <c r="Z43"/>
  <c r="Q54" s="1"/>
  <c r="AA55"/>
  <c r="Z45"/>
  <c r="AL45" i="8"/>
  <c r="AL44"/>
  <c r="AL43"/>
  <c r="AN57"/>
  <c r="AN56"/>
  <c r="AN55"/>
  <c r="S55" s="1"/>
  <c r="AP57"/>
  <c r="AP56"/>
  <c r="AP55"/>
  <c r="S57" s="1"/>
  <c r="AK57"/>
  <c r="AK56"/>
  <c r="AL55"/>
  <c r="AL56"/>
  <c r="AL57"/>
  <c r="AV15" i="14"/>
  <c r="AW15" s="1"/>
  <c r="AS14"/>
  <c r="AT14" s="1"/>
  <c r="AV14"/>
  <c r="AW14" s="1"/>
  <c r="AR7"/>
  <c r="AV16"/>
  <c r="AW16" s="1"/>
  <c r="AS16"/>
  <c r="AT16" s="1"/>
  <c r="AS15"/>
  <c r="AT15" s="1"/>
  <c r="AV18"/>
  <c r="AW18" s="1"/>
  <c r="AV19"/>
  <c r="AW19" s="1"/>
  <c r="AV17"/>
  <c r="AW17" s="1"/>
  <c r="AM55" i="8"/>
  <c r="AM56"/>
  <c r="AM57"/>
  <c r="AM45"/>
  <c r="AM43"/>
  <c r="S54" s="1"/>
  <c r="AM44"/>
  <c r="AO57"/>
  <c r="AO55"/>
  <c r="S56" s="1"/>
  <c r="AO56"/>
  <c r="S53" l="1"/>
  <c r="S58" s="1"/>
  <c r="M135" i="10" s="1"/>
  <c r="M137" s="1"/>
  <c r="Q58" i="13"/>
  <c r="Q60" s="1"/>
  <c r="Q61" s="1"/>
  <c r="AS9" i="14"/>
  <c r="AT9" s="1"/>
  <c r="AV9"/>
  <c r="AW9" s="1"/>
  <c r="AS8"/>
  <c r="AT8" s="1"/>
  <c r="AS7"/>
  <c r="AT7" s="1"/>
  <c r="AV11"/>
  <c r="AW11" s="1"/>
  <c r="AV10"/>
  <c r="AW10" s="1"/>
  <c r="AV7"/>
  <c r="AW7" s="1"/>
  <c r="AV12"/>
  <c r="AW12" s="1"/>
  <c r="AV8"/>
  <c r="AW8" s="1"/>
  <c r="AU14"/>
  <c r="AX14"/>
  <c r="AR14" l="1"/>
  <c r="BF15" s="1"/>
  <c r="Q62" i="13"/>
  <c r="S60" i="8"/>
  <c r="S61" s="1"/>
  <c r="S62" s="1"/>
  <c r="AX7" i="14"/>
  <c r="M138" i="10"/>
  <c r="M139" s="1"/>
  <c r="AU7" i="14"/>
  <c r="AR17" l="1"/>
  <c r="AR19" s="1"/>
  <c r="AR26" s="1"/>
  <c r="A9" s="1"/>
  <c r="Q26" i="6" l="1"/>
  <c r="S63" i="8" s="1"/>
  <c r="Q63" i="12" l="1"/>
  <c r="Q64" s="1"/>
  <c r="Q65" s="1"/>
  <c r="L68" s="1"/>
  <c r="Q63" i="13"/>
  <c r="Q64" s="1"/>
  <c r="Q65" s="1"/>
  <c r="L68" s="1"/>
  <c r="M140" i="10"/>
  <c r="M141" s="1"/>
  <c r="M142" s="1"/>
  <c r="M144" s="1"/>
  <c r="J144" s="1"/>
  <c r="S64" i="8"/>
  <c r="S65" s="1"/>
  <c r="Z12" l="1"/>
  <c r="Q68" i="12"/>
  <c r="Z8" i="8"/>
  <c r="Q68" i="13"/>
  <c r="S68" i="8"/>
  <c r="L68"/>
  <c r="U12" l="1"/>
  <c r="U8"/>
  <c r="AA3" i="10"/>
  <c r="AB3" s="1"/>
  <c r="AC3" s="1"/>
  <c r="AB4" l="1"/>
  <c r="W3"/>
  <c r="AC4" l="1"/>
  <c r="W4" s="1"/>
  <c r="AB5"/>
  <c r="AB6" l="1"/>
  <c r="AC5"/>
  <c r="W5" s="1"/>
  <c r="AC6" l="1"/>
  <c r="W6" s="1"/>
  <c r="AB7"/>
  <c r="AC7" l="1"/>
  <c r="W7" s="1"/>
  <c r="AB9"/>
  <c r="AB8"/>
  <c r="AC8" s="1"/>
  <c r="W8" s="1"/>
  <c r="AC9" l="1"/>
  <c r="W9" s="1"/>
  <c r="AB10"/>
  <c r="AB11" l="1"/>
  <c r="AC10"/>
  <c r="W10" s="1"/>
  <c r="AB12" l="1"/>
  <c r="AC11"/>
  <c r="W11" s="1"/>
  <c r="AC12" l="1"/>
  <c r="W12" s="1"/>
  <c r="AB13"/>
  <c r="AC13" l="1"/>
  <c r="W13" s="1"/>
  <c r="AB14"/>
  <c r="AC14" l="1"/>
  <c r="W14" s="1"/>
  <c r="AB15"/>
  <c r="AC15" l="1"/>
  <c r="W15" s="1"/>
  <c r="AB16"/>
  <c r="AB17" l="1"/>
  <c r="AC16"/>
  <c r="W16" s="1"/>
  <c r="AC17" l="1"/>
  <c r="W17" s="1"/>
  <c r="AB18"/>
  <c r="AB19" l="1"/>
  <c r="AC18"/>
  <c r="W18" s="1"/>
  <c r="AC19" l="1"/>
  <c r="W19" s="1"/>
  <c r="AB20"/>
  <c r="AC20" s="1"/>
  <c r="W20" s="1"/>
  <c r="D107" l="1"/>
  <c r="D106"/>
  <c r="H106"/>
  <c r="J106" s="1"/>
  <c r="L106" s="1"/>
  <c r="H107"/>
  <c r="J107" s="1"/>
  <c r="L107" s="1"/>
  <c r="D115"/>
  <c r="H115"/>
  <c r="J115" s="1"/>
  <c r="L115" s="1"/>
  <c r="D112"/>
  <c r="D111"/>
  <c r="H109"/>
  <c r="J109" s="1"/>
  <c r="L109" s="1"/>
  <c r="H113"/>
  <c r="J113" s="1"/>
  <c r="L113" s="1"/>
  <c r="D113"/>
  <c r="D114"/>
  <c r="D109"/>
  <c r="H112"/>
  <c r="J112" s="1"/>
  <c r="L112" s="1"/>
  <c r="D108"/>
  <c r="H114"/>
  <c r="J114" s="1"/>
  <c r="L114" s="1"/>
  <c r="H110"/>
  <c r="J110" s="1"/>
  <c r="L110" s="1"/>
  <c r="H108"/>
  <c r="J108" s="1"/>
  <c r="L108" s="1"/>
  <c r="D110"/>
  <c r="H111"/>
  <c r="J111" s="1"/>
  <c r="L111" s="1"/>
  <c r="M116" l="1"/>
  <c r="L131" s="1"/>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sharedStrings.xml><?xml version="1.0" encoding="utf-8"?>
<sst xmlns="http://schemas.openxmlformats.org/spreadsheetml/2006/main" count="1183" uniqueCount="536">
  <si>
    <t>PREPARED BY :- UMMED TARAD (TEACHER, GSSS RAIMALWADA-BAPINI, JODHPUR)</t>
  </si>
  <si>
    <t>Mobile Number-9166973141, Email ID-ummedtrdedu@gmail.com</t>
  </si>
  <si>
    <t>Sr. No.</t>
  </si>
  <si>
    <t>Post</t>
  </si>
  <si>
    <t>Month</t>
  </si>
  <si>
    <t>Account Number</t>
  </si>
  <si>
    <t>Total</t>
  </si>
  <si>
    <t>Employee Name</t>
  </si>
  <si>
    <t>Employee ID</t>
  </si>
  <si>
    <t>Designation</t>
  </si>
  <si>
    <t>Deta Entry For School and Employee</t>
  </si>
  <si>
    <t>School Details</t>
  </si>
  <si>
    <t>Surrender</t>
  </si>
  <si>
    <t>Claimed (Yes/No)</t>
  </si>
  <si>
    <t>Deducted Amount</t>
  </si>
  <si>
    <t>Extra Paid Status</t>
  </si>
  <si>
    <t>Bonus</t>
  </si>
  <si>
    <t>LIC</t>
  </si>
  <si>
    <t>Bonus Amount</t>
  </si>
  <si>
    <t>Regular</t>
  </si>
  <si>
    <t>YES</t>
  </si>
  <si>
    <t>TAN No. :-</t>
  </si>
  <si>
    <t xml:space="preserve">DA </t>
  </si>
  <si>
    <t>Jan-22 to Mar-22</t>
  </si>
  <si>
    <t>Jul-22 to Sep-22</t>
  </si>
  <si>
    <t>Income Tax Deduction</t>
  </si>
  <si>
    <t>TV Number</t>
  </si>
  <si>
    <t>TV Date</t>
  </si>
  <si>
    <t>Basic</t>
  </si>
  <si>
    <t>DA</t>
  </si>
  <si>
    <t>HRA</t>
  </si>
  <si>
    <t>Other-2</t>
  </si>
  <si>
    <t>Other-1</t>
  </si>
  <si>
    <t>Allowance</t>
  </si>
  <si>
    <t>Groce Amount</t>
  </si>
  <si>
    <t>Deductions</t>
  </si>
  <si>
    <t>Income Tax</t>
  </si>
  <si>
    <t>Total Deductions</t>
  </si>
  <si>
    <t>Net Payment</t>
  </si>
  <si>
    <t>DA (Jul-22 to  Sep-22)</t>
  </si>
  <si>
    <t>Sal. Arrear-1</t>
  </si>
  <si>
    <t>Sal. Arrear-2</t>
  </si>
  <si>
    <t>Sal. Arrear-3</t>
  </si>
  <si>
    <t>Financial Year :-</t>
  </si>
  <si>
    <t>2022-23</t>
  </si>
  <si>
    <t>Employee Name :-</t>
  </si>
  <si>
    <t>Designation :-</t>
  </si>
  <si>
    <t>Account Number :-</t>
  </si>
  <si>
    <t>Siganture of Employee</t>
  </si>
  <si>
    <t>Surr. Arear</t>
  </si>
  <si>
    <t>PAN No.</t>
  </si>
  <si>
    <t>Posted Place</t>
  </si>
  <si>
    <t>Per Month HRA Reciept</t>
  </si>
  <si>
    <t>Quartly Amount For HRA Reciept</t>
  </si>
  <si>
    <t>House Owner Name</t>
  </si>
  <si>
    <t>House Owner Adress</t>
  </si>
  <si>
    <t>House Owner PAN Number</t>
  </si>
  <si>
    <t>RECEIPT OF HOUSE RENT</t>
  </si>
  <si>
    <t>(Under section 1 (13-A) of Income Tax Act)</t>
  </si>
  <si>
    <t>Date :-</t>
  </si>
  <si>
    <t xml:space="preserve">I Owner </t>
  </si>
  <si>
    <t xml:space="preserve">Received with Thanks from Sri/Smt. </t>
  </si>
  <si>
    <t>Address-</t>
  </si>
  <si>
    <t>Per Month From :-</t>
  </si>
  <si>
    <t xml:space="preserve">Rs.  =  </t>
  </si>
  <si>
    <t>Date:-</t>
  </si>
  <si>
    <t>(Signature of House Owner)</t>
  </si>
  <si>
    <t xml:space="preserve">(Affix Revenue Stamp of Rs.1/-) 
</t>
  </si>
  <si>
    <t>Name-</t>
  </si>
  <si>
    <t>ADDRESS</t>
  </si>
  <si>
    <t>PAN NUMBER</t>
  </si>
  <si>
    <t>1 April, 2022 To 30 June, 2022</t>
  </si>
  <si>
    <t xml:space="preserve">Towards the House Rent (Monthly) @ </t>
  </si>
  <si>
    <t xml:space="preserve">The sum of  (Quarterly) </t>
  </si>
  <si>
    <t xml:space="preserve">The sum of  (Yearly) </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</si>
  <si>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</si>
  <si>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</si>
  <si>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</si>
  <si>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</si>
  <si>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</si>
  <si>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</si>
  <si>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</si>
  <si>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</si>
  <si>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</si>
  <si>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</si>
  <si>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</si>
  <si>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</si>
  <si>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</si>
  <si>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</si>
  <si>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</si>
  <si>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</si>
  <si>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</si>
  <si>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</si>
  <si>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</si>
  <si>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</si>
  <si>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</si>
  <si>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</si>
  <si>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</si>
  <si>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</si>
  <si>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</si>
  <si>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</si>
  <si>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</si>
  <si>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</si>
  <si>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</si>
  <si>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</si>
  <si>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</si>
  <si>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Nil</t>
  </si>
  <si>
    <t>2,50,001-5,00,000</t>
  </si>
  <si>
    <t>3,00,001-5,00,000</t>
  </si>
  <si>
    <t>Extra exemptions</t>
  </si>
  <si>
    <t>DP</t>
  </si>
  <si>
    <t>Income Tax Calculation F.Y. 2022-22 (A.Y.2023-24)</t>
  </si>
  <si>
    <t>9(i)</t>
  </si>
  <si>
    <t>9(ii)</t>
  </si>
  <si>
    <t>9(iii)</t>
  </si>
  <si>
    <t>GPF/GPF 2004</t>
  </si>
  <si>
    <t>Employee Age (Less 60=A, Between 60&amp;80=B, Above 80=C)</t>
  </si>
  <si>
    <t>B</t>
  </si>
  <si>
    <t>Posting Place Name</t>
  </si>
  <si>
    <t>Extra TDS Deposited (Via Challan etc)</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</si>
  <si>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</si>
  <si>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</si>
  <si>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</si>
  <si>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</si>
  <si>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</si>
  <si>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</si>
  <si>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</si>
  <si>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</si>
  <si>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</si>
  <si>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</si>
  <si>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</si>
  <si>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</si>
  <si>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</si>
  <si>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</si>
  <si>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</si>
  <si>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</si>
  <si>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</si>
  <si>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</si>
  <si>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</si>
  <si>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</si>
  <si>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</si>
  <si>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</si>
  <si>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</si>
  <si>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</si>
  <si>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</si>
  <si>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</si>
  <si>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</si>
  <si>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</si>
  <si>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</si>
  <si>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</si>
  <si>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</si>
  <si>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</si>
  <si>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</si>
  <si>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</si>
  <si>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आय:वर्ष 2022-23 में कुल प्राप्त वेतन (कर योग्य सुविधाओं के मूल्य सहित)</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</si>
  <si>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</si>
  <si>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</si>
  <si>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</si>
  <si>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</si>
  <si>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</si>
  <si>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</si>
  <si>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</si>
  <si>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</si>
  <si>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</si>
  <si>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</si>
  <si>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</si>
  <si>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</si>
  <si>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</si>
  <si>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</si>
  <si>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</si>
  <si>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</si>
  <si>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</si>
  <si>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</si>
  <si>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</si>
  <si>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</si>
  <si>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</si>
  <si>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</si>
  <si>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</si>
  <si>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</si>
  <si>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</si>
  <si>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</si>
  <si>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</si>
  <si>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</si>
  <si>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</si>
  <si>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</si>
  <si>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</si>
  <si>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</si>
  <si>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</si>
  <si>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</si>
  <si>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</si>
  <si>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</si>
  <si>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</si>
  <si>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</si>
  <si>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</si>
  <si>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</si>
  <si>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</si>
  <si>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</si>
  <si>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</si>
  <si>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</si>
  <si>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</si>
  <si>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</si>
  <si>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</si>
  <si>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 xml:space="preserve">80 वर्ष या अधिक आयु </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</si>
  <si>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</si>
  <si>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</si>
  <si>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</si>
  <si>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</si>
  <si>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</si>
  <si>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</si>
  <si>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</si>
  <si>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</si>
  <si>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Itax deducted Till Jun-2022 (First Quarter)</t>
  </si>
  <si>
    <t>Itax deducted  July-22 to Sep.-22      (Second Quarter)</t>
  </si>
  <si>
    <t>Itax deducted Oct-22 to Dec.-22 (Third Quarter)</t>
  </si>
  <si>
    <t>Itax Deducted/Dedctable by Dec.22 Salary</t>
  </si>
  <si>
    <t>Itax Deducted/Dedctable by Jan-23 Salary</t>
  </si>
  <si>
    <t>Itax Deducted/Dedctable by Feb-23 Salary</t>
  </si>
  <si>
    <t xml:space="preserve">Itax Deducted addition to Salary </t>
  </si>
  <si>
    <t>Itax submitted by other means</t>
  </si>
  <si>
    <t xml:space="preserve">बिंदु 19 का योग </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</si>
  <si>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</si>
  <si>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</si>
  <si>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</si>
  <si>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</si>
  <si>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</si>
  <si>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</si>
  <si>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</si>
  <si>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</si>
  <si>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</si>
  <si>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</si>
  <si>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</si>
  <si>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&gt;750000</t>
  </si>
  <si>
    <t>&gt;1000000</t>
  </si>
  <si>
    <t>&gt;1250000</t>
  </si>
  <si>
    <t>&gt;1500000</t>
  </si>
  <si>
    <t>NO</t>
  </si>
  <si>
    <t>Comparison of Itax calculation in Old and New Tax Regime</t>
  </si>
  <si>
    <t>Tax Calculate by Old Tax Regime</t>
  </si>
  <si>
    <t>Tax Calculate by New Tax Regime</t>
  </si>
  <si>
    <r>
      <t>Your Choice</t>
    </r>
    <r>
      <rPr>
        <b/>
        <sz val="18"/>
        <color rgb="FF002060"/>
        <rFont val="Symbol"/>
        <family val="1"/>
        <charset val="2"/>
      </rPr>
      <t>®</t>
    </r>
  </si>
  <si>
    <t>FORM NO.16</t>
  </si>
  <si>
    <t>[See rule 31 (1) (a)]</t>
  </si>
  <si>
    <t>Part A</t>
  </si>
  <si>
    <t>Name and address of the employer</t>
  </si>
  <si>
    <t>Name and Designation of the employee</t>
  </si>
  <si>
    <t>PAN of the Deducter</t>
  </si>
  <si>
    <t>TAN of the Deducter</t>
  </si>
  <si>
    <t>PAN of the Employee</t>
  </si>
  <si>
    <t>TDS Circle where annual</t>
  </si>
  <si>
    <t>PERIOD</t>
  </si>
  <si>
    <t>Assessment Year</t>
  </si>
  <si>
    <t>return / statement under</t>
  </si>
  <si>
    <t>FROM</t>
  </si>
  <si>
    <t>TO</t>
  </si>
  <si>
    <t>section 206 is to be filed</t>
  </si>
  <si>
    <t>Smmary of amount Paid/credited and tax Deducted at source thereon in respect of the Employee</t>
  </si>
  <si>
    <t>Quarter(s)</t>
  </si>
  <si>
    <t>Receipt Numbersof Original Quaterly Statements of TDS Under Sub-Section (3) of Section 200</t>
  </si>
  <si>
    <t>Amount Paid cridited</t>
  </si>
  <si>
    <t xml:space="preserve">      Amount of Tax Deducted     (Rs)</t>
  </si>
  <si>
    <t>Amount of Tax Deposited / Remitted                               (Rs)</t>
  </si>
  <si>
    <t>Quarter 1</t>
  </si>
  <si>
    <t>Quarter 2</t>
  </si>
  <si>
    <t>Quarter 3</t>
  </si>
  <si>
    <t>Quarter 4</t>
  </si>
  <si>
    <t>I.DETAILS TAX DEDUCTED AND DEPOSITED INTO CENTRAL GOVERNMENT ACCOUNT THROUGH BOOK ADJUSTMENT</t>
  </si>
  <si>
    <t>S.No</t>
  </si>
  <si>
    <t>Tax Deposited In Respect</t>
  </si>
  <si>
    <t>Book Identification Number (BIN)</t>
  </si>
  <si>
    <t>of the deducter</t>
  </si>
  <si>
    <t>Receipt Numbers of</t>
  </si>
  <si>
    <t>DDO Serial No in</t>
  </si>
  <si>
    <t>Date Of Transfer</t>
  </si>
  <si>
    <t>Status of Maching</t>
  </si>
  <si>
    <t>(Rs)</t>
  </si>
  <si>
    <t>Form No.24G</t>
  </si>
  <si>
    <t>with Form.No 24G</t>
  </si>
  <si>
    <t>(dd/mm/yyyy)</t>
  </si>
  <si>
    <t>Total (Rs)</t>
  </si>
  <si>
    <t>Book Identification Number (CIN)</t>
  </si>
  <si>
    <t xml:space="preserve">BRS Code of  the </t>
  </si>
  <si>
    <t>Date on Which</t>
  </si>
  <si>
    <t>Challana Serial</t>
  </si>
  <si>
    <t>Bank Branch</t>
  </si>
  <si>
    <t>Tax Deposited</t>
  </si>
  <si>
    <t>Number</t>
  </si>
  <si>
    <t>Verification</t>
  </si>
  <si>
    <t>I,</t>
  </si>
  <si>
    <t xml:space="preserve">Son/Doughter of </t>
  </si>
  <si>
    <t xml:space="preserve">  Working In the Capacity Of</t>
  </si>
  <si>
    <t>(Designation) do hereby certify that a sum  of Rs.</t>
  </si>
  <si>
    <t>(in words)</t>
  </si>
  <si>
    <t>has beeen deducted at source and paid to the credit of the Central Government.</t>
  </si>
  <si>
    <t xml:space="preserve"> I further certify that the information given  above is true and correct based on the book of accounts, documents and TDS Statements, TDS Deposited and other available records.</t>
  </si>
  <si>
    <t>Notes :</t>
  </si>
  <si>
    <t>1.  Government deductors to fill information in item I if tax is paid without production of an income-tax challan and in item II if tax .</t>
  </si>
  <si>
    <t xml:space="preserve">        is paid accompanied by an income-tax challan</t>
  </si>
  <si>
    <t>2.  Non-Government deductors to fill information in item II.</t>
  </si>
  <si>
    <t xml:space="preserve">3.  The deductor shall furnish the address of  the Commissioner of  Income-tax (TDS) having jurisdiction as regards TDS </t>
  </si>
  <si>
    <t xml:space="preserve">     statements of the assessee.</t>
  </si>
  <si>
    <t>4.  If an assessee is employed under one employer only during the year, certificate in Form No. 16 issued for the quarter ending on</t>
  </si>
  <si>
    <t xml:space="preserve">      31st March of the financial year shall contain the details of tax deducted and deposited for all the quarters of the financial year.</t>
  </si>
  <si>
    <t xml:space="preserve">5.  If  an  assessee  is  employed  under  more  than  one  employer  during  the  year,  each  of  the employers shall issue Part </t>
  </si>
  <si>
    <t xml:space="preserve">      A of the certificate in Form No. 16 pertaining to the period for which such assessee was employed with each of the employers.</t>
  </si>
  <si>
    <t xml:space="preserve">    Part B (Annexure) of the certificate in Form No.16 may be issued by each of the employers or the last employer at the</t>
  </si>
  <si>
    <t xml:space="preserve">    option of the assessee.</t>
  </si>
  <si>
    <t>6.  In items I and II, in column for tax deposited in respect of deductee, furnish total amount of TDS and education cess."</t>
  </si>
  <si>
    <t>Part B</t>
  </si>
  <si>
    <t>DETAILS OF SALARY PAID AND ANY OTHER INCOME AND TAX DEDUCTED</t>
  </si>
  <si>
    <t>1. Gross Salary *</t>
  </si>
  <si>
    <t>( a ) Salary as per provisions contained in section 17 (1)</t>
  </si>
  <si>
    <t>( b ) Value of perquisites under section 17 (2)</t>
  </si>
  <si>
    <t xml:space="preserve">        (as per Form No. 12 BA, wherever applicable)</t>
  </si>
  <si>
    <t>( c ) Profits in lieu of Salary under section 17 (3)</t>
  </si>
  <si>
    <t>( d ) Total</t>
  </si>
  <si>
    <t>2. Less : Allowance to the extent exempt under section 10</t>
  </si>
  <si>
    <t>b)</t>
  </si>
  <si>
    <t>3. Balance (1-2)</t>
  </si>
  <si>
    <t xml:space="preserve">4. Deductions :          </t>
  </si>
  <si>
    <t>(a) Standard deduction</t>
  </si>
  <si>
    <t>(b) Entertainment allowance</t>
  </si>
  <si>
    <t>(c) Tax on Employment</t>
  </si>
  <si>
    <t>5. Aggregate of 4 (a to c)</t>
  </si>
  <si>
    <t>6. Income chargeable under the Head ‘Salaries’(3-5)</t>
  </si>
  <si>
    <t>7. Add. : Any other income reported by the employee</t>
  </si>
  <si>
    <t>Less:-  Loss From House Properties</t>
  </si>
  <si>
    <t>8. Gross total income  (6+7)</t>
  </si>
  <si>
    <t xml:space="preserve">9. Deductions Under Chapter VIA    </t>
  </si>
  <si>
    <t>A.</t>
  </si>
  <si>
    <t>Sections 80C,80CC and 80CCD</t>
  </si>
  <si>
    <t>Gross Amount</t>
  </si>
  <si>
    <t>Qualifying Amt.</t>
  </si>
  <si>
    <t>Deductible Amt.</t>
  </si>
  <si>
    <t>Deductible Amt</t>
  </si>
  <si>
    <t>(a)</t>
  </si>
  <si>
    <t>(b)</t>
  </si>
  <si>
    <t>Section 80CCD (1B)</t>
  </si>
  <si>
    <t>B.</t>
  </si>
  <si>
    <t>Other Sections ( e.g. 80E, 80G, 80TTA etc) Under Chapter VIA</t>
  </si>
  <si>
    <t xml:space="preserve">12. Tax on total Income </t>
  </si>
  <si>
    <t>13. Rebate U/S 87a</t>
  </si>
  <si>
    <t>14. Tax Payable on total income (12-13)</t>
  </si>
  <si>
    <t>15.Education &amp; Health Cess 4%</t>
  </si>
  <si>
    <t>16. Tax payable (14+15)</t>
  </si>
  <si>
    <t>17. Relife Under Section 89 (attach details)</t>
  </si>
  <si>
    <t>18. Tax payable (16-17)</t>
  </si>
  <si>
    <t>19.Tax Deducted at source U/S 192</t>
  </si>
  <si>
    <t>20. Tax payable / refundable (17-18)</t>
  </si>
  <si>
    <t xml:space="preserve">(Designation) do hereby certify that the information given  above is true  correct based on the </t>
  </si>
  <si>
    <t>book of accounts, documents and TDS Statements, TDS Deposited and other available records.</t>
  </si>
  <si>
    <t xml:space="preserve">                                    Signature &amp; Seal of the person responsible</t>
  </si>
  <si>
    <t xml:space="preserve">                                     for deduction of tax</t>
  </si>
  <si>
    <t>Place:</t>
  </si>
  <si>
    <t>Date:</t>
  </si>
  <si>
    <t>2023-24</t>
  </si>
  <si>
    <t>II.DETAILS TAX DEDUCTED AND DEPOSITED INTO CENTRAL GOVERNMENT ACCOUNT THROUGH BOOK CHALLAN</t>
  </si>
  <si>
    <t>a) HRA {U/s 10 (13-A)}</t>
  </si>
  <si>
    <t>Sections 80C,80CC and 80CCD(1)</t>
  </si>
  <si>
    <t>U/s 80 TTA/80 TTB-Saving Interest</t>
  </si>
  <si>
    <t>U/s 80 GGA</t>
  </si>
  <si>
    <t>U/s 80 D-Medical Premium</t>
  </si>
  <si>
    <t>U/s 80 DD</t>
  </si>
  <si>
    <t>U/s 80 DDB</t>
  </si>
  <si>
    <t>U/s 80 E-Higher Education</t>
  </si>
  <si>
    <t>U/s 80 G-Donation</t>
  </si>
  <si>
    <t>U/s 80 U-Permanent Disability</t>
  </si>
  <si>
    <t>10. Aggregate of deductible amount under chapter VI-A (A+B)</t>
  </si>
  <si>
    <t xml:space="preserve">Aggregate amount deductible under the three sections i.e.80E, 80G, 80TTA </t>
  </si>
  <si>
    <t>Aggregate amount deductible under the three sections i.e.80C, 80CCC and 80CCD (Max. 1.50 Lac)</t>
  </si>
  <si>
    <r>
      <t xml:space="preserve">11. Total Taxable Income (8-10 ) </t>
    </r>
    <r>
      <rPr>
        <sz val="8"/>
        <rFont val="Arial"/>
        <family val="2"/>
      </rPr>
      <t>Nearest Decimal Figure (U/s 288A)</t>
    </r>
  </si>
  <si>
    <t xml:space="preserve"> Nearest Decimal Figure</t>
  </si>
  <si>
    <t xml:space="preserve">                                 ________________________________</t>
  </si>
  <si>
    <t xml:space="preserve">                Full Name       :</t>
  </si>
  <si>
    <t xml:space="preserve">               Designation    :</t>
  </si>
  <si>
    <t>Tax Payer Age Group:-</t>
  </si>
  <si>
    <t>Financial Year</t>
  </si>
  <si>
    <r>
      <t xml:space="preserve">2. Relief Claimed in the  </t>
    </r>
    <r>
      <rPr>
        <b/>
        <sz val="11"/>
        <color indexed="8"/>
        <rFont val="Calibri"/>
        <family val="2"/>
      </rPr>
      <t xml:space="preserve">Assessment Year </t>
    </r>
  </si>
  <si>
    <t>2021-22</t>
  </si>
  <si>
    <t>3. Name of the Employee</t>
  </si>
  <si>
    <t>3. Address of the Employee</t>
  </si>
  <si>
    <t>5. PAN of the Employee</t>
  </si>
  <si>
    <t>6. Date of Birth (dd/mm/yyyy)</t>
  </si>
  <si>
    <r>
      <t xml:space="preserve">8. Residential Status </t>
    </r>
    <r>
      <rPr>
        <sz val="11"/>
        <color indexed="8"/>
        <rFont val="Calibri"/>
        <family val="2"/>
      </rPr>
      <t>(Assumed to be Resident)</t>
    </r>
  </si>
  <si>
    <t>Resident</t>
  </si>
  <si>
    <t xml:space="preserve">10. Year-wise Breakup of Arrears received and taxable income </t>
  </si>
  <si>
    <t>Taxable Income of the relevant F.Y. without the arrears or advance (Rs.)</t>
  </si>
  <si>
    <t>Amount of Arrears/Advance  received against each Financial Year (Rs.)</t>
  </si>
  <si>
    <t>2019-20</t>
  </si>
  <si>
    <t>2018-19</t>
  </si>
  <si>
    <t>2017-18</t>
  </si>
  <si>
    <t>2016-17</t>
  </si>
  <si>
    <t>2015-16</t>
  </si>
  <si>
    <t>2014-15</t>
  </si>
  <si>
    <t>2013-14</t>
  </si>
  <si>
    <t>2020-21</t>
  </si>
  <si>
    <t>TABLE -A</t>
  </si>
  <si>
    <t>[See Item 7 of Annexure-I]</t>
  </si>
  <si>
    <t>Previous Year(s)</t>
  </si>
  <si>
    <t>Total income of the relevent previous year</t>
  </si>
  <si>
    <t>Salary received in arrears or advance relating to the relevant previous year as mentioned in column (1)</t>
  </si>
  <si>
    <t>Total income (as increased by salary received in arrears or advance) of the relevant previous year as mentioned in column (1)[Add columns (2) and (3)]</t>
  </si>
  <si>
    <t>Tax on total income as per column (2)</t>
  </si>
  <si>
    <t>Tax on total income as per column (4)</t>
  </si>
  <si>
    <t>Difference in tax [Amount under column (6) minus amount under column (5)]</t>
  </si>
  <si>
    <t>4 [2+3]</t>
  </si>
  <si>
    <t>ANNEXURE-I</t>
  </si>
  <si>
    <t>[See item 2 of Form No, 10E]</t>
  </si>
  <si>
    <t>ARREARS OR ADVANCE SALARY</t>
  </si>
  <si>
    <t>Total Income</t>
  </si>
  <si>
    <t>(Excluding salary received in arrears or advance)</t>
  </si>
  <si>
    <t>Salary received in arrear or advance</t>
  </si>
  <si>
    <t>(As increased by salary received in arrears or advance)</t>
  </si>
  <si>
    <t>Tax on total income (as per item 3)</t>
  </si>
  <si>
    <t>Tax on total income (as per item 1)</t>
  </si>
  <si>
    <t>Tax on salary received in arrears or advance</t>
  </si>
  <si>
    <t>(Difference between item 4 and item 5)</t>
  </si>
  <si>
    <t>Tax Computed in accordance with Table "A"</t>
  </si>
  <si>
    <t>(Brought from column 7 of Table "A")</t>
  </si>
  <si>
    <t>Relief under section 89(1)</t>
  </si>
  <si>
    <t xml:space="preserve">(Indicate the difference between the amounts mentioned </t>
  </si>
  <si>
    <t>against item 6 and 7)</t>
  </si>
  <si>
    <t>FORM 10E</t>
  </si>
  <si>
    <t>[See Rule 21AA]</t>
  </si>
  <si>
    <t>1. Name and address of the Employee</t>
  </si>
  <si>
    <t>2. Permanent Account Number</t>
  </si>
  <si>
    <t>3. Residential Status</t>
  </si>
  <si>
    <t>Particulars of Income referred to in rule 21A of the Income Tax Rules, 1962 during the previous year relevant to the</t>
  </si>
  <si>
    <t>Amount (Rs.)</t>
  </si>
  <si>
    <t>Not Applicable</t>
  </si>
  <si>
    <t xml:space="preserve">(c) </t>
  </si>
  <si>
    <t>(d)</t>
  </si>
  <si>
    <t>Signature of the employee</t>
  </si>
  <si>
    <t>I</t>
  </si>
  <si>
    <t xml:space="preserve">Place: </t>
  </si>
  <si>
    <t>Dated:</t>
  </si>
  <si>
    <t>Form  for  furnishing  particulars  of  income  under  section  192(2A)  for  the year ending 31st March, 2023 claiming relief under section 89(1) by a Government servant or an employee in a [company,co-operative society, local authority ,university, institution, association or body]</t>
  </si>
  <si>
    <t>Assessment Year : 2023-24</t>
  </si>
  <si>
    <t>Salary  received  in  arrears  or  in advance in  accordance  with the provisions of sub rule (2) of rule 21A</t>
  </si>
  <si>
    <t>Payment  in  the  nature  of gratuity in respect of past services, exteding over a period of not less than 5 years in advance in accordance with the provisions of sub rule (3) of rule 21A</t>
  </si>
  <si>
    <t>Payment   in   the   nature  of  compensation  from   the  employer  or  former employer   at   or  in  connection   with   termination   of  employment   after continuous service of not less than 3 years or where the unexpired portion of term  of  employment  is  also  not  less  than 3  years  in accordance with the provisions of sub rule (4) of rule 21A</t>
  </si>
  <si>
    <t>Payment  in  commutation  of  pension  in  accordance  with the provisions of sub rule (5) of rule 21A</t>
  </si>
  <si>
    <t>Detailed particulars of payments referred to above may be given in Annexure I, II, III or IV, as the case may be.</t>
  </si>
  <si>
    <t xml:space="preserve">do hereby declare that what is stated above is true to the best </t>
  </si>
  <si>
    <t>of my knowledge and belief.</t>
  </si>
  <si>
    <t>7. Gander</t>
  </si>
  <si>
    <t>Male</t>
  </si>
  <si>
    <t>9. Total Taxable Income including Arrear Received in FY 2022-23</t>
  </si>
  <si>
    <t>1. If adopted for new tax regime in FY 2022-23 (Yes or No)</t>
  </si>
  <si>
    <t>500000&gt;250000</t>
  </si>
  <si>
    <t>1000000&lt;&gt;500000</t>
  </si>
  <si>
    <t>750000&lt;500000</t>
  </si>
  <si>
    <t>1000000&lt;750000</t>
  </si>
  <si>
    <t>1250000&lt;&gt;1000000</t>
  </si>
  <si>
    <t>1500000&lt;&gt;1250001</t>
  </si>
  <si>
    <t>Tax (Old)</t>
  </si>
  <si>
    <t>Tax (New)</t>
  </si>
  <si>
    <t>Itax+Cess (OLD)</t>
  </si>
  <si>
    <t>Itax+Cess (NEW)</t>
  </si>
  <si>
    <r>
      <t xml:space="preserve"> धारा 89 के अंतर्गत राहत         </t>
    </r>
    <r>
      <rPr>
        <b/>
        <sz val="22"/>
        <color rgb="FFFFFF00"/>
        <rFont val="Times New Roman"/>
        <family val="1"/>
      </rPr>
      <t>ↆ</t>
    </r>
  </si>
  <si>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</si>
  <si>
    <t>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t>
  </si>
  <si>
    <t>5- यदि गत वर्षों के बकाया वेतन का इस वर्ष आयकर की कटौती के साथ भुगतान किया गया है, तो आप आवश्यक फॉर्म-10E भी 10 E Us 89(1) शीट में तैयार कर धारा 89(1) के तहत प्राप्य छूट को आयकर गणना प्रपत्र, फॉर्म-16 में अंकित कर सकते हो.</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</si>
  <si>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</si>
  <si>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4- उक्त कार्य पूर्ण करने के बाद आपके सामने कार्मिक से जुडी पुरानी तथा नई कर व्यवस्था (Old Tax Regime/New Tax Regime)  के अनुसार आयकर गणना प्रपत्र, फॉर्म-16, HRA से जुडी आवश्यक रिसिप्ट तैयार है, प्रिंट ले सकते हैं.</t>
  </si>
  <si>
    <r>
      <t>←:: सहायतार्थ बिंदु ::</t>
    </r>
    <r>
      <rPr>
        <b/>
        <sz val="18"/>
        <color rgb="FF006600"/>
        <rFont val="Times New Roman"/>
        <family val="1"/>
      </rPr>
      <t>→</t>
    </r>
  </si>
  <si>
    <t>आयकर गणना प्रपत्र देखें</t>
  </si>
  <si>
    <t>Form-16 देखें</t>
  </si>
  <si>
    <t>HRA  Receipt देखें</t>
  </si>
  <si>
    <t>Ummed Tarad</t>
  </si>
  <si>
    <t>Teacher (GSSS Raimalwada, Jodhpur)</t>
  </si>
  <si>
    <r>
      <t xml:space="preserve">Mob.-9166973141      </t>
    </r>
    <r>
      <rPr>
        <b/>
        <sz val="11"/>
        <color rgb="FF002060"/>
        <rFont val="Cambria"/>
        <family val="1"/>
        <scheme val="major"/>
      </rPr>
      <t>Email Id-ummedtrdedu@gmail.com</t>
    </r>
  </si>
  <si>
    <t>Surrender Arrear</t>
  </si>
  <si>
    <t>DA (Jan-22 to Mar-22)</t>
  </si>
  <si>
    <t>1 July, 2022 To 30 Sep., 2022</t>
  </si>
  <si>
    <t>1 Oct., 2022 To 31 Dec., 2022</t>
  </si>
  <si>
    <t>1 Jan., 2023 To 31 March, 2023</t>
  </si>
  <si>
    <t>1 April, 2022 To 31 March, 2023</t>
  </si>
  <si>
    <t>Basic Pay (March-22)</t>
  </si>
  <si>
    <t>F.Y.</t>
  </si>
  <si>
    <t>GROUP L.I.C.</t>
  </si>
  <si>
    <t>Other-3</t>
  </si>
  <si>
    <t>बचत खाते की जमा राशी पर प्राप्त ब्याज में छूट (80 TTA-10000 अधिकतम)</t>
  </si>
  <si>
    <t>बचत खाते की जमा राशी पर प्राप्त ब्याज में छूट (TTB-अधिकतम 50000)</t>
  </si>
  <si>
    <t>(B) घटाइए - धारा 80CCD (2) नियोक्ता द्वारा नवीन पेंशन योजना में अतिरिक्त अंशदान (अधिकतम वेतन का 14%) अधिकतम</t>
  </si>
  <si>
    <t>(C) घटाइए - धारा 80CCD (1B) नवीन पेंशन योजना में अतिरिक्त अंशदान (अधिकतम रु.50,000)</t>
  </si>
  <si>
    <t>Section 80CCD (2)</t>
  </si>
  <si>
    <t>(c)</t>
  </si>
  <si>
    <t>1- सबसे पहले Basic Data शीट में सफ़ेद सेल्स में कार्मिक से जुड़े विद्यालय,स्वयं कार्मिक तथा वेतन सम्बंधित विवरण फिल करें. यहाँ भत्ते तथा कटौतियों के विषय आप अपनी सुविधानुसार बदल सकते हो.</t>
  </si>
  <si>
    <t>DPO Name :-</t>
  </si>
  <si>
    <t>DPO (Estt.)Office :-</t>
  </si>
  <si>
    <t>DPO Father's Name :-</t>
  </si>
  <si>
    <t>Block Teacher</t>
  </si>
  <si>
    <t>Other-4</t>
  </si>
  <si>
    <t>For other States(NPS Deduction) Updated On 19-02-2023</t>
  </si>
  <si>
    <r>
      <rPr>
        <b/>
        <sz val="10"/>
        <color rgb="FF002060"/>
        <rFont val="Cambria"/>
        <family val="1"/>
        <scheme val="major"/>
      </rPr>
      <t xml:space="preserve">योग 11(A+B+C)  </t>
    </r>
    <r>
      <rPr>
        <b/>
        <sz val="11"/>
        <color rgb="FF002060"/>
        <rFont val="Cambria"/>
        <family val="1"/>
        <scheme val="major"/>
      </rPr>
      <t xml:space="preserve">    </t>
    </r>
  </si>
  <si>
    <t>DPO (Estt.)</t>
  </si>
  <si>
    <t>SHAHID ALI</t>
  </si>
  <si>
    <t>SHARIQUE ASHRAF</t>
  </si>
  <si>
    <t>BUXAR</t>
  </si>
  <si>
    <t>BFHPA0762G</t>
  </si>
  <si>
    <t>Treasury :-</t>
  </si>
  <si>
    <t>PAN No. (Treasury) :-</t>
  </si>
  <si>
    <t>M.S. BASUDHAR</t>
  </si>
  <si>
    <t>T.D.S.</t>
  </si>
  <si>
    <t>Certificate under section 203 of the Income Tax Act, 1961 for tax deducted at source from income chargeable under the head  “ Salaries “</t>
  </si>
  <si>
    <t>Taxpayer Name :-</t>
  </si>
  <si>
    <t>इक्विटी लिंक सेविंग स्कीम/Mutual Fund</t>
  </si>
  <si>
    <t>Basic Pay (Jan-23)</t>
  </si>
  <si>
    <t>District Education Officer, Education Department Primary Education of Bihar</t>
  </si>
  <si>
    <t>Medical All.</t>
  </si>
  <si>
    <t xml:space="preserve">EPF/Montholy Invest in Future Plan </t>
  </si>
  <si>
    <t>GIS/Group Ins.</t>
  </si>
  <si>
    <t xml:space="preserve"> Employee Income and Deduction Details (For Itax Calculation)</t>
  </si>
  <si>
    <t>Extra</t>
  </si>
  <si>
    <t>गृ.नि.अ. की किस्तों की वसूली/पेशाकर</t>
  </si>
  <si>
    <t>व्यवसाय/पेशाकर धारा 16 (ii) के अंतर्गत अधिकतम 5000 रूपये</t>
  </si>
  <si>
    <t>(ii)  व्यवसाय/पेशाकर धारा 16 (iii) के अंतर्गत (अधिकतम 5000 रूपये)</t>
  </si>
  <si>
    <t>Other-5</t>
  </si>
  <si>
    <t>(xix)</t>
  </si>
  <si>
    <t>(xx)</t>
  </si>
  <si>
    <t>(xxi)</t>
  </si>
  <si>
    <t>(xxii)</t>
  </si>
  <si>
    <t>(xxiii)</t>
  </si>
  <si>
    <t>(xxiv)</t>
  </si>
  <si>
    <t>(xxv)</t>
  </si>
  <si>
    <t>(xxvi)</t>
  </si>
  <si>
    <t>(xxvii)</t>
  </si>
  <si>
    <t>Contri. To Contributory Pension Scheme (80CCC)</t>
  </si>
  <si>
    <t>Itax Deducted/ Dedctable by Feb-23 Salary</t>
  </si>
  <si>
    <t>Itax Deducted/ Dedctable by Dec.22 Salary</t>
  </si>
  <si>
    <t>Itax Deducted/ Dedctable by Jan-23 Salary</t>
  </si>
  <si>
    <t xml:space="preserve"> शेष (4-5)</t>
  </si>
  <si>
    <t>शेष (2-3)</t>
  </si>
  <si>
    <t>कुल शेष -/+ (6 एवं 7)</t>
  </si>
  <si>
    <t>सकल आय                                                                                                                                                                                    योग (8+9)</t>
  </si>
  <si>
    <t>PAN (Treasury):</t>
  </si>
</sst>
</file>

<file path=xl/styles.xml><?xml version="1.0" encoding="utf-8"?>
<styleSheet xmlns="http://schemas.openxmlformats.org/spreadsheetml/2006/main">
  <numFmts count="12">
    <numFmt numFmtId="6" formatCode="&quot;₹&quot;\ #,##0;[Red]&quot;₹&quot;\ \-#,##0"/>
    <numFmt numFmtId="43" formatCode="_ * #,##0.00_ ;_ * \-#,##0.00_ ;_ * &quot;-&quot;??_ ;_ @_ "/>
    <numFmt numFmtId="164" formatCode="[$-14009]dd/mm/yy;@"/>
    <numFmt numFmtId="165" formatCode="[$-14009]dd/mm/yyyy;@"/>
    <numFmt numFmtId="166" formatCode="&quot;L-&quot;#"/>
    <numFmt numFmtId="167" formatCode="[$-14009]dd\-mm\-yyyy;@"/>
    <numFmt numFmtId="168" formatCode="&quot;Rs. &quot;#"/>
    <numFmt numFmtId="169" formatCode="&quot;₹&quot;\ #,##0.00;[Red]&quot;₹&quot;\ #,##0.00"/>
    <numFmt numFmtId="170" formatCode="&quot;₹&quot;\ #,##0.00"/>
    <numFmt numFmtId="171" formatCode="[$-4009]dd\ mmmm\ yyyy"/>
    <numFmt numFmtId="172" formatCode="[$-14009]d\ mmmm\ yyyy;@"/>
    <numFmt numFmtId="173" formatCode="_-* #,##0_-;\-* #,##0_-;_-* &quot;-&quot;??_-;_-@_-"/>
  </numFmts>
  <fonts count="150">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i/>
      <u/>
      <sz val="14"/>
      <color theme="1"/>
      <name val="Cambria"/>
      <family val="1"/>
      <scheme val="major"/>
    </font>
    <font>
      <b/>
      <sz val="14"/>
      <name val="Cambria"/>
      <family val="1"/>
      <scheme val="major"/>
    </font>
    <font>
      <b/>
      <sz val="14"/>
      <color indexed="8"/>
      <name val="Cambria"/>
      <family val="1"/>
      <scheme val="major"/>
    </font>
    <font>
      <sz val="13"/>
      <color theme="1"/>
      <name val="Cambria"/>
      <family val="1"/>
      <scheme val="major"/>
    </font>
    <font>
      <sz val="14"/>
      <name val="Cambria"/>
      <family val="1"/>
      <scheme val="major"/>
    </font>
    <font>
      <b/>
      <sz val="14"/>
      <color rgb="FFFF0000"/>
      <name val="Cambria"/>
      <family val="1"/>
      <scheme val="major"/>
    </font>
    <font>
      <b/>
      <sz val="16"/>
      <color indexed="8"/>
      <name val="Cambria"/>
      <family val="1"/>
      <scheme val="major"/>
    </font>
    <font>
      <i/>
      <u/>
      <sz val="18"/>
      <color theme="1"/>
      <name val="Cambria"/>
      <family val="1"/>
      <scheme val="major"/>
    </font>
    <font>
      <b/>
      <u/>
      <sz val="22"/>
      <color theme="1"/>
      <name val="Cambria"/>
      <family val="1"/>
      <scheme val="major"/>
    </font>
    <font>
      <b/>
      <u/>
      <sz val="24"/>
      <color theme="1"/>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18"/>
      <color theme="1"/>
      <name val="Cambria"/>
      <family val="1"/>
      <scheme val="major"/>
    </font>
    <font>
      <b/>
      <sz val="18"/>
      <color rgb="FF002060"/>
      <name val="Cambria"/>
      <family val="1"/>
      <scheme val="major"/>
    </font>
    <font>
      <b/>
      <sz val="18"/>
      <color rgb="FF002060"/>
      <name val="Symbol"/>
      <family val="1"/>
      <charset val="2"/>
    </font>
    <font>
      <b/>
      <sz val="14"/>
      <name val="Arial"/>
      <family val="2"/>
    </font>
    <font>
      <b/>
      <sz val="10"/>
      <name val="Arial"/>
      <family val="2"/>
    </font>
    <font>
      <b/>
      <i/>
      <sz val="10"/>
      <name val="Arial"/>
      <family val="2"/>
    </font>
    <font>
      <sz val="8"/>
      <name val="Arial"/>
      <family val="2"/>
    </font>
    <font>
      <b/>
      <sz val="9"/>
      <name val="Arial"/>
      <family val="2"/>
    </font>
    <font>
      <sz val="9"/>
      <name val="Arial"/>
      <family val="2"/>
    </font>
    <font>
      <b/>
      <sz val="10"/>
      <name val="Time Roman"/>
    </font>
    <font>
      <b/>
      <sz val="12"/>
      <name val="Arial"/>
      <family val="2"/>
    </font>
    <font>
      <b/>
      <sz val="11"/>
      <name val="Arial"/>
      <family val="2"/>
    </font>
    <font>
      <b/>
      <sz val="11"/>
      <name val="Calibri"/>
      <family val="2"/>
      <scheme val="minor"/>
    </font>
    <font>
      <sz val="11"/>
      <name val="Calibri"/>
      <family val="2"/>
      <scheme val="minor"/>
    </font>
    <font>
      <sz val="10"/>
      <name val="Tahoma"/>
      <family val="2"/>
    </font>
    <font>
      <sz val="14"/>
      <name val="Arial"/>
      <family val="2"/>
    </font>
    <font>
      <b/>
      <sz val="8"/>
      <name val="Arial"/>
      <family val="2"/>
    </font>
    <font>
      <sz val="10"/>
      <color theme="0"/>
      <name val="Arial"/>
      <family val="2"/>
    </font>
    <font>
      <b/>
      <sz val="10"/>
      <color theme="0"/>
      <name val="Arial"/>
      <family val="2"/>
    </font>
    <font>
      <sz val="11"/>
      <color theme="1"/>
      <name val="Calibri"/>
      <family val="2"/>
      <scheme val="minor"/>
    </font>
    <font>
      <b/>
      <sz val="15"/>
      <color theme="1"/>
      <name val="Calibri"/>
      <family val="2"/>
      <scheme val="minor"/>
    </font>
    <font>
      <b/>
      <sz val="11"/>
      <color indexed="8"/>
      <name val="Calibri"/>
      <family val="2"/>
    </font>
    <font>
      <sz val="11"/>
      <color indexed="8"/>
      <name val="Calibri"/>
      <family val="2"/>
    </font>
    <font>
      <sz val="9"/>
      <color theme="1"/>
      <name val="Calibri"/>
      <family val="2"/>
      <scheme val="minor"/>
    </font>
    <font>
      <b/>
      <sz val="14"/>
      <color theme="1"/>
      <name val="Calibri"/>
      <family val="2"/>
      <scheme val="minor"/>
    </font>
    <font>
      <sz val="10"/>
      <color theme="1"/>
      <name val="Rial"/>
    </font>
    <font>
      <b/>
      <sz val="10"/>
      <color theme="1"/>
      <name val="Rial"/>
    </font>
    <font>
      <i/>
      <sz val="11"/>
      <color theme="1"/>
      <name val="Calibri"/>
      <family val="2"/>
      <scheme val="minor"/>
    </font>
    <font>
      <b/>
      <i/>
      <sz val="11"/>
      <color theme="1"/>
      <name val="Calibri"/>
      <family val="2"/>
      <scheme val="minor"/>
    </font>
    <font>
      <sz val="9"/>
      <color theme="1"/>
      <name val="Rial"/>
    </font>
    <font>
      <sz val="8"/>
      <color theme="1"/>
      <name val="Calibri"/>
      <family val="2"/>
      <scheme val="minor"/>
    </font>
    <font>
      <b/>
      <sz val="26"/>
      <color theme="0"/>
      <name val="Cambria"/>
      <family val="1"/>
      <scheme val="major"/>
    </font>
    <font>
      <b/>
      <sz val="22"/>
      <color rgb="FFFFFF00"/>
      <name val="Cambria"/>
      <family val="1"/>
      <scheme val="major"/>
    </font>
    <font>
      <b/>
      <sz val="22"/>
      <color rgb="FFFFFF00"/>
      <name val="Times New Roman"/>
      <family val="1"/>
    </font>
    <font>
      <b/>
      <sz val="11"/>
      <color rgb="FF006600"/>
      <name val="Calibri"/>
      <family val="2"/>
      <scheme val="minor"/>
    </font>
    <font>
      <b/>
      <sz val="18"/>
      <color rgb="FF006600"/>
      <name val="Calibri"/>
      <family val="2"/>
      <scheme val="minor"/>
    </font>
    <font>
      <b/>
      <sz val="18"/>
      <color rgb="FF006600"/>
      <name val="Times New Roman"/>
      <family val="1"/>
    </font>
    <font>
      <sz val="18"/>
      <color rgb="FF006600"/>
      <name val="Calibri"/>
      <family val="2"/>
      <scheme val="minor"/>
    </font>
    <font>
      <b/>
      <sz val="11"/>
      <color rgb="FFC00000"/>
      <name val="Calibri"/>
      <family val="2"/>
      <scheme val="minor"/>
    </font>
    <font>
      <b/>
      <sz val="11"/>
      <color rgb="FF002060"/>
      <name val="Calibri"/>
      <family val="2"/>
      <scheme val="minor"/>
    </font>
    <font>
      <b/>
      <sz val="11"/>
      <color rgb="FF0070C0"/>
      <name val="Calibri"/>
      <family val="2"/>
      <scheme val="minor"/>
    </font>
    <font>
      <b/>
      <sz val="11"/>
      <color rgb="FF7030A0"/>
      <name val="Calibri"/>
      <family val="2"/>
      <scheme val="minor"/>
    </font>
    <font>
      <b/>
      <sz val="14"/>
      <color theme="0"/>
      <name val="Calibri"/>
      <family val="2"/>
      <scheme val="minor"/>
    </font>
    <font>
      <u/>
      <sz val="11"/>
      <color theme="10"/>
      <name val="Calibri"/>
      <family val="2"/>
    </font>
    <font>
      <b/>
      <sz val="18"/>
      <color theme="0"/>
      <name val="Calibri"/>
      <family val="2"/>
    </font>
    <font>
      <sz val="24"/>
      <color theme="0"/>
      <name val="Cambria"/>
      <family val="1"/>
      <scheme val="major"/>
    </font>
    <font>
      <b/>
      <sz val="20"/>
      <color theme="0"/>
      <name val="Calibri"/>
      <family val="2"/>
    </font>
    <font>
      <b/>
      <sz val="24"/>
      <color rgb="FFC00000"/>
      <name val="Cambria"/>
      <family val="1"/>
      <scheme val="major"/>
    </font>
    <font>
      <b/>
      <sz val="16"/>
      <color rgb="FF006600"/>
      <name val="Cambria"/>
      <family val="1"/>
      <scheme val="major"/>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sz val="10"/>
      <name val="Kruti Dev 010"/>
    </font>
    <font>
      <b/>
      <sz val="28"/>
      <color theme="0"/>
      <name val="Algerian"/>
      <family val="5"/>
    </font>
    <font>
      <b/>
      <sz val="22"/>
      <color rgb="FF002060"/>
      <name val="Cambria"/>
      <family val="1"/>
      <scheme val="major"/>
    </font>
    <font>
      <sz val="18"/>
      <color theme="0"/>
      <name val="Caslon Bd BT"/>
      <family val="1"/>
    </font>
    <font>
      <b/>
      <i/>
      <sz val="14"/>
      <color rgb="FF002060"/>
      <name val="Cambria"/>
      <family val="1"/>
      <scheme val="major"/>
    </font>
    <font>
      <b/>
      <sz val="12"/>
      <color rgb="FF002060"/>
      <name val="Aldine721 BT"/>
      <family val="1"/>
    </font>
    <font>
      <b/>
      <sz val="10"/>
      <color rgb="FF002060"/>
      <name val="Aldine721 BT"/>
      <family val="1"/>
    </font>
    <font>
      <b/>
      <sz val="22"/>
      <name val="Cambria"/>
      <family val="1"/>
      <scheme val="major"/>
    </font>
    <font>
      <b/>
      <sz val="26"/>
      <name val="Cambria"/>
      <family val="1"/>
      <scheme val="major"/>
    </font>
    <font>
      <sz val="8"/>
      <color rgb="FF002060"/>
      <name val="Cambria"/>
      <family val="1"/>
      <scheme val="major"/>
    </font>
    <font>
      <sz val="8"/>
      <name val="Cambria"/>
      <family val="1"/>
      <scheme val="major"/>
    </font>
    <font>
      <sz val="7"/>
      <name val="Cambria"/>
      <family val="1"/>
      <scheme val="major"/>
    </font>
    <font>
      <i/>
      <sz val="8"/>
      <name val="Cambria"/>
      <family val="1"/>
      <scheme val="major"/>
    </font>
    <font>
      <sz val="7.5"/>
      <name val="Cambria"/>
      <family val="1"/>
      <scheme val="major"/>
    </font>
    <font>
      <b/>
      <sz val="16"/>
      <color theme="0"/>
      <name val="Americana XBd BT"/>
      <family val="1"/>
    </font>
    <font>
      <b/>
      <sz val="11"/>
      <color rgb="FF002060"/>
      <name val="Aldine721 BT"/>
      <family val="1"/>
    </font>
  </fonts>
  <fills count="34">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rgb="FFFF0000"/>
        </stop>
        <stop position="1">
          <color theme="4"/>
        </stop>
      </gradientFill>
    </fill>
    <fill>
      <gradientFill degree="90">
        <stop position="0">
          <color rgb="FFFFFF00"/>
        </stop>
        <stop position="1">
          <color rgb="FFFFC000"/>
        </stop>
      </gradientFill>
    </fill>
    <fill>
      <gradientFill degree="90">
        <stop position="0">
          <color theme="0" tint="-5.0965910824915313E-2"/>
        </stop>
        <stop position="1">
          <color theme="0"/>
        </stop>
      </gradientFill>
    </fill>
    <fill>
      <gradientFill degree="90">
        <stop position="0">
          <color rgb="FFFF0000"/>
        </stop>
        <stop position="1">
          <color rgb="FFFFFF00"/>
        </stop>
      </gradientFill>
    </fill>
    <fill>
      <gradientFill degree="90">
        <stop position="0">
          <color rgb="FF0070C0"/>
        </stop>
        <stop position="1">
          <color theme="0"/>
        </stop>
      </gradientFill>
    </fill>
    <fill>
      <gradientFill degree="90">
        <stop position="0">
          <color rgb="FFFFFF00"/>
        </stop>
        <stop position="1">
          <color theme="6" tint="0.80001220740379042"/>
        </stop>
      </gradientFill>
    </fill>
    <fill>
      <patternFill patternType="solid">
        <fgColor rgb="FFFFFF00"/>
        <bgColor indexed="64"/>
      </patternFill>
    </fill>
    <fill>
      <gradientFill degree="90">
        <stop position="0">
          <color theme="1"/>
        </stop>
        <stop position="1">
          <color rgb="FF7030A0"/>
        </stop>
      </gradient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1"/>
        <bgColor auto="1"/>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patternFill patternType="solid">
        <fgColor theme="9" tint="-0.249977111117893"/>
        <bgColor indexed="64"/>
      </patternFill>
    </fill>
    <fill>
      <patternFill patternType="solid">
        <fgColor theme="2" tint="-0.249977111117893"/>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degree="90">
        <stop position="0">
          <color theme="5"/>
        </stop>
        <stop position="1">
          <color theme="9"/>
        </stop>
      </gradientFill>
    </fill>
    <fill>
      <gradientFill degree="90">
        <stop position="0">
          <color rgb="FFFFFF00"/>
        </stop>
        <stop position="1">
          <color theme="0"/>
        </stop>
      </gradientFill>
    </fill>
    <fill>
      <gradientFill degree="90">
        <stop position="0">
          <color rgb="FFC00000"/>
        </stop>
        <stop position="1">
          <color rgb="FF002060"/>
        </stop>
      </gradientFill>
    </fill>
  </fills>
  <borders count="223">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style="thin">
        <color rgb="FF7030A0"/>
      </right>
      <top style="thin">
        <color rgb="FF7030A0"/>
      </top>
      <bottom style="medium">
        <color rgb="FFFF0000"/>
      </bottom>
      <diagonal/>
    </border>
    <border>
      <left/>
      <right style="medium">
        <color rgb="FFFF0000"/>
      </right>
      <top style="thin">
        <color rgb="FF7030A0"/>
      </top>
      <bottom style="thin">
        <color rgb="FF7030A0"/>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style="medium">
        <color rgb="FFFF0000"/>
      </right>
      <top style="thin">
        <color rgb="FF7030A0"/>
      </top>
      <bottom style="medium">
        <color rgb="FFFF0000"/>
      </bottom>
      <diagonal/>
    </border>
    <border>
      <left style="medium">
        <color rgb="FFFF0000"/>
      </left>
      <right style="thin">
        <color rgb="FF7030A0"/>
      </right>
      <top style="medium">
        <color rgb="FFFF0000"/>
      </top>
      <bottom style="medium">
        <color rgb="FFFF0000"/>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thin">
        <color rgb="FF7030A0"/>
      </left>
      <right/>
      <top style="medium">
        <color rgb="FFFF0000"/>
      </top>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style="thin">
        <color theme="5" tint="-0.249977111117893"/>
      </top>
      <bottom style="thin">
        <color theme="5" tint="-0.249977111117893"/>
      </bottom>
      <diagonal/>
    </border>
    <border>
      <left style="medium">
        <color theme="5" tint="-0.249977111117893"/>
      </left>
      <right style="medium">
        <color theme="5" tint="-0.249977111117893"/>
      </right>
      <top style="thin">
        <color theme="5" tint="-0.249977111117893"/>
      </top>
      <bottom style="medium">
        <color theme="5" tint="-0.249977111117893"/>
      </bottom>
      <diagonal/>
    </border>
    <border>
      <left style="medium">
        <color theme="5" tint="-0.249977111117893"/>
      </left>
      <right style="medium">
        <color theme="5" tint="-0.249977111117893"/>
      </right>
      <top style="medium">
        <color theme="5" tint="-0.249977111117893"/>
      </top>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0"/>
      </left>
      <right style="medium">
        <color theme="0"/>
      </right>
      <top style="medium">
        <color theme="0"/>
      </top>
      <bottom style="medium">
        <color theme="0"/>
      </bottom>
      <diagonal/>
    </border>
    <border>
      <left style="medium">
        <color rgb="FF7030A0"/>
      </left>
      <right style="thin">
        <color rgb="FF7030A0"/>
      </right>
      <top/>
      <bottom style="medium">
        <color rgb="FF7030A0"/>
      </bottom>
      <diagonal/>
    </border>
    <border>
      <left style="medium">
        <color rgb="FF7030A0"/>
      </left>
      <right style="thin">
        <color rgb="FF7030A0"/>
      </right>
      <top/>
      <bottom style="thin">
        <color rgb="FF7030A0"/>
      </bottom>
      <diagonal/>
    </border>
    <border>
      <left style="medium">
        <color rgb="FF7030A0"/>
      </left>
      <right style="thin">
        <color rgb="FF7030A0"/>
      </right>
      <top style="medium">
        <color rgb="FF7030A0"/>
      </top>
      <bottom/>
      <diagonal/>
    </border>
    <border>
      <left/>
      <right/>
      <top style="thin">
        <color theme="1"/>
      </top>
      <bottom/>
      <diagonal/>
    </border>
    <border>
      <left style="thin">
        <color indexed="64"/>
      </left>
      <right/>
      <top style="thin">
        <color theme="1"/>
      </top>
      <bottom/>
      <diagonal/>
    </border>
    <border>
      <left/>
      <right style="thin">
        <color indexed="64"/>
      </right>
      <top style="thin">
        <color theme="1"/>
      </top>
      <bottom/>
      <diagonal/>
    </border>
    <border>
      <left/>
      <right style="thin">
        <color theme="1"/>
      </right>
      <top/>
      <bottom style="thin">
        <color indexed="64"/>
      </bottom>
      <diagonal/>
    </border>
    <border>
      <left/>
      <right style="thin">
        <color theme="1"/>
      </right>
      <top/>
      <bottom/>
      <diagonal/>
    </border>
    <border>
      <left/>
      <right/>
      <top style="medium">
        <color theme="1"/>
      </top>
      <bottom style="thin">
        <color indexed="64"/>
      </bottom>
      <diagonal/>
    </border>
    <border>
      <left/>
      <right/>
      <top style="medium">
        <color theme="1"/>
      </top>
      <bottom/>
      <diagonal/>
    </border>
    <border>
      <left style="medium">
        <color theme="1"/>
      </left>
      <right/>
      <top/>
      <bottom/>
      <diagonal/>
    </border>
    <border>
      <left/>
      <right style="medium">
        <color theme="1"/>
      </right>
      <top/>
      <bottom/>
      <diagonal/>
    </border>
    <border>
      <left style="medium">
        <color theme="1"/>
      </left>
      <right/>
      <top style="medium">
        <color indexed="64"/>
      </top>
      <bottom/>
      <diagonal/>
    </border>
    <border>
      <left/>
      <right style="medium">
        <color theme="1"/>
      </right>
      <top style="medium">
        <color indexed="64"/>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0000"/>
      </left>
      <right style="thin">
        <color rgb="FFFF0000"/>
      </right>
      <top/>
      <bottom/>
      <diagonal/>
    </border>
    <border>
      <left/>
      <right style="thin">
        <color rgb="FFFF0000"/>
      </right>
      <top/>
      <bottom/>
      <diagonal/>
    </border>
    <border>
      <left style="thin">
        <color rgb="FFFF0000"/>
      </left>
      <right/>
      <top/>
      <bottom/>
      <diagonal/>
    </border>
    <border>
      <left style="medium">
        <color rgb="FFFF0000"/>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style="medium">
        <color rgb="FFFF0000"/>
      </right>
      <top style="thin">
        <color rgb="FFFF0000"/>
      </top>
      <bottom/>
      <diagonal/>
    </border>
    <border>
      <left style="medium">
        <color rgb="FFFF0000"/>
      </left>
      <right style="medium">
        <color rgb="FFFF0000"/>
      </right>
      <top style="medium">
        <color rgb="FFFF0000"/>
      </top>
      <bottom/>
      <diagonal/>
    </border>
    <border>
      <left style="medium">
        <color rgb="FFFF0000"/>
      </left>
      <right style="medium">
        <color rgb="FFFF0000"/>
      </right>
      <top/>
      <bottom style="thin">
        <color rgb="FFFF0000"/>
      </bottom>
      <diagonal/>
    </border>
    <border>
      <left style="thin">
        <color rgb="FF7030A0"/>
      </left>
      <right/>
      <top style="medium">
        <color rgb="FF7030A0"/>
      </top>
      <bottom style="thin">
        <color rgb="FF7030A0"/>
      </bottom>
      <diagonal/>
    </border>
    <border>
      <left/>
      <right/>
      <top style="medium">
        <color rgb="FF7030A0"/>
      </top>
      <bottom style="thin">
        <color rgb="FF7030A0"/>
      </bottom>
      <diagonal/>
    </border>
    <border>
      <left/>
      <right style="thin">
        <color rgb="FF7030A0"/>
      </right>
      <top style="medium">
        <color rgb="FF7030A0"/>
      </top>
      <bottom style="thin">
        <color rgb="FF7030A0"/>
      </bottom>
      <diagonal/>
    </border>
    <border>
      <left style="thin">
        <color rgb="FF7030A0"/>
      </left>
      <right style="thin">
        <color indexed="64"/>
      </right>
      <top style="medium">
        <color rgb="FF7030A0"/>
      </top>
      <bottom style="thin">
        <color rgb="FF7030A0"/>
      </bottom>
      <diagonal/>
    </border>
    <border>
      <left style="thin">
        <color rgb="FF7030A0"/>
      </left>
      <right style="thin">
        <color indexed="64"/>
      </right>
      <top style="thin">
        <color rgb="FF7030A0"/>
      </top>
      <bottom style="thin">
        <color rgb="FF7030A0"/>
      </bottom>
      <diagonal/>
    </border>
    <border>
      <left style="thin">
        <color rgb="FF7030A0"/>
      </left>
      <right/>
      <top style="medium">
        <color rgb="FF7030A0"/>
      </top>
      <bottom style="medium">
        <color rgb="FF7030A0"/>
      </bottom>
      <diagonal/>
    </border>
    <border>
      <left style="medium">
        <color indexed="64"/>
      </left>
      <right/>
      <top/>
      <bottom style="medium">
        <color theme="1"/>
      </bottom>
      <diagonal/>
    </border>
    <border>
      <left/>
      <right style="medium">
        <color indexed="64"/>
      </right>
      <top/>
      <bottom style="medium">
        <color theme="1"/>
      </bottom>
      <diagonal/>
    </border>
    <border>
      <left/>
      <right style="medium">
        <color indexed="64"/>
      </right>
      <top style="medium">
        <color theme="1"/>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theme="1"/>
      </top>
      <bottom/>
      <diagonal/>
    </border>
    <border>
      <left/>
      <right style="medium">
        <color indexed="64"/>
      </right>
      <top style="thin">
        <color theme="1"/>
      </top>
      <bottom/>
      <diagonal/>
    </border>
  </borders>
  <cellStyleXfs count="8">
    <xf numFmtId="0" fontId="0" fillId="0" borderId="0"/>
    <xf numFmtId="0" fontId="52" fillId="0" borderId="0"/>
    <xf numFmtId="0" fontId="52" fillId="0" borderId="0"/>
    <xf numFmtId="171" fontId="52" fillId="0" borderId="0" applyFont="0" applyFill="0" applyBorder="0" applyAlignment="0" applyProtection="0"/>
    <xf numFmtId="0" fontId="52" fillId="0" borderId="0"/>
    <xf numFmtId="171" fontId="52" fillId="0" borderId="0" applyFont="0" applyFill="0" applyBorder="0" applyAlignment="0" applyProtection="0"/>
    <xf numFmtId="43" fontId="99" fillId="0" borderId="0" applyFont="0" applyFill="0" applyBorder="0" applyAlignment="0" applyProtection="0"/>
    <xf numFmtId="0" fontId="123" fillId="0" borderId="0" applyNumberFormat="0" applyFill="0" applyBorder="0" applyAlignment="0" applyProtection="0">
      <alignment vertical="top"/>
      <protection locked="0"/>
    </xf>
  </cellStyleXfs>
  <cellXfs count="1227">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2" xfId="0" applyFont="1" applyFill="1" applyBorder="1" applyAlignment="1" applyProtection="1">
      <alignment wrapText="1"/>
      <protection hidden="1"/>
    </xf>
    <xf numFmtId="0" fontId="21" fillId="0" borderId="11"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28" fillId="13" borderId="16" xfId="0" applyFont="1" applyFill="1" applyBorder="1" applyAlignment="1" applyProtection="1">
      <alignment horizontal="center" vertical="center" wrapText="1"/>
      <protection hidden="1"/>
    </xf>
    <xf numFmtId="0" fontId="5" fillId="0" borderId="0" xfId="0" applyFont="1" applyProtection="1">
      <protection hidden="1"/>
    </xf>
    <xf numFmtId="0" fontId="5" fillId="0" borderId="67" xfId="0" applyFont="1" applyBorder="1" applyAlignment="1" applyProtection="1">
      <alignment horizontal="center" vertical="center"/>
      <protection hidden="1"/>
    </xf>
    <xf numFmtId="14" fontId="31" fillId="0" borderId="71" xfId="0" applyNumberFormat="1" applyFont="1" applyBorder="1" applyAlignment="1" applyProtection="1">
      <alignment horizontal="left" vertical="center"/>
      <protection hidden="1"/>
    </xf>
    <xf numFmtId="0" fontId="21" fillId="0" borderId="0" xfId="0" applyFont="1" applyBorder="1" applyAlignment="1" applyProtection="1">
      <alignment vertical="center"/>
      <protection hidden="1"/>
    </xf>
    <xf numFmtId="2" fontId="20" fillId="0" borderId="71" xfId="0" applyNumberFormat="1" applyFont="1" applyBorder="1" applyAlignment="1" applyProtection="1">
      <alignment horizontal="left" vertical="center" wrapText="1"/>
      <protection hidden="1"/>
    </xf>
    <xf numFmtId="0" fontId="11" fillId="13" borderId="59" xfId="0" applyFont="1" applyFill="1" applyBorder="1" applyAlignment="1" applyProtection="1">
      <alignment horizontal="center" vertical="center" wrapText="1"/>
      <protection hidden="1"/>
    </xf>
    <xf numFmtId="0" fontId="44" fillId="0" borderId="0" xfId="0" applyFont="1" applyProtection="1">
      <protection hidden="1"/>
    </xf>
    <xf numFmtId="0" fontId="50" fillId="18" borderId="92" xfId="0" applyFont="1" applyFill="1" applyBorder="1" applyAlignment="1" applyProtection="1">
      <alignment horizontal="center" vertical="center" wrapText="1"/>
      <protection locked="0"/>
    </xf>
    <xf numFmtId="0" fontId="50" fillId="18" borderId="93"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56" fillId="0" borderId="0" xfId="0" applyFont="1" applyAlignment="1" applyProtection="1">
      <alignment wrapText="1"/>
      <protection hidden="1"/>
    </xf>
    <xf numFmtId="164" fontId="56" fillId="0" borderId="0" xfId="0" applyNumberFormat="1" applyFont="1" applyAlignment="1" applyProtection="1">
      <alignment wrapText="1"/>
      <protection hidden="1"/>
    </xf>
    <xf numFmtId="0" fontId="56" fillId="0" borderId="0" xfId="0" applyFont="1" applyAlignment="1" applyProtection="1">
      <alignment horizontal="center" vertical="center" wrapText="1"/>
      <protection hidden="1"/>
    </xf>
    <xf numFmtId="0" fontId="8" fillId="4" borderId="28" xfId="0" applyFont="1" applyFill="1" applyBorder="1" applyAlignment="1" applyProtection="1">
      <alignment horizontal="center"/>
      <protection hidden="1"/>
    </xf>
    <xf numFmtId="0" fontId="8" fillId="4" borderId="48" xfId="0" applyFont="1" applyFill="1" applyBorder="1" applyAlignment="1" applyProtection="1">
      <alignment horizontal="center"/>
      <protection hidden="1"/>
    </xf>
    <xf numFmtId="0" fontId="6" fillId="4" borderId="48" xfId="0" applyFont="1" applyFill="1" applyBorder="1" applyAlignment="1" applyProtection="1">
      <alignment horizontal="center"/>
      <protection hidden="1"/>
    </xf>
    <xf numFmtId="0" fontId="5" fillId="0" borderId="48"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6" fontId="11" fillId="10" borderId="41" xfId="0" applyNumberFormat="1" applyFont="1" applyFill="1" applyBorder="1" applyAlignment="1" applyProtection="1">
      <alignment horizontal="center" vertical="center"/>
      <protection locked="0"/>
    </xf>
    <xf numFmtId="0" fontId="19" fillId="9" borderId="98" xfId="0" applyFont="1" applyFill="1" applyBorder="1" applyAlignment="1" applyProtection="1">
      <alignment horizontal="center" vertical="center" wrapText="1"/>
      <protection hidden="1"/>
    </xf>
    <xf numFmtId="6" fontId="11" fillId="10" borderId="104" xfId="0" applyNumberFormat="1" applyFont="1" applyFill="1" applyBorder="1" applyAlignment="1" applyProtection="1">
      <alignment horizontal="center" vertical="center"/>
      <protection locked="0"/>
    </xf>
    <xf numFmtId="0" fontId="16" fillId="10" borderId="4" xfId="0" applyFont="1" applyFill="1" applyBorder="1" applyAlignment="1" applyProtection="1">
      <alignment horizontal="center" vertical="center" wrapText="1"/>
      <protection locked="0"/>
    </xf>
    <xf numFmtId="0" fontId="42" fillId="9" borderId="4" xfId="0" applyFont="1" applyFill="1" applyBorder="1" applyAlignment="1" applyProtection="1">
      <alignment horizontal="center" vertical="center" wrapText="1"/>
      <protection hidden="1"/>
    </xf>
    <xf numFmtId="0" fontId="10" fillId="3" borderId="0" xfId="0" applyFont="1" applyFill="1" applyBorder="1" applyAlignment="1" applyProtection="1">
      <alignment vertical="center"/>
      <protection hidden="1"/>
    </xf>
    <xf numFmtId="0" fontId="9" fillId="10" borderId="41" xfId="0" applyFont="1" applyFill="1" applyBorder="1" applyAlignment="1" applyProtection="1">
      <alignment horizontal="center" vertical="center"/>
      <protection locked="0"/>
    </xf>
    <xf numFmtId="0" fontId="9" fillId="10" borderId="43" xfId="0" applyFont="1" applyFill="1" applyBorder="1" applyAlignment="1" applyProtection="1">
      <alignment horizontal="center" vertical="center"/>
      <protection locked="0"/>
    </xf>
    <xf numFmtId="17" fontId="9" fillId="10" borderId="41" xfId="0" applyNumberFormat="1" applyFont="1" applyFill="1" applyBorder="1" applyAlignment="1" applyProtection="1">
      <alignment horizontal="center" vertical="center"/>
      <protection locked="0"/>
    </xf>
    <xf numFmtId="6" fontId="11" fillId="10" borderId="106" xfId="0" applyNumberFormat="1" applyFont="1" applyFill="1" applyBorder="1" applyAlignment="1" applyProtection="1">
      <alignment horizontal="center" vertical="center"/>
      <protection locked="0"/>
    </xf>
    <xf numFmtId="6" fontId="11" fillId="10" borderId="43" xfId="0" applyNumberFormat="1" applyFont="1" applyFill="1" applyBorder="1" applyAlignment="1" applyProtection="1">
      <alignment horizontal="center" vertical="center"/>
      <protection locked="0"/>
    </xf>
    <xf numFmtId="6" fontId="11" fillId="10" borderId="107" xfId="0" applyNumberFormat="1" applyFont="1" applyFill="1" applyBorder="1" applyAlignment="1" applyProtection="1">
      <alignment horizontal="center" vertical="center"/>
      <protection locked="0"/>
    </xf>
    <xf numFmtId="0" fontId="61" fillId="0" borderId="22" xfId="1" applyFont="1" applyBorder="1" applyAlignment="1" applyProtection="1">
      <alignment vertical="center"/>
      <protection hidden="1"/>
    </xf>
    <xf numFmtId="0" fontId="63" fillId="0" borderId="22" xfId="1" applyFont="1" applyBorder="1" applyAlignment="1" applyProtection="1">
      <alignment vertical="center"/>
      <protection hidden="1"/>
    </xf>
    <xf numFmtId="0" fontId="4" fillId="0" borderId="22" xfId="1" applyFont="1" applyBorder="1" applyAlignment="1" applyProtection="1">
      <alignment vertical="center"/>
      <protection hidden="1"/>
    </xf>
    <xf numFmtId="0" fontId="61" fillId="0" borderId="52" xfId="1" applyFont="1" applyBorder="1" applyAlignment="1" applyProtection="1">
      <alignment vertical="center"/>
      <protection hidden="1"/>
    </xf>
    <xf numFmtId="0" fontId="61" fillId="0" borderId="114" xfId="1" applyFont="1" applyBorder="1" applyAlignment="1" applyProtection="1">
      <alignment vertical="center"/>
      <protection hidden="1"/>
    </xf>
    <xf numFmtId="0" fontId="4" fillId="0" borderId="109" xfId="1" applyFont="1" applyBorder="1" applyAlignment="1" applyProtection="1">
      <alignment vertical="center"/>
      <protection hidden="1"/>
    </xf>
    <xf numFmtId="0" fontId="4" fillId="0" borderId="114" xfId="1" applyFont="1" applyBorder="1" applyAlignment="1" applyProtection="1">
      <alignment vertical="center"/>
      <protection hidden="1"/>
    </xf>
    <xf numFmtId="0" fontId="4" fillId="0" borderId="99" xfId="1" applyFont="1" applyBorder="1" applyAlignment="1" applyProtection="1">
      <alignment vertical="center"/>
      <protection hidden="1"/>
    </xf>
    <xf numFmtId="0" fontId="61" fillId="0" borderId="109" xfId="1" applyFont="1" applyBorder="1" applyAlignment="1" applyProtection="1">
      <alignment vertical="center"/>
      <protection hidden="1"/>
    </xf>
    <xf numFmtId="0" fontId="63" fillId="0" borderId="121" xfId="1" applyFont="1" applyBorder="1" applyAlignment="1" applyProtection="1">
      <alignment vertical="center"/>
      <protection hidden="1"/>
    </xf>
    <xf numFmtId="0" fontId="60" fillId="0" borderId="118" xfId="1" applyFont="1" applyBorder="1" applyAlignment="1" applyProtection="1">
      <alignment horizontal="center" vertical="center"/>
      <protection hidden="1"/>
    </xf>
    <xf numFmtId="0" fontId="60" fillId="0" borderId="120" xfId="1" applyFont="1" applyBorder="1" applyAlignment="1" applyProtection="1">
      <alignment horizontal="center" vertical="center"/>
      <protection hidden="1"/>
    </xf>
    <xf numFmtId="0" fontId="68" fillId="0" borderId="22" xfId="1" applyFont="1" applyBorder="1" applyAlignment="1" applyProtection="1">
      <alignment vertical="center"/>
      <protection hidden="1"/>
    </xf>
    <xf numFmtId="0" fontId="60" fillId="0" borderId="22" xfId="1" applyFont="1" applyBorder="1" applyAlignment="1" applyProtection="1">
      <alignment horizontal="right" vertical="center"/>
      <protection hidden="1"/>
    </xf>
    <xf numFmtId="0" fontId="67" fillId="0" borderId="114" xfId="1" applyFont="1" applyBorder="1" applyAlignment="1" applyProtection="1">
      <alignment horizontal="right" vertical="center"/>
      <protection hidden="1"/>
    </xf>
    <xf numFmtId="0" fontId="67" fillId="0" borderId="112" xfId="1" applyFont="1" applyBorder="1" applyAlignment="1" applyProtection="1">
      <alignment vertical="center"/>
      <protection hidden="1"/>
    </xf>
    <xf numFmtId="2" fontId="69" fillId="0" borderId="115" xfId="1" applyNumberFormat="1" applyFont="1" applyBorder="1" applyAlignment="1" applyProtection="1">
      <alignment horizontal="right" vertical="center"/>
      <protection hidden="1"/>
    </xf>
    <xf numFmtId="2" fontId="48" fillId="0" borderId="112" xfId="1" applyNumberFormat="1" applyFont="1" applyBorder="1" applyAlignment="1" applyProtection="1">
      <alignment vertical="center"/>
      <protection hidden="1"/>
    </xf>
    <xf numFmtId="2" fontId="48" fillId="0" borderId="112" xfId="1" applyNumberFormat="1" applyFont="1" applyBorder="1" applyAlignment="1" applyProtection="1">
      <alignment horizontal="right" vertical="center"/>
      <protection hidden="1"/>
    </xf>
    <xf numFmtId="2" fontId="69" fillId="0" borderId="112" xfId="1" applyNumberFormat="1" applyFont="1" applyBorder="1" applyAlignment="1" applyProtection="1">
      <alignment horizontal="right" vertical="center"/>
      <protection hidden="1"/>
    </xf>
    <xf numFmtId="2" fontId="65" fillId="0" borderId="112" xfId="1" applyNumberFormat="1" applyFont="1" applyBorder="1" applyAlignment="1" applyProtection="1">
      <alignment horizontal="right" vertical="center"/>
      <protection hidden="1"/>
    </xf>
    <xf numFmtId="2" fontId="75" fillId="0" borderId="117" xfId="1" applyNumberFormat="1" applyFont="1" applyBorder="1" applyAlignment="1" applyProtection="1">
      <alignment horizontal="right" vertical="center"/>
      <protection hidden="1"/>
    </xf>
    <xf numFmtId="2" fontId="76" fillId="0" borderId="122" xfId="1" applyNumberFormat="1" applyFont="1" applyBorder="1" applyAlignment="1" applyProtection="1">
      <alignment horizontal="right" vertical="center"/>
      <protection hidden="1"/>
    </xf>
    <xf numFmtId="2" fontId="66" fillId="0" borderId="110" xfId="1" applyNumberFormat="1" applyFont="1" applyBorder="1" applyAlignment="1" applyProtection="1">
      <alignment horizontal="right" vertical="center"/>
      <protection hidden="1"/>
    </xf>
    <xf numFmtId="2" fontId="66" fillId="0" borderId="115" xfId="1" applyNumberFormat="1" applyFont="1" applyBorder="1" applyAlignment="1" applyProtection="1">
      <alignment horizontal="right" vertical="center"/>
      <protection hidden="1"/>
    </xf>
    <xf numFmtId="2" fontId="72" fillId="0" borderId="112" xfId="1" applyNumberFormat="1" applyFont="1" applyBorder="1" applyAlignment="1" applyProtection="1">
      <alignment horizontal="right" vertical="center"/>
      <protection hidden="1"/>
    </xf>
    <xf numFmtId="2" fontId="76" fillId="0" borderId="112" xfId="1" applyNumberFormat="1" applyFont="1" applyBorder="1" applyAlignment="1" applyProtection="1">
      <alignment horizontal="right" vertical="center"/>
      <protection hidden="1"/>
    </xf>
    <xf numFmtId="2" fontId="77" fillId="0" borderId="22" xfId="1" applyNumberFormat="1" applyFont="1" applyBorder="1" applyAlignment="1" applyProtection="1">
      <alignment horizontal="center" vertical="center"/>
      <protection hidden="1"/>
    </xf>
    <xf numFmtId="2" fontId="77" fillId="19" borderId="22" xfId="1" applyNumberFormat="1" applyFont="1" applyFill="1" applyBorder="1" applyAlignment="1" applyProtection="1">
      <alignment horizontal="center" vertical="center"/>
      <protection hidden="1"/>
    </xf>
    <xf numFmtId="2" fontId="75" fillId="0" borderId="22" xfId="1" applyNumberFormat="1" applyFont="1" applyBorder="1" applyAlignment="1" applyProtection="1">
      <alignment horizontal="center" vertical="center"/>
      <protection hidden="1"/>
    </xf>
    <xf numFmtId="2" fontId="72" fillId="0" borderId="115" xfId="1" applyNumberFormat="1" applyFont="1" applyBorder="1" applyAlignment="1" applyProtection="1">
      <alignment horizontal="right" vertical="center"/>
      <protection hidden="1"/>
    </xf>
    <xf numFmtId="2" fontId="66" fillId="0" borderId="119" xfId="1" applyNumberFormat="1" applyFont="1" applyBorder="1" applyAlignment="1" applyProtection="1">
      <alignment horizontal="right" vertical="center"/>
      <protection hidden="1"/>
    </xf>
    <xf numFmtId="2" fontId="72" fillId="0" borderId="110" xfId="1" applyNumberFormat="1" applyFont="1" applyBorder="1" applyAlignment="1" applyProtection="1">
      <alignment horizontal="right" vertical="center"/>
      <protection hidden="1"/>
    </xf>
    <xf numFmtId="0" fontId="11" fillId="0" borderId="118" xfId="1" applyFont="1" applyBorder="1" applyAlignment="1" applyProtection="1">
      <alignment horizontal="center" vertical="center"/>
      <protection hidden="1"/>
    </xf>
    <xf numFmtId="0" fontId="17" fillId="0" borderId="99" xfId="1" applyFont="1" applyBorder="1" applyAlignment="1" applyProtection="1">
      <alignment horizontal="right" vertical="center"/>
      <protection hidden="1"/>
    </xf>
    <xf numFmtId="0" fontId="11" fillId="0" borderId="99" xfId="1" applyFont="1" applyBorder="1" applyAlignment="1" applyProtection="1">
      <alignment horizontal="right" vertical="center"/>
      <protection hidden="1"/>
    </xf>
    <xf numFmtId="0" fontId="61" fillId="0" borderId="22" xfId="1" applyFont="1" applyBorder="1" applyAlignment="1" applyProtection="1">
      <protection hidden="1"/>
    </xf>
    <xf numFmtId="2" fontId="48" fillId="0" borderId="112" xfId="1" applyNumberFormat="1" applyFont="1" applyBorder="1" applyAlignment="1" applyProtection="1">
      <alignment wrapText="1"/>
      <protection hidden="1"/>
    </xf>
    <xf numFmtId="1" fontId="7" fillId="13" borderId="16" xfId="0" applyNumberFormat="1" applyFont="1" applyFill="1" applyBorder="1" applyAlignment="1" applyProtection="1">
      <alignment horizontal="center" vertical="center" wrapText="1"/>
      <protection hidden="1"/>
    </xf>
    <xf numFmtId="0" fontId="59" fillId="0" borderId="0" xfId="0" applyFont="1" applyAlignment="1" applyProtection="1">
      <alignment horizontal="center" vertical="center"/>
      <protection hidden="1"/>
    </xf>
    <xf numFmtId="0" fontId="59" fillId="0" borderId="0" xfId="0" applyFont="1" applyProtection="1">
      <protection hidden="1"/>
    </xf>
    <xf numFmtId="0" fontId="80" fillId="0" borderId="0" xfId="0" applyFont="1" applyAlignment="1" applyProtection="1">
      <alignment horizontal="center" vertical="center"/>
      <protection hidden="1"/>
    </xf>
    <xf numFmtId="2" fontId="80" fillId="0" borderId="0" xfId="0" applyNumberFormat="1" applyFont="1" applyAlignment="1" applyProtection="1">
      <alignment horizontal="center" vertical="center"/>
      <protection hidden="1"/>
    </xf>
    <xf numFmtId="1" fontId="52" fillId="16" borderId="141" xfId="0" applyNumberFormat="1" applyFont="1" applyFill="1" applyBorder="1" applyAlignment="1" applyProtection="1">
      <alignment horizontal="center"/>
      <protection locked="0"/>
    </xf>
    <xf numFmtId="1" fontId="52" fillId="16" borderId="142" xfId="0" applyNumberFormat="1" applyFont="1" applyFill="1" applyBorder="1" applyAlignment="1" applyProtection="1">
      <alignment horizontal="center"/>
      <protection locked="0"/>
    </xf>
    <xf numFmtId="0" fontId="60" fillId="0" borderId="0" xfId="1" applyFont="1" applyBorder="1" applyAlignment="1" applyProtection="1">
      <alignment horizontal="center" vertical="center"/>
      <protection hidden="1"/>
    </xf>
    <xf numFmtId="0" fontId="17" fillId="10" borderId="103"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protection hidden="1"/>
    </xf>
    <xf numFmtId="0" fontId="8" fillId="9" borderId="103" xfId="0" applyFont="1" applyFill="1" applyBorder="1" applyAlignment="1" applyProtection="1">
      <alignment horizontal="center" vertical="center" wrapText="1"/>
      <protection hidden="1"/>
    </xf>
    <xf numFmtId="0" fontId="73" fillId="4" borderId="0" xfId="1" applyFont="1" applyFill="1" applyBorder="1" applyAlignment="1" applyProtection="1">
      <alignment horizontal="center" vertical="center"/>
      <protection hidden="1"/>
    </xf>
    <xf numFmtId="0" fontId="60" fillId="0" borderId="108"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60" fillId="0" borderId="113" xfId="1" applyFont="1" applyBorder="1" applyAlignment="1" applyProtection="1">
      <alignment horizontal="center" vertical="center"/>
      <protection hidden="1"/>
    </xf>
    <xf numFmtId="0" fontId="71" fillId="0" borderId="109" xfId="1" applyFont="1" applyBorder="1" applyAlignment="1" applyProtection="1">
      <alignment horizontal="center" vertical="center" wrapText="1"/>
      <protection hidden="1"/>
    </xf>
    <xf numFmtId="1" fontId="60" fillId="0" borderId="22" xfId="1" applyNumberFormat="1" applyFont="1" applyBorder="1" applyAlignment="1" applyProtection="1">
      <alignment horizontal="center" wrapText="1"/>
      <protection hidden="1"/>
    </xf>
    <xf numFmtId="0" fontId="48" fillId="0" borderId="22" xfId="1" applyFont="1" applyBorder="1" applyAlignment="1" applyProtection="1">
      <alignment horizontal="center" vertical="center"/>
      <protection hidden="1"/>
    </xf>
    <xf numFmtId="9" fontId="48" fillId="0" borderId="22" xfId="1" applyNumberFormat="1" applyFont="1" applyBorder="1" applyAlignment="1" applyProtection="1">
      <alignment horizontal="center" vertical="center"/>
      <protection hidden="1"/>
    </xf>
    <xf numFmtId="0" fontId="69" fillId="0" borderId="22" xfId="1" applyFont="1" applyBorder="1" applyAlignment="1" applyProtection="1">
      <alignment horizontal="right" vertical="center"/>
      <protection hidden="1"/>
    </xf>
    <xf numFmtId="0" fontId="60" fillId="0" borderId="22" xfId="1" applyFont="1" applyBorder="1" applyAlignment="1" applyProtection="1">
      <alignment horizontal="center" vertical="center"/>
      <protection hidden="1"/>
    </xf>
    <xf numFmtId="0" fontId="0" fillId="27" borderId="71" xfId="0" applyFill="1" applyBorder="1" applyProtection="1">
      <protection hidden="1"/>
    </xf>
    <xf numFmtId="0" fontId="0" fillId="27" borderId="80" xfId="0" applyFill="1" applyBorder="1" applyAlignment="1" applyProtection="1">
      <alignment horizontal="center"/>
      <protection hidden="1"/>
    </xf>
    <xf numFmtId="173" fontId="27" fillId="27" borderId="82" xfId="0" applyNumberFormat="1" applyFont="1" applyFill="1" applyBorder="1" applyAlignment="1" applyProtection="1">
      <alignment horizontal="left" vertical="center"/>
      <protection hidden="1"/>
    </xf>
    <xf numFmtId="0" fontId="0" fillId="0" borderId="0" xfId="0" applyAlignment="1" applyProtection="1">
      <alignment horizontal="center"/>
      <protection hidden="1"/>
    </xf>
    <xf numFmtId="0" fontId="0" fillId="22" borderId="160" xfId="0" applyFill="1" applyBorder="1" applyAlignment="1" applyProtection="1">
      <alignment horizontal="center" vertical="center" wrapText="1"/>
      <protection hidden="1"/>
    </xf>
    <xf numFmtId="0" fontId="0" fillId="22" borderId="152" xfId="0" applyFill="1" applyBorder="1" applyAlignment="1" applyProtection="1">
      <alignment horizontal="center" vertical="center" wrapText="1"/>
      <protection hidden="1"/>
    </xf>
    <xf numFmtId="0" fontId="0" fillId="22" borderId="151" xfId="0" applyFill="1" applyBorder="1" applyAlignment="1" applyProtection="1">
      <alignment horizontal="center" vertical="center" wrapText="1"/>
      <protection hidden="1"/>
    </xf>
    <xf numFmtId="0" fontId="27" fillId="22" borderId="75" xfId="0" applyFont="1" applyFill="1" applyBorder="1" applyAlignment="1" applyProtection="1">
      <alignment horizontal="center" vertical="center"/>
      <protection hidden="1"/>
    </xf>
    <xf numFmtId="0" fontId="104" fillId="22" borderId="75" xfId="0" applyFont="1" applyFill="1" applyBorder="1" applyAlignment="1" applyProtection="1">
      <alignment horizontal="center" vertical="center"/>
      <protection hidden="1"/>
    </xf>
    <xf numFmtId="0" fontId="0" fillId="27" borderId="71" xfId="0" applyFill="1" applyBorder="1" applyAlignment="1" applyProtection="1">
      <alignment horizontal="center" vertical="center"/>
      <protection hidden="1"/>
    </xf>
    <xf numFmtId="0" fontId="105" fillId="0" borderId="0" xfId="0" applyFont="1" applyBorder="1" applyAlignment="1" applyProtection="1">
      <alignment horizontal="center" vertical="center"/>
      <protection hidden="1"/>
    </xf>
    <xf numFmtId="0" fontId="105" fillId="0" borderId="161" xfId="0" applyFont="1" applyBorder="1" applyAlignment="1" applyProtection="1">
      <alignment horizontal="center" vertical="center"/>
      <protection hidden="1"/>
    </xf>
    <xf numFmtId="0" fontId="105" fillId="0" borderId="162" xfId="0" applyFont="1" applyBorder="1" applyAlignment="1" applyProtection="1">
      <alignment horizontal="center" vertical="center"/>
      <protection hidden="1"/>
    </xf>
    <xf numFmtId="0" fontId="105" fillId="0" borderId="132" xfId="0" applyFont="1" applyBorder="1" applyAlignment="1" applyProtection="1">
      <alignment horizontal="center" vertical="center"/>
      <protection hidden="1"/>
    </xf>
    <xf numFmtId="0" fontId="105" fillId="0" borderId="152" xfId="0" applyFont="1" applyBorder="1" applyAlignment="1" applyProtection="1">
      <alignment horizontal="center" vertical="center"/>
      <protection hidden="1"/>
    </xf>
    <xf numFmtId="0" fontId="105" fillId="0" borderId="156" xfId="0" applyFont="1" applyBorder="1" applyAlignment="1" applyProtection="1">
      <alignment horizontal="center" vertical="center"/>
      <protection hidden="1"/>
    </xf>
    <xf numFmtId="0" fontId="105" fillId="0" borderId="151" xfId="0" applyFont="1" applyBorder="1" applyAlignment="1" applyProtection="1">
      <alignment horizontal="center" vertical="center"/>
      <protection hidden="1"/>
    </xf>
    <xf numFmtId="0" fontId="105" fillId="0" borderId="131" xfId="0" applyFont="1" applyBorder="1" applyAlignment="1" applyProtection="1">
      <alignment horizontal="center" vertical="center"/>
      <protection hidden="1"/>
    </xf>
    <xf numFmtId="0" fontId="105" fillId="0" borderId="160" xfId="0" applyFont="1" applyBorder="1" applyAlignment="1" applyProtection="1">
      <alignment horizontal="center" vertical="center"/>
      <protection hidden="1"/>
    </xf>
    <xf numFmtId="0" fontId="105" fillId="0" borderId="163" xfId="0" applyFont="1" applyBorder="1" applyAlignment="1" applyProtection="1">
      <alignment horizontal="center" vertical="center"/>
      <protection hidden="1"/>
    </xf>
    <xf numFmtId="0" fontId="105" fillId="0" borderId="164"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0" fillId="0" borderId="142" xfId="0" applyBorder="1" applyAlignment="1" applyProtection="1">
      <alignment horizontal="center"/>
      <protection hidden="1"/>
    </xf>
    <xf numFmtId="0" fontId="0" fillId="27" borderId="0" xfId="0" applyFill="1" applyBorder="1" applyAlignment="1" applyProtection="1">
      <alignment horizontal="left"/>
      <protection hidden="1"/>
    </xf>
    <xf numFmtId="0" fontId="0" fillId="27" borderId="71" xfId="0" applyFill="1" applyBorder="1" applyAlignment="1" applyProtection="1">
      <alignment horizontal="left"/>
      <protection hidden="1"/>
    </xf>
    <xf numFmtId="0" fontId="0" fillId="27" borderId="0" xfId="0" applyFont="1" applyFill="1" applyBorder="1" applyAlignment="1" applyProtection="1">
      <alignment horizontal="left"/>
      <protection hidden="1"/>
    </xf>
    <xf numFmtId="0" fontId="27" fillId="0" borderId="0" xfId="0" applyFont="1" applyAlignment="1" applyProtection="1">
      <alignment horizontal="center" vertical="center"/>
      <protection hidden="1"/>
    </xf>
    <xf numFmtId="0" fontId="0" fillId="0" borderId="75" xfId="0" applyBorder="1" applyAlignment="1" applyProtection="1">
      <alignment horizontal="center" vertical="center"/>
      <protection hidden="1"/>
    </xf>
    <xf numFmtId="173" fontId="99" fillId="0" borderId="75" xfId="6" applyNumberFormat="1" applyFont="1" applyBorder="1" applyAlignment="1" applyProtection="1">
      <alignment horizontal="center" vertical="center"/>
      <protection hidden="1"/>
    </xf>
    <xf numFmtId="173" fontId="27" fillId="22" borderId="75" xfId="0" applyNumberFormat="1" applyFont="1" applyFill="1" applyBorder="1" applyAlignment="1" applyProtection="1">
      <alignment horizontal="center" vertical="center"/>
      <protection hidden="1"/>
    </xf>
    <xf numFmtId="173" fontId="99" fillId="0" borderId="75" xfId="6" applyNumberFormat="1" applyFont="1" applyBorder="1" applyAlignment="1" applyProtection="1">
      <alignment vertical="center"/>
      <protection hidden="1"/>
    </xf>
    <xf numFmtId="0" fontId="0" fillId="0" borderId="0" xfId="0" applyAlignment="1" applyProtection="1">
      <alignment horizontal="center" vertical="center"/>
      <protection hidden="1"/>
    </xf>
    <xf numFmtId="0" fontId="27" fillId="27" borderId="81" xfId="0" applyFont="1" applyFill="1" applyBorder="1" applyAlignment="1" applyProtection="1">
      <alignment horizontal="center"/>
      <protection hidden="1"/>
    </xf>
    <xf numFmtId="0" fontId="106" fillId="0" borderId="0" xfId="0" applyFont="1" applyBorder="1" applyAlignment="1" applyProtection="1">
      <alignment horizontal="center" vertical="center"/>
      <protection hidden="1"/>
    </xf>
    <xf numFmtId="173" fontId="105" fillId="0" borderId="0" xfId="6" applyNumberFormat="1" applyFont="1" applyBorder="1" applyAlignment="1" applyProtection="1">
      <alignment horizontal="center" vertical="center"/>
      <protection hidden="1"/>
    </xf>
    <xf numFmtId="173" fontId="106" fillId="0" borderId="0" xfId="6" applyNumberFormat="1" applyFont="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103" fillId="0" borderId="0" xfId="0" applyFont="1" applyAlignment="1" applyProtection="1">
      <alignment vertical="center"/>
      <protection hidden="1"/>
    </xf>
    <xf numFmtId="0" fontId="110" fillId="27" borderId="75"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27" borderId="74" xfId="0" applyFill="1" applyBorder="1" applyProtection="1">
      <protection hidden="1"/>
    </xf>
    <xf numFmtId="173" fontId="99" fillId="22" borderId="75" xfId="6" applyNumberFormat="1" applyFont="1" applyFill="1" applyBorder="1" applyAlignment="1" applyProtection="1">
      <alignment horizontal="left" vertical="center"/>
      <protection locked="0" hidden="1"/>
    </xf>
    <xf numFmtId="173" fontId="99" fillId="22" borderId="75" xfId="6" applyNumberFormat="1" applyFont="1" applyFill="1" applyBorder="1" applyProtection="1">
      <protection locked="0" hidden="1"/>
    </xf>
    <xf numFmtId="0" fontId="0" fillId="22" borderId="165" xfId="0" applyFill="1" applyBorder="1" applyAlignment="1" applyProtection="1">
      <alignment horizontal="left"/>
      <protection locked="0" hidden="1"/>
    </xf>
    <xf numFmtId="14" fontId="0" fillId="22" borderId="166" xfId="0" applyNumberFormat="1" applyFill="1" applyBorder="1" applyAlignment="1" applyProtection="1">
      <alignment horizontal="left"/>
      <protection locked="0" hidden="1"/>
    </xf>
    <xf numFmtId="0" fontId="0" fillId="22" borderId="166" xfId="0" applyFont="1" applyFill="1" applyBorder="1" applyAlignment="1" applyProtection="1">
      <alignment horizontal="left" shrinkToFit="1"/>
      <protection locked="0" hidden="1"/>
    </xf>
    <xf numFmtId="173" fontId="27" fillId="22" borderId="174" xfId="6" applyNumberFormat="1" applyFont="1" applyFill="1" applyBorder="1" applyAlignment="1" applyProtection="1">
      <alignment horizontal="center" vertical="center"/>
      <protection locked="0" hidden="1"/>
    </xf>
    <xf numFmtId="0" fontId="0" fillId="27" borderId="144" xfId="0" applyFill="1" applyBorder="1" applyAlignment="1" applyProtection="1">
      <alignment horizontal="center" vertical="center"/>
      <protection hidden="1"/>
    </xf>
    <xf numFmtId="0" fontId="0" fillId="27" borderId="144" xfId="0" applyFill="1" applyBorder="1" applyAlignment="1" applyProtection="1">
      <alignment horizontal="center"/>
      <protection hidden="1"/>
    </xf>
    <xf numFmtId="173" fontId="35" fillId="0" borderId="168" xfId="0" applyNumberFormat="1" applyFont="1" applyBorder="1" applyAlignment="1" applyProtection="1">
      <alignment vertical="center"/>
      <protection hidden="1"/>
    </xf>
    <xf numFmtId="0" fontId="35" fillId="0" borderId="169" xfId="0" applyFont="1" applyBorder="1" applyAlignment="1" applyProtection="1">
      <alignment vertical="center"/>
      <protection hidden="1"/>
    </xf>
    <xf numFmtId="173" fontId="35" fillId="0" borderId="135" xfId="0" applyNumberFormat="1" applyFont="1" applyBorder="1" applyAlignment="1" applyProtection="1">
      <alignment vertical="center"/>
      <protection hidden="1"/>
    </xf>
    <xf numFmtId="0" fontId="59"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1" fontId="84" fillId="22" borderId="158" xfId="0" applyNumberFormat="1" applyFont="1" applyFill="1" applyBorder="1" applyAlignment="1" applyProtection="1">
      <alignment horizontal="center"/>
      <protection hidden="1"/>
    </xf>
    <xf numFmtId="1" fontId="0" fillId="0" borderId="0" xfId="0" applyNumberFormat="1" applyAlignment="1" applyProtection="1">
      <alignment horizontal="center"/>
      <protection hidden="1"/>
    </xf>
    <xf numFmtId="1" fontId="52" fillId="4" borderId="85" xfId="0" applyNumberFormat="1" applyFont="1" applyFill="1" applyBorder="1" applyProtection="1">
      <protection hidden="1"/>
    </xf>
    <xf numFmtId="1" fontId="52" fillId="4" borderId="145" xfId="0" applyNumberFormat="1" applyFont="1" applyFill="1" applyBorder="1" applyProtection="1">
      <protection hidden="1"/>
    </xf>
    <xf numFmtId="1" fontId="52" fillId="4" borderId="0" xfId="0" applyNumberFormat="1" applyFont="1" applyFill="1" applyBorder="1" applyProtection="1">
      <protection hidden="1"/>
    </xf>
    <xf numFmtId="1" fontId="52" fillId="4" borderId="147" xfId="0" applyNumberFormat="1" applyFont="1" applyFill="1" applyBorder="1" applyProtection="1">
      <protection hidden="1"/>
    </xf>
    <xf numFmtId="1" fontId="52" fillId="4" borderId="139" xfId="0" applyNumberFormat="1" applyFont="1" applyFill="1" applyBorder="1" applyProtection="1">
      <protection hidden="1"/>
    </xf>
    <xf numFmtId="1" fontId="52" fillId="4" borderId="149" xfId="0" applyNumberFormat="1" applyFont="1" applyFill="1" applyBorder="1" applyProtection="1">
      <protection hidden="1"/>
    </xf>
    <xf numFmtId="172" fontId="84" fillId="4" borderId="151" xfId="0" applyNumberFormat="1" applyFont="1" applyFill="1" applyBorder="1" applyAlignment="1" applyProtection="1">
      <alignment horizontal="center"/>
      <protection hidden="1"/>
    </xf>
    <xf numFmtId="1" fontId="52" fillId="4" borderId="139" xfId="3" applyNumberFormat="1" applyFont="1" applyFill="1" applyBorder="1" applyAlignment="1" applyProtection="1">
      <protection hidden="1"/>
    </xf>
    <xf numFmtId="1" fontId="86" fillId="4" borderId="141" xfId="3" applyNumberFormat="1" applyFont="1" applyFill="1" applyBorder="1" applyAlignment="1" applyProtection="1">
      <protection hidden="1"/>
    </xf>
    <xf numFmtId="1" fontId="86" fillId="4" borderId="139" xfId="3" applyNumberFormat="1" applyFont="1" applyFill="1" applyBorder="1" applyAlignment="1" applyProtection="1">
      <protection hidden="1"/>
    </xf>
    <xf numFmtId="1" fontId="52" fillId="4" borderId="85" xfId="0" applyNumberFormat="1" applyFont="1" applyFill="1" applyBorder="1" applyAlignment="1" applyProtection="1">
      <protection hidden="1"/>
    </xf>
    <xf numFmtId="1" fontId="0" fillId="4" borderId="85" xfId="0" applyNumberFormat="1" applyFill="1" applyBorder="1" applyAlignment="1" applyProtection="1">
      <protection hidden="1"/>
    </xf>
    <xf numFmtId="1" fontId="52" fillId="4" borderId="0" xfId="0" applyNumberFormat="1" applyFont="1" applyFill="1" applyBorder="1" applyAlignment="1" applyProtection="1">
      <protection hidden="1"/>
    </xf>
    <xf numFmtId="1" fontId="0" fillId="4" borderId="0" xfId="0" applyNumberFormat="1" applyFill="1" applyBorder="1" applyAlignment="1" applyProtection="1">
      <protection hidden="1"/>
    </xf>
    <xf numFmtId="1" fontId="0" fillId="4" borderId="0" xfId="0" applyNumberFormat="1" applyFill="1" applyBorder="1" applyAlignment="1" applyProtection="1">
      <alignment horizontal="right"/>
      <protection hidden="1"/>
    </xf>
    <xf numFmtId="1" fontId="88" fillId="4" borderId="0" xfId="3" applyNumberFormat="1" applyFont="1" applyFill="1" applyBorder="1" applyAlignment="1" applyProtection="1">
      <alignment vertical="center"/>
      <protection hidden="1"/>
    </xf>
    <xf numFmtId="1" fontId="52" fillId="4" borderId="0" xfId="3" applyNumberFormat="1" applyFont="1" applyFill="1" applyBorder="1" applyAlignment="1" applyProtection="1">
      <alignment horizontal="left" vertical="center"/>
      <protection hidden="1"/>
    </xf>
    <xf numFmtId="1" fontId="52" fillId="4" borderId="85" xfId="3" applyNumberFormat="1" applyFont="1" applyFill="1" applyBorder="1" applyAlignment="1" applyProtection="1">
      <alignment horizontal="left" vertical="center" wrapText="1"/>
      <protection hidden="1"/>
    </xf>
    <xf numFmtId="1" fontId="52" fillId="4" borderId="73" xfId="3" applyNumberFormat="1" applyFont="1" applyFill="1" applyBorder="1" applyAlignment="1" applyProtection="1">
      <alignment horizontal="left" vertical="center" wrapText="1"/>
      <protection hidden="1"/>
    </xf>
    <xf numFmtId="1" fontId="91" fillId="4" borderId="0" xfId="3" applyNumberFormat="1" applyFont="1" applyFill="1" applyBorder="1" applyProtection="1">
      <protection hidden="1"/>
    </xf>
    <xf numFmtId="1" fontId="52" fillId="4" borderId="0" xfId="3" applyNumberFormat="1" applyFont="1" applyFill="1" applyBorder="1" applyProtection="1">
      <protection hidden="1"/>
    </xf>
    <xf numFmtId="1" fontId="52" fillId="4" borderId="87" xfId="3" applyNumberFormat="1" applyFont="1" applyFill="1" applyBorder="1" applyProtection="1">
      <protection hidden="1"/>
    </xf>
    <xf numFmtId="1" fontId="52" fillId="4" borderId="152" xfId="3" applyNumberFormat="1" applyFont="1" applyFill="1" applyBorder="1" applyProtection="1">
      <protection hidden="1"/>
    </xf>
    <xf numFmtId="1" fontId="52" fillId="4" borderId="84" xfId="3" applyNumberFormat="1" applyFont="1" applyFill="1" applyBorder="1" applyProtection="1">
      <protection hidden="1"/>
    </xf>
    <xf numFmtId="1" fontId="88" fillId="4" borderId="0" xfId="3" applyNumberFormat="1" applyFont="1" applyFill="1" applyBorder="1" applyProtection="1">
      <protection hidden="1"/>
    </xf>
    <xf numFmtId="170" fontId="52" fillId="4" borderId="87" xfId="3" applyNumberFormat="1" applyFont="1" applyFill="1" applyBorder="1" applyProtection="1">
      <protection hidden="1"/>
    </xf>
    <xf numFmtId="1" fontId="87" fillId="4" borderId="0" xfId="3" applyNumberFormat="1" applyFont="1" applyFill="1" applyBorder="1" applyProtection="1">
      <protection hidden="1"/>
    </xf>
    <xf numFmtId="1" fontId="84" fillId="4" borderId="0" xfId="3" applyNumberFormat="1" applyFont="1" applyFill="1" applyBorder="1" applyProtection="1">
      <protection hidden="1"/>
    </xf>
    <xf numFmtId="1" fontId="84" fillId="4" borderId="87" xfId="3" applyNumberFormat="1" applyFont="1" applyFill="1" applyBorder="1" applyProtection="1">
      <protection hidden="1"/>
    </xf>
    <xf numFmtId="1" fontId="52" fillId="4" borderId="141" xfId="3" applyNumberFormat="1" applyFont="1" applyFill="1" applyBorder="1" applyProtection="1">
      <protection hidden="1"/>
    </xf>
    <xf numFmtId="1" fontId="52" fillId="20" borderId="0" xfId="3" applyNumberFormat="1" applyFont="1" applyFill="1" applyBorder="1" applyProtection="1">
      <protection hidden="1"/>
    </xf>
    <xf numFmtId="1" fontId="52" fillId="20" borderId="87" xfId="3" applyNumberFormat="1" applyFont="1" applyFill="1" applyBorder="1" applyProtection="1">
      <protection hidden="1"/>
    </xf>
    <xf numFmtId="2" fontId="0" fillId="0" borderId="0" xfId="0" applyNumberFormat="1" applyProtection="1">
      <protection hidden="1"/>
    </xf>
    <xf numFmtId="170" fontId="52" fillId="4" borderId="0" xfId="3" quotePrefix="1" applyNumberFormat="1" applyFont="1" applyFill="1" applyBorder="1" applyProtection="1">
      <protection hidden="1"/>
    </xf>
    <xf numFmtId="1" fontId="52" fillId="4" borderId="84" xfId="3" quotePrefix="1" applyNumberFormat="1" applyFont="1" applyFill="1" applyBorder="1" applyProtection="1">
      <protection hidden="1"/>
    </xf>
    <xf numFmtId="170" fontId="88" fillId="4" borderId="0" xfId="3" applyNumberFormat="1" applyFont="1" applyFill="1" applyBorder="1" applyProtection="1">
      <protection hidden="1"/>
    </xf>
    <xf numFmtId="170" fontId="52" fillId="4" borderId="141" xfId="3" applyNumberFormat="1" applyFont="1" applyFill="1" applyBorder="1" applyProtection="1">
      <protection hidden="1"/>
    </xf>
    <xf numFmtId="1" fontId="84" fillId="4" borderId="84" xfId="3" applyNumberFormat="1" applyFont="1" applyFill="1" applyBorder="1" applyProtection="1">
      <protection hidden="1"/>
    </xf>
    <xf numFmtId="1" fontId="52" fillId="20" borderId="141" xfId="3" applyNumberFormat="1" applyFont="1" applyFill="1" applyBorder="1" applyProtection="1">
      <protection hidden="1"/>
    </xf>
    <xf numFmtId="1" fontId="52" fillId="20" borderId="84" xfId="3" applyNumberFormat="1" applyFont="1" applyFill="1" applyBorder="1" applyProtection="1">
      <protection hidden="1"/>
    </xf>
    <xf numFmtId="1" fontId="52" fillId="4" borderId="85" xfId="3" applyNumberFormat="1" applyFont="1" applyFill="1" applyBorder="1" applyProtection="1">
      <protection hidden="1"/>
    </xf>
    <xf numFmtId="1" fontId="52" fillId="4" borderId="133" xfId="3" applyNumberFormat="1" applyFont="1" applyFill="1" applyBorder="1" applyProtection="1">
      <protection hidden="1"/>
    </xf>
    <xf numFmtId="1" fontId="52" fillId="4" borderId="134" xfId="3" applyNumberFormat="1" applyFont="1" applyFill="1" applyBorder="1" applyProtection="1">
      <protection hidden="1"/>
    </xf>
    <xf numFmtId="1" fontId="52" fillId="4" borderId="139" xfId="3" applyNumberFormat="1" applyFont="1" applyFill="1" applyBorder="1" applyProtection="1">
      <protection hidden="1"/>
    </xf>
    <xf numFmtId="1" fontId="52" fillId="4" borderId="87" xfId="3" applyNumberFormat="1" applyFont="1" applyFill="1" applyBorder="1" applyAlignment="1" applyProtection="1">
      <protection hidden="1"/>
    </xf>
    <xf numFmtId="1" fontId="52" fillId="4" borderId="84" xfId="3" applyNumberFormat="1" applyFont="1" applyFill="1" applyBorder="1" applyAlignment="1" applyProtection="1">
      <protection hidden="1"/>
    </xf>
    <xf numFmtId="1" fontId="52" fillId="20" borderId="0" xfId="3" applyNumberFormat="1" applyFont="1" applyFill="1" applyBorder="1" applyAlignment="1" applyProtection="1">
      <protection hidden="1"/>
    </xf>
    <xf numFmtId="1" fontId="52" fillId="20" borderId="87" xfId="3" applyNumberFormat="1" applyFont="1" applyFill="1" applyBorder="1" applyAlignment="1" applyProtection="1">
      <protection hidden="1"/>
    </xf>
    <xf numFmtId="1" fontId="52" fillId="20" borderId="84" xfId="3" applyNumberFormat="1" applyFont="1" applyFill="1" applyBorder="1" applyAlignment="1" applyProtection="1">
      <protection hidden="1"/>
    </xf>
    <xf numFmtId="1" fontId="91" fillId="20" borderId="0" xfId="3" applyNumberFormat="1" applyFont="1" applyFill="1" applyBorder="1" applyProtection="1">
      <protection hidden="1"/>
    </xf>
    <xf numFmtId="1" fontId="52" fillId="4" borderId="139" xfId="3" applyNumberFormat="1" applyFont="1" applyFill="1" applyBorder="1" applyAlignment="1" applyProtection="1">
      <alignment vertical="center" wrapText="1"/>
      <protection hidden="1"/>
    </xf>
    <xf numFmtId="0" fontId="0" fillId="4" borderId="0" xfId="0" applyFill="1" applyProtection="1">
      <protection hidden="1"/>
    </xf>
    <xf numFmtId="0" fontId="11" fillId="0" borderId="0" xfId="0"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20" fillId="0" borderId="66" xfId="0" applyNumberFormat="1" applyFont="1" applyBorder="1" applyAlignment="1" applyProtection="1">
      <alignment horizontal="center" vertical="center" wrapText="1"/>
      <protection hidden="1"/>
    </xf>
    <xf numFmtId="1" fontId="20" fillId="0" borderId="33" xfId="0" applyNumberFormat="1" applyFont="1" applyBorder="1" applyAlignment="1" applyProtection="1">
      <alignment horizontal="center" vertical="center"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55" fillId="0" borderId="11" xfId="0" applyNumberFormat="1" applyFont="1" applyBorder="1" applyAlignment="1" applyProtection="1">
      <alignment horizontal="center" vertical="center" wrapText="1"/>
      <protection locked="0" hidden="1"/>
    </xf>
    <xf numFmtId="1" fontId="55" fillId="0" borderId="1" xfId="0" applyNumberFormat="1" applyFont="1" applyBorder="1" applyAlignment="1" applyProtection="1">
      <alignment horizontal="center" vertical="center" wrapText="1"/>
      <protection locked="0" hidden="1"/>
    </xf>
    <xf numFmtId="1" fontId="55" fillId="0" borderId="5" xfId="0" applyNumberFormat="1" applyFont="1" applyBorder="1" applyAlignment="1" applyProtection="1">
      <alignment horizontal="center" vertical="center" wrapText="1"/>
      <protection locked="0" hidden="1"/>
    </xf>
    <xf numFmtId="1" fontId="55" fillId="0" borderId="13" xfId="0" applyNumberFormat="1" applyFont="1" applyBorder="1" applyAlignment="1" applyProtection="1">
      <alignment horizontal="center" vertical="center" wrapText="1"/>
      <protection locked="0" hidden="1"/>
    </xf>
    <xf numFmtId="1" fontId="55" fillId="0" borderId="14" xfId="0" applyNumberFormat="1" applyFont="1" applyBorder="1" applyAlignment="1" applyProtection="1">
      <alignment horizontal="center" vertical="center" wrapText="1"/>
      <protection locked="0" hidden="1"/>
    </xf>
    <xf numFmtId="1" fontId="55" fillId="0" borderId="16" xfId="0" applyNumberFormat="1" applyFont="1" applyBorder="1" applyAlignment="1" applyProtection="1">
      <alignment horizontal="center" vertical="center" wrapText="1"/>
      <protection locked="0" hidden="1"/>
    </xf>
    <xf numFmtId="0" fontId="6" fillId="12" borderId="7" xfId="0" applyFont="1" applyFill="1" applyBorder="1" applyAlignment="1" applyProtection="1">
      <alignment horizontal="center" vertical="center" wrapText="1"/>
      <protection hidden="1"/>
    </xf>
    <xf numFmtId="9" fontId="6" fillId="12" borderId="7" xfId="0" applyNumberFormat="1" applyFont="1" applyFill="1" applyBorder="1" applyAlignment="1" applyProtection="1">
      <alignment horizontal="center" vertical="center" wrapText="1"/>
      <protection hidden="1"/>
    </xf>
    <xf numFmtId="0" fontId="7" fillId="12" borderId="8" xfId="0" applyFont="1" applyFill="1" applyBorder="1" applyAlignment="1" applyProtection="1">
      <alignment horizontal="center" vertical="center" wrapText="1"/>
      <protection hidden="1"/>
    </xf>
    <xf numFmtId="0" fontId="22" fillId="12" borderId="25" xfId="0" applyFont="1" applyFill="1" applyBorder="1" applyAlignment="1" applyProtection="1">
      <alignment horizontal="center" vertical="center" wrapText="1"/>
      <protection hidden="1"/>
    </xf>
    <xf numFmtId="0" fontId="22" fillId="12" borderId="7" xfId="0" applyFont="1" applyFill="1" applyBorder="1" applyAlignment="1" applyProtection="1">
      <alignment horizontal="center" vertical="center" wrapText="1"/>
      <protection hidden="1"/>
    </xf>
    <xf numFmtId="0" fontId="42" fillId="12" borderId="7" xfId="0" applyFont="1" applyFill="1" applyBorder="1" applyAlignment="1" applyProtection="1">
      <alignment horizontal="center" vertical="center" wrapText="1"/>
      <protection hidden="1"/>
    </xf>
    <xf numFmtId="0" fontId="20" fillId="12" borderId="7" xfId="0" applyFont="1" applyFill="1" applyBorder="1" applyAlignment="1" applyProtection="1">
      <alignment horizontal="center" vertical="center" wrapText="1"/>
      <protection hidden="1"/>
    </xf>
    <xf numFmtId="0" fontId="6" fillId="12" borderId="8" xfId="0" applyFont="1" applyFill="1" applyBorder="1" applyAlignment="1" applyProtection="1">
      <alignment horizontal="center" vertical="center" wrapText="1"/>
      <protection hidden="1"/>
    </xf>
    <xf numFmtId="0" fontId="27" fillId="0" borderId="0" xfId="0" applyFont="1" applyProtection="1">
      <protection hidden="1"/>
    </xf>
    <xf numFmtId="0" fontId="6" fillId="13" borderId="16" xfId="0" applyFont="1" applyFill="1" applyBorder="1" applyAlignment="1" applyProtection="1">
      <alignment horizontal="center" vertical="center" wrapText="1"/>
      <protection hidden="1"/>
    </xf>
    <xf numFmtId="1" fontId="6" fillId="13" borderId="16" xfId="0" applyNumberFormat="1" applyFont="1" applyFill="1" applyBorder="1" applyAlignment="1" applyProtection="1">
      <alignment horizontal="center" vertical="center" wrapText="1"/>
      <protection hidden="1"/>
    </xf>
    <xf numFmtId="1" fontId="42" fillId="13" borderId="16" xfId="0" applyNumberFormat="1" applyFont="1" applyFill="1" applyBorder="1" applyAlignment="1" applyProtection="1">
      <alignment horizontal="center" vertical="center" textRotation="90" wrapText="1"/>
      <protection hidden="1"/>
    </xf>
    <xf numFmtId="0" fontId="28" fillId="13" borderId="92" xfId="0" applyFont="1" applyFill="1" applyBorder="1" applyAlignment="1" applyProtection="1">
      <alignment horizontal="center" vertical="center" wrapText="1"/>
      <protection hidden="1"/>
    </xf>
    <xf numFmtId="0" fontId="19" fillId="12" borderId="6" xfId="0" applyFont="1" applyFill="1" applyBorder="1" applyAlignment="1" applyProtection="1">
      <alignment horizontal="center" vertical="center" wrapText="1"/>
      <protection hidden="1"/>
    </xf>
    <xf numFmtId="0" fontId="8" fillId="12" borderId="6" xfId="0" applyFont="1" applyFill="1" applyBorder="1" applyAlignment="1" applyProtection="1">
      <alignment horizontal="center" vertical="center" wrapText="1"/>
      <protection hidden="1"/>
    </xf>
    <xf numFmtId="0" fontId="8" fillId="12" borderId="7" xfId="0" applyFont="1" applyFill="1" applyBorder="1" applyAlignment="1" applyProtection="1">
      <alignment horizontal="center" vertical="center" wrapText="1"/>
      <protection hidden="1"/>
    </xf>
    <xf numFmtId="0" fontId="8" fillId="12" borderId="8" xfId="0" applyFont="1" applyFill="1" applyBorder="1" applyAlignment="1" applyProtection="1">
      <alignment horizontal="center" vertical="center" wrapText="1"/>
      <protection hidden="1"/>
    </xf>
    <xf numFmtId="0" fontId="43" fillId="16" borderId="91" xfId="0" applyFont="1" applyFill="1" applyBorder="1" applyAlignment="1" applyProtection="1">
      <alignment horizontal="center"/>
      <protection hidden="1"/>
    </xf>
    <xf numFmtId="0" fontId="43" fillId="17" borderId="11" xfId="0" applyFont="1" applyFill="1" applyBorder="1" applyAlignment="1" applyProtection="1">
      <alignment horizontal="center"/>
      <protection hidden="1"/>
    </xf>
    <xf numFmtId="0" fontId="43" fillId="16" borderId="11" xfId="0" applyFont="1" applyFill="1" applyBorder="1" applyAlignment="1" applyProtection="1">
      <alignment horizontal="center"/>
      <protection hidden="1"/>
    </xf>
    <xf numFmtId="2" fontId="4" fillId="16" borderId="63" xfId="0" applyNumberFormat="1" applyFont="1" applyFill="1" applyBorder="1" applyAlignment="1" applyProtection="1">
      <alignment horizontal="right" vertical="center"/>
      <protection hidden="1"/>
    </xf>
    <xf numFmtId="0" fontId="43" fillId="17" borderId="13" xfId="0" applyFont="1" applyFill="1" applyBorder="1" applyAlignment="1" applyProtection="1">
      <alignment horizontal="center"/>
      <protection hidden="1"/>
    </xf>
    <xf numFmtId="2" fontId="4" fillId="17" borderId="64" xfId="0" applyNumberFormat="1" applyFont="1" applyFill="1" applyBorder="1" applyAlignment="1" applyProtection="1">
      <alignment horizontal="right" vertical="center"/>
      <protection hidden="1"/>
    </xf>
    <xf numFmtId="0" fontId="11" fillId="12" borderId="6" xfId="0" applyFont="1" applyFill="1" applyBorder="1" applyAlignment="1" applyProtection="1">
      <alignment horizontal="center" vertical="center" wrapText="1"/>
      <protection hidden="1"/>
    </xf>
    <xf numFmtId="0" fontId="11" fillId="12" borderId="27" xfId="0" applyFont="1" applyFill="1" applyBorder="1" applyAlignment="1" applyProtection="1">
      <alignment horizontal="center" vertical="center" wrapText="1"/>
      <protection hidden="1"/>
    </xf>
    <xf numFmtId="0" fontId="11" fillId="12" borderId="54" xfId="0" applyFont="1" applyFill="1" applyBorder="1" applyAlignment="1" applyProtection="1">
      <alignment horizontal="center" vertical="center" wrapText="1"/>
      <protection hidden="1"/>
    </xf>
    <xf numFmtId="0" fontId="64" fillId="17" borderId="91" xfId="0" applyFont="1" applyFill="1" applyBorder="1" applyAlignment="1" applyProtection="1">
      <alignment horizontal="center"/>
      <protection hidden="1"/>
    </xf>
    <xf numFmtId="0" fontId="21" fillId="17" borderId="20" xfId="0" applyFont="1" applyFill="1" applyBorder="1" applyAlignment="1" applyProtection="1">
      <alignment horizontal="center" vertical="center"/>
      <protection hidden="1"/>
    </xf>
    <xf numFmtId="0" fontId="64" fillId="16" borderId="11" xfId="0" applyFont="1" applyFill="1" applyBorder="1" applyAlignment="1" applyProtection="1">
      <alignment horizontal="center"/>
      <protection hidden="1"/>
    </xf>
    <xf numFmtId="0" fontId="21" fillId="16" borderId="26" xfId="0" applyFont="1" applyFill="1" applyBorder="1" applyAlignment="1" applyProtection="1">
      <alignment horizontal="center" vertical="center"/>
      <protection hidden="1"/>
    </xf>
    <xf numFmtId="0" fontId="64" fillId="17" borderId="11" xfId="0" applyFont="1" applyFill="1" applyBorder="1" applyAlignment="1" applyProtection="1">
      <alignment horizontal="center"/>
      <protection hidden="1"/>
    </xf>
    <xf numFmtId="0" fontId="21" fillId="17" borderId="26" xfId="0" applyFont="1" applyFill="1" applyBorder="1" applyAlignment="1" applyProtection="1">
      <alignment horizontal="center" vertical="center"/>
      <protection hidden="1"/>
    </xf>
    <xf numFmtId="0" fontId="64" fillId="16" borderId="13" xfId="0" applyFont="1" applyFill="1" applyBorder="1" applyAlignment="1" applyProtection="1">
      <alignment horizontal="center"/>
      <protection hidden="1"/>
    </xf>
    <xf numFmtId="0" fontId="21" fillId="16" borderId="55" xfId="0" applyFont="1" applyFill="1" applyBorder="1" applyAlignment="1" applyProtection="1">
      <alignment horizontal="center" vertical="center"/>
      <protection hidden="1"/>
    </xf>
    <xf numFmtId="169" fontId="51" fillId="4" borderId="10" xfId="0" applyNumberFormat="1" applyFont="1" applyFill="1" applyBorder="1" applyAlignment="1" applyProtection="1">
      <alignment horizontal="center" vertical="center"/>
      <protection locked="0"/>
    </xf>
    <xf numFmtId="169" fontId="51" fillId="4" borderId="12" xfId="0" applyNumberFormat="1" applyFont="1" applyFill="1" applyBorder="1" applyAlignment="1" applyProtection="1">
      <alignment horizontal="center" vertical="center"/>
      <protection locked="0"/>
    </xf>
    <xf numFmtId="169" fontId="51" fillId="4" borderId="31" xfId="0" applyNumberFormat="1" applyFont="1" applyFill="1" applyBorder="1" applyAlignment="1" applyProtection="1">
      <alignment horizontal="center" vertical="center"/>
      <protection locked="0"/>
    </xf>
    <xf numFmtId="14" fontId="16" fillId="4" borderId="91"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45" fillId="4" borderId="15" xfId="0" applyNumberFormat="1" applyFont="1" applyFill="1" applyBorder="1" applyAlignment="1" applyProtection="1">
      <alignment horizontal="center" vertical="center" wrapText="1"/>
      <protection locked="0"/>
    </xf>
    <xf numFmtId="14" fontId="16" fillId="4" borderId="11"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45" fillId="4" borderId="12"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4" xfId="0" applyFont="1" applyFill="1" applyBorder="1" applyAlignment="1" applyProtection="1">
      <alignment horizontal="center" wrapText="1"/>
      <protection locked="0"/>
    </xf>
    <xf numFmtId="1" fontId="45" fillId="4" borderId="31" xfId="0" applyNumberFormat="1" applyFont="1" applyFill="1" applyBorder="1" applyAlignment="1" applyProtection="1">
      <alignment horizontal="center" vertical="center" wrapText="1"/>
      <protection locked="0"/>
    </xf>
    <xf numFmtId="0" fontId="19" fillId="9" borderId="45" xfId="0" applyFont="1" applyFill="1" applyBorder="1" applyAlignment="1" applyProtection="1">
      <alignment horizontal="center" vertical="center" wrapText="1"/>
      <protection hidden="1"/>
    </xf>
    <xf numFmtId="0" fontId="19" fillId="9" borderId="41" xfId="0" applyFont="1" applyFill="1" applyBorder="1" applyAlignment="1" applyProtection="1">
      <alignment horizontal="center" vertical="center" wrapText="1"/>
      <protection hidden="1"/>
    </xf>
    <xf numFmtId="0" fontId="22" fillId="9" borderId="94" xfId="0" applyFont="1" applyFill="1" applyBorder="1" applyAlignment="1" applyProtection="1">
      <alignment horizontal="center" vertical="center"/>
      <protection hidden="1"/>
    </xf>
    <xf numFmtId="0" fontId="21" fillId="9" borderId="94" xfId="0" applyFont="1" applyFill="1" applyBorder="1" applyAlignment="1" applyProtection="1">
      <alignment horizontal="center" vertical="center"/>
      <protection hidden="1"/>
    </xf>
    <xf numFmtId="17" fontId="21" fillId="9" borderId="46" xfId="0" applyNumberFormat="1" applyFont="1" applyFill="1" applyBorder="1" applyAlignment="1" applyProtection="1">
      <alignment horizontal="center" vertical="center"/>
      <protection hidden="1"/>
    </xf>
    <xf numFmtId="17" fontId="21" fillId="9" borderId="94" xfId="0" applyNumberFormat="1" applyFont="1" applyFill="1" applyBorder="1" applyAlignment="1" applyProtection="1">
      <alignment horizontal="center" vertical="center"/>
      <protection hidden="1"/>
    </xf>
    <xf numFmtId="0" fontId="16" fillId="10" borderId="106" xfId="0" applyFont="1" applyFill="1" applyBorder="1" applyAlignment="1" applyProtection="1">
      <alignment horizontal="center" vertical="center"/>
      <protection locked="0"/>
    </xf>
    <xf numFmtId="0" fontId="115" fillId="14" borderId="178" xfId="0" applyFont="1" applyFill="1" applyBorder="1" applyAlignment="1" applyProtection="1">
      <alignment horizontal="center" vertical="center"/>
      <protection hidden="1"/>
    </xf>
    <xf numFmtId="0" fontId="117" fillId="0" borderId="0" xfId="0" applyFont="1" applyProtection="1">
      <protection hidden="1"/>
    </xf>
    <xf numFmtId="0" fontId="118" fillId="28" borderId="179" xfId="0" applyFont="1" applyFill="1" applyBorder="1" applyAlignment="1" applyProtection="1">
      <alignment horizontal="justify" vertical="justify" wrapText="1"/>
      <protection hidden="1"/>
    </xf>
    <xf numFmtId="0" fontId="119" fillId="28" borderId="179" xfId="0" applyFont="1" applyFill="1" applyBorder="1" applyAlignment="1" applyProtection="1">
      <alignment horizontal="justify" vertical="justify" wrapText="1"/>
      <protection hidden="1"/>
    </xf>
    <xf numFmtId="0" fontId="0" fillId="25" borderId="0" xfId="0" applyFill="1" applyAlignment="1" applyProtection="1">
      <alignment horizontal="center" vertical="center" wrapText="1"/>
      <protection hidden="1"/>
    </xf>
    <xf numFmtId="0" fontId="114" fillId="28" borderId="179" xfId="0" applyFont="1" applyFill="1" applyBorder="1" applyAlignment="1" applyProtection="1">
      <alignment horizontal="justify" vertical="justify" wrapText="1"/>
      <protection hidden="1"/>
    </xf>
    <xf numFmtId="0" fontId="121" fillId="28" borderId="179" xfId="0" applyFont="1" applyFill="1" applyBorder="1" applyAlignment="1" applyProtection="1">
      <alignment horizontal="justify" vertical="justify" wrapText="1"/>
      <protection hidden="1"/>
    </xf>
    <xf numFmtId="0" fontId="127" fillId="31" borderId="181" xfId="0" applyFont="1" applyFill="1" applyBorder="1" applyAlignment="1" applyProtection="1">
      <alignment horizontal="center" vertical="center" wrapText="1"/>
      <protection hidden="1"/>
    </xf>
    <xf numFmtId="0" fontId="120" fillId="28" borderId="179" xfId="0" applyFont="1" applyFill="1" applyBorder="1" applyAlignment="1" applyProtection="1">
      <alignment horizontal="justify" vertical="justify" wrapText="1"/>
      <protection hidden="1"/>
    </xf>
    <xf numFmtId="0" fontId="128" fillId="31" borderId="182" xfId="0" applyFont="1" applyFill="1" applyBorder="1" applyAlignment="1" applyProtection="1">
      <alignment horizontal="center" vertical="top" wrapText="1"/>
      <protection hidden="1"/>
    </xf>
    <xf numFmtId="0" fontId="122" fillId="29" borderId="180" xfId="0" applyFont="1" applyFill="1" applyBorder="1" applyAlignment="1" applyProtection="1">
      <alignment horizontal="center" vertical="center" wrapText="1"/>
      <protection hidden="1"/>
    </xf>
    <xf numFmtId="0" fontId="14" fillId="31" borderId="183" xfId="0" applyFont="1" applyFill="1" applyBorder="1" applyAlignment="1" applyProtection="1">
      <alignment horizontal="center" vertical="top" wrapText="1"/>
      <protection hidden="1"/>
    </xf>
    <xf numFmtId="0" fontId="0" fillId="25" borderId="0" xfId="0" applyFill="1" applyAlignment="1" applyProtection="1">
      <alignment horizontal="left" vertical="center" wrapText="1"/>
      <protection hidden="1"/>
    </xf>
    <xf numFmtId="0" fontId="0" fillId="25" borderId="0" xfId="0" applyFill="1" applyAlignment="1" applyProtection="1">
      <alignment wrapText="1"/>
      <protection hidden="1"/>
    </xf>
    <xf numFmtId="0" fontId="126" fillId="30" borderId="184" xfId="7" applyFont="1" applyFill="1" applyBorder="1" applyAlignment="1" applyProtection="1">
      <alignment horizontal="center" vertical="center" wrapText="1"/>
      <protection locked="0"/>
    </xf>
    <xf numFmtId="0" fontId="125" fillId="30" borderId="184" xfId="7" applyFont="1" applyFill="1" applyBorder="1" applyAlignment="1" applyProtection="1">
      <alignment horizontal="center" vertical="center" wrapText="1"/>
      <protection locked="0"/>
    </xf>
    <xf numFmtId="0" fontId="6" fillId="9" borderId="98" xfId="0" applyFont="1" applyFill="1" applyBorder="1" applyAlignment="1" applyProtection="1">
      <alignment horizontal="center" vertical="center" wrapText="1"/>
      <protection hidden="1"/>
    </xf>
    <xf numFmtId="0" fontId="8" fillId="9" borderId="103"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0" fontId="55" fillId="0" borderId="26" xfId="0" applyFont="1" applyBorder="1" applyAlignment="1" applyProtection="1">
      <alignment horizontal="center" vertical="center" wrapText="1"/>
      <protection locked="0" hidden="1"/>
    </xf>
    <xf numFmtId="14" fontId="55" fillId="0" borderId="63" xfId="0" applyNumberFormat="1" applyFont="1" applyBorder="1" applyAlignment="1" applyProtection="1">
      <alignment horizontal="center" vertical="center" wrapText="1"/>
      <protection locked="0" hidden="1"/>
    </xf>
    <xf numFmtId="0" fontId="55" fillId="0" borderId="55" xfId="0" applyFont="1" applyBorder="1" applyAlignment="1" applyProtection="1">
      <alignment horizontal="center" vertical="center" wrapText="1"/>
      <protection locked="0" hidden="1"/>
    </xf>
    <xf numFmtId="14" fontId="55" fillId="0" borderId="64" xfId="0" applyNumberFormat="1" applyFont="1" applyBorder="1" applyAlignment="1" applyProtection="1">
      <alignment horizontal="center" vertical="center" wrapText="1"/>
      <protection locked="0" hidden="1"/>
    </xf>
    <xf numFmtId="1" fontId="55" fillId="0" borderId="11" xfId="0" applyNumberFormat="1" applyFont="1" applyBorder="1" applyAlignment="1" applyProtection="1">
      <alignment horizontal="center" vertical="center" wrapText="1"/>
      <protection locked="0"/>
    </xf>
    <xf numFmtId="1" fontId="55" fillId="0" borderId="1" xfId="0" applyNumberFormat="1" applyFont="1" applyBorder="1" applyAlignment="1" applyProtection="1">
      <alignment horizontal="center" vertical="center" wrapText="1"/>
      <protection locked="0"/>
    </xf>
    <xf numFmtId="1" fontId="55" fillId="0" borderId="5" xfId="0" applyNumberFormat="1" applyFont="1" applyBorder="1" applyAlignment="1" applyProtection="1">
      <alignment horizontal="center" vertical="center" wrapText="1"/>
      <protection locked="0"/>
    </xf>
    <xf numFmtId="1" fontId="58" fillId="0" borderId="5" xfId="0" applyNumberFormat="1" applyFont="1" applyBorder="1" applyAlignment="1" applyProtection="1">
      <alignment horizontal="center" vertical="center" wrapText="1"/>
      <protection locked="0"/>
    </xf>
    <xf numFmtId="1" fontId="55" fillId="0" borderId="13" xfId="0" applyNumberFormat="1" applyFont="1" applyBorder="1" applyAlignment="1" applyProtection="1">
      <alignment horizontal="center" vertical="center" wrapText="1"/>
      <protection locked="0"/>
    </xf>
    <xf numFmtId="1" fontId="55" fillId="0" borderId="14" xfId="0" applyNumberFormat="1" applyFont="1" applyBorder="1" applyAlignment="1" applyProtection="1">
      <alignment horizontal="center" vertical="center" wrapText="1"/>
      <protection locked="0"/>
    </xf>
    <xf numFmtId="1" fontId="55" fillId="0" borderId="16" xfId="0" applyNumberFormat="1" applyFont="1" applyBorder="1" applyAlignment="1" applyProtection="1">
      <alignment horizontal="center" vertical="center" wrapText="1"/>
      <protection locked="0"/>
    </xf>
    <xf numFmtId="0" fontId="13" fillId="21" borderId="0" xfId="0" applyFont="1" applyFill="1" applyBorder="1" applyAlignment="1" applyProtection="1">
      <alignment vertical="center" wrapText="1"/>
      <protection hidden="1"/>
    </xf>
    <xf numFmtId="0" fontId="13" fillId="4" borderId="0" xfId="0" applyFont="1" applyFill="1" applyBorder="1" applyAlignment="1" applyProtection="1">
      <alignment horizontal="center" vertical="center" wrapText="1"/>
      <protection locked="0"/>
    </xf>
    <xf numFmtId="6" fontId="11" fillId="10" borderId="106" xfId="0" applyNumberFormat="1" applyFont="1" applyFill="1" applyBorder="1" applyAlignment="1" applyProtection="1">
      <alignment horizontal="center" vertical="center"/>
      <protection locked="0" hidden="1"/>
    </xf>
    <xf numFmtId="6" fontId="11" fillId="10" borderId="41" xfId="0" applyNumberFormat="1" applyFont="1" applyFill="1" applyBorder="1" applyAlignment="1" applyProtection="1">
      <alignment horizontal="center" vertical="center"/>
      <protection locked="0" hidden="1"/>
    </xf>
    <xf numFmtId="0" fontId="28" fillId="18" borderId="16" xfId="0" applyFont="1" applyFill="1" applyBorder="1" applyAlignment="1" applyProtection="1">
      <alignment horizontal="center" vertical="center" wrapText="1"/>
      <protection locked="0" hidden="1"/>
    </xf>
    <xf numFmtId="0" fontId="35" fillId="32" borderId="17" xfId="0" applyFont="1" applyFill="1" applyBorder="1" applyAlignment="1" applyProtection="1">
      <alignment horizontal="center" vertical="center" wrapText="1"/>
      <protection hidden="1"/>
    </xf>
    <xf numFmtId="17" fontId="21" fillId="0" borderId="60" xfId="0" applyNumberFormat="1" applyFont="1" applyBorder="1" applyAlignment="1" applyProtection="1">
      <alignment horizontal="center" vertical="center" wrapText="1"/>
      <protection locked="0"/>
    </xf>
    <xf numFmtId="0" fontId="22" fillId="18" borderId="43" xfId="0" applyFont="1" applyFill="1" applyBorder="1" applyAlignment="1" applyProtection="1">
      <alignment horizontal="center" vertical="center" wrapText="1"/>
      <protection locked="0"/>
    </xf>
    <xf numFmtId="0" fontId="20" fillId="9" borderId="22" xfId="0" applyFont="1" applyFill="1" applyBorder="1" applyAlignment="1" applyProtection="1">
      <alignment horizontal="center" vertical="center" wrapText="1"/>
      <protection hidden="1"/>
    </xf>
    <xf numFmtId="0" fontId="60" fillId="0" borderId="116" xfId="1" applyFont="1" applyBorder="1" applyAlignment="1" applyProtection="1">
      <alignment horizontal="center" vertical="center"/>
      <protection hidden="1"/>
    </xf>
    <xf numFmtId="2" fontId="58" fillId="0" borderId="112" xfId="1" applyNumberFormat="1" applyFont="1" applyBorder="1" applyAlignment="1" applyProtection="1">
      <alignment horizontal="right" vertical="center"/>
      <protection hidden="1"/>
    </xf>
    <xf numFmtId="1" fontId="52" fillId="4" borderId="188" xfId="3" applyNumberFormat="1" applyFont="1" applyFill="1" applyBorder="1" applyProtection="1">
      <protection hidden="1"/>
    </xf>
    <xf numFmtId="1" fontId="52" fillId="4" borderId="189" xfId="3" applyNumberFormat="1" applyFont="1" applyFill="1" applyBorder="1" applyAlignment="1" applyProtection="1">
      <alignment horizontal="center"/>
      <protection hidden="1"/>
    </xf>
    <xf numFmtId="1" fontId="52" fillId="4" borderId="188" xfId="3" applyNumberFormat="1" applyFont="1" applyFill="1" applyBorder="1" applyAlignment="1" applyProtection="1">
      <alignment horizontal="center"/>
      <protection hidden="1"/>
    </xf>
    <xf numFmtId="1" fontId="52" fillId="4" borderId="190" xfId="3" applyNumberFormat="1" applyFont="1" applyFill="1" applyBorder="1" applyAlignment="1" applyProtection="1">
      <alignment horizontal="center"/>
      <protection hidden="1"/>
    </xf>
    <xf numFmtId="1" fontId="52" fillId="4" borderId="192" xfId="3" applyNumberFormat="1" applyFont="1" applyFill="1" applyBorder="1" applyProtection="1">
      <protection hidden="1"/>
    </xf>
    <xf numFmtId="1" fontId="52" fillId="4" borderId="191" xfId="3" applyNumberFormat="1" applyFont="1" applyFill="1" applyBorder="1" applyProtection="1">
      <protection hidden="1"/>
    </xf>
    <xf numFmtId="0" fontId="9" fillId="25" borderId="0" xfId="0" applyFont="1" applyFill="1" applyAlignment="1" applyProtection="1">
      <alignment horizontal="center" wrapText="1"/>
      <protection hidden="1"/>
    </xf>
    <xf numFmtId="0" fontId="42" fillId="13" borderId="16" xfId="0" applyFont="1" applyFill="1" applyBorder="1" applyAlignment="1" applyProtection="1">
      <alignment horizontal="center" vertical="center" wrapText="1"/>
      <protection hidden="1"/>
    </xf>
    <xf numFmtId="2" fontId="66" fillId="0" borderId="112" xfId="1" applyNumberFormat="1" applyFont="1" applyBorder="1" applyAlignment="1" applyProtection="1">
      <alignment horizontal="right" vertical="center"/>
      <protection hidden="1"/>
    </xf>
    <xf numFmtId="0" fontId="4" fillId="0" borderId="121" xfId="1" applyFont="1" applyBorder="1" applyAlignment="1" applyProtection="1">
      <alignment vertical="center"/>
      <protection hidden="1"/>
    </xf>
    <xf numFmtId="2" fontId="66" fillId="0" borderId="122" xfId="1" applyNumberFormat="1" applyFont="1" applyBorder="1" applyAlignment="1" applyProtection="1">
      <alignment horizontal="right" vertical="center"/>
      <protection hidden="1"/>
    </xf>
    <xf numFmtId="1" fontId="85" fillId="4" borderId="0" xfId="0" applyNumberFormat="1" applyFont="1" applyFill="1" applyBorder="1" applyAlignment="1" applyProtection="1">
      <protection hidden="1"/>
    </xf>
    <xf numFmtId="1" fontId="85" fillId="4" borderId="200" xfId="0" applyNumberFormat="1" applyFont="1" applyFill="1" applyBorder="1" applyAlignment="1" applyProtection="1">
      <protection hidden="1"/>
    </xf>
    <xf numFmtId="1" fontId="85" fillId="4" borderId="196" xfId="0" applyNumberFormat="1" applyFont="1" applyFill="1" applyBorder="1" applyAlignment="1" applyProtection="1">
      <protection hidden="1"/>
    </xf>
    <xf numFmtId="1" fontId="85" fillId="4" borderId="201" xfId="0" applyNumberFormat="1" applyFont="1" applyFill="1" applyBorder="1" applyAlignment="1" applyProtection="1">
      <protection hidden="1"/>
    </xf>
    <xf numFmtId="0" fontId="4" fillId="0" borderId="205" xfId="0" applyFont="1" applyBorder="1" applyAlignment="1" applyProtection="1">
      <alignment horizontal="center" vertical="center" textRotation="90" wrapText="1"/>
      <protection hidden="1"/>
    </xf>
    <xf numFmtId="0" fontId="4" fillId="0" borderId="206" xfId="0" applyFont="1" applyBorder="1" applyAlignment="1" applyProtection="1">
      <alignment horizontal="center" vertical="center" textRotation="90" wrapText="1"/>
      <protection hidden="1"/>
    </xf>
    <xf numFmtId="165" fontId="4" fillId="0" borderId="206" xfId="0" applyNumberFormat="1" applyFont="1" applyBorder="1" applyAlignment="1" applyProtection="1">
      <alignment horizontal="center" vertical="center" textRotation="90" wrapText="1"/>
      <protection locked="0"/>
    </xf>
    <xf numFmtId="0" fontId="4" fillId="0" borderId="92" xfId="0" applyFont="1" applyBorder="1" applyAlignment="1" applyProtection="1">
      <alignment horizontal="center" vertical="center" textRotation="90" wrapText="1"/>
      <protection locked="0"/>
    </xf>
    <xf numFmtId="0" fontId="16" fillId="0" borderId="93" xfId="0" applyFont="1" applyBorder="1" applyAlignment="1" applyProtection="1">
      <alignment horizontal="center" vertical="center" textRotation="90" wrapText="1"/>
      <protection hidden="1"/>
    </xf>
    <xf numFmtId="0" fontId="4" fillId="0" borderId="206" xfId="0" applyFont="1" applyBorder="1" applyAlignment="1" applyProtection="1">
      <alignment horizontal="center" vertical="center" textRotation="90" wrapText="1"/>
      <protection locked="0"/>
    </xf>
    <xf numFmtId="1" fontId="7" fillId="0" borderId="12" xfId="0" applyNumberFormat="1"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60" xfId="0" applyNumberFormat="1" applyFont="1" applyBorder="1" applyAlignment="1" applyProtection="1">
      <alignment horizontal="center" vertical="center" wrapText="1"/>
      <protection hidden="1"/>
    </xf>
    <xf numFmtId="0" fontId="71" fillId="0" borderId="109" xfId="1" applyFont="1" applyBorder="1" applyAlignment="1" applyProtection="1">
      <alignment horizontal="center" vertical="center" wrapText="1"/>
      <protection hidden="1"/>
    </xf>
    <xf numFmtId="0" fontId="69" fillId="0" borderId="22" xfId="1" applyFont="1" applyBorder="1" applyAlignment="1" applyProtection="1">
      <alignment horizontal="right" vertical="center"/>
      <protection hidden="1"/>
    </xf>
    <xf numFmtId="0" fontId="60" fillId="0" borderId="22" xfId="1" applyFont="1" applyBorder="1" applyAlignment="1" applyProtection="1">
      <alignment horizontal="center" vertical="center"/>
      <protection hidden="1"/>
    </xf>
    <xf numFmtId="1" fontId="52" fillId="4" borderId="0" xfId="3" applyNumberFormat="1" applyFont="1" applyFill="1" applyBorder="1" applyAlignment="1" applyProtection="1">
      <alignment horizontal="center"/>
      <protection hidden="1"/>
    </xf>
    <xf numFmtId="1" fontId="52" fillId="16" borderId="143" xfId="0" applyNumberFormat="1" applyFont="1" applyFill="1" applyBorder="1" applyAlignment="1" applyProtection="1">
      <alignment horizontal="center"/>
      <protection locked="0"/>
    </xf>
    <xf numFmtId="1" fontId="52" fillId="4" borderId="0" xfId="3" applyNumberFormat="1" applyFont="1" applyFill="1" applyBorder="1" applyAlignment="1" applyProtection="1">
      <alignment horizontal="left" vertical="center" wrapText="1"/>
      <protection hidden="1"/>
    </xf>
    <xf numFmtId="1" fontId="52" fillId="4" borderId="87" xfId="3" applyNumberFormat="1" applyFont="1" applyFill="1" applyBorder="1" applyAlignment="1" applyProtection="1">
      <alignment horizontal="center"/>
      <protection hidden="1"/>
    </xf>
    <xf numFmtId="170" fontId="52" fillId="4" borderId="0" xfId="3" applyNumberFormat="1" applyFont="1" applyFill="1" applyBorder="1" applyAlignment="1" applyProtection="1">
      <alignment horizontal="center"/>
      <protection hidden="1"/>
    </xf>
    <xf numFmtId="1" fontId="52" fillId="4" borderId="84" xfId="3" applyNumberFormat="1" applyFont="1" applyFill="1" applyBorder="1" applyAlignment="1" applyProtection="1">
      <alignment horizontal="center"/>
      <protection hidden="1"/>
    </xf>
    <xf numFmtId="1" fontId="52" fillId="4" borderId="0" xfId="3" applyNumberFormat="1" applyFont="1" applyFill="1" applyBorder="1" applyAlignment="1" applyProtection="1">
      <protection hidden="1"/>
    </xf>
    <xf numFmtId="1" fontId="52" fillId="4" borderId="137" xfId="0" applyNumberFormat="1" applyFont="1" applyFill="1" applyBorder="1" applyAlignment="1" applyProtection="1">
      <alignment horizontal="center"/>
      <protection hidden="1"/>
    </xf>
    <xf numFmtId="1" fontId="52" fillId="4" borderId="139" xfId="0" applyNumberFormat="1" applyFont="1" applyFill="1" applyBorder="1" applyAlignment="1" applyProtection="1">
      <alignment horizontal="center"/>
      <protection hidden="1"/>
    </xf>
    <xf numFmtId="1" fontId="52" fillId="4" borderId="87" xfId="0"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52" fillId="4" borderId="85" xfId="3" applyNumberFormat="1" applyFont="1" applyFill="1" applyBorder="1" applyAlignment="1" applyProtection="1">
      <alignment horizontal="center"/>
      <protection hidden="1"/>
    </xf>
    <xf numFmtId="1" fontId="52" fillId="4" borderId="137" xfId="3" applyNumberFormat="1" applyFont="1" applyFill="1" applyBorder="1" applyAlignment="1" applyProtection="1">
      <alignment horizontal="center"/>
      <protection hidden="1"/>
    </xf>
    <xf numFmtId="1" fontId="52" fillId="16" borderId="144" xfId="0" applyNumberFormat="1" applyFont="1" applyFill="1" applyBorder="1" applyAlignment="1" applyProtection="1">
      <alignment horizontal="center"/>
      <protection locked="0"/>
    </xf>
    <xf numFmtId="1" fontId="52" fillId="16" borderId="143" xfId="3" applyNumberFormat="1" applyFont="1" applyFill="1" applyBorder="1" applyAlignment="1" applyProtection="1">
      <alignment horizontal="center"/>
      <protection locked="0"/>
    </xf>
    <xf numFmtId="1" fontId="52" fillId="16" borderId="144" xfId="3" applyNumberFormat="1" applyFont="1" applyFill="1" applyBorder="1" applyAlignment="1" applyProtection="1">
      <alignment horizontal="center"/>
      <protection locked="0"/>
    </xf>
    <xf numFmtId="1" fontId="84" fillId="4" borderId="139" xfId="0" applyNumberFormat="1" applyFont="1" applyFill="1" applyBorder="1" applyAlignment="1" applyProtection="1">
      <alignment horizontal="center"/>
      <protection hidden="1"/>
    </xf>
    <xf numFmtId="1" fontId="84" fillId="4" borderId="75" xfId="0" applyNumberFormat="1" applyFont="1" applyFill="1" applyBorder="1" applyAlignment="1" applyProtection="1">
      <alignment horizontal="center"/>
      <protection hidden="1"/>
    </xf>
    <xf numFmtId="0" fontId="0" fillId="0" borderId="0" xfId="0" applyAlignment="1" applyProtection="1">
      <alignment horizontal="center"/>
      <protection hidden="1"/>
    </xf>
    <xf numFmtId="0" fontId="7" fillId="9" borderId="98" xfId="0" applyFont="1" applyFill="1" applyBorder="1" applyAlignment="1" applyProtection="1">
      <alignment horizontal="center" vertical="center" wrapText="1"/>
      <protection hidden="1"/>
    </xf>
    <xf numFmtId="0" fontId="17" fillId="0" borderId="207" xfId="0" applyFont="1" applyBorder="1" applyAlignment="1" applyProtection="1">
      <alignment horizontal="center" vertical="center" textRotation="90" wrapText="1"/>
      <protection hidden="1"/>
    </xf>
    <xf numFmtId="1" fontId="57" fillId="0" borderId="25" xfId="0" applyNumberFormat="1" applyFont="1" applyBorder="1" applyAlignment="1" applyProtection="1">
      <alignment horizontal="center" vertical="center" textRotation="90" wrapText="1"/>
      <protection locked="0" hidden="1"/>
    </xf>
    <xf numFmtId="1" fontId="57" fillId="0" borderId="7" xfId="0" applyNumberFormat="1" applyFont="1" applyBorder="1" applyAlignment="1" applyProtection="1">
      <alignment horizontal="center" vertical="center" textRotation="90" wrapText="1"/>
      <protection locked="0" hidden="1"/>
    </xf>
    <xf numFmtId="1" fontId="19" fillId="0" borderId="65" xfId="0" applyNumberFormat="1" applyFont="1" applyBorder="1" applyAlignment="1" applyProtection="1">
      <alignment horizontal="center" vertical="center" textRotation="90" wrapText="1"/>
      <protection locked="0" hidden="1"/>
    </xf>
    <xf numFmtId="1" fontId="57" fillId="0" borderId="6" xfId="0" applyNumberFormat="1" applyFont="1" applyBorder="1" applyAlignment="1" applyProtection="1">
      <alignment horizontal="center" vertical="center" textRotation="90" wrapText="1"/>
      <protection locked="0" hidden="1"/>
    </xf>
    <xf numFmtId="1" fontId="8" fillId="0" borderId="8" xfId="0" applyNumberFormat="1" applyFont="1" applyBorder="1" applyAlignment="1" applyProtection="1">
      <alignment horizontal="center" vertical="center" textRotation="90" wrapText="1"/>
      <protection locked="0" hidden="1"/>
    </xf>
    <xf numFmtId="1" fontId="20" fillId="0" borderId="4" xfId="0" applyNumberFormat="1" applyFont="1" applyBorder="1" applyAlignment="1" applyProtection="1">
      <alignment horizontal="center" vertical="center" textRotation="90" wrapText="1"/>
      <protection locked="0" hidden="1"/>
    </xf>
    <xf numFmtId="0" fontId="74" fillId="0" borderId="129" xfId="1" applyFont="1" applyBorder="1" applyAlignment="1" applyProtection="1">
      <alignment horizontal="left" vertical="center"/>
      <protection hidden="1"/>
    </xf>
    <xf numFmtId="2" fontId="146" fillId="0" borderId="22" xfId="1" applyNumberFormat="1" applyFont="1" applyBorder="1" applyAlignment="1" applyProtection="1">
      <alignment horizontal="center" vertical="center"/>
      <protection hidden="1"/>
    </xf>
    <xf numFmtId="2" fontId="77" fillId="16" borderId="22" xfId="1" applyNumberFormat="1" applyFont="1" applyFill="1" applyBorder="1" applyAlignment="1" applyProtection="1">
      <alignment horizontal="center" vertical="center"/>
      <protection locked="0" hidden="1"/>
    </xf>
    <xf numFmtId="2" fontId="146" fillId="0" borderId="22" xfId="1" applyNumberFormat="1" applyFont="1" applyBorder="1" applyAlignment="1" applyProtection="1">
      <alignment horizontal="center" vertical="center" wrapText="1"/>
      <protection hidden="1"/>
    </xf>
    <xf numFmtId="2" fontId="146" fillId="19" borderId="22" xfId="1" applyNumberFormat="1" applyFont="1" applyFill="1" applyBorder="1" applyAlignment="1" applyProtection="1">
      <alignment horizontal="center" vertical="center"/>
      <protection hidden="1"/>
    </xf>
    <xf numFmtId="0" fontId="143" fillId="0" borderId="206" xfId="0" applyFont="1" applyBorder="1" applyAlignment="1" applyProtection="1">
      <alignment horizontal="center" vertical="center" textRotation="90" wrapText="1"/>
      <protection hidden="1"/>
    </xf>
    <xf numFmtId="0" fontId="72" fillId="0" borderId="213" xfId="1" applyFont="1" applyBorder="1" applyAlignment="1" applyProtection="1">
      <alignment horizontal="center" vertical="center" wrapText="1"/>
      <protection hidden="1"/>
    </xf>
    <xf numFmtId="1" fontId="60" fillId="0" borderId="214" xfId="1" applyNumberFormat="1" applyFont="1" applyBorder="1" applyAlignment="1" applyProtection="1">
      <alignment horizontal="center" vertical="center" wrapText="1"/>
      <protection hidden="1"/>
    </xf>
    <xf numFmtId="2" fontId="65" fillId="16" borderId="112" xfId="1" applyNumberFormat="1" applyFont="1" applyFill="1" applyBorder="1" applyAlignment="1" applyProtection="1">
      <alignment horizontal="right" vertical="center"/>
      <protection locked="0" hidden="1"/>
    </xf>
    <xf numFmtId="0" fontId="0" fillId="4" borderId="70" xfId="0" applyFill="1" applyBorder="1" applyProtection="1">
      <protection hidden="1"/>
    </xf>
    <xf numFmtId="1" fontId="84" fillId="4" borderId="70" xfId="0" applyNumberFormat="1" applyFont="1" applyFill="1" applyBorder="1" applyProtection="1">
      <protection hidden="1"/>
    </xf>
    <xf numFmtId="1" fontId="52" fillId="4" borderId="71" xfId="0" applyNumberFormat="1" applyFont="1" applyFill="1" applyBorder="1" applyAlignment="1" applyProtection="1">
      <alignment horizontal="center"/>
      <protection hidden="1"/>
    </xf>
    <xf numFmtId="1" fontId="52" fillId="4" borderId="70" xfId="3" applyNumberFormat="1" applyFont="1" applyFill="1" applyBorder="1" applyAlignment="1" applyProtection="1">
      <alignment horizontal="right"/>
      <protection hidden="1"/>
    </xf>
    <xf numFmtId="1" fontId="0" fillId="4" borderId="71" xfId="0" applyNumberFormat="1" applyFill="1" applyBorder="1" applyAlignment="1" applyProtection="1">
      <protection hidden="1"/>
    </xf>
    <xf numFmtId="1" fontId="52" fillId="4" borderId="71" xfId="3" applyNumberFormat="1" applyFont="1" applyFill="1" applyBorder="1" applyAlignment="1" applyProtection="1">
      <alignment horizontal="left" vertical="center"/>
      <protection hidden="1"/>
    </xf>
    <xf numFmtId="1" fontId="52" fillId="4" borderId="71" xfId="3" applyNumberFormat="1" applyFont="1" applyFill="1" applyBorder="1" applyAlignment="1" applyProtection="1">
      <alignment horizontal="left" vertical="center" wrapText="1"/>
      <protection hidden="1"/>
    </xf>
    <xf numFmtId="1" fontId="52" fillId="4" borderId="71" xfId="0" applyNumberFormat="1" applyFont="1" applyFill="1" applyBorder="1" applyProtection="1">
      <protection hidden="1"/>
    </xf>
    <xf numFmtId="1" fontId="52" fillId="4" borderId="70" xfId="0" applyNumberFormat="1" applyFont="1" applyFill="1" applyBorder="1" applyProtection="1">
      <protection hidden="1"/>
    </xf>
    <xf numFmtId="1" fontId="84" fillId="4" borderId="72" xfId="3" applyNumberFormat="1" applyFont="1" applyFill="1" applyBorder="1" applyAlignment="1" applyProtection="1">
      <alignment horizontal="left" vertical="center" wrapText="1"/>
      <protection hidden="1"/>
    </xf>
    <xf numFmtId="1" fontId="52" fillId="4" borderId="74" xfId="3" applyNumberFormat="1" applyFont="1" applyFill="1" applyBorder="1" applyAlignment="1" applyProtection="1">
      <alignment horizontal="left" vertical="center" wrapText="1"/>
      <protection hidden="1"/>
    </xf>
    <xf numFmtId="0" fontId="0" fillId="4" borderId="216" xfId="0" applyFill="1" applyBorder="1" applyProtection="1">
      <protection hidden="1"/>
    </xf>
    <xf numFmtId="1" fontId="87" fillId="22" borderId="159" xfId="0" applyNumberFormat="1" applyFont="1" applyFill="1" applyBorder="1" applyAlignment="1" applyProtection="1">
      <alignment horizontal="left" vertical="center"/>
      <protection hidden="1"/>
    </xf>
    <xf numFmtId="1" fontId="84" fillId="4" borderId="136" xfId="0" applyNumberFormat="1" applyFont="1" applyFill="1" applyBorder="1" applyProtection="1">
      <protection hidden="1"/>
    </xf>
    <xf numFmtId="1" fontId="84" fillId="4" borderId="138" xfId="0" applyNumberFormat="1" applyFont="1" applyFill="1" applyBorder="1" applyProtection="1">
      <protection hidden="1"/>
    </xf>
    <xf numFmtId="1" fontId="52" fillId="4" borderId="140" xfId="0" applyNumberFormat="1" applyFont="1" applyFill="1" applyBorder="1" applyAlignment="1" applyProtection="1">
      <alignment horizontal="center"/>
      <protection hidden="1"/>
    </xf>
    <xf numFmtId="1" fontId="52" fillId="4" borderId="131" xfId="0" applyNumberFormat="1" applyFont="1" applyFill="1" applyBorder="1" applyAlignment="1" applyProtection="1">
      <alignment horizontal="center"/>
      <protection hidden="1"/>
    </xf>
    <xf numFmtId="1" fontId="84" fillId="4" borderId="132" xfId="0" applyNumberFormat="1" applyFont="1" applyFill="1" applyBorder="1" applyProtection="1">
      <protection hidden="1"/>
    </xf>
    <xf numFmtId="1" fontId="84" fillId="4" borderId="156" xfId="0" applyNumberFormat="1" applyFont="1" applyFill="1" applyBorder="1" applyProtection="1">
      <protection hidden="1"/>
    </xf>
    <xf numFmtId="1" fontId="84" fillId="4" borderId="80" xfId="0" applyNumberFormat="1" applyFont="1" applyFill="1" applyBorder="1" applyAlignment="1" applyProtection="1">
      <alignment horizontal="center"/>
      <protection hidden="1"/>
    </xf>
    <xf numFmtId="1" fontId="84" fillId="4" borderId="156" xfId="0" applyNumberFormat="1" applyFont="1" applyFill="1" applyBorder="1" applyAlignment="1" applyProtection="1">
      <alignment horizontal="center"/>
      <protection hidden="1"/>
    </xf>
    <xf numFmtId="1" fontId="84" fillId="4" borderId="80" xfId="0" applyNumberFormat="1" applyFont="1" applyFill="1" applyBorder="1" applyProtection="1">
      <protection hidden="1"/>
    </xf>
    <xf numFmtId="1" fontId="52" fillId="4" borderId="136" xfId="3" applyNumberFormat="1" applyFont="1" applyFill="1" applyBorder="1" applyAlignment="1" applyProtection="1">
      <alignment horizontal="right"/>
      <protection hidden="1"/>
    </xf>
    <xf numFmtId="1" fontId="52" fillId="16" borderId="140" xfId="0" applyNumberFormat="1" applyFont="1" applyFill="1" applyBorder="1" applyAlignment="1" applyProtection="1">
      <alignment horizontal="right"/>
      <protection locked="0"/>
    </xf>
    <xf numFmtId="1" fontId="52" fillId="4" borderId="86" xfId="3" applyNumberFormat="1" applyFont="1" applyFill="1" applyBorder="1" applyAlignment="1" applyProtection="1">
      <alignment horizontal="left" vertical="center" wrapText="1"/>
      <protection hidden="1"/>
    </xf>
    <xf numFmtId="1" fontId="84" fillId="4" borderId="70" xfId="3" applyNumberFormat="1" applyFont="1" applyFill="1" applyBorder="1" applyProtection="1">
      <protection hidden="1"/>
    </xf>
    <xf numFmtId="1" fontId="52" fillId="4" borderId="135" xfId="3" applyNumberFormat="1" applyFont="1" applyFill="1" applyBorder="1" applyProtection="1">
      <protection hidden="1"/>
    </xf>
    <xf numFmtId="1" fontId="52" fillId="4" borderId="70" xfId="3" applyNumberFormat="1" applyFont="1" applyFill="1" applyBorder="1" applyProtection="1">
      <protection hidden="1"/>
    </xf>
    <xf numFmtId="1" fontId="84" fillId="20" borderId="70" xfId="3" applyNumberFormat="1" applyFont="1" applyFill="1" applyBorder="1" applyProtection="1">
      <protection hidden="1"/>
    </xf>
    <xf numFmtId="170" fontId="84" fillId="4" borderId="135" xfId="3" applyNumberFormat="1" applyFont="1" applyFill="1" applyBorder="1" applyAlignment="1" applyProtection="1">
      <alignment horizontal="center"/>
      <protection hidden="1"/>
    </xf>
    <xf numFmtId="1" fontId="52" fillId="4" borderId="135" xfId="3" applyNumberFormat="1" applyFont="1" applyFill="1" applyBorder="1" applyAlignment="1" applyProtection="1">
      <alignment horizontal="center"/>
      <protection hidden="1"/>
    </xf>
    <xf numFmtId="170" fontId="52" fillId="4" borderId="135" xfId="3" applyNumberFormat="1" applyFont="1" applyFill="1" applyBorder="1" applyAlignment="1" applyProtection="1">
      <alignment horizontal="center"/>
      <protection hidden="1"/>
    </xf>
    <xf numFmtId="170" fontId="84" fillId="20" borderId="155" xfId="3" applyNumberFormat="1" applyFont="1" applyFill="1" applyBorder="1" applyAlignment="1" applyProtection="1">
      <alignment horizontal="center"/>
      <protection hidden="1"/>
    </xf>
    <xf numFmtId="1" fontId="84" fillId="4" borderId="136" xfId="3" applyNumberFormat="1" applyFont="1" applyFill="1" applyBorder="1" applyProtection="1">
      <protection hidden="1"/>
    </xf>
    <xf numFmtId="1" fontId="52" fillId="4" borderId="71" xfId="3" applyNumberFormat="1" applyFont="1" applyFill="1" applyBorder="1" applyProtection="1">
      <protection hidden="1"/>
    </xf>
    <xf numFmtId="1" fontId="84" fillId="4" borderId="70" xfId="3" applyNumberFormat="1" applyFont="1" applyFill="1" applyBorder="1" applyAlignment="1" applyProtection="1">
      <alignment horizontal="right"/>
      <protection hidden="1"/>
    </xf>
    <xf numFmtId="1" fontId="84" fillId="4" borderId="71" xfId="3" applyNumberFormat="1" applyFont="1" applyFill="1" applyBorder="1" applyProtection="1">
      <protection hidden="1"/>
    </xf>
    <xf numFmtId="1" fontId="97" fillId="4" borderId="70" xfId="3" applyNumberFormat="1" applyFont="1" applyFill="1" applyBorder="1" applyAlignment="1" applyProtection="1">
      <alignment horizontal="right"/>
      <protection hidden="1"/>
    </xf>
    <xf numFmtId="170" fontId="92" fillId="4" borderId="71" xfId="4" applyNumberFormat="1" applyFont="1" applyFill="1" applyBorder="1" applyAlignment="1" applyProtection="1">
      <alignment horizontal="center" vertical="top"/>
      <protection hidden="1"/>
    </xf>
    <xf numFmtId="170" fontId="52" fillId="4" borderId="71" xfId="3" applyNumberFormat="1" applyFont="1" applyFill="1" applyBorder="1" applyProtection="1">
      <protection hidden="1"/>
    </xf>
    <xf numFmtId="1" fontId="52" fillId="4" borderId="138" xfId="3" applyNumberFormat="1" applyFont="1" applyFill="1" applyBorder="1" applyAlignment="1" applyProtection="1">
      <alignment horizontal="right"/>
      <protection hidden="1"/>
    </xf>
    <xf numFmtId="1" fontId="52" fillId="4" borderId="71" xfId="3" applyNumberFormat="1" applyFont="1" applyFill="1" applyBorder="1" applyAlignment="1" applyProtection="1">
      <alignment horizontal="center"/>
      <protection hidden="1"/>
    </xf>
    <xf numFmtId="1" fontId="84" fillId="4" borderId="221" xfId="3" applyNumberFormat="1" applyFont="1" applyFill="1" applyBorder="1" applyAlignment="1" applyProtection="1">
      <alignment horizontal="right"/>
      <protection hidden="1"/>
    </xf>
    <xf numFmtId="1" fontId="52" fillId="4" borderId="222" xfId="3" applyNumberFormat="1" applyFont="1" applyFill="1" applyBorder="1" applyAlignment="1" applyProtection="1">
      <alignment horizontal="center"/>
      <protection hidden="1"/>
    </xf>
    <xf numFmtId="1" fontId="98" fillId="4" borderId="70" xfId="3" applyNumberFormat="1" applyFont="1" applyFill="1" applyBorder="1" applyAlignment="1" applyProtection="1">
      <alignment horizontal="right"/>
      <protection hidden="1"/>
    </xf>
    <xf numFmtId="170" fontId="91" fillId="4" borderId="71" xfId="3" applyNumberFormat="1" applyFont="1" applyFill="1" applyBorder="1" applyAlignment="1" applyProtection="1">
      <alignment horizontal="center" vertical="center"/>
      <protection hidden="1"/>
    </xf>
    <xf numFmtId="170" fontId="52" fillId="4" borderId="71" xfId="3" applyNumberFormat="1" applyFont="1" applyFill="1" applyBorder="1" applyAlignment="1" applyProtection="1">
      <alignment horizontal="center"/>
      <protection hidden="1"/>
    </xf>
    <xf numFmtId="170" fontId="93" fillId="4" borderId="71" xfId="5" applyNumberFormat="1" applyFont="1" applyFill="1" applyBorder="1" applyAlignment="1" applyProtection="1">
      <alignment horizontal="center"/>
      <protection hidden="1"/>
    </xf>
    <xf numFmtId="1" fontId="85" fillId="4" borderId="70" xfId="3" applyNumberFormat="1" applyFont="1" applyFill="1" applyBorder="1" applyProtection="1">
      <protection hidden="1"/>
    </xf>
    <xf numFmtId="170" fontId="84" fillId="4" borderId="140" xfId="3" applyNumberFormat="1" applyFont="1" applyFill="1" applyBorder="1" applyAlignment="1" applyProtection="1">
      <alignment horizontal="center" wrapText="1"/>
      <protection hidden="1"/>
    </xf>
    <xf numFmtId="170" fontId="91" fillId="20" borderId="140" xfId="3" applyNumberFormat="1" applyFont="1" applyFill="1" applyBorder="1" applyAlignment="1" applyProtection="1">
      <alignment horizontal="center" wrapText="1"/>
      <protection hidden="1"/>
    </xf>
    <xf numFmtId="1" fontId="0" fillId="4" borderId="71" xfId="0" applyNumberFormat="1" applyFill="1" applyBorder="1" applyAlignment="1" applyProtection="1">
      <alignment horizontal="right"/>
      <protection hidden="1"/>
    </xf>
    <xf numFmtId="1" fontId="52" fillId="4" borderId="138" xfId="3" applyNumberFormat="1" applyFont="1" applyFill="1" applyBorder="1" applyAlignment="1" applyProtection="1">
      <alignment vertical="center" wrapText="1"/>
      <protection hidden="1"/>
    </xf>
    <xf numFmtId="1" fontId="52" fillId="4" borderId="140" xfId="3" applyNumberFormat="1" applyFont="1" applyFill="1" applyBorder="1" applyAlignment="1" applyProtection="1">
      <alignment vertical="center" wrapText="1"/>
      <protection hidden="1"/>
    </xf>
    <xf numFmtId="1" fontId="52" fillId="4" borderId="70" xfId="3" applyNumberFormat="1" applyFont="1" applyFill="1" applyBorder="1" applyAlignment="1" applyProtection="1">
      <protection hidden="1"/>
    </xf>
    <xf numFmtId="1" fontId="52" fillId="4" borderId="71" xfId="3" applyNumberFormat="1" applyFont="1" applyFill="1" applyBorder="1" applyAlignment="1" applyProtection="1">
      <protection hidden="1"/>
    </xf>
    <xf numFmtId="1" fontId="52" fillId="4" borderId="72" xfId="3" applyNumberFormat="1" applyFont="1" applyFill="1" applyBorder="1" applyProtection="1">
      <protection hidden="1"/>
    </xf>
    <xf numFmtId="1" fontId="52" fillId="4" borderId="73" xfId="3" applyNumberFormat="1" applyFont="1" applyFill="1" applyBorder="1" applyProtection="1">
      <protection hidden="1"/>
    </xf>
    <xf numFmtId="1" fontId="94" fillId="4" borderId="73" xfId="0" applyNumberFormat="1" applyFont="1" applyFill="1" applyBorder="1" applyProtection="1">
      <protection hidden="1"/>
    </xf>
    <xf numFmtId="1" fontId="52" fillId="4" borderId="74" xfId="3" applyNumberFormat="1" applyFont="1" applyFill="1" applyBorder="1" applyProtection="1">
      <protection hidden="1"/>
    </xf>
    <xf numFmtId="0" fontId="80" fillId="25" borderId="0" xfId="0" applyFont="1" applyFill="1" applyAlignment="1" applyProtection="1">
      <alignment vertical="center"/>
      <protection hidden="1"/>
    </xf>
    <xf numFmtId="0" fontId="16" fillId="10" borderId="98" xfId="0" applyFont="1" applyFill="1" applyBorder="1" applyAlignment="1" applyProtection="1">
      <alignment horizontal="center" vertical="center" wrapText="1"/>
      <protection locked="0"/>
    </xf>
    <xf numFmtId="0" fontId="135" fillId="33" borderId="0" xfId="0" applyFont="1" applyFill="1" applyAlignment="1" applyProtection="1">
      <alignment horizontal="center" vertical="center"/>
      <protection hidden="1"/>
    </xf>
    <xf numFmtId="0" fontId="117" fillId="3" borderId="0" xfId="0" applyFont="1" applyFill="1" applyAlignment="1" applyProtection="1">
      <alignment horizontal="center"/>
      <protection hidden="1"/>
    </xf>
    <xf numFmtId="0" fontId="117" fillId="25" borderId="0" xfId="0" applyFont="1" applyFill="1" applyAlignment="1" applyProtection="1">
      <alignment horizontal="center"/>
      <protection hidden="1"/>
    </xf>
    <xf numFmtId="0" fontId="0" fillId="25" borderId="0" xfId="0" applyFill="1" applyAlignment="1" applyProtection="1">
      <alignment horizontal="center"/>
      <protection hidden="1"/>
    </xf>
    <xf numFmtId="0" fontId="0" fillId="25" borderId="0" xfId="0" applyFill="1" applyAlignment="1" applyProtection="1">
      <alignment horizontal="center" vertical="center"/>
      <protection hidden="1"/>
    </xf>
    <xf numFmtId="0" fontId="124" fillId="30" borderId="175" xfId="7" applyFont="1" applyFill="1" applyBorder="1" applyAlignment="1" applyProtection="1">
      <alignment horizontal="center" vertical="center"/>
      <protection locked="0"/>
    </xf>
    <xf numFmtId="0" fontId="124" fillId="30" borderId="177" xfId="7" applyFont="1" applyFill="1" applyBorder="1" applyAlignment="1" applyProtection="1">
      <alignment horizontal="center" vertical="center"/>
      <protection locked="0"/>
    </xf>
    <xf numFmtId="0" fontId="10" fillId="3" borderId="44"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10" fillId="3" borderId="45" xfId="0" applyFont="1" applyFill="1" applyBorder="1" applyAlignment="1" applyProtection="1">
      <alignment horizontal="center" vertical="center"/>
      <protection hidden="1"/>
    </xf>
    <xf numFmtId="0" fontId="149" fillId="10" borderId="38" xfId="0" applyFont="1" applyFill="1" applyBorder="1" applyAlignment="1" applyProtection="1">
      <alignment horizontal="center" vertical="center" wrapText="1"/>
      <protection locked="0"/>
    </xf>
    <xf numFmtId="0" fontId="149" fillId="10" borderId="37" xfId="0" applyFont="1" applyFill="1" applyBorder="1" applyAlignment="1" applyProtection="1">
      <alignment horizontal="center" vertical="center" wrapText="1"/>
      <protection locked="0"/>
    </xf>
    <xf numFmtId="0" fontId="149" fillId="10" borderId="39" xfId="0" applyFont="1" applyFill="1" applyBorder="1" applyAlignment="1" applyProtection="1">
      <alignment horizontal="center" vertical="center" wrapText="1"/>
      <protection locked="0"/>
    </xf>
    <xf numFmtId="0" fontId="8" fillId="9" borderId="102" xfId="0" applyFont="1" applyFill="1" applyBorder="1" applyAlignment="1" applyProtection="1">
      <alignment horizontal="center" vertical="center" wrapText="1"/>
      <protection hidden="1"/>
    </xf>
    <xf numFmtId="0" fontId="8" fillId="9" borderId="98" xfId="0" applyFont="1" applyFill="1" applyBorder="1" applyAlignment="1" applyProtection="1">
      <alignment horizontal="center" vertical="center" wrapText="1"/>
      <protection hidden="1"/>
    </xf>
    <xf numFmtId="0" fontId="8" fillId="9" borderId="103" xfId="0" applyFont="1" applyFill="1" applyBorder="1" applyAlignment="1" applyProtection="1">
      <alignment horizontal="center" vertical="center" wrapText="1"/>
      <protection hidden="1"/>
    </xf>
    <xf numFmtId="0" fontId="8" fillId="9" borderId="104" xfId="0" applyFont="1" applyFill="1" applyBorder="1" applyAlignment="1" applyProtection="1">
      <alignment horizontal="center" vertical="center" wrapText="1"/>
      <protection hidden="1"/>
    </xf>
    <xf numFmtId="0" fontId="9" fillId="10" borderId="103" xfId="0" applyFont="1" applyFill="1" applyBorder="1" applyAlignment="1" applyProtection="1">
      <alignment horizontal="center" vertical="center" wrapText="1"/>
      <protection locked="0"/>
    </xf>
    <xf numFmtId="0" fontId="9" fillId="10" borderId="104" xfId="0" applyFont="1" applyFill="1" applyBorder="1" applyAlignment="1" applyProtection="1">
      <alignment horizontal="center" vertical="center" wrapText="1"/>
      <protection locked="0"/>
    </xf>
    <xf numFmtId="0" fontId="140" fillId="10" borderId="23" xfId="0" applyFont="1" applyFill="1" applyBorder="1" applyAlignment="1" applyProtection="1">
      <alignment horizontal="left"/>
      <protection locked="0"/>
    </xf>
    <xf numFmtId="0" fontId="140" fillId="10" borderId="47" xfId="0" applyFont="1" applyFill="1" applyBorder="1" applyAlignment="1" applyProtection="1">
      <alignment horizontal="left"/>
      <protection locked="0"/>
    </xf>
    <xf numFmtId="0" fontId="1" fillId="9" borderId="23" xfId="0" applyFont="1" applyFill="1" applyBorder="1" applyAlignment="1" applyProtection="1">
      <alignment horizontal="right" vertical="center"/>
      <protection hidden="1"/>
    </xf>
    <xf numFmtId="0" fontId="1" fillId="9" borderId="24" xfId="0" applyFont="1" applyFill="1" applyBorder="1" applyAlignment="1" applyProtection="1">
      <alignment horizontal="right" vertical="center"/>
      <protection hidden="1"/>
    </xf>
    <xf numFmtId="0" fontId="11" fillId="10" borderId="2" xfId="0" applyFont="1" applyFill="1" applyBorder="1" applyAlignment="1" applyProtection="1">
      <alignment horizontal="center" vertical="center" wrapText="1"/>
      <protection locked="0"/>
    </xf>
    <xf numFmtId="0" fontId="11" fillId="10" borderId="104" xfId="0" applyFont="1" applyFill="1" applyBorder="1" applyAlignment="1" applyProtection="1">
      <alignment horizontal="center" vertical="center" wrapText="1"/>
      <protection locked="0"/>
    </xf>
    <xf numFmtId="0" fontId="17" fillId="10" borderId="103" xfId="0" applyFont="1" applyFill="1" applyBorder="1" applyAlignment="1" applyProtection="1">
      <alignment horizontal="center" vertical="center" wrapText="1"/>
      <protection locked="0" hidden="1"/>
    </xf>
    <xf numFmtId="0" fontId="17" fillId="10" borderId="3" xfId="0" applyFont="1" applyFill="1" applyBorder="1" applyAlignment="1" applyProtection="1">
      <alignment horizontal="center" vertical="center" wrapText="1"/>
      <protection locked="0" hidden="1"/>
    </xf>
    <xf numFmtId="0" fontId="17" fillId="10" borderId="104" xfId="0" applyFont="1" applyFill="1" applyBorder="1" applyAlignment="1" applyProtection="1">
      <alignment horizontal="center" vertical="center" wrapText="1"/>
      <protection locked="0" hidden="1"/>
    </xf>
    <xf numFmtId="0" fontId="6" fillId="9" borderId="52" xfId="0" applyFont="1" applyFill="1" applyBorder="1" applyAlignment="1" applyProtection="1">
      <alignment horizontal="center" vertical="center" wrapText="1"/>
      <protection hidden="1"/>
    </xf>
    <xf numFmtId="0" fontId="6" fillId="9" borderId="43" xfId="0" applyFont="1" applyFill="1" applyBorder="1" applyAlignment="1" applyProtection="1">
      <alignment horizontal="center" vertical="center" wrapText="1"/>
      <protection hidden="1"/>
    </xf>
    <xf numFmtId="0" fontId="6" fillId="9" borderId="52" xfId="0" applyFont="1" applyFill="1" applyBorder="1" applyAlignment="1" applyProtection="1">
      <alignment horizontal="center" vertical="center" wrapText="1"/>
      <protection locked="0"/>
    </xf>
    <xf numFmtId="0" fontId="6" fillId="9" borderId="43" xfId="0" applyFont="1" applyFill="1" applyBorder="1" applyAlignment="1" applyProtection="1">
      <alignment horizontal="center" vertical="center" wrapText="1"/>
      <protection locked="0"/>
    </xf>
    <xf numFmtId="0" fontId="42" fillId="9" borderId="97" xfId="0" applyFont="1" applyFill="1" applyBorder="1" applyAlignment="1" applyProtection="1">
      <alignment horizontal="center" vertical="center" wrapText="1"/>
      <protection hidden="1"/>
    </xf>
    <xf numFmtId="0" fontId="42" fillId="9" borderId="106" xfId="0" applyFont="1" applyFill="1" applyBorder="1" applyAlignment="1" applyProtection="1">
      <alignment horizontal="center" vertical="center" wrapText="1"/>
      <protection hidden="1"/>
    </xf>
    <xf numFmtId="0" fontId="42" fillId="9" borderId="52" xfId="0" applyFont="1" applyFill="1" applyBorder="1" applyAlignment="1" applyProtection="1">
      <alignment horizontal="center" vertical="center" wrapText="1"/>
      <protection hidden="1"/>
    </xf>
    <xf numFmtId="0" fontId="42" fillId="9" borderId="43" xfId="0" applyFont="1" applyFill="1" applyBorder="1" applyAlignment="1" applyProtection="1">
      <alignment horizontal="center" vertical="center" wrapText="1"/>
      <protection hidden="1"/>
    </xf>
    <xf numFmtId="0" fontId="22" fillId="9" borderId="95" xfId="0" applyFont="1" applyFill="1" applyBorder="1" applyAlignment="1" applyProtection="1">
      <alignment horizontal="center" vertical="center" wrapText="1"/>
      <protection hidden="1"/>
    </xf>
    <xf numFmtId="0" fontId="22" fillId="9" borderId="96" xfId="0" applyFont="1" applyFill="1" applyBorder="1" applyAlignment="1" applyProtection="1">
      <alignment horizontal="center" vertical="center" wrapText="1"/>
      <protection hidden="1"/>
    </xf>
    <xf numFmtId="0" fontId="22" fillId="9" borderId="106" xfId="0" applyFont="1" applyFill="1" applyBorder="1" applyAlignment="1" applyProtection="1">
      <alignment horizontal="center" vertical="center" wrapText="1"/>
      <protection hidden="1"/>
    </xf>
    <xf numFmtId="0" fontId="6" fillId="9" borderId="51" xfId="0" applyFont="1" applyFill="1" applyBorder="1" applyAlignment="1" applyProtection="1">
      <alignment horizontal="center" vertical="center" wrapText="1"/>
      <protection locked="0"/>
    </xf>
    <xf numFmtId="0" fontId="6" fillId="9" borderId="41" xfId="0" applyFont="1" applyFill="1" applyBorder="1" applyAlignment="1" applyProtection="1">
      <alignment horizontal="center" vertical="center" wrapText="1"/>
      <protection locked="0"/>
    </xf>
    <xf numFmtId="0" fontId="6" fillId="9" borderId="23" xfId="0" applyFont="1" applyFill="1" applyBorder="1" applyAlignment="1" applyProtection="1">
      <alignment horizontal="center" vertical="center" wrapText="1"/>
      <protection hidden="1"/>
    </xf>
    <xf numFmtId="0" fontId="6" fillId="9" borderId="24" xfId="0" applyFont="1" applyFill="1" applyBorder="1" applyAlignment="1" applyProtection="1">
      <alignment horizontal="center" vertical="center" wrapText="1"/>
      <protection hidden="1"/>
    </xf>
    <xf numFmtId="0" fontId="19" fillId="9" borderId="35" xfId="0" applyFont="1" applyFill="1" applyBorder="1" applyAlignment="1" applyProtection="1">
      <alignment horizontal="center" vertical="center" wrapText="1"/>
      <protection locked="0"/>
    </xf>
    <xf numFmtId="0" fontId="19" fillId="9" borderId="21" xfId="0" applyFont="1" applyFill="1" applyBorder="1" applyAlignment="1" applyProtection="1">
      <alignment horizontal="center" vertical="center" wrapText="1"/>
      <protection locked="0"/>
    </xf>
    <xf numFmtId="0" fontId="20" fillId="9" borderId="36" xfId="0" applyFont="1" applyFill="1" applyBorder="1" applyAlignment="1" applyProtection="1">
      <alignment horizontal="center" vertical="center"/>
      <protection hidden="1"/>
    </xf>
    <xf numFmtId="0" fontId="20" fillId="9" borderId="37" xfId="0" applyFont="1" applyFill="1" applyBorder="1" applyAlignment="1" applyProtection="1">
      <alignment horizontal="center" vertical="center"/>
      <protection hidden="1"/>
    </xf>
    <xf numFmtId="0" fontId="20" fillId="9" borderId="40" xfId="0" applyFont="1" applyFill="1" applyBorder="1" applyAlignment="1" applyProtection="1">
      <alignment horizontal="center" vertical="center"/>
      <protection hidden="1"/>
    </xf>
    <xf numFmtId="0" fontId="20" fillId="9" borderId="38" xfId="0" applyFont="1" applyFill="1" applyBorder="1" applyAlignment="1" applyProtection="1">
      <alignment horizontal="center" vertical="center"/>
      <protection hidden="1"/>
    </xf>
    <xf numFmtId="0" fontId="10" fillId="3" borderId="105" xfId="0" applyFont="1" applyFill="1" applyBorder="1" applyAlignment="1" applyProtection="1">
      <alignment horizontal="center" vertical="center"/>
      <protection hidden="1"/>
    </xf>
    <xf numFmtId="0" fontId="10" fillId="3" borderId="9" xfId="0" applyFont="1" applyFill="1" applyBorder="1" applyAlignment="1" applyProtection="1">
      <alignment horizontal="center" vertical="center"/>
      <protection hidden="1"/>
    </xf>
    <xf numFmtId="0" fontId="20" fillId="9" borderId="28" xfId="0" applyFont="1" applyFill="1" applyBorder="1" applyAlignment="1" applyProtection="1">
      <alignment horizontal="center" wrapText="1"/>
      <protection hidden="1"/>
    </xf>
    <xf numFmtId="0" fontId="20" fillId="9" borderId="9" xfId="0" applyFont="1" applyFill="1" applyBorder="1" applyAlignment="1" applyProtection="1">
      <alignment horizontal="center" wrapText="1"/>
      <protection hidden="1"/>
    </xf>
    <xf numFmtId="0" fontId="20" fillId="9" borderId="29" xfId="0" applyFont="1" applyFill="1" applyBorder="1" applyAlignment="1" applyProtection="1">
      <alignment horizontal="center" wrapText="1"/>
      <protection hidden="1"/>
    </xf>
    <xf numFmtId="17" fontId="22" fillId="9" borderId="94" xfId="0" applyNumberFormat="1" applyFont="1" applyFill="1" applyBorder="1" applyAlignment="1" applyProtection="1">
      <alignment horizontal="center" vertical="center"/>
      <protection hidden="1"/>
    </xf>
    <xf numFmtId="17" fontId="22" fillId="9" borderId="101" xfId="0" applyNumberFormat="1" applyFont="1" applyFill="1" applyBorder="1" applyAlignment="1" applyProtection="1">
      <alignment horizontal="center" vertical="center"/>
      <protection hidden="1"/>
    </xf>
    <xf numFmtId="6" fontId="11" fillId="10" borderId="42" xfId="0" applyNumberFormat="1" applyFont="1" applyFill="1" applyBorder="1" applyAlignment="1" applyProtection="1">
      <alignment horizontal="center" vertical="center"/>
      <protection locked="0" hidden="1"/>
    </xf>
    <xf numFmtId="6" fontId="11" fillId="10" borderId="33" xfId="0" applyNumberFormat="1" applyFont="1" applyFill="1" applyBorder="1" applyAlignment="1" applyProtection="1">
      <alignment horizontal="center" vertical="center"/>
      <protection locked="0" hidden="1"/>
    </xf>
    <xf numFmtId="0" fontId="137" fillId="21" borderId="28" xfId="0" applyFont="1" applyFill="1" applyBorder="1" applyAlignment="1" applyProtection="1">
      <alignment horizontal="center" vertical="center"/>
      <protection hidden="1"/>
    </xf>
    <xf numFmtId="0" fontId="137" fillId="21" borderId="9" xfId="0" applyFont="1" applyFill="1" applyBorder="1" applyAlignment="1" applyProtection="1">
      <alignment horizontal="center" vertical="center"/>
      <protection hidden="1"/>
    </xf>
    <xf numFmtId="0" fontId="18" fillId="6" borderId="32" xfId="0" applyFont="1" applyFill="1" applyBorder="1" applyAlignment="1" applyProtection="1">
      <alignment horizontal="center" vertical="center"/>
      <protection hidden="1"/>
    </xf>
    <xf numFmtId="0" fontId="18" fillId="6" borderId="21" xfId="0" applyFont="1" applyFill="1" applyBorder="1" applyAlignment="1" applyProtection="1">
      <alignment horizontal="center" vertical="center"/>
      <protection hidden="1"/>
    </xf>
    <xf numFmtId="0" fontId="23" fillId="7" borderId="2" xfId="0" applyFont="1" applyFill="1" applyBorder="1" applyAlignment="1" applyProtection="1">
      <alignment horizontal="center" vertical="center"/>
      <protection hidden="1"/>
    </xf>
    <xf numFmtId="0" fontId="23" fillId="7" borderId="3"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23" borderId="9" xfId="0" applyFont="1" applyFill="1" applyBorder="1" applyAlignment="1" applyProtection="1">
      <alignment horizontal="center" vertical="center"/>
      <protection hidden="1"/>
    </xf>
    <xf numFmtId="0" fontId="18" fillId="23" borderId="0" xfId="0" applyFont="1" applyFill="1" applyBorder="1" applyAlignment="1" applyProtection="1">
      <alignment horizontal="center" vertical="center"/>
      <protection hidden="1"/>
    </xf>
    <xf numFmtId="0" fontId="3" fillId="10" borderId="23" xfId="0" applyFont="1" applyFill="1" applyBorder="1" applyAlignment="1" applyProtection="1">
      <alignment horizontal="left" vertical="center"/>
      <protection locked="0"/>
    </xf>
    <xf numFmtId="0" fontId="3" fillId="10" borderId="24" xfId="0" applyFont="1" applyFill="1" applyBorder="1" applyAlignment="1" applyProtection="1">
      <alignment horizontal="left" vertical="center"/>
      <protection locked="0"/>
    </xf>
    <xf numFmtId="0" fontId="139" fillId="10" borderId="23" xfId="0" applyFont="1" applyFill="1" applyBorder="1" applyAlignment="1" applyProtection="1">
      <alignment horizontal="left" vertical="center"/>
      <protection locked="0"/>
    </xf>
    <xf numFmtId="0" fontId="139" fillId="10" borderId="24" xfId="0" applyFont="1" applyFill="1" applyBorder="1" applyAlignment="1" applyProtection="1">
      <alignment horizontal="left" vertical="center"/>
      <protection locked="0"/>
    </xf>
    <xf numFmtId="0" fontId="1" fillId="9" borderId="38" xfId="0" applyFont="1" applyFill="1" applyBorder="1" applyAlignment="1" applyProtection="1">
      <alignment horizontal="center" vertical="center"/>
      <protection hidden="1"/>
    </xf>
    <xf numFmtId="0" fontId="1" fillId="9" borderId="39" xfId="0" applyFont="1" applyFill="1" applyBorder="1" applyAlignment="1" applyProtection="1">
      <alignment horizontal="center" vertical="center"/>
      <protection hidden="1"/>
    </xf>
    <xf numFmtId="0" fontId="1" fillId="9" borderId="23" xfId="0" applyFont="1" applyFill="1" applyBorder="1" applyAlignment="1" applyProtection="1">
      <alignment horizontal="center" vertical="center"/>
      <protection hidden="1"/>
    </xf>
    <xf numFmtId="0" fontId="1" fillId="9" borderId="24" xfId="0" applyFont="1" applyFill="1" applyBorder="1" applyAlignment="1" applyProtection="1">
      <alignment horizontal="center" vertical="center"/>
      <protection hidden="1"/>
    </xf>
    <xf numFmtId="0" fontId="2" fillId="9" borderId="36" xfId="0" applyFont="1" applyFill="1" applyBorder="1" applyAlignment="1" applyProtection="1">
      <alignment horizontal="center" vertical="center"/>
      <protection hidden="1"/>
    </xf>
    <xf numFmtId="0" fontId="2" fillId="9" borderId="37" xfId="0" applyFont="1" applyFill="1" applyBorder="1" applyAlignment="1" applyProtection="1">
      <alignment horizontal="center" vertical="center"/>
      <protection hidden="1"/>
    </xf>
    <xf numFmtId="0" fontId="2" fillId="9" borderId="39" xfId="0" applyFont="1" applyFill="1" applyBorder="1" applyAlignment="1" applyProtection="1">
      <alignment horizontal="center" vertical="center"/>
      <protection hidden="1"/>
    </xf>
    <xf numFmtId="0" fontId="2" fillId="9" borderId="50" xfId="0" applyFont="1" applyFill="1" applyBorder="1" applyAlignment="1" applyProtection="1">
      <alignment horizontal="center" vertical="center"/>
      <protection hidden="1"/>
    </xf>
    <xf numFmtId="0" fontId="2" fillId="9" borderId="35" xfId="0" applyFont="1" applyFill="1" applyBorder="1" applyAlignment="1" applyProtection="1">
      <alignment horizontal="center" vertical="center"/>
      <protection hidden="1"/>
    </xf>
    <xf numFmtId="0" fontId="2" fillId="9" borderId="51" xfId="0" applyFont="1" applyFill="1" applyBorder="1" applyAlignment="1" applyProtection="1">
      <alignment horizontal="center" vertical="center"/>
      <protection hidden="1"/>
    </xf>
    <xf numFmtId="0" fontId="24" fillId="8" borderId="9" xfId="0" applyFont="1" applyFill="1" applyBorder="1" applyAlignment="1" applyProtection="1">
      <alignment horizontal="center" vertical="center"/>
      <protection hidden="1"/>
    </xf>
    <xf numFmtId="0" fontId="78" fillId="8" borderId="32" xfId="0" applyFont="1" applyFill="1" applyBorder="1" applyAlignment="1" applyProtection="1">
      <alignment horizontal="center"/>
      <protection hidden="1"/>
    </xf>
    <xf numFmtId="0" fontId="78" fillId="8" borderId="21" xfId="0" applyFont="1" applyFill="1" applyBorder="1" applyAlignment="1" applyProtection="1">
      <alignment horizontal="center"/>
      <protection hidden="1"/>
    </xf>
    <xf numFmtId="0" fontId="78" fillId="8" borderId="33" xfId="0" applyFont="1" applyFill="1" applyBorder="1" applyAlignment="1" applyProtection="1">
      <alignment horizontal="center"/>
      <protection hidden="1"/>
    </xf>
    <xf numFmtId="0" fontId="42" fillId="9" borderId="100" xfId="0" applyFont="1" applyFill="1" applyBorder="1" applyAlignment="1" applyProtection="1">
      <alignment horizontal="center" vertical="center" wrapText="1"/>
      <protection hidden="1"/>
    </xf>
    <xf numFmtId="0" fontId="42" fillId="9" borderId="107" xfId="0" applyFont="1" applyFill="1" applyBorder="1" applyAlignment="1" applyProtection="1">
      <alignment horizontal="center" vertical="center" wrapText="1"/>
      <protection hidden="1"/>
    </xf>
    <xf numFmtId="0" fontId="140" fillId="10" borderId="38" xfId="0" applyFont="1" applyFill="1" applyBorder="1" applyAlignment="1" applyProtection="1">
      <alignment horizontal="left" vertical="center" wrapText="1" indent="2"/>
      <protection locked="0"/>
    </xf>
    <xf numFmtId="0" fontId="140" fillId="10" borderId="40" xfId="0" applyFont="1" applyFill="1" applyBorder="1" applyAlignment="1" applyProtection="1">
      <alignment horizontal="left" vertical="center" wrapText="1" indent="2"/>
      <protection locked="0"/>
    </xf>
    <xf numFmtId="0" fontId="41" fillId="15" borderId="6" xfId="0" applyFont="1" applyFill="1" applyBorder="1" applyAlignment="1" applyProtection="1">
      <alignment horizontal="center" vertical="center"/>
      <protection hidden="1"/>
    </xf>
    <xf numFmtId="0" fontId="41" fillId="15" borderId="7" xfId="0" applyFont="1" applyFill="1" applyBorder="1" applyAlignment="1" applyProtection="1">
      <alignment horizontal="center" vertical="center"/>
      <protection hidden="1"/>
    </xf>
    <xf numFmtId="0" fontId="41" fillId="15" borderId="8" xfId="0" applyFont="1" applyFill="1" applyBorder="1" applyAlignment="1" applyProtection="1">
      <alignment horizontal="center" vertical="center"/>
      <protection hidden="1"/>
    </xf>
    <xf numFmtId="2" fontId="4" fillId="16" borderId="5" xfId="0" applyNumberFormat="1" applyFont="1" applyFill="1" applyBorder="1" applyAlignment="1" applyProtection="1">
      <alignment horizontal="center" vertical="center"/>
      <protection hidden="1"/>
    </xf>
    <xf numFmtId="2" fontId="4" fillId="17" borderId="1" xfId="0" applyNumberFormat="1" applyFont="1" applyFill="1" applyBorder="1" applyAlignment="1" applyProtection="1">
      <alignment horizontal="center" vertical="center"/>
      <protection hidden="1"/>
    </xf>
    <xf numFmtId="2" fontId="4" fillId="4" borderId="89" xfId="0" applyNumberFormat="1" applyFont="1" applyFill="1" applyBorder="1" applyAlignment="1" applyProtection="1">
      <alignment horizontal="left" vertical="center"/>
      <protection locked="0"/>
    </xf>
    <xf numFmtId="2" fontId="4" fillId="4" borderId="26" xfId="0" applyNumberFormat="1" applyFont="1" applyFill="1" applyBorder="1" applyAlignment="1" applyProtection="1">
      <alignment horizontal="left" vertical="center"/>
      <protection locked="0"/>
    </xf>
    <xf numFmtId="1" fontId="45" fillId="4" borderId="63" xfId="0" applyNumberFormat="1" applyFont="1" applyFill="1" applyBorder="1" applyAlignment="1" applyProtection="1">
      <alignment horizontal="center" vertical="center"/>
      <protection locked="0"/>
    </xf>
    <xf numFmtId="1" fontId="45" fillId="4" borderId="60" xfId="0" applyNumberFormat="1" applyFont="1" applyFill="1" applyBorder="1" applyAlignment="1" applyProtection="1">
      <alignment horizontal="center" vertical="center"/>
      <protection locked="0"/>
    </xf>
    <xf numFmtId="1" fontId="45" fillId="4" borderId="64" xfId="0" applyNumberFormat="1" applyFont="1" applyFill="1" applyBorder="1" applyAlignment="1" applyProtection="1">
      <alignment horizontal="center" vertical="center"/>
      <protection locked="0"/>
    </xf>
    <xf numFmtId="1" fontId="45" fillId="4" borderId="61" xfId="0" applyNumberFormat="1" applyFont="1" applyFill="1" applyBorder="1" applyAlignment="1" applyProtection="1">
      <alignment horizontal="center" vertical="center"/>
      <protection locked="0"/>
    </xf>
    <xf numFmtId="0" fontId="11" fillId="12" borderId="65" xfId="0" applyFont="1" applyFill="1" applyBorder="1" applyAlignment="1" applyProtection="1">
      <alignment horizontal="center" vertical="center" wrapText="1"/>
      <protection hidden="1"/>
    </xf>
    <xf numFmtId="0" fontId="11" fillId="12" borderId="4" xfId="0" applyFont="1" applyFill="1" applyBorder="1" applyAlignment="1" applyProtection="1">
      <alignment horizontal="center" vertical="center" wrapText="1"/>
      <protection hidden="1"/>
    </xf>
    <xf numFmtId="169" fontId="51" fillId="4" borderId="5" xfId="0" applyNumberFormat="1" applyFont="1" applyFill="1" applyBorder="1" applyAlignment="1" applyProtection="1">
      <alignment horizontal="center" vertical="center"/>
      <protection locked="0"/>
    </xf>
    <xf numFmtId="169" fontId="51" fillId="4" borderId="15" xfId="0" applyNumberFormat="1" applyFont="1" applyFill="1" applyBorder="1" applyAlignment="1" applyProtection="1">
      <alignment horizontal="center" vertical="center"/>
      <protection locked="0"/>
    </xf>
    <xf numFmtId="2" fontId="48" fillId="17" borderId="63" xfId="0" applyNumberFormat="1" applyFont="1" applyFill="1" applyBorder="1" applyAlignment="1" applyProtection="1">
      <alignment horizontal="center" vertical="center"/>
      <protection hidden="1"/>
    </xf>
    <xf numFmtId="2" fontId="48" fillId="17" borderId="26" xfId="0" applyNumberFormat="1" applyFont="1" applyFill="1" applyBorder="1" applyAlignment="1" applyProtection="1">
      <alignment horizontal="center" vertical="center"/>
      <protection hidden="1"/>
    </xf>
    <xf numFmtId="2" fontId="65" fillId="17" borderId="63" xfId="0" applyNumberFormat="1" applyFont="1" applyFill="1" applyBorder="1" applyAlignment="1" applyProtection="1">
      <alignment horizontal="center" vertical="center"/>
      <protection hidden="1"/>
    </xf>
    <xf numFmtId="2" fontId="65" fillId="17" borderId="26" xfId="0" applyNumberFormat="1" applyFont="1" applyFill="1" applyBorder="1" applyAlignment="1" applyProtection="1">
      <alignment horizontal="center" vertical="center"/>
      <protection hidden="1"/>
    </xf>
    <xf numFmtId="0" fontId="11" fillId="12" borderId="3" xfId="0" applyFont="1" applyFill="1" applyBorder="1" applyAlignment="1" applyProtection="1">
      <alignment horizontal="center" vertical="center" wrapText="1"/>
      <protection hidden="1"/>
    </xf>
    <xf numFmtId="0" fontId="11" fillId="12" borderId="25" xfId="0" applyFont="1" applyFill="1" applyBorder="1" applyAlignment="1" applyProtection="1">
      <alignment horizontal="center" vertical="center" wrapText="1"/>
      <protection hidden="1"/>
    </xf>
    <xf numFmtId="0" fontId="11" fillId="12" borderId="53" xfId="0" applyFont="1" applyFill="1" applyBorder="1" applyAlignment="1" applyProtection="1">
      <alignment horizontal="center" vertical="center" wrapText="1"/>
      <protection hidden="1"/>
    </xf>
    <xf numFmtId="0" fontId="11" fillId="12" borderId="27" xfId="0" applyFont="1" applyFill="1" applyBorder="1" applyAlignment="1" applyProtection="1">
      <alignment horizontal="center" vertical="center" wrapText="1"/>
      <protection hidden="1"/>
    </xf>
    <xf numFmtId="169" fontId="51" fillId="4" borderId="1" xfId="0" applyNumberFormat="1" applyFont="1" applyFill="1" applyBorder="1" applyAlignment="1" applyProtection="1">
      <alignment horizontal="center" vertical="center"/>
      <protection locked="0"/>
    </xf>
    <xf numFmtId="169" fontId="51" fillId="4" borderId="12" xfId="0" applyNumberFormat="1" applyFont="1" applyFill="1" applyBorder="1" applyAlignment="1" applyProtection="1">
      <alignment horizontal="center" vertical="center"/>
      <protection locked="0"/>
    </xf>
    <xf numFmtId="0" fontId="49" fillId="11" borderId="6" xfId="0" applyFont="1" applyFill="1" applyBorder="1" applyAlignment="1" applyProtection="1">
      <alignment horizontal="center" vertical="center" wrapText="1"/>
      <protection hidden="1"/>
    </xf>
    <xf numFmtId="0" fontId="49" fillId="11" borderId="7" xfId="0" applyFont="1" applyFill="1" applyBorder="1" applyAlignment="1" applyProtection="1">
      <alignment horizontal="center" vertical="center" wrapText="1"/>
      <protection hidden="1"/>
    </xf>
    <xf numFmtId="0" fontId="49" fillId="11" borderId="8" xfId="0" applyFont="1" applyFill="1" applyBorder="1" applyAlignment="1" applyProtection="1">
      <alignment horizontal="center" vertical="center" wrapText="1"/>
      <protection hidden="1"/>
    </xf>
    <xf numFmtId="2" fontId="61" fillId="16" borderId="1" xfId="0" applyNumberFormat="1" applyFont="1" applyFill="1" applyBorder="1" applyAlignment="1" applyProtection="1">
      <alignment horizontal="center" vertical="center"/>
      <protection hidden="1"/>
    </xf>
    <xf numFmtId="2" fontId="61" fillId="17" borderId="1" xfId="0" applyNumberFormat="1" applyFont="1" applyFill="1" applyBorder="1" applyAlignment="1" applyProtection="1">
      <alignment horizontal="center" vertical="center"/>
      <protection hidden="1"/>
    </xf>
    <xf numFmtId="2" fontId="46" fillId="17" borderId="1" xfId="0" applyNumberFormat="1" applyFont="1" applyFill="1" applyBorder="1" applyAlignment="1" applyProtection="1">
      <alignment horizontal="center" vertical="center"/>
      <protection hidden="1"/>
    </xf>
    <xf numFmtId="2" fontId="61" fillId="16" borderId="14" xfId="0" applyNumberFormat="1" applyFont="1" applyFill="1" applyBorder="1" applyAlignment="1" applyProtection="1">
      <alignment horizontal="center" vertical="center"/>
      <protection hidden="1"/>
    </xf>
    <xf numFmtId="2" fontId="48" fillId="16" borderId="63" xfId="0" applyNumberFormat="1" applyFont="1" applyFill="1" applyBorder="1" applyAlignment="1" applyProtection="1">
      <alignment horizontal="center" vertical="center"/>
      <protection hidden="1"/>
    </xf>
    <xf numFmtId="2" fontId="48" fillId="16" borderId="26" xfId="0" applyNumberFormat="1" applyFont="1" applyFill="1" applyBorder="1" applyAlignment="1" applyProtection="1">
      <alignment horizontal="center" vertical="center"/>
      <protection hidden="1"/>
    </xf>
    <xf numFmtId="2" fontId="48" fillId="16" borderId="64" xfId="0" applyNumberFormat="1" applyFont="1" applyFill="1" applyBorder="1" applyAlignment="1" applyProtection="1">
      <alignment horizontal="center" vertical="center"/>
      <protection hidden="1"/>
    </xf>
    <xf numFmtId="2" fontId="48" fillId="16" borderId="55" xfId="0" applyNumberFormat="1" applyFont="1" applyFill="1" applyBorder="1" applyAlignment="1" applyProtection="1">
      <alignment horizontal="center" vertical="center"/>
      <protection hidden="1"/>
    </xf>
    <xf numFmtId="0" fontId="19" fillId="12" borderId="2" xfId="0" applyFont="1" applyFill="1" applyBorder="1" applyAlignment="1" applyProtection="1">
      <alignment horizontal="center" vertical="center" wrapText="1"/>
      <protection hidden="1"/>
    </xf>
    <xf numFmtId="0" fontId="19" fillId="12" borderId="25" xfId="0" applyFont="1" applyFill="1" applyBorder="1" applyAlignment="1" applyProtection="1">
      <alignment horizontal="center" vertical="center" wrapText="1"/>
      <protection hidden="1"/>
    </xf>
    <xf numFmtId="0" fontId="8" fillId="13" borderId="2" xfId="0" applyFont="1" applyFill="1" applyBorder="1" applyAlignment="1" applyProtection="1">
      <alignment horizontal="center" vertical="center" wrapText="1"/>
      <protection hidden="1"/>
    </xf>
    <xf numFmtId="0" fontId="8" fillId="13" borderId="25" xfId="0" applyFont="1" applyFill="1" applyBorder="1" applyAlignment="1" applyProtection="1">
      <alignment horizontal="center" vertical="center" wrapText="1"/>
      <protection hidden="1"/>
    </xf>
    <xf numFmtId="0" fontId="40" fillId="15"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65" fillId="16" borderId="63" xfId="0" applyNumberFormat="1" applyFont="1" applyFill="1" applyBorder="1" applyAlignment="1" applyProtection="1">
      <alignment horizontal="center" vertical="center"/>
      <protection hidden="1"/>
    </xf>
    <xf numFmtId="2" fontId="65" fillId="16" borderId="26" xfId="0" applyNumberFormat="1" applyFont="1" applyFill="1" applyBorder="1" applyAlignment="1" applyProtection="1">
      <alignment horizontal="center" vertical="center"/>
      <protection hidden="1"/>
    </xf>
    <xf numFmtId="2" fontId="65" fillId="16" borderId="63" xfId="0" applyNumberFormat="1" applyFont="1" applyFill="1" applyBorder="1" applyAlignment="1" applyProtection="1">
      <alignment horizontal="center" vertical="center" wrapText="1"/>
      <protection hidden="1"/>
    </xf>
    <xf numFmtId="2" fontId="65" fillId="16" borderId="26" xfId="0" applyNumberFormat="1" applyFont="1" applyFill="1" applyBorder="1" applyAlignment="1" applyProtection="1">
      <alignment horizontal="center" vertical="center" wrapText="1"/>
      <protection hidden="1"/>
    </xf>
    <xf numFmtId="2" fontId="61" fillId="17" borderId="5" xfId="0" applyNumberFormat="1" applyFont="1" applyFill="1" applyBorder="1" applyAlignment="1" applyProtection="1">
      <alignment horizontal="center" vertical="center" wrapText="1"/>
      <protection hidden="1"/>
    </xf>
    <xf numFmtId="2" fontId="48" fillId="17" borderId="18" xfId="0" applyNumberFormat="1" applyFont="1" applyFill="1" applyBorder="1" applyAlignment="1" applyProtection="1">
      <alignment horizontal="center" vertical="center"/>
      <protection hidden="1"/>
    </xf>
    <xf numFmtId="2" fontId="134" fillId="17" borderId="20" xfId="0" applyNumberFormat="1" applyFont="1" applyFill="1" applyBorder="1" applyAlignment="1" applyProtection="1">
      <alignment horizontal="center" vertical="center"/>
      <protection hidden="1"/>
    </xf>
    <xf numFmtId="169" fontId="51" fillId="4" borderId="64" xfId="0" applyNumberFormat="1" applyFont="1" applyFill="1" applyBorder="1" applyAlignment="1" applyProtection="1">
      <alignment horizontal="center" vertical="center"/>
      <protection locked="0"/>
    </xf>
    <xf numFmtId="169" fontId="51" fillId="4" borderId="61" xfId="0" applyNumberFormat="1" applyFont="1" applyFill="1" applyBorder="1" applyAlignment="1" applyProtection="1">
      <alignment horizontal="center" vertical="center"/>
      <protection locked="0"/>
    </xf>
    <xf numFmtId="0" fontId="41" fillId="15" borderId="2" xfId="0" applyFont="1" applyFill="1" applyBorder="1" applyAlignment="1" applyProtection="1">
      <alignment horizontal="center" vertical="center"/>
      <protection hidden="1"/>
    </xf>
    <xf numFmtId="0" fontId="41" fillId="15" borderId="3" xfId="0" applyFont="1" applyFill="1" applyBorder="1" applyAlignment="1" applyProtection="1">
      <alignment horizontal="center" vertical="center"/>
      <protection hidden="1"/>
    </xf>
    <xf numFmtId="0" fontId="41" fillId="15" borderId="4" xfId="0" applyFont="1" applyFill="1" applyBorder="1" applyAlignment="1" applyProtection="1">
      <alignment horizontal="center" vertical="center"/>
      <protection hidden="1"/>
    </xf>
    <xf numFmtId="169" fontId="51" fillId="4" borderId="63" xfId="0" applyNumberFormat="1" applyFont="1" applyFill="1" applyBorder="1" applyAlignment="1" applyProtection="1">
      <alignment horizontal="center" vertical="center"/>
      <protection locked="0"/>
    </xf>
    <xf numFmtId="169" fontId="51" fillId="4" borderId="60" xfId="0" applyNumberFormat="1" applyFont="1" applyFill="1" applyBorder="1" applyAlignment="1" applyProtection="1">
      <alignment horizontal="center" vertical="center"/>
      <protection locked="0"/>
    </xf>
    <xf numFmtId="2" fontId="4" fillId="4" borderId="90" xfId="0" applyNumberFormat="1" applyFont="1" applyFill="1" applyBorder="1" applyAlignment="1" applyProtection="1">
      <alignment horizontal="left" vertical="center"/>
      <protection locked="0"/>
    </xf>
    <xf numFmtId="2" fontId="4" fillId="4" borderId="55" xfId="0" applyNumberFormat="1" applyFont="1" applyFill="1" applyBorder="1" applyAlignment="1" applyProtection="1">
      <alignment horizontal="left" vertical="center"/>
      <protection locked="0"/>
    </xf>
    <xf numFmtId="0" fontId="8" fillId="12" borderId="65" xfId="0" applyFont="1" applyFill="1" applyBorder="1" applyAlignment="1" applyProtection="1">
      <alignment horizontal="center" vertical="center" wrapText="1"/>
      <protection hidden="1"/>
    </xf>
    <xf numFmtId="0" fontId="8" fillId="12" borderId="3" xfId="0" applyFont="1" applyFill="1" applyBorder="1" applyAlignment="1" applyProtection="1">
      <alignment horizontal="center" vertical="center" wrapText="1"/>
      <protection hidden="1"/>
    </xf>
    <xf numFmtId="0" fontId="8" fillId="12" borderId="25" xfId="0" applyFont="1" applyFill="1" applyBorder="1" applyAlignment="1" applyProtection="1">
      <alignment horizontal="center" vertical="center" wrapText="1"/>
      <protection hidden="1"/>
    </xf>
    <xf numFmtId="0" fontId="8" fillId="12" borderId="4" xfId="0" applyFont="1" applyFill="1" applyBorder="1" applyAlignment="1" applyProtection="1">
      <alignment horizontal="center" vertical="center" wrapText="1"/>
      <protection hidden="1"/>
    </xf>
    <xf numFmtId="1" fontId="45" fillId="4" borderId="18" xfId="0" applyNumberFormat="1" applyFont="1" applyFill="1" applyBorder="1" applyAlignment="1" applyProtection="1">
      <alignment horizontal="center" vertical="center"/>
      <protection locked="0"/>
    </xf>
    <xf numFmtId="1" fontId="45" fillId="4" borderId="30" xfId="0" applyNumberFormat="1" applyFont="1" applyFill="1" applyBorder="1" applyAlignment="1" applyProtection="1">
      <alignment horizontal="center" vertical="center"/>
      <protection locked="0"/>
    </xf>
    <xf numFmtId="0" fontId="14" fillId="0" borderId="208" xfId="0" applyFont="1" applyBorder="1" applyAlignment="1" applyProtection="1">
      <alignment horizontal="center" vertical="center" textRotation="90" wrapText="1"/>
      <protection hidden="1"/>
    </xf>
    <xf numFmtId="0" fontId="14" fillId="0" borderId="209" xfId="0" applyFont="1" applyBorder="1" applyAlignment="1" applyProtection="1">
      <alignment horizontal="center" vertical="center" textRotation="90" wrapText="1"/>
      <protection hidden="1"/>
    </xf>
    <xf numFmtId="0" fontId="26" fillId="0" borderId="32" xfId="0" applyFont="1" applyBorder="1" applyAlignment="1" applyProtection="1">
      <alignment horizontal="center" wrapText="1"/>
      <protection hidden="1"/>
    </xf>
    <xf numFmtId="0" fontId="26" fillId="0" borderId="21" xfId="0" applyFont="1" applyBorder="1" applyAlignment="1" applyProtection="1">
      <alignment horizontal="center" wrapText="1"/>
      <protection hidden="1"/>
    </xf>
    <xf numFmtId="0" fontId="26" fillId="0" borderId="59" xfId="0" applyFont="1" applyBorder="1" applyAlignment="1" applyProtection="1">
      <alignment horizontal="center" wrapText="1"/>
      <protection hidden="1"/>
    </xf>
    <xf numFmtId="0" fontId="26" fillId="0" borderId="62" xfId="0" applyFont="1" applyBorder="1" applyAlignment="1" applyProtection="1">
      <alignment horizontal="center" wrapText="1"/>
      <protection hidden="1"/>
    </xf>
    <xf numFmtId="0" fontId="26" fillId="0" borderId="33"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20" fillId="4" borderId="3" xfId="0" applyFont="1" applyFill="1" applyBorder="1" applyAlignment="1" applyProtection="1">
      <alignment horizontal="right" vertical="center" wrapText="1"/>
      <protection hidden="1"/>
    </xf>
    <xf numFmtId="166" fontId="19" fillId="4" borderId="0" xfId="0" applyNumberFormat="1" applyFont="1" applyFill="1" applyBorder="1" applyAlignment="1" applyProtection="1">
      <alignment horizontal="left" wrapText="1"/>
      <protection hidden="1"/>
    </xf>
    <xf numFmtId="0" fontId="8" fillId="4" borderId="48"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49"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49" xfId="0" applyFont="1" applyFill="1" applyBorder="1" applyAlignment="1" applyProtection="1">
      <alignment horizontal="left" wrapText="1"/>
      <protection locked="0"/>
    </xf>
    <xf numFmtId="0" fontId="21" fillId="0" borderId="57" xfId="0" applyFont="1" applyBorder="1" applyAlignment="1" applyProtection="1">
      <alignment horizontal="center" vertical="center" wrapText="1"/>
      <protection locked="0"/>
    </xf>
    <xf numFmtId="0" fontId="21" fillId="0" borderId="60" xfId="0" applyFont="1" applyBorder="1" applyAlignment="1" applyProtection="1">
      <alignment horizontal="center" vertical="center"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21" fillId="0" borderId="57" xfId="0" applyFont="1" applyBorder="1" applyAlignment="1" applyProtection="1">
      <alignment horizontal="center" vertical="center" wrapText="1"/>
      <protection hidden="1"/>
    </xf>
    <xf numFmtId="0" fontId="21" fillId="0" borderId="60" xfId="0" applyFont="1" applyBorder="1" applyAlignment="1" applyProtection="1">
      <alignment horizontal="center" vertical="center" wrapText="1"/>
      <protection hidden="1"/>
    </xf>
    <xf numFmtId="0" fontId="55" fillId="0" borderId="57" xfId="0" applyFont="1" applyBorder="1" applyAlignment="1" applyProtection="1">
      <alignment horizontal="center" vertical="center" wrapText="1"/>
      <protection hidden="1"/>
    </xf>
    <xf numFmtId="0" fontId="55" fillId="0" borderId="60" xfId="0" applyFont="1" applyBorder="1" applyAlignment="1" applyProtection="1">
      <alignment horizontal="center" vertical="center" wrapText="1"/>
      <protection hidden="1"/>
    </xf>
    <xf numFmtId="0" fontId="136" fillId="4" borderId="28" xfId="0" applyFont="1" applyFill="1" applyBorder="1" applyAlignment="1" applyProtection="1">
      <alignment horizontal="center" wrapText="1"/>
      <protection hidden="1"/>
    </xf>
    <xf numFmtId="0" fontId="136" fillId="4" borderId="9" xfId="0" applyFont="1" applyFill="1" applyBorder="1" applyAlignment="1" applyProtection="1">
      <alignment horizontal="center" wrapText="1"/>
      <protection hidden="1"/>
    </xf>
    <xf numFmtId="0" fontId="136" fillId="4" borderId="29"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6" fillId="4" borderId="9" xfId="0" applyFont="1" applyFill="1" applyBorder="1" applyAlignment="1" applyProtection="1">
      <alignment horizontal="left" vertical="center" wrapText="1"/>
      <protection hidden="1"/>
    </xf>
    <xf numFmtId="0" fontId="20" fillId="4" borderId="28" xfId="0" applyFont="1" applyFill="1" applyBorder="1" applyAlignment="1" applyProtection="1">
      <alignment horizontal="right" vertical="center" wrapText="1"/>
      <protection hidden="1"/>
    </xf>
    <xf numFmtId="0" fontId="20" fillId="4" borderId="9" xfId="0" applyFont="1" applyFill="1" applyBorder="1" applyAlignment="1" applyProtection="1">
      <alignment horizontal="right" vertical="center" wrapText="1"/>
      <protection hidden="1"/>
    </xf>
    <xf numFmtId="0" fontId="14" fillId="4" borderId="32" xfId="0" applyFont="1" applyFill="1" applyBorder="1" applyAlignment="1" applyProtection="1">
      <alignment horizontal="center" wrapText="1"/>
      <protection hidden="1"/>
    </xf>
    <xf numFmtId="0" fontId="14" fillId="4" borderId="21" xfId="0" applyFont="1" applyFill="1" applyBorder="1" applyAlignment="1" applyProtection="1">
      <alignment horizontal="center" wrapText="1"/>
      <protection hidden="1"/>
    </xf>
    <xf numFmtId="0" fontId="14" fillId="4" borderId="33" xfId="0" applyFont="1" applyFill="1" applyBorder="1" applyAlignment="1" applyProtection="1">
      <alignment horizontal="center" wrapText="1"/>
      <protection hidden="1"/>
    </xf>
    <xf numFmtId="0" fontId="19" fillId="4" borderId="9" xfId="0" applyFont="1" applyFill="1" applyBorder="1" applyAlignment="1" applyProtection="1">
      <alignment horizontal="right" vertical="center" wrapText="1"/>
      <protection hidden="1"/>
    </xf>
    <xf numFmtId="0" fontId="7" fillId="4" borderId="9" xfId="0" applyFont="1" applyFill="1" applyBorder="1" applyAlignment="1" applyProtection="1">
      <alignment horizontal="left" vertical="center" wrapText="1"/>
      <protection hidden="1"/>
    </xf>
    <xf numFmtId="0" fontId="7" fillId="4" borderId="29" xfId="0" applyFont="1" applyFill="1" applyBorder="1" applyAlignment="1" applyProtection="1">
      <alignment horizontal="left" vertical="center" wrapText="1"/>
      <protection hidden="1"/>
    </xf>
    <xf numFmtId="0" fontId="20"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left" vertical="center" wrapText="1"/>
      <protection hidden="1"/>
    </xf>
    <xf numFmtId="0" fontId="19" fillId="4" borderId="0" xfId="0" applyFont="1" applyFill="1" applyBorder="1" applyAlignment="1" applyProtection="1">
      <alignment horizontal="left" vertical="center" wrapText="1"/>
      <protection hidden="1"/>
    </xf>
    <xf numFmtId="0" fontId="20" fillId="4" borderId="48" xfId="0" applyFont="1" applyFill="1" applyBorder="1" applyAlignment="1" applyProtection="1">
      <alignment horizontal="right" vertical="center" wrapText="1"/>
      <protection hidden="1"/>
    </xf>
    <xf numFmtId="0" fontId="12" fillId="4" borderId="0" xfId="0" applyFont="1" applyFill="1" applyBorder="1" applyAlignment="1" applyProtection="1">
      <alignment horizontal="center" wrapText="1"/>
      <protection hidden="1"/>
    </xf>
    <xf numFmtId="0" fontId="12" fillId="4" borderId="48" xfId="0" applyFont="1" applyFill="1" applyBorder="1" applyAlignment="1" applyProtection="1">
      <alignment horizontal="center" wrapText="1"/>
      <protection hidden="1"/>
    </xf>
    <xf numFmtId="0" fontId="8" fillId="4" borderId="32" xfId="0" applyFont="1" applyFill="1" applyBorder="1" applyAlignment="1" applyProtection="1">
      <alignment horizontal="center" wrapText="1"/>
      <protection hidden="1"/>
    </xf>
    <xf numFmtId="0" fontId="8" fillId="4" borderId="21" xfId="0" applyFont="1" applyFill="1" applyBorder="1" applyAlignment="1" applyProtection="1">
      <alignment horizontal="center" wrapText="1"/>
      <protection hidden="1"/>
    </xf>
    <xf numFmtId="0" fontId="8" fillId="4" borderId="33" xfId="0" applyFont="1" applyFill="1" applyBorder="1" applyAlignment="1" applyProtection="1">
      <alignment horizontal="center" wrapText="1"/>
      <protection hidden="1"/>
    </xf>
    <xf numFmtId="0" fontId="11" fillId="0" borderId="29" xfId="0" applyFont="1" applyBorder="1" applyAlignment="1" applyProtection="1">
      <alignment horizontal="center" vertical="center" wrapText="1"/>
      <protection hidden="1"/>
    </xf>
    <xf numFmtId="0" fontId="11" fillId="0" borderId="49" xfId="0" applyFont="1" applyBorder="1" applyAlignment="1" applyProtection="1">
      <alignment horizontal="center" vertical="center" wrapText="1"/>
      <protection hidden="1"/>
    </xf>
    <xf numFmtId="0" fontId="9" fillId="0" borderId="28"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58" fillId="0" borderId="57" xfId="0" applyFont="1" applyBorder="1" applyAlignment="1" applyProtection="1">
      <alignment horizontal="center" vertical="center" wrapText="1"/>
      <protection hidden="1"/>
    </xf>
    <xf numFmtId="0" fontId="58" fillId="0" borderId="60" xfId="0" applyFont="1" applyBorder="1" applyAlignment="1" applyProtection="1">
      <alignment horizontal="center" vertical="center" wrapText="1"/>
      <protection hidden="1"/>
    </xf>
    <xf numFmtId="0" fontId="10" fillId="0" borderId="34" xfId="0" applyFont="1" applyBorder="1" applyAlignment="1" applyProtection="1">
      <alignment horizontal="center" vertical="center" wrapText="1"/>
      <protection hidden="1"/>
    </xf>
    <xf numFmtId="0" fontId="10" fillId="0" borderId="202"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93" xfId="0" applyFont="1" applyBorder="1" applyAlignment="1" applyProtection="1">
      <alignment horizontal="center" vertical="center" wrapText="1"/>
      <protection hidden="1"/>
    </xf>
    <xf numFmtId="0" fontId="54" fillId="0" borderId="27" xfId="0" applyFont="1" applyBorder="1" applyAlignment="1" applyProtection="1">
      <alignment horizontal="center" vertical="center" wrapText="1"/>
      <protection hidden="1"/>
    </xf>
    <xf numFmtId="0" fontId="54" fillId="0" borderId="203" xfId="0" applyFont="1" applyBorder="1" applyAlignment="1" applyProtection="1">
      <alignment horizontal="center" vertical="center" wrapText="1"/>
      <protection hidden="1"/>
    </xf>
    <xf numFmtId="0" fontId="10" fillId="0" borderId="53" xfId="0" applyFont="1" applyBorder="1" applyAlignment="1" applyProtection="1">
      <alignment horizontal="center" vertical="center" wrapText="1"/>
      <protection hidden="1"/>
    </xf>
    <xf numFmtId="0" fontId="10" fillId="0" borderId="204" xfId="0" applyFont="1" applyBorder="1" applyAlignment="1" applyProtection="1">
      <alignment horizontal="center" vertical="center" wrapText="1"/>
      <protection hidden="1"/>
    </xf>
    <xf numFmtId="0" fontId="17" fillId="0" borderId="56" xfId="0" applyFont="1" applyBorder="1" applyAlignment="1" applyProtection="1">
      <alignment horizontal="center" vertical="center" wrapText="1"/>
      <protection hidden="1"/>
    </xf>
    <xf numFmtId="0" fontId="17" fillId="0" borderId="19" xfId="0" applyFont="1" applyBorder="1" applyAlignment="1" applyProtection="1">
      <alignment horizontal="center" vertical="center" wrapText="1"/>
      <protection hidden="1"/>
    </xf>
    <xf numFmtId="0" fontId="17" fillId="0" borderId="30" xfId="0" applyFont="1" applyBorder="1" applyAlignment="1" applyProtection="1">
      <alignment horizontal="center" vertical="center" wrapText="1"/>
      <protection hidden="1"/>
    </xf>
    <xf numFmtId="2" fontId="48" fillId="0" borderId="23" xfId="1" applyNumberFormat="1" applyFont="1" applyFill="1" applyBorder="1" applyAlignment="1" applyProtection="1">
      <alignment horizontal="center" vertical="center"/>
      <protection hidden="1"/>
    </xf>
    <xf numFmtId="0" fontId="48" fillId="0" borderId="24" xfId="1" applyFont="1" applyFill="1" applyBorder="1" applyAlignment="1" applyProtection="1">
      <alignment horizontal="center" vertical="center"/>
      <protection hidden="1"/>
    </xf>
    <xf numFmtId="0" fontId="71" fillId="0" borderId="211" xfId="1" applyFont="1" applyBorder="1" applyAlignment="1" applyProtection="1">
      <alignment horizontal="center" vertical="center" wrapText="1"/>
      <protection hidden="1"/>
    </xf>
    <xf numFmtId="0" fontId="71" fillId="0" borderId="212" xfId="1" applyFont="1" applyBorder="1" applyAlignment="1" applyProtection="1">
      <alignment horizontal="center" vertical="center" wrapText="1"/>
      <protection hidden="1"/>
    </xf>
    <xf numFmtId="1" fontId="60" fillId="0" borderId="124" xfId="1" applyNumberFormat="1" applyFont="1" applyBorder="1" applyAlignment="1" applyProtection="1">
      <alignment horizontal="center" wrapText="1"/>
      <protection hidden="1"/>
    </xf>
    <xf numFmtId="1" fontId="60" fillId="0" borderId="24" xfId="1" applyNumberFormat="1" applyFont="1" applyBorder="1" applyAlignment="1" applyProtection="1">
      <alignment horizontal="center" wrapText="1"/>
      <protection hidden="1"/>
    </xf>
    <xf numFmtId="0" fontId="72" fillId="0" borderId="210" xfId="1" applyFont="1" applyBorder="1" applyAlignment="1" applyProtection="1">
      <alignment horizontal="center" vertical="center" wrapText="1"/>
      <protection hidden="1"/>
    </xf>
    <xf numFmtId="0" fontId="72" fillId="0" borderId="212" xfId="1" applyFont="1" applyBorder="1" applyAlignment="1" applyProtection="1">
      <alignment horizontal="center" vertical="center" wrapText="1"/>
      <protection hidden="1"/>
    </xf>
    <xf numFmtId="1" fontId="60" fillId="0" borderId="23" xfId="1" applyNumberFormat="1" applyFont="1" applyBorder="1" applyAlignment="1" applyProtection="1">
      <alignment horizontal="center" wrapText="1"/>
      <protection hidden="1"/>
    </xf>
    <xf numFmtId="0" fontId="71" fillId="0" borderId="210" xfId="1" applyFont="1" applyBorder="1" applyAlignment="1" applyProtection="1">
      <alignment horizontal="center" vertical="center" wrapText="1"/>
      <protection hidden="1"/>
    </xf>
    <xf numFmtId="0" fontId="6" fillId="0" borderId="80" xfId="0" applyFont="1" applyBorder="1" applyAlignment="1" applyProtection="1">
      <alignment horizontal="center" vertical="center" wrapText="1"/>
      <protection hidden="1"/>
    </xf>
    <xf numFmtId="0" fontId="6" fillId="0" borderId="75" xfId="0" applyFont="1" applyBorder="1" applyAlignment="1" applyProtection="1">
      <alignment horizontal="center" vertical="center" wrapText="1"/>
      <protection hidden="1"/>
    </xf>
    <xf numFmtId="170" fontId="20" fillId="0" borderId="75" xfId="0" applyNumberFormat="1" applyFont="1" applyBorder="1" applyAlignment="1" applyProtection="1">
      <alignment horizontal="center" vertical="center"/>
      <protection hidden="1"/>
    </xf>
    <xf numFmtId="170" fontId="20" fillId="0" borderId="76" xfId="0" applyNumberFormat="1" applyFont="1" applyBorder="1" applyAlignment="1" applyProtection="1">
      <alignment horizontal="center" vertical="center"/>
      <protection hidden="1"/>
    </xf>
    <xf numFmtId="0" fontId="25" fillId="3" borderId="80" xfId="0" applyFont="1" applyFill="1" applyBorder="1" applyAlignment="1" applyProtection="1">
      <alignment horizontal="center" vertical="center"/>
      <protection hidden="1"/>
    </xf>
    <xf numFmtId="0" fontId="25" fillId="3" borderId="75" xfId="0" applyFont="1" applyFill="1" applyBorder="1" applyAlignment="1" applyProtection="1">
      <alignment horizontal="center" vertical="center"/>
      <protection hidden="1"/>
    </xf>
    <xf numFmtId="0" fontId="25" fillId="3" borderId="76" xfId="0" applyFont="1" applyFill="1" applyBorder="1" applyAlignment="1" applyProtection="1">
      <alignment horizontal="center" vertical="center"/>
      <protection hidden="1"/>
    </xf>
    <xf numFmtId="0" fontId="29" fillId="25" borderId="0" xfId="0" applyFont="1" applyFill="1" applyAlignment="1" applyProtection="1">
      <alignment horizontal="center" vertical="center" wrapText="1"/>
      <protection hidden="1"/>
    </xf>
    <xf numFmtId="0" fontId="81" fillId="3" borderId="136" xfId="0" applyFont="1" applyFill="1" applyBorder="1" applyAlignment="1" applyProtection="1">
      <alignment horizontal="center" vertical="center"/>
      <protection hidden="1"/>
    </xf>
    <xf numFmtId="0" fontId="81" fillId="3" borderId="85" xfId="0" applyFont="1" applyFill="1" applyBorder="1" applyAlignment="1" applyProtection="1">
      <alignment horizontal="center" vertical="center"/>
      <protection hidden="1"/>
    </xf>
    <xf numFmtId="0" fontId="81" fillId="3" borderId="86" xfId="0" applyFont="1" applyFill="1" applyBorder="1" applyAlignment="1" applyProtection="1">
      <alignment horizontal="center" vertical="center"/>
      <protection hidden="1"/>
    </xf>
    <xf numFmtId="0" fontId="148" fillId="24" borderId="67" xfId="0" applyFont="1" applyFill="1" applyBorder="1" applyAlignment="1" applyProtection="1">
      <alignment horizontal="center" vertical="center" wrapText="1"/>
      <protection hidden="1"/>
    </xf>
    <xf numFmtId="0" fontId="148" fillId="24" borderId="68" xfId="0" applyFont="1" applyFill="1" applyBorder="1" applyAlignment="1" applyProtection="1">
      <alignment horizontal="center" vertical="center" wrapText="1"/>
      <protection hidden="1"/>
    </xf>
    <xf numFmtId="0" fontId="148" fillId="24" borderId="69" xfId="0" applyFont="1" applyFill="1" applyBorder="1" applyAlignment="1" applyProtection="1">
      <alignment horizontal="center" vertical="center" wrapText="1"/>
      <protection hidden="1"/>
    </xf>
    <xf numFmtId="0" fontId="148" fillId="24" borderId="70" xfId="0" applyFont="1" applyFill="1" applyBorder="1" applyAlignment="1" applyProtection="1">
      <alignment horizontal="center" vertical="center" wrapText="1"/>
      <protection hidden="1"/>
    </xf>
    <xf numFmtId="0" fontId="148" fillId="24" borderId="0" xfId="0" applyFont="1" applyFill="1" applyBorder="1" applyAlignment="1" applyProtection="1">
      <alignment horizontal="center" vertical="center" wrapText="1"/>
      <protection hidden="1"/>
    </xf>
    <xf numFmtId="0" fontId="148" fillId="24" borderId="71" xfId="0" applyFont="1" applyFill="1" applyBorder="1" applyAlignment="1" applyProtection="1">
      <alignment horizontal="center" vertical="center" wrapText="1"/>
      <protection hidden="1"/>
    </xf>
    <xf numFmtId="0" fontId="148" fillId="24" borderId="138" xfId="0" applyFont="1" applyFill="1" applyBorder="1" applyAlignment="1" applyProtection="1">
      <alignment horizontal="center" vertical="center" wrapText="1"/>
      <protection hidden="1"/>
    </xf>
    <xf numFmtId="0" fontId="148" fillId="24" borderId="139" xfId="0" applyFont="1" applyFill="1" applyBorder="1" applyAlignment="1" applyProtection="1">
      <alignment horizontal="center" vertical="center" wrapText="1"/>
      <protection hidden="1"/>
    </xf>
    <xf numFmtId="0" fontId="148" fillId="24" borderId="140" xfId="0" applyFont="1" applyFill="1" applyBorder="1" applyAlignment="1" applyProtection="1">
      <alignment horizontal="center" vertical="center" wrapText="1"/>
      <protection hidden="1"/>
    </xf>
    <xf numFmtId="0" fontId="81" fillId="26" borderId="68" xfId="0" applyFont="1" applyFill="1" applyBorder="1" applyAlignment="1" applyProtection="1">
      <alignment horizontal="center" vertical="center" wrapText="1"/>
      <protection hidden="1"/>
    </xf>
    <xf numFmtId="0" fontId="81" fillId="26" borderId="0" xfId="0" applyFont="1" applyFill="1" applyBorder="1" applyAlignment="1" applyProtection="1">
      <alignment horizontal="center" vertical="center" wrapText="1"/>
      <protection hidden="1"/>
    </xf>
    <xf numFmtId="0" fontId="81" fillId="0" borderId="68" xfId="0" applyFont="1" applyBorder="1" applyAlignment="1" applyProtection="1">
      <alignment horizontal="center" vertical="center" wrapText="1"/>
      <protection locked="0"/>
    </xf>
    <xf numFmtId="0" fontId="81" fillId="0" borderId="0" xfId="0" applyFont="1" applyBorder="1" applyAlignment="1" applyProtection="1">
      <alignment horizontal="center" vertical="center" wrapText="1"/>
      <protection locked="0"/>
    </xf>
    <xf numFmtId="2" fontId="73" fillId="4" borderId="71" xfId="1" applyNumberFormat="1" applyFont="1" applyFill="1" applyBorder="1" applyAlignment="1" applyProtection="1">
      <alignment horizontal="center" vertical="center"/>
      <protection hidden="1"/>
    </xf>
    <xf numFmtId="0" fontId="73" fillId="4" borderId="71" xfId="1" applyFont="1" applyFill="1" applyBorder="1" applyAlignment="1" applyProtection="1">
      <alignment horizontal="center" vertical="center"/>
      <protection hidden="1"/>
    </xf>
    <xf numFmtId="0" fontId="17" fillId="0" borderId="123" xfId="1" applyFont="1" applyBorder="1" applyAlignment="1" applyProtection="1">
      <alignment horizontal="center"/>
      <protection hidden="1"/>
    </xf>
    <xf numFmtId="0" fontId="17" fillId="0" borderId="0" xfId="1" applyFont="1" applyBorder="1" applyAlignment="1" applyProtection="1">
      <alignment horizontal="center"/>
      <protection hidden="1"/>
    </xf>
    <xf numFmtId="0" fontId="73" fillId="4" borderId="0" xfId="1" applyFont="1" applyFill="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17" fillId="0" borderId="114" xfId="1" applyFont="1" applyBorder="1" applyAlignment="1" applyProtection="1">
      <alignment horizontal="left" vertical="center"/>
      <protection hidden="1"/>
    </xf>
    <xf numFmtId="0" fontId="17" fillId="0" borderId="109" xfId="1" applyFont="1" applyBorder="1" applyAlignment="1" applyProtection="1">
      <alignment horizontal="center" vertical="center" textRotation="90" wrapText="1"/>
      <protection hidden="1"/>
    </xf>
    <xf numFmtId="0" fontId="17" fillId="0" borderId="22" xfId="1" applyFont="1" applyBorder="1" applyAlignment="1" applyProtection="1">
      <alignment horizontal="center" vertical="center" textRotation="90" wrapText="1"/>
      <protection hidden="1"/>
    </xf>
    <xf numFmtId="0" fontId="17" fillId="0" borderId="114" xfId="1" applyFont="1" applyBorder="1" applyAlignment="1" applyProtection="1">
      <alignment horizontal="center" vertical="center" textRotation="90" wrapText="1"/>
      <protection hidden="1"/>
    </xf>
    <xf numFmtId="0" fontId="60" fillId="0" borderId="108"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60" fillId="0" borderId="113" xfId="1" applyFont="1" applyBorder="1" applyAlignment="1" applyProtection="1">
      <alignment horizontal="center" vertical="center"/>
      <protection hidden="1"/>
    </xf>
    <xf numFmtId="0" fontId="71" fillId="0" borderId="109" xfId="1" applyFont="1" applyBorder="1" applyAlignment="1" applyProtection="1">
      <alignment horizontal="center" vertical="center" wrapText="1"/>
      <protection hidden="1"/>
    </xf>
    <xf numFmtId="1" fontId="60" fillId="0" borderId="22" xfId="1" applyNumberFormat="1" applyFont="1" applyBorder="1" applyAlignment="1" applyProtection="1">
      <alignment horizontal="center" wrapText="1"/>
      <protection hidden="1"/>
    </xf>
    <xf numFmtId="0" fontId="72" fillId="0" borderId="114" xfId="1" applyFont="1" applyBorder="1" applyAlignment="1" applyProtection="1">
      <alignment horizontal="right" vertical="center"/>
      <protection hidden="1"/>
    </xf>
    <xf numFmtId="0" fontId="69" fillId="0" borderId="114" xfId="1" applyFont="1" applyBorder="1" applyAlignment="1" applyProtection="1">
      <alignment horizontal="right" vertical="center"/>
      <protection hidden="1"/>
    </xf>
    <xf numFmtId="0" fontId="69" fillId="0" borderId="109" xfId="1" applyFont="1" applyBorder="1" applyAlignment="1" applyProtection="1">
      <alignment horizontal="center" vertical="center" wrapText="1"/>
      <protection hidden="1"/>
    </xf>
    <xf numFmtId="0" fontId="69" fillId="0" borderId="110" xfId="1" applyFont="1" applyBorder="1" applyAlignment="1" applyProtection="1">
      <alignment horizontal="center" vertical="center" wrapText="1"/>
      <protection hidden="1"/>
    </xf>
    <xf numFmtId="2" fontId="17" fillId="0" borderId="22" xfId="0" applyNumberFormat="1" applyFont="1" applyBorder="1" applyAlignment="1" applyProtection="1">
      <alignment horizontal="left" vertical="center"/>
      <protection hidden="1"/>
    </xf>
    <xf numFmtId="2" fontId="69" fillId="0" borderId="22" xfId="0" applyNumberFormat="1" applyFont="1" applyBorder="1" applyAlignment="1" applyProtection="1">
      <alignment horizontal="left" vertical="center"/>
      <protection hidden="1"/>
    </xf>
    <xf numFmtId="2" fontId="17" fillId="0" borderId="23" xfId="0" applyNumberFormat="1" applyFont="1" applyBorder="1" applyAlignment="1" applyProtection="1">
      <alignment horizontal="right" vertical="center"/>
      <protection hidden="1"/>
    </xf>
    <xf numFmtId="2" fontId="17" fillId="0" borderId="124" xfId="0" applyNumberFormat="1" applyFont="1" applyBorder="1" applyAlignment="1" applyProtection="1">
      <alignment horizontal="right" vertical="center"/>
      <protection hidden="1"/>
    </xf>
    <xf numFmtId="2" fontId="17" fillId="0" borderId="24" xfId="0" applyNumberFormat="1" applyFont="1" applyBorder="1" applyAlignment="1" applyProtection="1">
      <alignment horizontal="right" vertical="center"/>
      <protection hidden="1"/>
    </xf>
    <xf numFmtId="0" fontId="48" fillId="0" borderId="22" xfId="1" applyFont="1" applyBorder="1" applyAlignment="1" applyProtection="1">
      <alignment horizontal="left" vertical="center"/>
      <protection hidden="1"/>
    </xf>
    <xf numFmtId="0" fontId="17" fillId="0" borderId="22" xfId="1" applyFont="1" applyBorder="1" applyAlignment="1" applyProtection="1">
      <alignment horizontal="left" vertical="center"/>
      <protection hidden="1"/>
    </xf>
    <xf numFmtId="0" fontId="60" fillId="0" borderId="108" xfId="1" applyFont="1" applyBorder="1" applyAlignment="1" applyProtection="1">
      <alignment horizontal="center" vertical="top"/>
      <protection hidden="1"/>
    </xf>
    <xf numFmtId="0" fontId="60" fillId="0" borderId="111" xfId="1" applyFont="1" applyBorder="1" applyAlignment="1" applyProtection="1">
      <alignment horizontal="center" vertical="top"/>
      <protection hidden="1"/>
    </xf>
    <xf numFmtId="0" fontId="69" fillId="0" borderId="109" xfId="1" applyFont="1" applyBorder="1" applyAlignment="1" applyProtection="1">
      <alignment horizontal="left" vertical="center"/>
      <protection hidden="1"/>
    </xf>
    <xf numFmtId="0" fontId="69" fillId="0" borderId="110" xfId="1" applyFont="1" applyBorder="1" applyAlignment="1" applyProtection="1">
      <alignment horizontal="left" vertical="center"/>
      <protection hidden="1"/>
    </xf>
    <xf numFmtId="0" fontId="69" fillId="0" borderId="22" xfId="1" applyFont="1" applyBorder="1" applyAlignment="1" applyProtection="1">
      <alignment horizontal="center" vertical="center"/>
      <protection hidden="1"/>
    </xf>
    <xf numFmtId="0" fontId="48" fillId="0" borderId="22" xfId="1" applyFont="1" applyBorder="1" applyAlignment="1" applyProtection="1">
      <alignment horizontal="center" vertical="center"/>
      <protection hidden="1"/>
    </xf>
    <xf numFmtId="9" fontId="48" fillId="0" borderId="22" xfId="1" applyNumberFormat="1" applyFont="1" applyBorder="1" applyAlignment="1" applyProtection="1">
      <alignment horizontal="center" vertical="center"/>
      <protection hidden="1"/>
    </xf>
    <xf numFmtId="2" fontId="48" fillId="0" borderId="22" xfId="0" applyNumberFormat="1" applyFont="1" applyBorder="1" applyAlignment="1" applyProtection="1">
      <alignment horizontal="left" vertical="center"/>
      <protection hidden="1"/>
    </xf>
    <xf numFmtId="0" fontId="65" fillId="0" borderId="22" xfId="1" applyFont="1" applyBorder="1" applyAlignment="1" applyProtection="1">
      <alignment horizontal="left" vertical="center"/>
      <protection hidden="1"/>
    </xf>
    <xf numFmtId="0" fontId="69" fillId="0" borderId="52" xfId="1" applyFont="1" applyBorder="1" applyAlignment="1" applyProtection="1">
      <alignment horizontal="right" vertical="center"/>
      <protection hidden="1"/>
    </xf>
    <xf numFmtId="0" fontId="17" fillId="0" borderId="121" xfId="1" applyFont="1" applyBorder="1" applyAlignment="1" applyProtection="1">
      <alignment horizontal="left" vertical="center"/>
      <protection hidden="1"/>
    </xf>
    <xf numFmtId="0" fontId="17" fillId="0" borderId="109" xfId="1" applyFont="1" applyBorder="1" applyAlignment="1" applyProtection="1">
      <alignment horizontal="left" vertical="center"/>
      <protection hidden="1"/>
    </xf>
    <xf numFmtId="0" fontId="48" fillId="0" borderId="22" xfId="1" applyFont="1" applyBorder="1" applyAlignment="1" applyProtection="1">
      <alignment horizontal="left" vertical="top"/>
      <protection hidden="1"/>
    </xf>
    <xf numFmtId="0" fontId="10" fillId="0" borderId="118" xfId="1" applyFont="1" applyBorder="1" applyAlignment="1" applyProtection="1">
      <alignment horizontal="center" vertical="center" textRotation="90"/>
      <protection hidden="1"/>
    </xf>
    <xf numFmtId="0" fontId="10" fillId="0" borderId="185" xfId="1" applyFont="1" applyBorder="1" applyAlignment="1" applyProtection="1">
      <alignment horizontal="center" vertical="center" textRotation="90"/>
      <protection hidden="1"/>
    </xf>
    <xf numFmtId="0" fontId="60" fillId="0" borderId="187" xfId="1" applyFont="1" applyBorder="1" applyAlignment="1" applyProtection="1">
      <alignment horizontal="center" vertical="top"/>
      <protection hidden="1"/>
    </xf>
    <xf numFmtId="0" fontId="60" fillId="0" borderId="118" xfId="1" applyFont="1" applyBorder="1" applyAlignment="1" applyProtection="1">
      <alignment horizontal="center" vertical="top"/>
      <protection hidden="1"/>
    </xf>
    <xf numFmtId="0" fontId="60" fillId="0" borderId="186" xfId="1" applyFont="1" applyBorder="1" applyAlignment="1" applyProtection="1">
      <alignment horizontal="center" vertical="top"/>
      <protection hidden="1"/>
    </xf>
    <xf numFmtId="0" fontId="16" fillId="0" borderId="22" xfId="1" applyFont="1" applyBorder="1" applyAlignment="1" applyProtection="1">
      <alignment horizontal="right" vertical="center"/>
      <protection hidden="1"/>
    </xf>
    <xf numFmtId="0" fontId="69" fillId="0" borderId="22" xfId="1" applyFont="1" applyBorder="1" applyAlignment="1" applyProtection="1">
      <alignment horizontal="right" vertical="center"/>
      <protection hidden="1"/>
    </xf>
    <xf numFmtId="0" fontId="69" fillId="0" borderId="22" xfId="1" applyFont="1" applyBorder="1" applyAlignment="1" applyProtection="1">
      <alignment horizontal="left" vertical="center"/>
      <protection hidden="1"/>
    </xf>
    <xf numFmtId="0" fontId="145" fillId="0" borderId="23" xfId="1" applyFont="1" applyBorder="1" applyAlignment="1" applyProtection="1">
      <alignment horizontal="center" vertical="center" wrapText="1"/>
      <protection hidden="1"/>
    </xf>
    <xf numFmtId="0" fontId="0" fillId="0" borderId="124" xfId="0" applyBorder="1" applyAlignment="1">
      <alignment horizontal="center" wrapText="1"/>
    </xf>
    <xf numFmtId="0" fontId="0" fillId="0" borderId="24" xfId="0" applyBorder="1" applyAlignment="1">
      <alignment horizontal="center" wrapText="1"/>
    </xf>
    <xf numFmtId="0" fontId="48" fillId="0" borderId="23" xfId="1" applyFont="1" applyBorder="1" applyAlignment="1" applyProtection="1">
      <alignment horizontal="left" vertical="center"/>
      <protection hidden="1"/>
    </xf>
    <xf numFmtId="0" fontId="48" fillId="0" borderId="124" xfId="1" applyFont="1" applyBorder="1" applyAlignment="1" applyProtection="1">
      <alignment horizontal="left" vertical="center"/>
      <protection hidden="1"/>
    </xf>
    <xf numFmtId="0" fontId="145" fillId="0" borderId="23" xfId="1" applyFont="1" applyBorder="1" applyAlignment="1" applyProtection="1">
      <alignment horizontal="left" vertical="center" wrapText="1"/>
      <protection hidden="1"/>
    </xf>
    <xf numFmtId="0" fontId="145" fillId="0" borderId="124" xfId="1" applyFont="1" applyBorder="1" applyAlignment="1" applyProtection="1">
      <alignment horizontal="left" vertical="center" wrapText="1"/>
      <protection hidden="1"/>
    </xf>
    <xf numFmtId="0" fontId="147" fillId="16" borderId="23" xfId="1" applyFont="1" applyFill="1" applyBorder="1" applyAlignment="1" applyProtection="1">
      <alignment horizontal="left" vertical="center"/>
      <protection locked="0" hidden="1"/>
    </xf>
    <xf numFmtId="0" fontId="147" fillId="16" borderId="124" xfId="1" applyFont="1" applyFill="1" applyBorder="1" applyAlignment="1" applyProtection="1">
      <alignment horizontal="left" vertical="center"/>
      <protection locked="0" hidden="1"/>
    </xf>
    <xf numFmtId="0" fontId="17" fillId="0" borderId="99" xfId="1" applyFont="1" applyBorder="1" applyAlignment="1" applyProtection="1">
      <alignment horizontal="left" vertical="center"/>
      <protection hidden="1"/>
    </xf>
    <xf numFmtId="0" fontId="17" fillId="0" borderId="110" xfId="1" applyFont="1" applyBorder="1" applyAlignment="1" applyProtection="1">
      <alignment horizontal="left" vertical="center"/>
      <protection hidden="1"/>
    </xf>
    <xf numFmtId="0" fontId="69" fillId="0" borderId="112" xfId="1" applyFont="1" applyBorder="1" applyAlignment="1" applyProtection="1">
      <alignment horizontal="left" vertical="center"/>
      <protection hidden="1"/>
    </xf>
    <xf numFmtId="0" fontId="60" fillId="22" borderId="22" xfId="1" applyFont="1" applyFill="1" applyBorder="1" applyAlignment="1" applyProtection="1">
      <alignment horizontal="center" vertical="center"/>
      <protection hidden="1"/>
    </xf>
    <xf numFmtId="0" fontId="60" fillId="22" borderId="112" xfId="1" applyFont="1" applyFill="1" applyBorder="1" applyAlignment="1" applyProtection="1">
      <alignment horizontal="center" vertical="center"/>
      <protection hidden="1"/>
    </xf>
    <xf numFmtId="1" fontId="48" fillId="0" borderId="23" xfId="1" applyNumberFormat="1" applyFont="1" applyBorder="1" applyAlignment="1" applyProtection="1">
      <alignment horizontal="left" vertical="center"/>
      <protection hidden="1"/>
    </xf>
    <xf numFmtId="2" fontId="144" fillId="0" borderId="23" xfId="1" applyNumberFormat="1" applyFont="1" applyFill="1" applyBorder="1" applyAlignment="1" applyProtection="1">
      <alignment horizontal="center" vertical="center" wrapText="1"/>
      <protection hidden="1"/>
    </xf>
    <xf numFmtId="0" fontId="144" fillId="0" borderId="24" xfId="1" applyFont="1" applyFill="1" applyBorder="1" applyAlignment="1" applyProtection="1">
      <alignment horizontal="center" vertical="center" wrapText="1"/>
      <protection hidden="1"/>
    </xf>
    <xf numFmtId="0" fontId="61" fillId="0" borderId="22" xfId="1" applyFont="1" applyBorder="1" applyAlignment="1" applyProtection="1">
      <alignment horizontal="center" vertical="center" wrapText="1"/>
      <protection hidden="1"/>
    </xf>
    <xf numFmtId="2" fontId="48" fillId="0" borderId="22" xfId="1" applyNumberFormat="1" applyFont="1" applyBorder="1" applyAlignment="1" applyProtection="1">
      <alignment horizontal="left" vertical="center"/>
      <protection hidden="1"/>
    </xf>
    <xf numFmtId="0" fontId="69" fillId="0" borderId="114" xfId="1" applyFont="1" applyBorder="1" applyAlignment="1" applyProtection="1">
      <alignment horizontal="right" vertical="center" wrapText="1"/>
      <protection hidden="1"/>
    </xf>
    <xf numFmtId="0" fontId="48" fillId="0" borderId="23" xfId="1" applyFont="1" applyBorder="1" applyAlignment="1" applyProtection="1">
      <alignment horizontal="right" vertical="center"/>
      <protection hidden="1"/>
    </xf>
    <xf numFmtId="0" fontId="48" fillId="0" borderId="124" xfId="1" applyFont="1" applyBorder="1" applyAlignment="1" applyProtection="1">
      <alignment horizontal="right" vertical="center"/>
      <protection hidden="1"/>
    </xf>
    <xf numFmtId="0" fontId="48" fillId="0" borderId="24" xfId="1" applyFont="1" applyBorder="1" applyAlignment="1" applyProtection="1">
      <alignment horizontal="right" vertical="center"/>
      <protection hidden="1"/>
    </xf>
    <xf numFmtId="0" fontId="69" fillId="0" borderId="23" xfId="1" applyFont="1" applyBorder="1" applyAlignment="1" applyProtection="1">
      <alignment horizontal="right" vertical="center"/>
      <protection hidden="1"/>
    </xf>
    <xf numFmtId="0" fontId="69" fillId="0" borderId="124" xfId="1" applyFont="1" applyBorder="1" applyAlignment="1" applyProtection="1">
      <alignment horizontal="right" vertical="center"/>
      <protection hidden="1"/>
    </xf>
    <xf numFmtId="0" fontId="69" fillId="0" borderId="24" xfId="1" applyFont="1" applyBorder="1" applyAlignment="1" applyProtection="1">
      <alignment horizontal="right" vertical="center"/>
      <protection hidden="1"/>
    </xf>
    <xf numFmtId="2" fontId="60" fillId="0" borderId="22" xfId="1" applyNumberFormat="1" applyFont="1" applyBorder="1" applyAlignment="1" applyProtection="1">
      <alignment horizontal="center" vertical="center"/>
      <protection hidden="1"/>
    </xf>
    <xf numFmtId="0" fontId="67" fillId="20" borderId="125" xfId="1" applyFont="1" applyFill="1" applyBorder="1" applyAlignment="1" applyProtection="1">
      <alignment horizontal="center" vertical="center" wrapText="1"/>
      <protection hidden="1"/>
    </xf>
    <xf numFmtId="0" fontId="67" fillId="20" borderId="126" xfId="1" applyFont="1" applyFill="1" applyBorder="1" applyAlignment="1" applyProtection="1">
      <alignment horizontal="center" vertical="center" wrapText="1"/>
      <protection hidden="1"/>
    </xf>
    <xf numFmtId="0" fontId="104" fillId="0" borderId="126" xfId="0" applyFont="1" applyBorder="1" applyAlignment="1">
      <alignment horizontal="center" vertical="center" wrapText="1"/>
    </xf>
    <xf numFmtId="0" fontId="104" fillId="0" borderId="127" xfId="0" applyFont="1" applyBorder="1" applyAlignment="1">
      <alignment horizontal="center" vertical="center" wrapText="1"/>
    </xf>
    <xf numFmtId="0" fontId="48" fillId="0" borderId="112" xfId="1" applyFont="1" applyBorder="1" applyAlignment="1" applyProtection="1">
      <alignment horizontal="center" vertical="center"/>
      <protection hidden="1"/>
    </xf>
    <xf numFmtId="0" fontId="48" fillId="0" borderId="22" xfId="1" applyFont="1" applyBorder="1" applyAlignment="1" applyProtection="1">
      <alignment horizontal="left" vertical="center" wrapText="1"/>
      <protection hidden="1"/>
    </xf>
    <xf numFmtId="0" fontId="48" fillId="0" borderId="22" xfId="1" applyFont="1" applyBorder="1" applyAlignment="1" applyProtection="1">
      <alignment horizontal="center" vertical="top"/>
      <protection hidden="1"/>
    </xf>
    <xf numFmtId="0" fontId="60" fillId="0" borderId="22" xfId="1" applyFont="1" applyBorder="1" applyAlignment="1" applyProtection="1">
      <alignment horizontal="center" vertical="center"/>
      <protection hidden="1"/>
    </xf>
    <xf numFmtId="0" fontId="60" fillId="0" borderId="112" xfId="1" applyFont="1" applyBorder="1" applyAlignment="1" applyProtection="1">
      <alignment horizontal="center" vertical="center"/>
      <protection hidden="1"/>
    </xf>
    <xf numFmtId="0" fontId="68" fillId="0" borderId="22" xfId="1" applyFont="1" applyBorder="1" applyAlignment="1" applyProtection="1">
      <alignment horizontal="right" vertical="center"/>
      <protection hidden="1"/>
    </xf>
    <xf numFmtId="2" fontId="67" fillId="0" borderId="22" xfId="1" applyNumberFormat="1" applyFont="1" applyBorder="1" applyAlignment="1" applyProtection="1">
      <alignment horizontal="center" vertical="center"/>
      <protection hidden="1"/>
    </xf>
    <xf numFmtId="0" fontId="48" fillId="0" borderId="109" xfId="1" applyFont="1" applyBorder="1" applyAlignment="1" applyProtection="1">
      <alignment horizontal="left" vertical="center"/>
      <protection hidden="1"/>
    </xf>
    <xf numFmtId="0" fontId="11" fillId="0" borderId="215" xfId="2" applyFont="1" applyFill="1" applyBorder="1" applyAlignment="1" applyProtection="1">
      <alignment horizontal="left" vertical="center"/>
      <protection hidden="1"/>
    </xf>
    <xf numFmtId="0" fontId="11" fillId="0" borderId="126" xfId="2" applyFont="1" applyFill="1" applyBorder="1" applyAlignment="1" applyProtection="1">
      <alignment horizontal="left" vertical="center"/>
      <protection hidden="1"/>
    </xf>
    <xf numFmtId="0" fontId="11" fillId="0" borderId="215" xfId="1" applyFont="1" applyFill="1" applyBorder="1" applyAlignment="1" applyProtection="1">
      <alignment horizontal="left" vertical="center"/>
      <protection hidden="1"/>
    </xf>
    <xf numFmtId="0" fontId="11" fillId="0" borderId="126" xfId="1" applyFont="1" applyFill="1" applyBorder="1" applyAlignment="1" applyProtection="1">
      <alignment horizontal="left" vertical="center"/>
      <protection hidden="1"/>
    </xf>
    <xf numFmtId="0" fontId="16" fillId="0" borderId="215" xfId="1" applyFont="1" applyFill="1" applyBorder="1" applyAlignment="1" applyProtection="1">
      <alignment horizontal="left" vertical="center"/>
      <protection hidden="1"/>
    </xf>
    <xf numFmtId="0" fontId="16" fillId="0" borderId="126" xfId="1" applyFont="1" applyFill="1" applyBorder="1" applyAlignment="1" applyProtection="1">
      <alignment horizontal="left" vertical="center"/>
      <protection hidden="1"/>
    </xf>
    <xf numFmtId="0" fontId="16" fillId="0" borderId="127" xfId="1" applyFont="1" applyFill="1" applyBorder="1" applyAlignment="1" applyProtection="1">
      <alignment horizontal="left" vertical="center"/>
      <protection hidden="1"/>
    </xf>
    <xf numFmtId="0" fontId="138" fillId="14" borderId="128" xfId="1" applyFont="1" applyFill="1" applyBorder="1" applyAlignment="1" applyProtection="1">
      <alignment horizontal="left" vertical="center" indent="5"/>
      <protection hidden="1"/>
    </xf>
    <xf numFmtId="0" fontId="138" fillId="14" borderId="129" xfId="1" applyFont="1" applyFill="1" applyBorder="1" applyAlignment="1" applyProtection="1">
      <alignment horizontal="left" vertical="center" indent="5"/>
      <protection hidden="1"/>
    </xf>
    <xf numFmtId="0" fontId="138" fillId="14" borderId="130" xfId="1" applyFont="1" applyFill="1" applyBorder="1" applyAlignment="1" applyProtection="1">
      <alignment horizontal="left" vertical="center" indent="5"/>
      <protection hidden="1"/>
    </xf>
    <xf numFmtId="0" fontId="74" fillId="0" borderId="125" xfId="1" applyFont="1" applyBorder="1" applyAlignment="1" applyProtection="1">
      <alignment horizontal="right" vertical="center"/>
      <protection hidden="1"/>
    </xf>
    <xf numFmtId="0" fontId="74" fillId="0" borderId="126" xfId="1" applyFont="1" applyBorder="1" applyAlignment="1" applyProtection="1">
      <alignment horizontal="right" vertical="center"/>
      <protection hidden="1"/>
    </xf>
    <xf numFmtId="0" fontId="74" fillId="0" borderId="126" xfId="1" applyFont="1" applyBorder="1" applyAlignment="1" applyProtection="1">
      <alignment horizontal="left" vertical="center"/>
      <protection hidden="1"/>
    </xf>
    <xf numFmtId="0" fontId="74" fillId="0" borderId="127" xfId="1" applyFont="1" applyBorder="1" applyAlignment="1" applyProtection="1">
      <alignment horizontal="left" vertical="center"/>
      <protection hidden="1"/>
    </xf>
    <xf numFmtId="172" fontId="52" fillId="16" borderId="0" xfId="3" applyNumberFormat="1" applyFont="1" applyFill="1" applyBorder="1" applyAlignment="1" applyProtection="1">
      <alignment horizontal="left"/>
      <protection locked="0"/>
    </xf>
    <xf numFmtId="1" fontId="52" fillId="4" borderId="0" xfId="3" applyNumberFormat="1" applyFont="1" applyFill="1" applyBorder="1" applyAlignment="1" applyProtection="1">
      <alignment horizontal="center"/>
      <protection hidden="1"/>
    </xf>
    <xf numFmtId="1" fontId="52" fillId="16" borderId="0" xfId="3" applyNumberFormat="1" applyFont="1" applyFill="1" applyBorder="1" applyAlignment="1" applyProtection="1">
      <alignment horizontal="left"/>
      <protection locked="0" hidden="1"/>
    </xf>
    <xf numFmtId="1" fontId="84" fillId="4" borderId="138" xfId="0" applyNumberFormat="1" applyFont="1" applyFill="1" applyBorder="1" applyAlignment="1" applyProtection="1">
      <alignment horizontal="center" vertical="center"/>
      <protection hidden="1"/>
    </xf>
    <xf numFmtId="1" fontId="84" fillId="4" borderId="139" xfId="0" applyNumberFormat="1" applyFont="1" applyFill="1" applyBorder="1" applyAlignment="1" applyProtection="1">
      <alignment horizontal="center" vertical="center"/>
      <protection hidden="1"/>
    </xf>
    <xf numFmtId="1" fontId="84" fillId="4" borderId="193" xfId="0" applyNumberFormat="1" applyFont="1" applyFill="1" applyBorder="1" applyAlignment="1" applyProtection="1">
      <alignment horizontal="center" vertical="center"/>
      <protection hidden="1"/>
    </xf>
    <xf numFmtId="1" fontId="84" fillId="4" borderId="194" xfId="0" applyNumberFormat="1" applyFont="1" applyFill="1" applyBorder="1" applyAlignment="1" applyProtection="1">
      <alignment horizontal="center" vertical="center"/>
      <protection hidden="1"/>
    </xf>
    <xf numFmtId="1" fontId="84" fillId="4" borderId="218" xfId="0" applyNumberFormat="1" applyFont="1" applyFill="1" applyBorder="1" applyAlignment="1" applyProtection="1">
      <alignment horizontal="center" vertical="center"/>
      <protection hidden="1"/>
    </xf>
    <xf numFmtId="1" fontId="84" fillId="4" borderId="219" xfId="0" applyNumberFormat="1" applyFont="1" applyFill="1" applyBorder="1" applyAlignment="1" applyProtection="1">
      <alignment horizontal="center" vertical="center"/>
      <protection hidden="1"/>
    </xf>
    <xf numFmtId="1" fontId="84" fillId="4" borderId="137" xfId="0" applyNumberFormat="1" applyFont="1" applyFill="1" applyBorder="1" applyAlignment="1" applyProtection="1">
      <alignment horizontal="center" vertical="center"/>
      <protection hidden="1"/>
    </xf>
    <xf numFmtId="1" fontId="84" fillId="22" borderId="153" xfId="0" applyNumberFormat="1" applyFont="1" applyFill="1" applyBorder="1" applyAlignment="1" applyProtection="1">
      <alignment horizontal="right" vertical="center"/>
      <protection hidden="1"/>
    </xf>
    <xf numFmtId="1" fontId="84" fillId="22" borderId="157" xfId="0" applyNumberFormat="1" applyFont="1" applyFill="1" applyBorder="1" applyAlignment="1" applyProtection="1">
      <alignment horizontal="right" vertical="center"/>
      <protection hidden="1"/>
    </xf>
    <xf numFmtId="1" fontId="96" fillId="4" borderId="70" xfId="3" applyNumberFormat="1" applyFont="1" applyFill="1" applyBorder="1" applyAlignment="1" applyProtection="1">
      <alignment horizontal="center" wrapText="1"/>
      <protection hidden="1"/>
    </xf>
    <xf numFmtId="1" fontId="96" fillId="4" borderId="0" xfId="3" applyNumberFormat="1" applyFont="1" applyFill="1" applyBorder="1" applyAlignment="1" applyProtection="1">
      <alignment horizontal="center" wrapText="1"/>
      <protection hidden="1"/>
    </xf>
    <xf numFmtId="1" fontId="96" fillId="4" borderId="84" xfId="3" applyNumberFormat="1" applyFont="1" applyFill="1" applyBorder="1" applyAlignment="1" applyProtection="1">
      <alignment horizontal="center" wrapText="1"/>
      <protection hidden="1"/>
    </xf>
    <xf numFmtId="170" fontId="92" fillId="4" borderId="71" xfId="4" applyNumberFormat="1" applyFont="1" applyFill="1" applyBorder="1" applyAlignment="1" applyProtection="1">
      <alignment horizontal="center" vertical="center"/>
      <protection hidden="1"/>
    </xf>
    <xf numFmtId="1" fontId="84" fillId="4" borderId="70" xfId="3" applyNumberFormat="1" applyFont="1" applyFill="1" applyBorder="1" applyAlignment="1" applyProtection="1">
      <alignment horizontal="center" vertical="center" wrapText="1"/>
      <protection hidden="1"/>
    </xf>
    <xf numFmtId="1" fontId="84" fillId="4" borderId="0" xfId="3" applyNumberFormat="1" applyFont="1" applyFill="1" applyBorder="1" applyAlignment="1" applyProtection="1">
      <alignment horizontal="center" vertical="center" wrapText="1"/>
      <protection hidden="1"/>
    </xf>
    <xf numFmtId="1" fontId="84" fillId="4" borderId="84" xfId="3" applyNumberFormat="1" applyFont="1" applyFill="1" applyBorder="1" applyAlignment="1" applyProtection="1">
      <alignment horizontal="center" vertical="center" wrapText="1"/>
      <protection hidden="1"/>
    </xf>
    <xf numFmtId="1" fontId="84" fillId="4" borderId="70" xfId="3" applyNumberFormat="1" applyFont="1" applyFill="1" applyBorder="1" applyAlignment="1" applyProtection="1">
      <alignment horizontal="left" vertical="center"/>
      <protection hidden="1"/>
    </xf>
    <xf numFmtId="1" fontId="84" fillId="4" borderId="0" xfId="3" applyNumberFormat="1" applyFont="1" applyFill="1" applyBorder="1" applyAlignment="1" applyProtection="1">
      <alignment horizontal="left" vertical="center"/>
      <protection hidden="1"/>
    </xf>
    <xf numFmtId="1" fontId="84" fillId="4" borderId="84" xfId="3" applyNumberFormat="1" applyFont="1" applyFill="1" applyBorder="1" applyAlignment="1" applyProtection="1">
      <alignment horizontal="left" vertical="center"/>
      <protection hidden="1"/>
    </xf>
    <xf numFmtId="1" fontId="84" fillId="4" borderId="87" xfId="3" applyNumberFormat="1" applyFont="1" applyFill="1" applyBorder="1" applyAlignment="1" applyProtection="1">
      <alignment horizontal="center"/>
      <protection hidden="1"/>
    </xf>
    <xf numFmtId="1" fontId="84" fillId="4" borderId="84" xfId="3" applyNumberFormat="1" applyFont="1" applyFill="1" applyBorder="1" applyAlignment="1" applyProtection="1">
      <alignment horizontal="center"/>
      <protection hidden="1"/>
    </xf>
    <xf numFmtId="1" fontId="88" fillId="4" borderId="154" xfId="3" applyNumberFormat="1" applyFont="1" applyFill="1" applyBorder="1" applyAlignment="1" applyProtection="1">
      <alignment horizontal="center" wrapText="1"/>
      <protection hidden="1"/>
    </xf>
    <xf numFmtId="170" fontId="52" fillId="4" borderId="87" xfId="3" applyNumberFormat="1" applyFont="1" applyFill="1" applyBorder="1" applyAlignment="1" applyProtection="1">
      <alignment horizontal="center"/>
      <protection hidden="1"/>
    </xf>
    <xf numFmtId="170" fontId="52" fillId="4" borderId="84" xfId="3" applyNumberFormat="1" applyFont="1" applyFill="1" applyBorder="1" applyAlignment="1" applyProtection="1">
      <alignment horizontal="center"/>
      <protection hidden="1"/>
    </xf>
    <xf numFmtId="170" fontId="52" fillId="4" borderId="71" xfId="3" applyNumberFormat="1" applyFont="1" applyFill="1" applyBorder="1" applyAlignment="1" applyProtection="1">
      <alignment horizontal="center"/>
      <protection hidden="1"/>
    </xf>
    <xf numFmtId="1" fontId="96" fillId="4" borderId="70" xfId="3" applyNumberFormat="1" applyFont="1" applyFill="1" applyBorder="1" applyAlignment="1" applyProtection="1">
      <alignment horizontal="center" vertical="top" wrapText="1"/>
      <protection hidden="1"/>
    </xf>
    <xf numFmtId="1" fontId="96" fillId="4" borderId="0" xfId="3" applyNumberFormat="1" applyFont="1" applyFill="1" applyBorder="1" applyAlignment="1" applyProtection="1">
      <alignment horizontal="center" vertical="top" wrapText="1"/>
      <protection hidden="1"/>
    </xf>
    <xf numFmtId="1" fontId="96" fillId="4" borderId="84" xfId="3" applyNumberFormat="1" applyFont="1" applyFill="1" applyBorder="1" applyAlignment="1" applyProtection="1">
      <alignment horizontal="center" vertical="top" wrapText="1"/>
      <protection hidden="1"/>
    </xf>
    <xf numFmtId="1" fontId="52" fillId="4" borderId="154" xfId="3" applyNumberFormat="1" applyFont="1" applyFill="1" applyBorder="1" applyAlignment="1" applyProtection="1">
      <alignment horizontal="center"/>
      <protection hidden="1"/>
    </xf>
    <xf numFmtId="1" fontId="52" fillId="4" borderId="143" xfId="0" applyNumberFormat="1" applyFont="1" applyFill="1" applyBorder="1" applyAlignment="1" applyProtection="1">
      <alignment horizontal="center"/>
      <protection hidden="1"/>
    </xf>
    <xf numFmtId="1" fontId="52" fillId="4" borderId="220" xfId="0" applyNumberFormat="1" applyFont="1" applyFill="1" applyBorder="1" applyAlignment="1" applyProtection="1">
      <alignment horizontal="center"/>
      <protection hidden="1"/>
    </xf>
    <xf numFmtId="1" fontId="52" fillId="16" borderId="143" xfId="0" applyNumberFormat="1" applyFont="1" applyFill="1" applyBorder="1" applyAlignment="1" applyProtection="1">
      <alignment horizontal="center"/>
      <protection locked="0"/>
    </xf>
    <xf numFmtId="1" fontId="52" fillId="16" borderId="220" xfId="0" applyNumberFormat="1" applyFont="1" applyFill="1" applyBorder="1" applyAlignment="1" applyProtection="1">
      <alignment horizontal="center"/>
      <protection locked="0"/>
    </xf>
    <xf numFmtId="1" fontId="88" fillId="4" borderId="133" xfId="0" applyNumberFormat="1" applyFont="1" applyFill="1" applyBorder="1" applyAlignment="1" applyProtection="1">
      <alignment horizontal="center"/>
      <protection hidden="1"/>
    </xf>
    <xf numFmtId="1" fontId="88" fillId="4" borderId="86" xfId="0" applyNumberFormat="1" applyFont="1" applyFill="1" applyBorder="1" applyAlignment="1" applyProtection="1">
      <alignment horizontal="center"/>
      <protection hidden="1"/>
    </xf>
    <xf numFmtId="1" fontId="88" fillId="4" borderId="87" xfId="0" applyNumberFormat="1" applyFont="1" applyFill="1" applyBorder="1" applyAlignment="1" applyProtection="1">
      <alignment horizontal="center"/>
      <protection hidden="1"/>
    </xf>
    <xf numFmtId="1" fontId="88" fillId="4" borderId="71" xfId="0" applyNumberFormat="1" applyFont="1" applyFill="1" applyBorder="1" applyAlignment="1" applyProtection="1">
      <alignment horizontal="center"/>
      <protection hidden="1"/>
    </xf>
    <xf numFmtId="0" fontId="0" fillId="0" borderId="0" xfId="0" applyBorder="1" applyAlignment="1" applyProtection="1">
      <alignment horizontal="center"/>
      <protection hidden="1"/>
    </xf>
    <xf numFmtId="0" fontId="0" fillId="4" borderId="73" xfId="0" applyFill="1" applyBorder="1" applyAlignment="1" applyProtection="1">
      <alignment horizontal="center"/>
      <protection hidden="1"/>
    </xf>
    <xf numFmtId="1" fontId="95" fillId="4" borderId="133" xfId="0" applyNumberFormat="1" applyFont="1" applyFill="1" applyBorder="1" applyAlignment="1" applyProtection="1">
      <alignment horizontal="center" vertical="center" wrapText="1"/>
      <protection hidden="1"/>
    </xf>
    <xf numFmtId="1" fontId="95" fillId="4" borderId="85" xfId="0" applyNumberFormat="1" applyFont="1" applyFill="1" applyBorder="1" applyAlignment="1" applyProtection="1">
      <alignment horizontal="center" vertical="center" wrapText="1"/>
      <protection hidden="1"/>
    </xf>
    <xf numFmtId="1" fontId="95" fillId="4" borderId="86" xfId="0" applyNumberFormat="1" applyFont="1" applyFill="1" applyBorder="1" applyAlignment="1" applyProtection="1">
      <alignment horizontal="center" vertical="center" wrapText="1"/>
      <protection hidden="1"/>
    </xf>
    <xf numFmtId="1" fontId="95" fillId="4" borderId="87" xfId="0" applyNumberFormat="1" applyFont="1" applyFill="1" applyBorder="1" applyAlignment="1" applyProtection="1">
      <alignment horizontal="center" vertical="center" wrapText="1"/>
      <protection hidden="1"/>
    </xf>
    <xf numFmtId="1" fontId="95" fillId="4" borderId="0" xfId="0" applyNumberFormat="1" applyFont="1" applyFill="1" applyBorder="1" applyAlignment="1" applyProtection="1">
      <alignment horizontal="center" vertical="center" wrapText="1"/>
      <protection hidden="1"/>
    </xf>
    <xf numFmtId="1" fontId="95" fillId="4" borderId="71" xfId="0" applyNumberFormat="1" applyFont="1" applyFill="1" applyBorder="1" applyAlignment="1" applyProtection="1">
      <alignment horizontal="center" vertical="center" wrapText="1"/>
      <protection hidden="1"/>
    </xf>
    <xf numFmtId="1" fontId="52" fillId="4" borderId="87" xfId="0" applyNumberFormat="1" applyFont="1" applyFill="1" applyBorder="1" applyAlignment="1" applyProtection="1">
      <alignment horizontal="center" vertical="center" wrapText="1"/>
      <protection hidden="1"/>
    </xf>
    <xf numFmtId="1" fontId="52" fillId="4" borderId="0" xfId="0" applyNumberFormat="1" applyFont="1" applyFill="1" applyBorder="1" applyAlignment="1" applyProtection="1">
      <alignment horizontal="center" vertical="center" wrapText="1"/>
      <protection hidden="1"/>
    </xf>
    <xf numFmtId="1" fontId="52" fillId="4" borderId="71" xfId="0" applyNumberFormat="1" applyFont="1" applyFill="1" applyBorder="1" applyAlignment="1" applyProtection="1">
      <alignment horizontal="center" vertical="center" wrapText="1"/>
      <protection hidden="1"/>
    </xf>
    <xf numFmtId="1" fontId="52" fillId="4" borderId="141" xfId="0" applyNumberFormat="1" applyFont="1" applyFill="1" applyBorder="1" applyAlignment="1" applyProtection="1">
      <alignment horizontal="center" vertical="center" wrapText="1"/>
      <protection hidden="1"/>
    </xf>
    <xf numFmtId="1" fontId="52" fillId="4" borderId="139" xfId="0" applyNumberFormat="1" applyFont="1" applyFill="1" applyBorder="1" applyAlignment="1" applyProtection="1">
      <alignment horizontal="center" vertical="center" wrapText="1"/>
      <protection hidden="1"/>
    </xf>
    <xf numFmtId="1" fontId="52" fillId="4" borderId="140" xfId="0" applyNumberFormat="1" applyFont="1" applyFill="1" applyBorder="1" applyAlignment="1" applyProtection="1">
      <alignment horizontal="center" vertical="center" wrapText="1"/>
      <protection hidden="1"/>
    </xf>
    <xf numFmtId="1" fontId="84" fillId="4" borderId="138" xfId="3" applyNumberFormat="1" applyFont="1" applyFill="1" applyBorder="1" applyAlignment="1" applyProtection="1">
      <alignment horizontal="center"/>
      <protection hidden="1"/>
    </xf>
    <xf numFmtId="1" fontId="84" fillId="4" borderId="139" xfId="3" applyNumberFormat="1" applyFont="1" applyFill="1" applyBorder="1" applyAlignment="1" applyProtection="1">
      <alignment horizontal="center"/>
      <protection hidden="1"/>
    </xf>
    <xf numFmtId="1" fontId="52" fillId="4" borderId="70"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71"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protection hidden="1"/>
    </xf>
    <xf numFmtId="1" fontId="52" fillId="4" borderId="71" xfId="3" applyNumberFormat="1" applyFont="1" applyFill="1" applyBorder="1" applyAlignment="1" applyProtection="1">
      <alignment horizontal="left"/>
      <protection hidden="1"/>
    </xf>
    <xf numFmtId="1" fontId="86" fillId="4" borderId="0" xfId="3" applyNumberFormat="1" applyFont="1" applyFill="1" applyBorder="1" applyAlignment="1" applyProtection="1">
      <alignment horizontal="left"/>
      <protection hidden="1"/>
    </xf>
    <xf numFmtId="1" fontId="87" fillId="20" borderId="87" xfId="3" applyNumberFormat="1" applyFont="1" applyFill="1" applyBorder="1" applyAlignment="1" applyProtection="1">
      <alignment horizontal="center"/>
      <protection hidden="1"/>
    </xf>
    <xf numFmtId="1" fontId="87" fillId="20" borderId="84" xfId="3" applyNumberFormat="1" applyFont="1" applyFill="1" applyBorder="1" applyAlignment="1" applyProtection="1">
      <alignment horizontal="center"/>
      <protection hidden="1"/>
    </xf>
    <xf numFmtId="170" fontId="91" fillId="20" borderId="87" xfId="3" applyNumberFormat="1" applyFont="1" applyFill="1" applyBorder="1" applyAlignment="1" applyProtection="1">
      <alignment horizontal="center"/>
      <protection hidden="1"/>
    </xf>
    <xf numFmtId="170" fontId="91" fillId="20" borderId="71"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52" fillId="4" borderId="71" xfId="3" applyNumberFormat="1" applyFont="1" applyFill="1" applyBorder="1" applyAlignment="1" applyProtection="1">
      <alignment horizontal="center"/>
      <protection hidden="1"/>
    </xf>
    <xf numFmtId="1" fontId="89" fillId="4" borderId="219" xfId="3" applyNumberFormat="1" applyFont="1" applyFill="1" applyBorder="1" applyAlignment="1" applyProtection="1">
      <alignment horizontal="center"/>
      <protection hidden="1"/>
    </xf>
    <xf numFmtId="1" fontId="89" fillId="4" borderId="137" xfId="3" applyNumberFormat="1" applyFont="1" applyFill="1" applyBorder="1" applyAlignment="1" applyProtection="1">
      <alignment horizontal="center"/>
      <protection hidden="1"/>
    </xf>
    <xf numFmtId="1" fontId="89" fillId="4" borderId="140" xfId="3" applyNumberFormat="1" applyFont="1" applyFill="1" applyBorder="1" applyAlignment="1" applyProtection="1">
      <alignment horizontal="center"/>
      <protection hidden="1"/>
    </xf>
    <xf numFmtId="1" fontId="84" fillId="4" borderId="137" xfId="3" applyNumberFormat="1" applyFont="1" applyFill="1" applyBorder="1" applyAlignment="1" applyProtection="1">
      <alignment horizontal="center"/>
      <protection hidden="1"/>
    </xf>
    <xf numFmtId="1" fontId="84" fillId="4" borderId="137" xfId="0" applyNumberFormat="1" applyFont="1" applyFill="1" applyBorder="1" applyAlignment="1" applyProtection="1">
      <alignment horizontal="center"/>
      <protection hidden="1"/>
    </xf>
    <xf numFmtId="1" fontId="27" fillId="4" borderId="137" xfId="0" applyNumberFormat="1" applyFont="1" applyFill="1" applyBorder="1" applyAlignment="1" applyProtection="1">
      <alignment horizontal="center"/>
      <protection hidden="1"/>
    </xf>
    <xf numFmtId="1" fontId="87" fillId="20" borderId="70" xfId="3" applyNumberFormat="1" applyFont="1" applyFill="1" applyBorder="1" applyAlignment="1" applyProtection="1">
      <alignment horizontal="center"/>
      <protection hidden="1"/>
    </xf>
    <xf numFmtId="1" fontId="87" fillId="20" borderId="0" xfId="3" applyNumberFormat="1" applyFont="1" applyFill="1" applyBorder="1" applyAlignment="1" applyProtection="1">
      <alignment horizontal="center"/>
      <protection hidden="1"/>
    </xf>
    <xf numFmtId="1" fontId="91" fillId="20" borderId="141" xfId="3" applyNumberFormat="1" applyFont="1" applyFill="1" applyBorder="1" applyAlignment="1" applyProtection="1">
      <alignment horizontal="center" vertical="center"/>
      <protection hidden="1"/>
    </xf>
    <xf numFmtId="1" fontId="91" fillId="20" borderId="142" xfId="3" applyNumberFormat="1" applyFont="1" applyFill="1" applyBorder="1" applyAlignment="1" applyProtection="1">
      <alignment horizontal="center" vertical="center"/>
      <protection hidden="1"/>
    </xf>
    <xf numFmtId="170" fontId="52" fillId="4" borderId="0" xfId="3" applyNumberFormat="1" applyFont="1" applyFill="1" applyBorder="1" applyAlignment="1" applyProtection="1">
      <alignment horizontal="center"/>
      <protection hidden="1"/>
    </xf>
    <xf numFmtId="1" fontId="84" fillId="4" borderId="70" xfId="3" applyNumberFormat="1" applyFont="1" applyFill="1" applyBorder="1" applyAlignment="1" applyProtection="1">
      <alignment horizontal="center"/>
      <protection hidden="1"/>
    </xf>
    <xf numFmtId="1" fontId="84" fillId="4" borderId="0" xfId="3" applyNumberFormat="1" applyFont="1" applyFill="1" applyBorder="1" applyAlignment="1" applyProtection="1">
      <alignment horizontal="center"/>
      <protection hidden="1"/>
    </xf>
    <xf numFmtId="1" fontId="52" fillId="4" borderId="84" xfId="3" applyNumberFormat="1" applyFont="1" applyFill="1" applyBorder="1" applyAlignment="1" applyProtection="1">
      <alignment horizontal="center"/>
      <protection hidden="1"/>
    </xf>
    <xf numFmtId="1" fontId="84" fillId="4" borderId="67" xfId="0" applyNumberFormat="1" applyFont="1" applyFill="1" applyBorder="1" applyAlignment="1" applyProtection="1">
      <alignment horizontal="center"/>
      <protection hidden="1"/>
    </xf>
    <xf numFmtId="1" fontId="84" fillId="4" borderId="68" xfId="0" applyNumberFormat="1" applyFont="1" applyFill="1" applyBorder="1" applyAlignment="1" applyProtection="1">
      <alignment horizontal="center"/>
      <protection hidden="1"/>
    </xf>
    <xf numFmtId="1" fontId="84" fillId="4" borderId="69" xfId="0" applyNumberFormat="1" applyFont="1" applyFill="1" applyBorder="1" applyAlignment="1" applyProtection="1">
      <alignment horizontal="center"/>
      <protection hidden="1"/>
    </xf>
    <xf numFmtId="1" fontId="90" fillId="4" borderId="138" xfId="0" applyNumberFormat="1" applyFont="1" applyFill="1" applyBorder="1" applyAlignment="1" applyProtection="1">
      <alignment horizontal="center"/>
      <protection hidden="1"/>
    </xf>
    <xf numFmtId="1" fontId="90" fillId="4" borderId="139" xfId="0" applyNumberFormat="1" applyFont="1" applyFill="1" applyBorder="1" applyAlignment="1" applyProtection="1">
      <alignment horizontal="center"/>
      <protection hidden="1"/>
    </xf>
    <xf numFmtId="1" fontId="90" fillId="4" borderId="140" xfId="0" applyNumberFormat="1" applyFont="1" applyFill="1" applyBorder="1" applyAlignment="1" applyProtection="1">
      <alignment horizontal="center"/>
      <protection hidden="1"/>
    </xf>
    <xf numFmtId="170" fontId="84" fillId="4" borderId="87" xfId="3" applyNumberFormat="1" applyFont="1" applyFill="1" applyBorder="1" applyAlignment="1" applyProtection="1">
      <alignment horizontal="center"/>
      <protection hidden="1"/>
    </xf>
    <xf numFmtId="170" fontId="84" fillId="4" borderId="84" xfId="3" applyNumberFormat="1" applyFont="1" applyFill="1" applyBorder="1" applyAlignment="1" applyProtection="1">
      <alignment horizontal="center"/>
      <protection hidden="1"/>
    </xf>
    <xf numFmtId="1" fontId="52" fillId="4" borderId="70" xfId="3" applyNumberFormat="1" applyFont="1" applyFill="1" applyBorder="1" applyAlignment="1" applyProtection="1">
      <protection hidden="1"/>
    </xf>
    <xf numFmtId="1" fontId="52" fillId="4" borderId="0" xfId="3" applyNumberFormat="1" applyFont="1" applyFill="1" applyBorder="1" applyAlignment="1" applyProtection="1">
      <protection hidden="1"/>
    </xf>
    <xf numFmtId="170" fontId="84" fillId="20" borderId="87" xfId="3" applyNumberFormat="1" applyFont="1" applyFill="1" applyBorder="1" applyAlignment="1" applyProtection="1">
      <alignment horizontal="center"/>
      <protection hidden="1"/>
    </xf>
    <xf numFmtId="170" fontId="84" fillId="20" borderId="84" xfId="3" applyNumberFormat="1" applyFont="1" applyFill="1" applyBorder="1" applyAlignment="1" applyProtection="1">
      <alignment horizontal="center"/>
      <protection hidden="1"/>
    </xf>
    <xf numFmtId="1" fontId="88" fillId="4" borderId="70" xfId="3" applyNumberFormat="1" applyFont="1" applyFill="1" applyBorder="1" applyAlignment="1" applyProtection="1">
      <alignment horizontal="left" vertical="center" wrapText="1"/>
      <protection hidden="1"/>
    </xf>
    <xf numFmtId="1" fontId="88" fillId="4" borderId="0" xfId="3" applyNumberFormat="1" applyFont="1" applyFill="1" applyBorder="1" applyAlignment="1" applyProtection="1">
      <alignment horizontal="left" vertical="center" wrapText="1"/>
      <protection hidden="1"/>
    </xf>
    <xf numFmtId="1" fontId="88" fillId="4" borderId="71" xfId="3" applyNumberFormat="1" applyFont="1" applyFill="1" applyBorder="1" applyAlignment="1" applyProtection="1">
      <alignment horizontal="left" vertical="center" wrapText="1"/>
      <protection hidden="1"/>
    </xf>
    <xf numFmtId="1" fontId="52" fillId="4" borderId="136" xfId="3" applyNumberFormat="1" applyFont="1" applyFill="1" applyBorder="1" applyAlignment="1" applyProtection="1">
      <alignment horizontal="center" vertical="center" wrapText="1"/>
      <protection hidden="1"/>
    </xf>
    <xf numFmtId="1" fontId="52" fillId="4" borderId="85" xfId="3" applyNumberFormat="1" applyFont="1" applyFill="1" applyBorder="1" applyAlignment="1" applyProtection="1">
      <alignment horizontal="center" vertical="center" wrapText="1"/>
      <protection hidden="1"/>
    </xf>
    <xf numFmtId="1" fontId="89" fillId="4" borderId="220" xfId="3" applyNumberFormat="1" applyFont="1" applyFill="1" applyBorder="1" applyAlignment="1" applyProtection="1">
      <alignment horizontal="center"/>
      <protection hidden="1"/>
    </xf>
    <xf numFmtId="1" fontId="84" fillId="16" borderId="137" xfId="3" applyNumberFormat="1" applyFont="1" applyFill="1" applyBorder="1" applyAlignment="1" applyProtection="1">
      <alignment horizontal="center"/>
      <protection locked="0" hidden="1"/>
    </xf>
    <xf numFmtId="1" fontId="84" fillId="16" borderId="137" xfId="0" applyNumberFormat="1" applyFont="1" applyFill="1" applyBorder="1" applyAlignment="1" applyProtection="1">
      <alignment horizontal="center"/>
      <protection locked="0"/>
    </xf>
    <xf numFmtId="1" fontId="27" fillId="16" borderId="137" xfId="0" applyNumberFormat="1" applyFont="1" applyFill="1" applyBorder="1" applyAlignment="1" applyProtection="1">
      <alignment horizontal="center"/>
      <protection locked="0"/>
    </xf>
    <xf numFmtId="1" fontId="84" fillId="16" borderId="138" xfId="3" applyNumberFormat="1" applyFont="1" applyFill="1" applyBorder="1" applyAlignment="1" applyProtection="1">
      <alignment horizontal="center"/>
      <protection locked="0"/>
    </xf>
    <xf numFmtId="1" fontId="84" fillId="16" borderId="139" xfId="3" applyNumberFormat="1" applyFont="1" applyFill="1" applyBorder="1" applyAlignment="1" applyProtection="1">
      <alignment horizontal="center"/>
      <protection locked="0"/>
    </xf>
    <xf numFmtId="1" fontId="84" fillId="16" borderId="138" xfId="0" applyNumberFormat="1" applyFont="1" applyFill="1" applyBorder="1" applyAlignment="1" applyProtection="1">
      <alignment horizontal="left"/>
      <protection locked="0"/>
    </xf>
    <xf numFmtId="1" fontId="84" fillId="16" borderId="139" xfId="0" applyNumberFormat="1" applyFont="1" applyFill="1" applyBorder="1" applyAlignment="1" applyProtection="1">
      <alignment horizontal="left"/>
      <protection locked="0"/>
    </xf>
    <xf numFmtId="1" fontId="52" fillId="4" borderId="138" xfId="3" applyNumberFormat="1" applyFont="1" applyFill="1" applyBorder="1" applyAlignment="1" applyProtection="1">
      <alignment horizontal="left" vertical="center" wrapText="1"/>
      <protection hidden="1"/>
    </xf>
    <xf numFmtId="1" fontId="52" fillId="4" borderId="139" xfId="3" applyNumberFormat="1" applyFont="1" applyFill="1" applyBorder="1" applyAlignment="1" applyProtection="1">
      <alignment horizontal="left" vertical="center" wrapText="1"/>
      <protection hidden="1"/>
    </xf>
    <xf numFmtId="1" fontId="52" fillId="4" borderId="140" xfId="3" applyNumberFormat="1" applyFont="1" applyFill="1" applyBorder="1" applyAlignment="1" applyProtection="1">
      <alignment horizontal="left" vertical="center" wrapText="1"/>
      <protection hidden="1"/>
    </xf>
    <xf numFmtId="1" fontId="84" fillId="4" borderId="143" xfId="0" applyNumberFormat="1" applyFont="1" applyFill="1" applyBorder="1" applyAlignment="1" applyProtection="1">
      <alignment horizontal="center"/>
      <protection hidden="1"/>
    </xf>
    <xf numFmtId="1" fontId="84" fillId="4" borderId="144" xfId="0" applyNumberFormat="1" applyFont="1" applyFill="1" applyBorder="1" applyAlignment="1" applyProtection="1">
      <alignment horizontal="center"/>
      <protection hidden="1"/>
    </xf>
    <xf numFmtId="1" fontId="52" fillId="4" borderId="143" xfId="3" quotePrefix="1" applyNumberFormat="1" applyFont="1" applyFill="1" applyBorder="1" applyAlignment="1" applyProtection="1">
      <alignment horizontal="center"/>
      <protection hidden="1"/>
    </xf>
    <xf numFmtId="1" fontId="52" fillId="4" borderId="144" xfId="3" applyNumberFormat="1" applyFont="1" applyFill="1" applyBorder="1" applyAlignment="1" applyProtection="1">
      <alignment horizontal="center"/>
      <protection hidden="1"/>
    </xf>
    <xf numFmtId="1" fontId="52" fillId="4" borderId="137" xfId="0" applyNumberFormat="1" applyFont="1" applyFill="1" applyBorder="1" applyAlignment="1" applyProtection="1">
      <alignment horizontal="center"/>
      <protection hidden="1"/>
    </xf>
    <xf numFmtId="1" fontId="52" fillId="4" borderId="144" xfId="0" applyNumberFormat="1" applyFont="1" applyFill="1" applyBorder="1" applyAlignment="1" applyProtection="1">
      <alignment horizontal="center"/>
      <protection hidden="1"/>
    </xf>
    <xf numFmtId="14" fontId="52" fillId="4" borderId="143" xfId="0" applyNumberFormat="1" applyFont="1" applyFill="1" applyBorder="1" applyAlignment="1" applyProtection="1">
      <alignment horizontal="center"/>
      <protection hidden="1"/>
    </xf>
    <xf numFmtId="14" fontId="52" fillId="4" borderId="144" xfId="0" applyNumberFormat="1" applyFont="1" applyFill="1" applyBorder="1" applyAlignment="1" applyProtection="1">
      <alignment horizontal="center"/>
      <protection hidden="1"/>
    </xf>
    <xf numFmtId="1" fontId="52" fillId="4" borderId="75" xfId="0" quotePrefix="1" applyNumberFormat="1" applyFont="1" applyFill="1" applyBorder="1" applyAlignment="1" applyProtection="1">
      <alignment horizontal="center"/>
      <protection hidden="1"/>
    </xf>
    <xf numFmtId="1" fontId="52" fillId="4" borderId="75" xfId="0" applyNumberFormat="1" applyFont="1" applyFill="1" applyBorder="1" applyAlignment="1" applyProtection="1">
      <alignment horizontal="center"/>
      <protection hidden="1"/>
    </xf>
    <xf numFmtId="1" fontId="52" fillId="4" borderId="144" xfId="3" quotePrefix="1" applyNumberFormat="1" applyFont="1" applyFill="1" applyBorder="1" applyAlignment="1" applyProtection="1">
      <alignment horizontal="center"/>
      <protection hidden="1"/>
    </xf>
    <xf numFmtId="1" fontId="52" fillId="4" borderId="139" xfId="0" applyNumberFormat="1" applyFont="1" applyFill="1" applyBorder="1" applyAlignment="1" applyProtection="1">
      <alignment horizontal="center"/>
      <protection hidden="1"/>
    </xf>
    <xf numFmtId="1" fontId="52" fillId="4" borderId="141" xfId="0" applyNumberFormat="1" applyFont="1" applyFill="1" applyBorder="1" applyAlignment="1" applyProtection="1">
      <alignment horizontal="center"/>
      <protection hidden="1"/>
    </xf>
    <xf numFmtId="1" fontId="52" fillId="4" borderId="142" xfId="0" applyNumberFormat="1" applyFont="1" applyFill="1" applyBorder="1" applyAlignment="1" applyProtection="1">
      <alignment horizontal="center"/>
      <protection hidden="1"/>
    </xf>
    <xf numFmtId="1" fontId="52" fillId="4" borderId="87" xfId="0" applyNumberFormat="1" applyFont="1" applyFill="1" applyBorder="1" applyAlignment="1" applyProtection="1">
      <alignment horizontal="center"/>
      <protection hidden="1"/>
    </xf>
    <xf numFmtId="1" fontId="52" fillId="4" borderId="84" xfId="0"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86" fillId="4" borderId="133" xfId="3" applyNumberFormat="1" applyFont="1" applyFill="1" applyBorder="1" applyAlignment="1" applyProtection="1">
      <alignment horizontal="center"/>
      <protection hidden="1"/>
    </xf>
    <xf numFmtId="1" fontId="86" fillId="4" borderId="85" xfId="3" applyNumberFormat="1" applyFont="1" applyFill="1" applyBorder="1" applyAlignment="1" applyProtection="1">
      <alignment horizontal="center"/>
      <protection hidden="1"/>
    </xf>
    <xf numFmtId="1" fontId="86" fillId="4" borderId="134" xfId="3" applyNumberFormat="1" applyFont="1" applyFill="1" applyBorder="1" applyAlignment="1" applyProtection="1">
      <alignment horizontal="center"/>
      <protection hidden="1"/>
    </xf>
    <xf numFmtId="1" fontId="86" fillId="4" borderId="87" xfId="3" applyNumberFormat="1" applyFont="1" applyFill="1" applyBorder="1" applyAlignment="1" applyProtection="1">
      <alignment horizontal="center"/>
      <protection hidden="1"/>
    </xf>
    <xf numFmtId="1" fontId="86" fillId="4" borderId="0" xfId="3" applyNumberFormat="1" applyFont="1" applyFill="1" applyBorder="1" applyAlignment="1" applyProtection="1">
      <alignment horizontal="center"/>
      <protection hidden="1"/>
    </xf>
    <xf numFmtId="1" fontId="86" fillId="4" borderId="84" xfId="3" applyNumberFormat="1" applyFont="1" applyFill="1" applyBorder="1" applyAlignment="1" applyProtection="1">
      <alignment horizontal="center"/>
      <protection hidden="1"/>
    </xf>
    <xf numFmtId="1" fontId="52" fillId="4" borderId="143" xfId="3" applyNumberFormat="1" applyFont="1" applyFill="1" applyBorder="1" applyAlignment="1" applyProtection="1">
      <alignment horizontal="center"/>
      <protection hidden="1"/>
    </xf>
    <xf numFmtId="1" fontId="87" fillId="4" borderId="136" xfId="3" applyNumberFormat="1" applyFont="1" applyFill="1" applyBorder="1" applyAlignment="1" applyProtection="1">
      <alignment horizontal="center"/>
      <protection hidden="1"/>
    </xf>
    <xf numFmtId="1" fontId="87" fillId="4" borderId="85" xfId="3" applyNumberFormat="1" applyFont="1" applyFill="1" applyBorder="1" applyAlignment="1" applyProtection="1">
      <alignment horizontal="center"/>
      <protection hidden="1"/>
    </xf>
    <xf numFmtId="1" fontId="87" fillId="4" borderId="137" xfId="3" applyNumberFormat="1" applyFont="1" applyFill="1" applyBorder="1" applyAlignment="1" applyProtection="1">
      <alignment horizontal="center"/>
      <protection hidden="1"/>
    </xf>
    <xf numFmtId="1" fontId="87" fillId="4" borderId="220" xfId="3" applyNumberFormat="1" applyFont="1" applyFill="1" applyBorder="1" applyAlignment="1" applyProtection="1">
      <alignment horizontal="center"/>
      <protection hidden="1"/>
    </xf>
    <xf numFmtId="1" fontId="52" fillId="4" borderId="85" xfId="0" applyNumberFormat="1" applyFont="1" applyFill="1" applyBorder="1" applyAlignment="1" applyProtection="1">
      <alignment horizontal="center"/>
      <protection hidden="1"/>
    </xf>
    <xf numFmtId="1" fontId="52" fillId="4" borderId="134" xfId="0" applyNumberFormat="1" applyFont="1" applyFill="1" applyBorder="1" applyAlignment="1" applyProtection="1">
      <alignment horizontal="center"/>
      <protection hidden="1"/>
    </xf>
    <xf numFmtId="1" fontId="52" fillId="4" borderId="133" xfId="3" applyNumberFormat="1" applyFont="1" applyFill="1" applyBorder="1" applyAlignment="1" applyProtection="1">
      <alignment horizontal="center"/>
      <protection hidden="1"/>
    </xf>
    <xf numFmtId="1" fontId="52" fillId="4" borderId="85" xfId="3" applyNumberFormat="1" applyFont="1" applyFill="1" applyBorder="1" applyAlignment="1" applyProtection="1">
      <alignment horizontal="center"/>
      <protection hidden="1"/>
    </xf>
    <xf numFmtId="1" fontId="52" fillId="4" borderId="137" xfId="3" applyNumberFormat="1" applyFont="1" applyFill="1" applyBorder="1" applyAlignment="1" applyProtection="1">
      <alignment horizontal="center"/>
      <protection hidden="1"/>
    </xf>
    <xf numFmtId="1" fontId="52" fillId="4" borderId="86" xfId="3" applyNumberFormat="1" applyFont="1" applyFill="1" applyBorder="1" applyAlignment="1" applyProtection="1">
      <alignment horizontal="center"/>
      <protection hidden="1"/>
    </xf>
    <xf numFmtId="1" fontId="52" fillId="16" borderId="137" xfId="0" applyNumberFormat="1" applyFont="1" applyFill="1" applyBorder="1" applyAlignment="1" applyProtection="1">
      <alignment horizontal="center"/>
      <protection locked="0"/>
    </xf>
    <xf numFmtId="1" fontId="52" fillId="16" borderId="144" xfId="0" applyNumberFormat="1" applyFont="1" applyFill="1" applyBorder="1" applyAlignment="1" applyProtection="1">
      <alignment horizontal="center"/>
      <protection locked="0"/>
    </xf>
    <xf numFmtId="1" fontId="52" fillId="16" borderId="143" xfId="3" applyNumberFormat="1" applyFont="1" applyFill="1" applyBorder="1" applyAlignment="1" applyProtection="1">
      <alignment horizontal="center"/>
      <protection locked="0"/>
    </xf>
    <xf numFmtId="1" fontId="52" fillId="16" borderId="144" xfId="3" applyNumberFormat="1" applyFont="1" applyFill="1" applyBorder="1" applyAlignment="1" applyProtection="1">
      <alignment horizontal="center"/>
      <protection locked="0"/>
    </xf>
    <xf numFmtId="1" fontId="52" fillId="16" borderId="133" xfId="0" applyNumberFormat="1" applyFont="1" applyFill="1" applyBorder="1" applyAlignment="1" applyProtection="1">
      <alignment horizontal="center"/>
      <protection locked="0"/>
    </xf>
    <xf numFmtId="1" fontId="52" fillId="16" borderId="134" xfId="0" applyNumberFormat="1" applyFont="1" applyFill="1" applyBorder="1" applyAlignment="1" applyProtection="1">
      <alignment horizontal="center"/>
      <protection locked="0"/>
    </xf>
    <xf numFmtId="1" fontId="52" fillId="16" borderId="75" xfId="0" applyNumberFormat="1" applyFont="1" applyFill="1" applyBorder="1" applyAlignment="1" applyProtection="1">
      <alignment horizontal="center"/>
      <protection locked="0"/>
    </xf>
    <xf numFmtId="1" fontId="52" fillId="4" borderId="219" xfId="0" applyNumberFormat="1" applyFont="1" applyFill="1" applyBorder="1" applyAlignment="1" applyProtection="1">
      <alignment horizontal="center"/>
      <protection hidden="1"/>
    </xf>
    <xf numFmtId="1" fontId="52" fillId="4" borderId="220" xfId="3" applyNumberFormat="1" applyFont="1" applyFill="1" applyBorder="1" applyAlignment="1" applyProtection="1">
      <alignment horizontal="center"/>
      <protection hidden="1"/>
    </xf>
    <xf numFmtId="1" fontId="84" fillId="4" borderId="219" xfId="0" applyNumberFormat="1" applyFont="1" applyFill="1" applyBorder="1" applyAlignment="1" applyProtection="1">
      <alignment horizontal="center"/>
      <protection hidden="1"/>
    </xf>
    <xf numFmtId="1" fontId="84" fillId="4" borderId="143" xfId="3" applyNumberFormat="1" applyFont="1" applyFill="1" applyBorder="1" applyAlignment="1" applyProtection="1">
      <alignment horizontal="center"/>
      <protection hidden="1"/>
    </xf>
    <xf numFmtId="1" fontId="84" fillId="4" borderId="144" xfId="3" applyNumberFormat="1" applyFont="1" applyFill="1" applyBorder="1" applyAlignment="1" applyProtection="1">
      <alignment horizontal="center"/>
      <protection hidden="1"/>
    </xf>
    <xf numFmtId="1" fontId="84" fillId="4" borderId="220" xfId="3" applyNumberFormat="1" applyFont="1" applyFill="1" applyBorder="1" applyAlignment="1" applyProtection="1">
      <alignment horizontal="center"/>
      <protection hidden="1"/>
    </xf>
    <xf numFmtId="1" fontId="0" fillId="4" borderId="220" xfId="0" applyNumberFormat="1" applyFill="1" applyBorder="1" applyAlignment="1" applyProtection="1">
      <alignment horizontal="center"/>
      <protection hidden="1"/>
    </xf>
    <xf numFmtId="1" fontId="84" fillId="4" borderId="80" xfId="0" applyNumberFormat="1" applyFont="1" applyFill="1" applyBorder="1" applyAlignment="1" applyProtection="1">
      <alignment horizontal="center"/>
      <protection hidden="1"/>
    </xf>
    <xf numFmtId="1" fontId="52" fillId="4" borderId="75" xfId="0" applyNumberFormat="1" applyFont="1" applyFill="1" applyBorder="1" applyProtection="1">
      <protection hidden="1"/>
    </xf>
    <xf numFmtId="1" fontId="84" fillId="4" borderId="70" xfId="0" applyNumberFormat="1" applyFont="1" applyFill="1" applyBorder="1" applyAlignment="1" applyProtection="1">
      <alignment horizontal="center"/>
      <protection hidden="1"/>
    </xf>
    <xf numFmtId="1" fontId="84" fillId="4" borderId="0" xfId="0" applyNumberFormat="1" applyFont="1" applyFill="1" applyBorder="1" applyAlignment="1" applyProtection="1">
      <alignment horizontal="center"/>
      <protection hidden="1"/>
    </xf>
    <xf numFmtId="1" fontId="84" fillId="4" borderId="196" xfId="0" applyNumberFormat="1" applyFont="1" applyFill="1" applyBorder="1" applyAlignment="1" applyProtection="1">
      <alignment horizontal="center"/>
      <protection hidden="1"/>
    </xf>
    <xf numFmtId="1" fontId="84" fillId="4" borderId="195" xfId="0" applyNumberFormat="1" applyFont="1" applyFill="1" applyBorder="1" applyAlignment="1" applyProtection="1">
      <alignment horizontal="center"/>
      <protection hidden="1"/>
    </xf>
    <xf numFmtId="1" fontId="84" fillId="4" borderId="71" xfId="0" applyNumberFormat="1" applyFont="1" applyFill="1" applyBorder="1" applyAlignment="1" applyProtection="1">
      <alignment horizontal="center"/>
      <protection hidden="1"/>
    </xf>
    <xf numFmtId="1" fontId="84" fillId="4" borderId="80" xfId="0" applyNumberFormat="1" applyFont="1" applyFill="1" applyBorder="1" applyAlignment="1" applyProtection="1">
      <alignment horizontal="center" vertical="center"/>
      <protection hidden="1"/>
    </xf>
    <xf numFmtId="1" fontId="84" fillId="4" borderId="75" xfId="0" applyNumberFormat="1" applyFont="1" applyFill="1" applyBorder="1" applyAlignment="1" applyProtection="1">
      <alignment horizontal="center" vertical="center"/>
      <protection hidden="1"/>
    </xf>
    <xf numFmtId="1" fontId="52" fillId="4" borderId="75" xfId="0" applyNumberFormat="1" applyFont="1" applyFill="1" applyBorder="1" applyAlignment="1" applyProtection="1">
      <alignment horizontal="center" vertical="center" wrapText="1"/>
      <protection hidden="1"/>
    </xf>
    <xf numFmtId="1" fontId="52" fillId="4" borderId="75" xfId="3" applyNumberFormat="1" applyFont="1" applyFill="1" applyBorder="1" applyAlignment="1" applyProtection="1">
      <alignment horizontal="center" vertical="center" wrapText="1"/>
      <protection hidden="1"/>
    </xf>
    <xf numFmtId="1" fontId="52" fillId="4" borderId="143" xfId="0" applyNumberFormat="1" applyFont="1" applyFill="1" applyBorder="1" applyAlignment="1" applyProtection="1">
      <alignment horizontal="center" vertical="center" wrapText="1"/>
      <protection hidden="1"/>
    </xf>
    <xf numFmtId="1" fontId="52" fillId="4" borderId="137" xfId="0" applyNumberFormat="1" applyFont="1" applyFill="1" applyBorder="1" applyAlignment="1" applyProtection="1">
      <alignment horizontal="center" vertical="center" wrapText="1"/>
      <protection hidden="1"/>
    </xf>
    <xf numFmtId="1" fontId="52" fillId="4" borderId="144" xfId="0" applyNumberFormat="1" applyFont="1" applyFill="1" applyBorder="1" applyAlignment="1" applyProtection="1">
      <alignment horizontal="center" vertical="center" wrapText="1"/>
      <protection hidden="1"/>
    </xf>
    <xf numFmtId="1" fontId="52" fillId="4" borderId="76" xfId="0" applyNumberFormat="1" applyFont="1" applyFill="1" applyBorder="1" applyAlignment="1" applyProtection="1">
      <alignment horizontal="center" vertical="center" wrapText="1"/>
      <protection hidden="1"/>
    </xf>
    <xf numFmtId="1" fontId="83" fillId="4" borderId="136" xfId="0" applyNumberFormat="1" applyFont="1" applyFill="1" applyBorder="1" applyAlignment="1" applyProtection="1">
      <alignment horizontal="center" vertical="center" wrapText="1"/>
      <protection hidden="1"/>
    </xf>
    <xf numFmtId="1" fontId="83" fillId="4" borderId="85" xfId="0" applyNumberFormat="1" applyFont="1" applyFill="1" applyBorder="1" applyAlignment="1" applyProtection="1">
      <alignment horizontal="center" vertical="center" wrapText="1"/>
      <protection hidden="1"/>
    </xf>
    <xf numFmtId="1" fontId="83" fillId="4" borderId="134" xfId="0" applyNumberFormat="1" applyFont="1" applyFill="1" applyBorder="1" applyAlignment="1" applyProtection="1">
      <alignment horizontal="center" vertical="center" wrapText="1"/>
      <protection hidden="1"/>
    </xf>
    <xf numFmtId="1" fontId="83" fillId="4" borderId="70" xfId="0" applyNumberFormat="1" applyFont="1" applyFill="1" applyBorder="1" applyAlignment="1" applyProtection="1">
      <alignment horizontal="center" vertical="center" wrapText="1"/>
      <protection hidden="1"/>
    </xf>
    <xf numFmtId="1" fontId="83" fillId="4" borderId="0" xfId="0" applyNumberFormat="1" applyFont="1" applyFill="1" applyBorder="1" applyAlignment="1" applyProtection="1">
      <alignment horizontal="center" vertical="center" wrapText="1"/>
      <protection hidden="1"/>
    </xf>
    <xf numFmtId="1" fontId="83" fillId="4" borderId="84" xfId="0" applyNumberFormat="1" applyFont="1" applyFill="1" applyBorder="1" applyAlignment="1" applyProtection="1">
      <alignment horizontal="center" vertical="center" wrapText="1"/>
      <protection hidden="1"/>
    </xf>
    <xf numFmtId="1" fontId="83" fillId="4" borderId="138" xfId="0" applyNumberFormat="1" applyFont="1" applyFill="1" applyBorder="1" applyAlignment="1" applyProtection="1">
      <alignment horizontal="center" vertical="center" wrapText="1"/>
      <protection hidden="1"/>
    </xf>
    <xf numFmtId="1" fontId="83" fillId="4" borderId="139" xfId="0" applyNumberFormat="1" applyFont="1" applyFill="1" applyBorder="1" applyAlignment="1" applyProtection="1">
      <alignment horizontal="center" vertical="center" wrapText="1"/>
      <protection hidden="1"/>
    </xf>
    <xf numFmtId="1" fontId="83" fillId="4" borderId="142" xfId="0" applyNumberFormat="1" applyFont="1" applyFill="1" applyBorder="1" applyAlignment="1" applyProtection="1">
      <alignment horizontal="center" vertical="center" wrapText="1"/>
      <protection hidden="1"/>
    </xf>
    <xf numFmtId="1" fontId="86" fillId="16" borderId="146" xfId="3" applyNumberFormat="1" applyFont="1" applyFill="1" applyBorder="1" applyAlignment="1" applyProtection="1">
      <alignment horizontal="left" vertical="top"/>
      <protection locked="0"/>
    </xf>
    <xf numFmtId="1" fontId="86" fillId="16" borderId="85" xfId="3" applyNumberFormat="1" applyFont="1" applyFill="1" applyBorder="1" applyAlignment="1" applyProtection="1">
      <alignment horizontal="left" vertical="top"/>
      <protection locked="0"/>
    </xf>
    <xf numFmtId="1" fontId="86" fillId="16" borderId="134" xfId="3" applyNumberFormat="1" applyFont="1" applyFill="1" applyBorder="1" applyAlignment="1" applyProtection="1">
      <alignment horizontal="left" vertical="top"/>
      <protection locked="0"/>
    </xf>
    <xf numFmtId="1" fontId="86" fillId="16" borderId="148" xfId="3" applyNumberFormat="1" applyFont="1" applyFill="1" applyBorder="1" applyAlignment="1" applyProtection="1">
      <alignment horizontal="left" vertical="top"/>
      <protection locked="0"/>
    </xf>
    <xf numFmtId="1" fontId="86" fillId="16" borderId="0" xfId="3" applyNumberFormat="1" applyFont="1" applyFill="1" applyBorder="1" applyAlignment="1" applyProtection="1">
      <alignment horizontal="left" vertical="top"/>
      <protection locked="0"/>
    </xf>
    <xf numFmtId="1" fontId="86" fillId="16" borderId="84" xfId="3" applyNumberFormat="1" applyFont="1" applyFill="1" applyBorder="1" applyAlignment="1" applyProtection="1">
      <alignment horizontal="left" vertical="top"/>
      <protection locked="0"/>
    </xf>
    <xf numFmtId="1" fontId="86" fillId="16" borderId="150" xfId="3" applyNumberFormat="1" applyFont="1" applyFill="1" applyBorder="1" applyAlignment="1" applyProtection="1">
      <alignment horizontal="left" vertical="top"/>
      <protection locked="0"/>
    </xf>
    <xf numFmtId="1" fontId="86" fillId="16" borderId="139" xfId="3" applyNumberFormat="1" applyFont="1" applyFill="1" applyBorder="1" applyAlignment="1" applyProtection="1">
      <alignment horizontal="left" vertical="top"/>
      <protection locked="0"/>
    </xf>
    <xf numFmtId="1" fontId="86" fillId="16" borderId="142" xfId="3" applyNumberFormat="1" applyFont="1" applyFill="1" applyBorder="1" applyAlignment="1" applyProtection="1">
      <alignment horizontal="left" vertical="top"/>
      <protection locked="0"/>
    </xf>
    <xf numFmtId="1" fontId="0" fillId="4" borderId="137" xfId="0" applyNumberFormat="1" applyFill="1" applyBorder="1" applyProtection="1">
      <protection hidden="1"/>
    </xf>
    <xf numFmtId="1" fontId="0" fillId="4" borderId="220" xfId="0" applyNumberFormat="1" applyFill="1" applyBorder="1" applyProtection="1">
      <protection hidden="1"/>
    </xf>
    <xf numFmtId="1" fontId="83" fillId="4" borderId="133" xfId="0" applyNumberFormat="1" applyFont="1" applyFill="1" applyBorder="1" applyAlignment="1" applyProtection="1">
      <alignment horizontal="center" vertical="center"/>
      <protection hidden="1"/>
    </xf>
    <xf numFmtId="1" fontId="83" fillId="4" borderId="85" xfId="0" applyNumberFormat="1" applyFont="1" applyFill="1" applyBorder="1" applyAlignment="1" applyProtection="1">
      <alignment vertical="center"/>
      <protection hidden="1"/>
    </xf>
    <xf numFmtId="1" fontId="83" fillId="4" borderId="86" xfId="0" applyNumberFormat="1" applyFont="1" applyFill="1" applyBorder="1" applyAlignment="1" applyProtection="1">
      <alignment vertical="center"/>
      <protection hidden="1"/>
    </xf>
    <xf numFmtId="1" fontId="83" fillId="4" borderId="141" xfId="0" applyNumberFormat="1" applyFont="1" applyFill="1" applyBorder="1" applyAlignment="1" applyProtection="1">
      <alignment vertical="center"/>
      <protection hidden="1"/>
    </xf>
    <xf numFmtId="1" fontId="83" fillId="4" borderId="139" xfId="0" applyNumberFormat="1" applyFont="1" applyFill="1" applyBorder="1" applyAlignment="1" applyProtection="1">
      <alignment vertical="center"/>
      <protection hidden="1"/>
    </xf>
    <xf numFmtId="1" fontId="83" fillId="4" borderId="140" xfId="0" applyNumberFormat="1" applyFont="1" applyFill="1" applyBorder="1" applyAlignment="1" applyProtection="1">
      <alignment vertical="center"/>
      <protection hidden="1"/>
    </xf>
    <xf numFmtId="172" fontId="84" fillId="4" borderId="143" xfId="0" applyNumberFormat="1" applyFont="1" applyFill="1" applyBorder="1" applyAlignment="1" applyProtection="1">
      <alignment horizontal="center"/>
      <protection hidden="1"/>
    </xf>
    <xf numFmtId="172" fontId="84" fillId="4" borderId="144" xfId="0" applyNumberFormat="1" applyFont="1" applyFill="1" applyBorder="1" applyAlignment="1" applyProtection="1">
      <alignment horizontal="center"/>
      <protection hidden="1"/>
    </xf>
    <xf numFmtId="1" fontId="84" fillId="4" borderId="220" xfId="0" applyNumberFormat="1" applyFont="1" applyFill="1" applyBorder="1" applyAlignment="1" applyProtection="1">
      <alignment horizontal="center"/>
      <protection hidden="1"/>
    </xf>
    <xf numFmtId="1" fontId="52" fillId="16" borderId="219" xfId="0" applyNumberFormat="1" applyFont="1" applyFill="1" applyBorder="1" applyAlignment="1" applyProtection="1">
      <alignment horizontal="center" vertical="center"/>
      <protection locked="0"/>
    </xf>
    <xf numFmtId="1" fontId="52" fillId="16" borderId="137" xfId="0" applyNumberFormat="1" applyFont="1" applyFill="1" applyBorder="1" applyAlignment="1" applyProtection="1">
      <alignment horizontal="center" vertical="center"/>
      <protection locked="0"/>
    </xf>
    <xf numFmtId="1" fontId="52" fillId="16" borderId="144" xfId="0" applyNumberFormat="1" applyFont="1" applyFill="1" applyBorder="1" applyAlignment="1" applyProtection="1">
      <alignment horizontal="center" vertical="center"/>
      <protection locked="0"/>
    </xf>
    <xf numFmtId="1" fontId="84" fillId="4" borderId="75" xfId="0" applyNumberFormat="1" applyFont="1" applyFill="1" applyBorder="1" applyAlignment="1" applyProtection="1">
      <alignment horizontal="center"/>
      <protection hidden="1"/>
    </xf>
    <xf numFmtId="1" fontId="84" fillId="4" borderId="151" xfId="0" applyNumberFormat="1" applyFont="1" applyFill="1" applyBorder="1" applyAlignment="1" applyProtection="1">
      <alignment horizontal="center"/>
      <protection hidden="1"/>
    </xf>
    <xf numFmtId="1" fontId="84" fillId="4" borderId="155" xfId="0" applyNumberFormat="1" applyFont="1" applyFill="1" applyBorder="1" applyAlignment="1" applyProtection="1">
      <alignment horizontal="center"/>
      <protection hidden="1"/>
    </xf>
    <xf numFmtId="1" fontId="84" fillId="4" borderId="141" xfId="0" applyNumberFormat="1" applyFont="1" applyFill="1" applyBorder="1" applyAlignment="1" applyProtection="1">
      <alignment horizontal="center"/>
      <protection hidden="1"/>
    </xf>
    <xf numFmtId="1" fontId="84" fillId="4" borderId="139" xfId="0" applyNumberFormat="1" applyFont="1" applyFill="1" applyBorder="1" applyAlignment="1" applyProtection="1">
      <alignment horizontal="center"/>
      <protection hidden="1"/>
    </xf>
    <xf numFmtId="1" fontId="84" fillId="4" borderId="140" xfId="0" applyNumberFormat="1" applyFont="1" applyFill="1" applyBorder="1" applyAlignment="1" applyProtection="1">
      <alignment horizontal="center"/>
      <protection hidden="1"/>
    </xf>
    <xf numFmtId="1" fontId="142" fillId="4" borderId="67" xfId="0" applyNumberFormat="1" applyFont="1" applyFill="1" applyBorder="1" applyAlignment="1" applyProtection="1">
      <alignment horizontal="center" vertical="center"/>
      <protection hidden="1"/>
    </xf>
    <xf numFmtId="1" fontId="142" fillId="4" borderId="68" xfId="0" applyNumberFormat="1" applyFont="1" applyFill="1" applyBorder="1" applyAlignment="1" applyProtection="1">
      <alignment horizontal="center" vertical="center"/>
      <protection hidden="1"/>
    </xf>
    <xf numFmtId="1" fontId="142" fillId="4" borderId="198" xfId="0" applyNumberFormat="1" applyFont="1" applyFill="1" applyBorder="1" applyAlignment="1" applyProtection="1">
      <alignment horizontal="center" vertical="center"/>
      <protection hidden="1"/>
    </xf>
    <xf numFmtId="1" fontId="142" fillId="4" borderId="70" xfId="0" applyNumberFormat="1" applyFont="1" applyFill="1" applyBorder="1" applyAlignment="1" applyProtection="1">
      <alignment horizontal="center" vertical="center"/>
      <protection hidden="1"/>
    </xf>
    <xf numFmtId="1" fontId="142" fillId="4" borderId="0" xfId="0" applyNumberFormat="1" applyFont="1" applyFill="1" applyBorder="1" applyAlignment="1" applyProtection="1">
      <alignment horizontal="center" vertical="center"/>
      <protection hidden="1"/>
    </xf>
    <xf numFmtId="1" fontId="142" fillId="4" borderId="196" xfId="0" applyNumberFormat="1" applyFont="1" applyFill="1" applyBorder="1" applyAlignment="1" applyProtection="1">
      <alignment horizontal="center" vertical="center"/>
      <protection hidden="1"/>
    </xf>
    <xf numFmtId="1" fontId="141" fillId="4" borderId="197" xfId="0" applyNumberFormat="1" applyFont="1" applyFill="1" applyBorder="1" applyAlignment="1" applyProtection="1">
      <alignment horizontal="center" vertical="center"/>
      <protection hidden="1"/>
    </xf>
    <xf numFmtId="1" fontId="141" fillId="4" borderId="68" xfId="0" applyNumberFormat="1" applyFont="1" applyFill="1" applyBorder="1" applyAlignment="1" applyProtection="1">
      <alignment horizontal="center" vertical="center"/>
      <protection hidden="1"/>
    </xf>
    <xf numFmtId="1" fontId="141" fillId="4" borderId="69" xfId="0" applyNumberFormat="1" applyFont="1" applyFill="1" applyBorder="1" applyAlignment="1" applyProtection="1">
      <alignment horizontal="center" vertical="center"/>
      <protection hidden="1"/>
    </xf>
    <xf numFmtId="1" fontId="141" fillId="4" borderId="195" xfId="0" applyNumberFormat="1" applyFont="1" applyFill="1" applyBorder="1" applyAlignment="1" applyProtection="1">
      <alignment horizontal="center" vertical="center"/>
      <protection hidden="1"/>
    </xf>
    <xf numFmtId="1" fontId="141" fillId="4" borderId="0" xfId="0" applyNumberFormat="1" applyFont="1" applyFill="1" applyBorder="1" applyAlignment="1" applyProtection="1">
      <alignment horizontal="center" vertical="center"/>
      <protection hidden="1"/>
    </xf>
    <xf numFmtId="1" fontId="141" fillId="4" borderId="71" xfId="0" applyNumberFormat="1" applyFont="1" applyFill="1" applyBorder="1" applyAlignment="1" applyProtection="1">
      <alignment horizontal="center" vertical="center"/>
      <protection hidden="1"/>
    </xf>
    <xf numFmtId="1" fontId="85" fillId="4" borderId="195" xfId="0" applyNumberFormat="1" applyFont="1" applyFill="1" applyBorder="1" applyAlignment="1" applyProtection="1">
      <alignment horizontal="center" wrapText="1"/>
      <protection hidden="1"/>
    </xf>
    <xf numFmtId="1" fontId="85" fillId="4" borderId="0" xfId="0" applyNumberFormat="1" applyFont="1" applyFill="1" applyBorder="1" applyAlignment="1" applyProtection="1">
      <alignment horizontal="center" wrapText="1"/>
      <protection hidden="1"/>
    </xf>
    <xf numFmtId="1" fontId="85" fillId="4" borderId="71" xfId="0" applyNumberFormat="1" applyFont="1" applyFill="1" applyBorder="1" applyAlignment="1" applyProtection="1">
      <alignment horizontal="center" wrapText="1"/>
      <protection hidden="1"/>
    </xf>
    <xf numFmtId="1" fontId="85" fillId="4" borderId="199" xfId="0" applyNumberFormat="1" applyFont="1" applyFill="1" applyBorder="1" applyAlignment="1" applyProtection="1">
      <alignment horizontal="center" wrapText="1"/>
      <protection hidden="1"/>
    </xf>
    <xf numFmtId="1" fontId="85" fillId="4" borderId="200" xfId="0" applyNumberFormat="1" applyFont="1" applyFill="1" applyBorder="1" applyAlignment="1" applyProtection="1">
      <alignment horizontal="center" wrapText="1"/>
      <protection hidden="1"/>
    </xf>
    <xf numFmtId="1" fontId="85" fillId="4" borderId="217" xfId="0" applyNumberFormat="1" applyFont="1" applyFill="1" applyBorder="1" applyAlignment="1" applyProtection="1">
      <alignment horizontal="center" wrapText="1"/>
      <protection hidden="1"/>
    </xf>
    <xf numFmtId="170" fontId="52" fillId="4" borderId="45" xfId="3" applyNumberFormat="1" applyFont="1" applyFill="1" applyBorder="1" applyAlignment="1" applyProtection="1">
      <alignment horizontal="center"/>
      <protection hidden="1"/>
    </xf>
    <xf numFmtId="0" fontId="73" fillId="20" borderId="125" xfId="1" applyFont="1" applyFill="1" applyBorder="1" applyAlignment="1" applyProtection="1">
      <alignment horizontal="center" vertical="center"/>
      <protection hidden="1"/>
    </xf>
    <xf numFmtId="0" fontId="73" fillId="20" borderId="126" xfId="1" applyFont="1" applyFill="1" applyBorder="1" applyAlignment="1" applyProtection="1">
      <alignment horizontal="center" vertical="center"/>
      <protection hidden="1"/>
    </xf>
    <xf numFmtId="0" fontId="73" fillId="20" borderId="127" xfId="1" applyFont="1" applyFill="1" applyBorder="1" applyAlignment="1" applyProtection="1">
      <alignment horizontal="center" vertical="center"/>
      <protection hidden="1"/>
    </xf>
    <xf numFmtId="0" fontId="74" fillId="0" borderId="128" xfId="1" applyFont="1" applyBorder="1" applyAlignment="1" applyProtection="1">
      <alignment horizontal="right" vertical="center"/>
      <protection hidden="1"/>
    </xf>
    <xf numFmtId="0" fontId="74" fillId="0" borderId="129" xfId="1" applyFont="1" applyBorder="1" applyAlignment="1" applyProtection="1">
      <alignment horizontal="right" vertical="center"/>
      <protection hidden="1"/>
    </xf>
    <xf numFmtId="0" fontId="74" fillId="0" borderId="130" xfId="1" applyFont="1" applyBorder="1" applyAlignment="1" applyProtection="1">
      <alignment horizontal="right" vertical="center"/>
      <protection hidden="1"/>
    </xf>
    <xf numFmtId="0" fontId="79" fillId="14" borderId="128" xfId="1" applyFont="1" applyFill="1" applyBorder="1" applyAlignment="1" applyProtection="1">
      <alignment horizontal="left" vertical="center" indent="5"/>
      <protection hidden="1"/>
    </xf>
    <xf numFmtId="0" fontId="79" fillId="14" borderId="129" xfId="1" applyFont="1" applyFill="1" applyBorder="1" applyAlignment="1" applyProtection="1">
      <alignment horizontal="left" vertical="center" indent="5"/>
      <protection hidden="1"/>
    </xf>
    <xf numFmtId="0" fontId="79" fillId="14" borderId="130" xfId="1" applyFont="1" applyFill="1" applyBorder="1" applyAlignment="1" applyProtection="1">
      <alignment horizontal="left" vertical="center" indent="5"/>
      <protection hidden="1"/>
    </xf>
    <xf numFmtId="0" fontId="66" fillId="0" borderId="99" xfId="1" applyFont="1" applyBorder="1" applyAlignment="1" applyProtection="1">
      <alignment horizontal="left" vertical="center"/>
      <protection hidden="1"/>
    </xf>
    <xf numFmtId="0" fontId="11" fillId="0" borderId="99" xfId="2" applyFont="1" applyFill="1" applyBorder="1" applyAlignment="1" applyProtection="1">
      <alignment horizontal="left" vertical="center"/>
      <protection hidden="1"/>
    </xf>
    <xf numFmtId="0" fontId="11" fillId="0" borderId="99" xfId="1" applyFont="1" applyFill="1" applyBorder="1" applyAlignment="1" applyProtection="1">
      <alignment horizontal="left" vertical="center"/>
      <protection hidden="1"/>
    </xf>
    <xf numFmtId="0" fontId="11" fillId="0" borderId="99" xfId="1" applyFont="1" applyFill="1" applyBorder="1" applyAlignment="1" applyProtection="1">
      <alignment horizontal="center" vertical="center"/>
      <protection hidden="1"/>
    </xf>
    <xf numFmtId="0" fontId="11" fillId="0" borderId="119" xfId="1" applyFont="1" applyFill="1" applyBorder="1" applyAlignment="1" applyProtection="1">
      <alignment horizontal="center" vertical="center"/>
      <protection hidden="1"/>
    </xf>
    <xf numFmtId="0" fontId="48" fillId="0" borderId="23" xfId="1" applyFont="1" applyFill="1" applyBorder="1" applyAlignment="1" applyProtection="1">
      <alignment vertical="center"/>
      <protection hidden="1"/>
    </xf>
    <xf numFmtId="0" fontId="48" fillId="0" borderId="124" xfId="1" applyFont="1" applyFill="1" applyBorder="1" applyAlignment="1" applyProtection="1">
      <alignment vertical="center"/>
      <protection hidden="1"/>
    </xf>
    <xf numFmtId="0" fontId="48" fillId="0" borderId="24" xfId="1" applyFont="1" applyFill="1" applyBorder="1" applyAlignment="1" applyProtection="1">
      <alignment vertical="center"/>
      <protection hidden="1"/>
    </xf>
    <xf numFmtId="0" fontId="48" fillId="0" borderId="22" xfId="1" applyFont="1" applyFill="1" applyBorder="1" applyAlignment="1" applyProtection="1">
      <alignment vertical="center"/>
      <protection hidden="1"/>
    </xf>
    <xf numFmtId="0" fontId="70" fillId="0" borderId="109" xfId="1" applyFont="1" applyBorder="1" applyAlignment="1" applyProtection="1">
      <alignment horizontal="left" vertical="center"/>
      <protection hidden="1"/>
    </xf>
    <xf numFmtId="0" fontId="70" fillId="0" borderId="110" xfId="1" applyFont="1" applyBorder="1" applyAlignment="1" applyProtection="1">
      <alignment horizontal="left" vertical="center"/>
      <protection hidden="1"/>
    </xf>
    <xf numFmtId="0" fontId="28" fillId="0" borderId="22" xfId="1" applyFont="1" applyBorder="1" applyAlignment="1" applyProtection="1">
      <alignment horizontal="right" vertical="center"/>
      <protection hidden="1"/>
    </xf>
    <xf numFmtId="0" fontId="60" fillId="0" borderId="116" xfId="1" applyFont="1" applyBorder="1" applyAlignment="1" applyProtection="1">
      <alignment horizontal="center" vertical="top"/>
      <protection hidden="1"/>
    </xf>
    <xf numFmtId="0" fontId="70" fillId="0" borderId="22" xfId="1" applyFont="1" applyBorder="1" applyAlignment="1" applyProtection="1">
      <alignment horizontal="left" vertical="center"/>
      <protection hidden="1"/>
    </xf>
    <xf numFmtId="0" fontId="70" fillId="0" borderId="112" xfId="1" applyFont="1" applyBorder="1" applyAlignment="1" applyProtection="1">
      <alignment horizontal="left" vertical="center"/>
      <protection hidden="1"/>
    </xf>
    <xf numFmtId="0" fontId="62" fillId="0" borderId="121" xfId="1" applyFont="1" applyBorder="1" applyAlignment="1" applyProtection="1">
      <alignment horizontal="left" vertical="center"/>
      <protection hidden="1"/>
    </xf>
    <xf numFmtId="0" fontId="62" fillId="0" borderId="123" xfId="1" applyFont="1" applyBorder="1" applyAlignment="1" applyProtection="1">
      <alignment horizontal="center"/>
      <protection hidden="1"/>
    </xf>
    <xf numFmtId="0" fontId="62" fillId="0" borderId="0" xfId="1" applyFont="1" applyBorder="1" applyAlignment="1" applyProtection="1">
      <alignment horizontal="center"/>
      <protection hidden="1"/>
    </xf>
    <xf numFmtId="0" fontId="72" fillId="0" borderId="109" xfId="1" applyFont="1" applyBorder="1" applyAlignment="1" applyProtection="1">
      <alignment horizontal="center" vertical="center" wrapText="1"/>
      <protection hidden="1"/>
    </xf>
    <xf numFmtId="0" fontId="60" fillId="0" borderId="22" xfId="1" applyFont="1" applyBorder="1" applyAlignment="1" applyProtection="1">
      <alignment horizontal="center" wrapText="1"/>
      <protection hidden="1"/>
    </xf>
    <xf numFmtId="173" fontId="105" fillId="0" borderId="168" xfId="6" applyNumberFormat="1" applyFont="1" applyBorder="1" applyAlignment="1" applyProtection="1">
      <alignment horizontal="center" vertical="center"/>
      <protection hidden="1"/>
    </xf>
    <xf numFmtId="173" fontId="105" fillId="0" borderId="135" xfId="6" applyNumberFormat="1" applyFont="1" applyBorder="1" applyAlignment="1" applyProtection="1">
      <alignment horizontal="center" vertical="center"/>
      <protection hidden="1"/>
    </xf>
    <xf numFmtId="173" fontId="105" fillId="0" borderId="155" xfId="6" applyNumberFormat="1" applyFont="1" applyBorder="1" applyAlignment="1" applyProtection="1">
      <alignment horizontal="center" vertical="center"/>
      <protection hidden="1"/>
    </xf>
    <xf numFmtId="173" fontId="105" fillId="0" borderId="168" xfId="0" applyNumberFormat="1" applyFont="1" applyBorder="1" applyAlignment="1" applyProtection="1">
      <alignment horizontal="center" vertical="center"/>
      <protection hidden="1"/>
    </xf>
    <xf numFmtId="0" fontId="105" fillId="0" borderId="135" xfId="0" applyFont="1" applyBorder="1" applyAlignment="1" applyProtection="1">
      <alignment horizontal="center" vertical="center"/>
      <protection hidden="1"/>
    </xf>
    <xf numFmtId="0" fontId="105" fillId="0" borderId="155" xfId="0" applyFont="1" applyBorder="1" applyAlignment="1" applyProtection="1">
      <alignment horizontal="center" vertical="center"/>
      <protection hidden="1"/>
    </xf>
    <xf numFmtId="0" fontId="106" fillId="0" borderId="67" xfId="0" applyFont="1" applyBorder="1" applyAlignment="1" applyProtection="1">
      <alignment horizontal="center" vertical="center"/>
      <protection hidden="1"/>
    </xf>
    <xf numFmtId="0" fontId="106" fillId="0" borderId="68" xfId="0" applyFont="1" applyBorder="1" applyAlignment="1" applyProtection="1">
      <alignment horizontal="center" vertical="center"/>
      <protection hidden="1"/>
    </xf>
    <xf numFmtId="0" fontId="106" fillId="0" borderId="69" xfId="0" applyFont="1" applyBorder="1" applyAlignment="1" applyProtection="1">
      <alignment horizontal="center" vertical="center"/>
      <protection hidden="1"/>
    </xf>
    <xf numFmtId="0" fontId="105" fillId="0" borderId="70" xfId="0" applyFont="1" applyBorder="1" applyAlignment="1" applyProtection="1">
      <alignment horizontal="center" vertical="center"/>
      <protection hidden="1"/>
    </xf>
    <xf numFmtId="0" fontId="105" fillId="0" borderId="0" xfId="0" applyFont="1" applyBorder="1" applyAlignment="1" applyProtection="1">
      <alignment horizontal="center" vertical="center"/>
      <protection hidden="1"/>
    </xf>
    <xf numFmtId="0" fontId="105" fillId="0" borderId="71" xfId="0" applyFont="1" applyBorder="1" applyAlignment="1" applyProtection="1">
      <alignment horizontal="center" vertical="center"/>
      <protection hidden="1"/>
    </xf>
    <xf numFmtId="0" fontId="106" fillId="0" borderId="72" xfId="0" applyFont="1" applyBorder="1" applyAlignment="1" applyProtection="1">
      <alignment horizontal="center" vertical="center"/>
      <protection hidden="1"/>
    </xf>
    <xf numFmtId="0" fontId="106" fillId="0" borderId="73" xfId="0" applyFont="1" applyBorder="1" applyAlignment="1" applyProtection="1">
      <alignment horizontal="center" vertical="center"/>
      <protection hidden="1"/>
    </xf>
    <xf numFmtId="0" fontId="106" fillId="0" borderId="74" xfId="0" applyFont="1" applyBorder="1" applyAlignment="1" applyProtection="1">
      <alignment horizontal="center" vertical="center"/>
      <protection hidden="1"/>
    </xf>
    <xf numFmtId="0" fontId="0" fillId="0" borderId="85"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22" borderId="160" xfId="0" applyFill="1" applyBorder="1" applyAlignment="1" applyProtection="1">
      <alignment horizontal="center" vertical="center" wrapText="1"/>
      <protection hidden="1"/>
    </xf>
    <xf numFmtId="0" fontId="0" fillId="22" borderId="152" xfId="0" applyFill="1" applyBorder="1" applyAlignment="1" applyProtection="1">
      <alignment horizontal="center" vertical="center" wrapText="1"/>
      <protection hidden="1"/>
    </xf>
    <xf numFmtId="0" fontId="0" fillId="22" borderId="151" xfId="0" applyFill="1" applyBorder="1" applyAlignment="1" applyProtection="1">
      <alignment horizontal="center" vertical="center" wrapText="1"/>
      <protection hidden="1"/>
    </xf>
    <xf numFmtId="1" fontId="27" fillId="22" borderId="171" xfId="0" applyNumberFormat="1" applyFont="1" applyFill="1" applyBorder="1" applyAlignment="1" applyProtection="1">
      <alignment horizontal="center" vertical="center" shrinkToFit="1"/>
      <protection locked="0" hidden="1"/>
    </xf>
    <xf numFmtId="0" fontId="27" fillId="22" borderId="170" xfId="0" applyFont="1" applyFill="1" applyBorder="1" applyAlignment="1" applyProtection="1">
      <alignment horizontal="center" vertical="center" shrinkToFit="1"/>
      <protection locked="0" hidden="1"/>
    </xf>
    <xf numFmtId="0" fontId="44" fillId="22" borderId="172" xfId="0" applyFont="1" applyFill="1" applyBorder="1" applyAlignment="1" applyProtection="1">
      <alignment horizontal="center" vertical="center" shrinkToFit="1"/>
      <protection locked="0" hidden="1"/>
    </xf>
    <xf numFmtId="0" fontId="44" fillId="22" borderId="173" xfId="0" applyFont="1" applyFill="1" applyBorder="1" applyAlignment="1" applyProtection="1">
      <alignment horizontal="center" vertical="center" shrinkToFit="1"/>
      <protection locked="0" hidden="1"/>
    </xf>
    <xf numFmtId="0" fontId="0" fillId="27" borderId="0" xfId="0" applyFill="1" applyBorder="1" applyAlignment="1" applyProtection="1">
      <alignment horizontal="left"/>
      <protection hidden="1"/>
    </xf>
    <xf numFmtId="0" fontId="0" fillId="27" borderId="139" xfId="0" applyFill="1" applyBorder="1" applyAlignment="1" applyProtection="1">
      <alignment horizontal="left"/>
      <protection hidden="1"/>
    </xf>
    <xf numFmtId="173" fontId="105" fillId="0" borderId="135" xfId="0" applyNumberFormat="1" applyFont="1" applyBorder="1" applyAlignment="1" applyProtection="1">
      <alignment horizontal="center" vertical="center"/>
      <protection hidden="1"/>
    </xf>
    <xf numFmtId="173" fontId="105" fillId="0" borderId="155" xfId="0" applyNumberFormat="1" applyFont="1" applyBorder="1" applyAlignment="1" applyProtection="1">
      <alignment horizontal="center" vertical="center"/>
      <protection hidden="1"/>
    </xf>
    <xf numFmtId="173" fontId="105" fillId="0" borderId="0" xfId="6" applyNumberFormat="1" applyFont="1" applyBorder="1" applyAlignment="1" applyProtection="1">
      <alignment horizontal="center" vertical="center"/>
      <protection hidden="1"/>
    </xf>
    <xf numFmtId="0" fontId="0" fillId="27" borderId="0" xfId="0" applyFill="1" applyBorder="1" applyAlignment="1" applyProtection="1">
      <alignment horizontal="left" vertical="center"/>
      <protection hidden="1"/>
    </xf>
    <xf numFmtId="1" fontId="27" fillId="0" borderId="0" xfId="0" applyNumberFormat="1" applyFont="1" applyBorder="1" applyAlignment="1" applyProtection="1">
      <alignment horizontal="center" vertical="center"/>
      <protection hidden="1"/>
    </xf>
    <xf numFmtId="0" fontId="27" fillId="0" borderId="84" xfId="0" applyFont="1" applyBorder="1" applyAlignment="1" applyProtection="1">
      <alignment horizontal="center" vertical="center"/>
      <protection hidden="1"/>
    </xf>
    <xf numFmtId="0" fontId="27" fillId="0" borderId="0" xfId="0" applyFont="1" applyBorder="1" applyAlignment="1" applyProtection="1">
      <alignment horizontal="center" vertical="center"/>
      <protection hidden="1"/>
    </xf>
    <xf numFmtId="0" fontId="0" fillId="0" borderId="84" xfId="0" applyBorder="1" applyAlignment="1" applyProtection="1">
      <alignment horizontal="center"/>
      <protection hidden="1"/>
    </xf>
    <xf numFmtId="0" fontId="112" fillId="3" borderId="175" xfId="0" applyFont="1" applyFill="1" applyBorder="1" applyAlignment="1" applyProtection="1">
      <alignment horizontal="left" vertical="justify" wrapText="1" indent="2"/>
      <protection hidden="1"/>
    </xf>
    <xf numFmtId="0" fontId="112" fillId="3" borderId="176" xfId="0" applyFont="1" applyFill="1" applyBorder="1" applyAlignment="1" applyProtection="1">
      <alignment horizontal="left" vertical="justify" wrapText="1" indent="2"/>
      <protection hidden="1"/>
    </xf>
    <xf numFmtId="0" fontId="112" fillId="3" borderId="177" xfId="0" applyFont="1" applyFill="1" applyBorder="1" applyAlignment="1" applyProtection="1">
      <alignment horizontal="left" vertical="justify" wrapText="1" indent="2"/>
      <protection hidden="1"/>
    </xf>
    <xf numFmtId="170" fontId="111" fillId="3" borderId="175" xfId="0" applyNumberFormat="1" applyFont="1" applyFill="1" applyBorder="1" applyAlignment="1" applyProtection="1">
      <alignment horizontal="center" vertical="center" textRotation="90"/>
      <protection hidden="1"/>
    </xf>
    <xf numFmtId="170" fontId="111" fillId="3" borderId="176" xfId="0" applyNumberFormat="1" applyFont="1" applyFill="1" applyBorder="1" applyAlignment="1" applyProtection="1">
      <alignment horizontal="center" vertical="center" textRotation="90"/>
      <protection hidden="1"/>
    </xf>
    <xf numFmtId="170" fontId="111" fillId="3" borderId="177" xfId="0" applyNumberFormat="1" applyFont="1" applyFill="1" applyBorder="1" applyAlignment="1" applyProtection="1">
      <alignment horizontal="center" vertical="center" textRotation="90"/>
      <protection hidden="1"/>
    </xf>
    <xf numFmtId="0" fontId="0" fillId="0" borderId="87" xfId="0" applyBorder="1" applyAlignment="1" applyProtection="1">
      <alignment horizontal="left"/>
      <protection hidden="1"/>
    </xf>
    <xf numFmtId="0" fontId="0" fillId="0" borderId="0" xfId="0" applyBorder="1" applyAlignment="1" applyProtection="1">
      <alignment horizontal="left"/>
      <protection hidden="1"/>
    </xf>
    <xf numFmtId="0" fontId="0" fillId="0" borderId="87" xfId="0" applyBorder="1" applyAlignment="1" applyProtection="1">
      <alignment horizontal="left" vertical="center"/>
      <protection hidden="1"/>
    </xf>
    <xf numFmtId="0" fontId="0" fillId="0" borderId="0" xfId="0" applyBorder="1" applyAlignment="1" applyProtection="1">
      <alignment horizontal="left" vertical="center"/>
      <protection hidden="1"/>
    </xf>
    <xf numFmtId="1" fontId="15" fillId="0" borderId="0" xfId="0" applyNumberFormat="1" applyFont="1" applyFill="1" applyBorder="1" applyAlignment="1" applyProtection="1">
      <alignment horizontal="center" vertical="center" wrapText="1"/>
      <protection hidden="1"/>
    </xf>
    <xf numFmtId="0" fontId="15" fillId="0" borderId="84"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center" vertical="center" wrapText="1"/>
      <protection hidden="1"/>
    </xf>
    <xf numFmtId="173" fontId="105" fillId="0" borderId="167" xfId="6" applyNumberFormat="1" applyFont="1" applyBorder="1" applyAlignment="1" applyProtection="1">
      <alignment horizontal="center" vertical="center"/>
      <protection hidden="1"/>
    </xf>
    <xf numFmtId="173" fontId="106" fillId="0" borderId="168" xfId="6" applyNumberFormat="1" applyFont="1" applyBorder="1" applyAlignment="1" applyProtection="1">
      <alignment horizontal="center" vertical="center"/>
      <protection hidden="1"/>
    </xf>
    <xf numFmtId="173" fontId="106" fillId="0" borderId="155" xfId="6" applyNumberFormat="1" applyFont="1" applyBorder="1" applyAlignment="1" applyProtection="1">
      <alignment horizontal="center" vertical="center"/>
      <protection hidden="1"/>
    </xf>
    <xf numFmtId="0" fontId="27" fillId="0" borderId="87" xfId="0" applyFont="1" applyBorder="1" applyAlignment="1" applyProtection="1">
      <alignment horizontal="center"/>
      <protection hidden="1"/>
    </xf>
    <xf numFmtId="0" fontId="27" fillId="0" borderId="0" xfId="0" applyFont="1" applyBorder="1" applyAlignment="1" applyProtection="1">
      <alignment horizontal="center"/>
      <protection hidden="1"/>
    </xf>
    <xf numFmtId="0" fontId="27" fillId="0" borderId="84" xfId="0" applyFont="1" applyBorder="1" applyAlignment="1" applyProtection="1">
      <alignment horizontal="center"/>
      <protection hidden="1"/>
    </xf>
    <xf numFmtId="0" fontId="0" fillId="0" borderId="87" xfId="0" applyBorder="1" applyAlignment="1" applyProtection="1">
      <alignment horizontal="center"/>
      <protection hidden="1"/>
    </xf>
    <xf numFmtId="0" fontId="27" fillId="0" borderId="87" xfId="0" applyFont="1" applyBorder="1" applyAlignment="1" applyProtection="1">
      <alignment horizontal="justify" vertical="justify" wrapText="1"/>
      <protection hidden="1"/>
    </xf>
    <xf numFmtId="0" fontId="27" fillId="0" borderId="0" xfId="0" applyFont="1" applyBorder="1" applyAlignment="1" applyProtection="1">
      <alignment horizontal="justify" vertical="justify" wrapText="1"/>
      <protection hidden="1"/>
    </xf>
    <xf numFmtId="0" fontId="27" fillId="0" borderId="84" xfId="0" applyFont="1" applyBorder="1" applyAlignment="1" applyProtection="1">
      <alignment horizontal="justify" vertical="justify" wrapText="1"/>
      <protection hidden="1"/>
    </xf>
    <xf numFmtId="0" fontId="0" fillId="27" borderId="68" xfId="0" applyFill="1" applyBorder="1" applyAlignment="1" applyProtection="1">
      <alignment horizontal="left"/>
      <protection hidden="1"/>
    </xf>
    <xf numFmtId="0" fontId="100" fillId="27" borderId="67" xfId="0" applyFont="1" applyFill="1" applyBorder="1" applyAlignment="1" applyProtection="1">
      <alignment horizontal="center"/>
      <protection locked="0" hidden="1"/>
    </xf>
    <xf numFmtId="0" fontId="100" fillId="27" borderId="69" xfId="0" applyFont="1" applyFill="1" applyBorder="1" applyAlignment="1" applyProtection="1">
      <alignment horizontal="center"/>
      <protection locked="0" hidden="1"/>
    </xf>
    <xf numFmtId="0" fontId="100" fillId="27" borderId="153" xfId="0" applyFont="1" applyFill="1" applyBorder="1" applyAlignment="1" applyProtection="1">
      <alignment horizontal="center"/>
      <protection locked="0" hidden="1"/>
    </xf>
    <xf numFmtId="0" fontId="100" fillId="27" borderId="159" xfId="0" applyFont="1" applyFill="1" applyBorder="1" applyAlignment="1" applyProtection="1">
      <alignment horizontal="center"/>
      <protection locked="0" hidden="1"/>
    </xf>
    <xf numFmtId="0" fontId="0" fillId="27" borderId="71" xfId="0" applyFill="1" applyBorder="1" applyAlignment="1" applyProtection="1">
      <alignment horizontal="left"/>
      <protection hidden="1"/>
    </xf>
    <xf numFmtId="0" fontId="0" fillId="0" borderId="160" xfId="0" applyBorder="1" applyAlignment="1" applyProtection="1">
      <alignment horizontal="center" vertical="center"/>
      <protection hidden="1"/>
    </xf>
    <xf numFmtId="0" fontId="0" fillId="0" borderId="151" xfId="0" applyBorder="1" applyAlignment="1" applyProtection="1">
      <alignment horizontal="center" vertical="center"/>
      <protection hidden="1"/>
    </xf>
    <xf numFmtId="0" fontId="0" fillId="0" borderId="85" xfId="0" applyBorder="1" applyAlignment="1" applyProtection="1">
      <alignment horizontal="center"/>
      <protection hidden="1"/>
    </xf>
    <xf numFmtId="0" fontId="0" fillId="0" borderId="0" xfId="0" applyAlignment="1" applyProtection="1">
      <alignment horizontal="center"/>
      <protection hidden="1"/>
    </xf>
    <xf numFmtId="0" fontId="0" fillId="0" borderId="75" xfId="0" applyBorder="1" applyAlignment="1" applyProtection="1">
      <alignment horizontal="justify" vertical="justify" wrapText="1"/>
      <protection hidden="1"/>
    </xf>
    <xf numFmtId="0" fontId="103" fillId="0" borderId="0" xfId="0" applyFont="1" applyAlignment="1" applyProtection="1">
      <alignment horizontal="center" vertical="center"/>
      <protection hidden="1"/>
    </xf>
    <xf numFmtId="0" fontId="0" fillId="0" borderId="141" xfId="0" applyBorder="1" applyAlignment="1" applyProtection="1">
      <alignment horizontal="center"/>
      <protection hidden="1"/>
    </xf>
    <xf numFmtId="0" fontId="0" fillId="0" borderId="139" xfId="0" applyBorder="1" applyAlignment="1" applyProtection="1">
      <alignment horizontal="center"/>
      <protection hidden="1"/>
    </xf>
    <xf numFmtId="0" fontId="56" fillId="0" borderId="75" xfId="0" applyFont="1" applyBorder="1" applyAlignment="1" applyProtection="1">
      <alignment horizontal="justify" vertical="justify" wrapText="1"/>
      <protection hidden="1"/>
    </xf>
    <xf numFmtId="0" fontId="0" fillId="0" borderId="87" xfId="0" applyBorder="1" applyAlignment="1" applyProtection="1">
      <alignment horizontal="center" wrapText="1"/>
      <protection hidden="1"/>
    </xf>
    <xf numFmtId="0" fontId="0" fillId="0" borderId="0" xfId="0" applyBorder="1" applyAlignment="1" applyProtection="1">
      <alignment horizontal="center" wrapText="1"/>
      <protection hidden="1"/>
    </xf>
    <xf numFmtId="0" fontId="0" fillId="0" borderId="84" xfId="0" applyBorder="1" applyAlignment="1" applyProtection="1">
      <alignment horizontal="center" wrapText="1"/>
      <protection hidden="1"/>
    </xf>
    <xf numFmtId="0" fontId="107" fillId="0" borderId="87" xfId="0" applyFont="1" applyBorder="1" applyAlignment="1" applyProtection="1">
      <alignment horizontal="center" vertical="center"/>
      <protection hidden="1"/>
    </xf>
    <xf numFmtId="0" fontId="107" fillId="0" borderId="0" xfId="0" applyFont="1" applyBorder="1" applyAlignment="1" applyProtection="1">
      <alignment horizontal="center" vertical="center"/>
      <protection hidden="1"/>
    </xf>
    <xf numFmtId="0" fontId="107" fillId="0" borderId="84" xfId="0" applyFont="1" applyBorder="1" applyAlignment="1" applyProtection="1">
      <alignment horizontal="center" vertical="center"/>
      <protection hidden="1"/>
    </xf>
    <xf numFmtId="0" fontId="108" fillId="0" borderId="87" xfId="0" applyFont="1" applyBorder="1" applyAlignment="1" applyProtection="1">
      <alignment horizontal="center"/>
      <protection hidden="1"/>
    </xf>
    <xf numFmtId="0" fontId="108" fillId="0" borderId="0" xfId="0" applyFont="1" applyBorder="1" applyAlignment="1" applyProtection="1">
      <alignment horizontal="center"/>
      <protection hidden="1"/>
    </xf>
    <xf numFmtId="0" fontId="108" fillId="0" borderId="84" xfId="0" applyFont="1" applyBorder="1" applyAlignment="1" applyProtection="1">
      <alignment horizontal="center"/>
      <protection hidden="1"/>
    </xf>
    <xf numFmtId="0" fontId="0" fillId="0" borderId="0" xfId="0" applyAlignment="1" applyProtection="1">
      <alignment horizontal="center" vertical="center"/>
      <protection hidden="1"/>
    </xf>
    <xf numFmtId="0" fontId="105" fillId="0" borderId="68" xfId="0" applyFont="1" applyBorder="1" applyAlignment="1" applyProtection="1">
      <alignment horizontal="center" vertical="center"/>
      <protection hidden="1"/>
    </xf>
    <xf numFmtId="0" fontId="0" fillId="0" borderId="73" xfId="0" applyBorder="1" applyAlignment="1" applyProtection="1">
      <alignment horizontal="center" vertical="center"/>
      <protection hidden="1"/>
    </xf>
    <xf numFmtId="0" fontId="0" fillId="0" borderId="133" xfId="0" applyBorder="1" applyAlignment="1" applyProtection="1">
      <alignment horizontal="center"/>
      <protection hidden="1"/>
    </xf>
    <xf numFmtId="0" fontId="0" fillId="0" borderId="134" xfId="0" applyBorder="1" applyAlignment="1" applyProtection="1">
      <alignment horizontal="center"/>
      <protection hidden="1"/>
    </xf>
    <xf numFmtId="0" fontId="27" fillId="0" borderId="0" xfId="0" applyFont="1" applyAlignment="1" applyProtection="1">
      <alignment horizontal="center"/>
      <protection hidden="1"/>
    </xf>
    <xf numFmtId="0" fontId="0" fillId="0" borderId="0" xfId="0" applyAlignment="1" applyProtection="1">
      <alignment horizontal="right"/>
      <protection hidden="1"/>
    </xf>
    <xf numFmtId="0" fontId="103" fillId="22" borderId="0" xfId="0" applyFont="1" applyFill="1" applyAlignment="1" applyProtection="1">
      <alignment horizontal="center" vertical="center" wrapText="1"/>
      <protection hidden="1"/>
    </xf>
    <xf numFmtId="14" fontId="0" fillId="22" borderId="0" xfId="0" applyNumberFormat="1" applyFill="1" applyAlignment="1" applyProtection="1">
      <alignment horizontal="center"/>
      <protection hidden="1"/>
    </xf>
    <xf numFmtId="0" fontId="0" fillId="0" borderId="0" xfId="0" applyAlignment="1" applyProtection="1">
      <alignment horizontal="left" vertical="top"/>
      <protection hidden="1"/>
    </xf>
    <xf numFmtId="173" fontId="99" fillId="0" borderId="160" xfId="6" applyNumberFormat="1" applyFont="1" applyBorder="1" applyAlignment="1" applyProtection="1">
      <alignment horizontal="left" vertical="center" indent="3"/>
      <protection hidden="1"/>
    </xf>
    <xf numFmtId="173" fontId="99" fillId="0" borderId="152" xfId="6" applyNumberFormat="1" applyFont="1" applyBorder="1" applyAlignment="1" applyProtection="1">
      <alignment horizontal="left" vertical="center" indent="3"/>
      <protection hidden="1"/>
    </xf>
    <xf numFmtId="173" fontId="99" fillId="0" borderId="151" xfId="6" applyNumberFormat="1" applyFont="1" applyBorder="1" applyAlignment="1" applyProtection="1">
      <alignment horizontal="left" vertical="center" indent="3"/>
      <protection hidden="1"/>
    </xf>
    <xf numFmtId="0" fontId="0" fillId="0" borderId="152" xfId="0" applyBorder="1" applyAlignment="1" applyProtection="1">
      <alignment horizontal="center" vertical="center"/>
      <protection hidden="1"/>
    </xf>
    <xf numFmtId="0" fontId="27" fillId="0" borderId="0" xfId="0" applyFont="1" applyAlignment="1" applyProtection="1">
      <alignment horizontal="center" vertical="center"/>
      <protection hidden="1"/>
    </xf>
    <xf numFmtId="0" fontId="103" fillId="22" borderId="160" xfId="0" applyFont="1" applyFill="1" applyBorder="1" applyAlignment="1" applyProtection="1">
      <alignment horizontal="center" vertical="center" wrapText="1"/>
      <protection hidden="1"/>
    </xf>
    <xf numFmtId="0" fontId="103" fillId="22" borderId="152" xfId="0" applyFont="1" applyFill="1" applyBorder="1" applyAlignment="1" applyProtection="1">
      <alignment horizontal="center" vertical="center" wrapText="1"/>
      <protection hidden="1"/>
    </xf>
    <xf numFmtId="0" fontId="103" fillId="22" borderId="151" xfId="0" applyFont="1" applyFill="1" applyBorder="1" applyAlignment="1" applyProtection="1">
      <alignment horizontal="center" vertical="center" wrapText="1"/>
      <protection hidden="1"/>
    </xf>
    <xf numFmtId="0" fontId="21" fillId="0" borderId="80" xfId="0" applyFont="1" applyBorder="1" applyAlignment="1" applyProtection="1">
      <alignment horizontal="center" vertical="center"/>
      <protection hidden="1"/>
    </xf>
    <xf numFmtId="0" fontId="21" fillId="0" borderId="75" xfId="0" applyFont="1" applyBorder="1" applyAlignment="1" applyProtection="1">
      <alignment horizontal="center" vertical="center"/>
      <protection hidden="1"/>
    </xf>
    <xf numFmtId="0" fontId="34" fillId="0" borderId="75" xfId="0" applyFont="1" applyBorder="1" applyAlignment="1" applyProtection="1">
      <alignment horizontal="center" vertical="center"/>
      <protection hidden="1"/>
    </xf>
    <xf numFmtId="0" fontId="34" fillId="0" borderId="76" xfId="0" applyFont="1" applyBorder="1" applyAlignment="1" applyProtection="1">
      <alignment horizontal="center" vertical="center"/>
      <protection hidden="1"/>
    </xf>
    <xf numFmtId="0" fontId="19" fillId="0" borderId="85" xfId="0" applyFont="1" applyBorder="1" applyAlignment="1" applyProtection="1">
      <alignment horizontal="left" vertical="center"/>
      <protection hidden="1"/>
    </xf>
    <xf numFmtId="0" fontId="19" fillId="0" borderId="86" xfId="0" applyFont="1" applyBorder="1" applyAlignment="1" applyProtection="1">
      <alignment horizontal="left" vertical="center"/>
      <protection hidden="1"/>
    </xf>
    <xf numFmtId="0" fontId="5" fillId="14" borderId="0" xfId="0" applyFont="1" applyFill="1" applyAlignment="1" applyProtection="1">
      <alignment horizontal="center"/>
      <protection hidden="1"/>
    </xf>
    <xf numFmtId="0" fontId="34" fillId="0" borderId="81" xfId="0" applyFont="1" applyBorder="1" applyAlignment="1" applyProtection="1">
      <alignment horizontal="center"/>
      <protection hidden="1"/>
    </xf>
    <xf numFmtId="0" fontId="34" fillId="0" borderId="82" xfId="0" applyFont="1" applyBorder="1" applyAlignment="1" applyProtection="1">
      <alignment horizontal="center"/>
      <protection hidden="1"/>
    </xf>
    <xf numFmtId="0" fontId="20" fillId="0" borderId="82" xfId="0" applyFont="1" applyBorder="1" applyAlignment="1" applyProtection="1">
      <alignment horizontal="center" vertical="center"/>
      <protection hidden="1"/>
    </xf>
    <xf numFmtId="0" fontId="20" fillId="0" borderId="83" xfId="0" applyFont="1" applyBorder="1" applyAlignment="1" applyProtection="1">
      <alignment horizontal="center" vertical="center"/>
      <protection hidden="1"/>
    </xf>
    <xf numFmtId="0" fontId="21" fillId="0" borderId="73" xfId="0" applyFont="1" applyBorder="1" applyAlignment="1" applyProtection="1">
      <alignment horizontal="center"/>
      <protection hidden="1"/>
    </xf>
    <xf numFmtId="0" fontId="21" fillId="0" borderId="74" xfId="0" applyFont="1" applyBorder="1" applyAlignment="1" applyProtection="1">
      <alignment horizontal="center"/>
      <protection hidden="1"/>
    </xf>
    <xf numFmtId="0" fontId="31" fillId="0" borderId="80" xfId="0" applyFont="1" applyBorder="1" applyAlignment="1" applyProtection="1">
      <alignment horizontal="center" vertical="center"/>
      <protection hidden="1"/>
    </xf>
    <xf numFmtId="0" fontId="31" fillId="0" borderId="75" xfId="0" applyFont="1" applyBorder="1" applyAlignment="1" applyProtection="1">
      <alignment horizontal="center" vertical="center"/>
      <protection hidden="1"/>
    </xf>
    <xf numFmtId="0" fontId="31" fillId="0" borderId="76" xfId="0" applyFont="1" applyBorder="1" applyAlignment="1" applyProtection="1">
      <alignment horizontal="center" vertical="center"/>
      <protection hidden="1"/>
    </xf>
    <xf numFmtId="0" fontId="21" fillId="0" borderId="80" xfId="0" applyFont="1" applyBorder="1" applyAlignment="1" applyProtection="1">
      <alignment horizontal="center" vertical="center" wrapText="1"/>
      <protection hidden="1"/>
    </xf>
    <xf numFmtId="0" fontId="21" fillId="0" borderId="75" xfId="0" applyFont="1" applyBorder="1" applyAlignment="1" applyProtection="1">
      <alignment horizontal="center" vertical="center" wrapText="1"/>
      <protection hidden="1"/>
    </xf>
    <xf numFmtId="0" fontId="21" fillId="0" borderId="76" xfId="0" applyFont="1" applyBorder="1" applyAlignment="1" applyProtection="1">
      <alignment horizontal="center" vertical="center" wrapText="1"/>
      <protection hidden="1"/>
    </xf>
    <xf numFmtId="0" fontId="21" fillId="0" borderId="0" xfId="0" applyFont="1" applyBorder="1" applyAlignment="1" applyProtection="1">
      <alignment horizontal="center"/>
      <protection hidden="1"/>
    </xf>
    <xf numFmtId="0" fontId="21" fillId="0" borderId="71" xfId="0" applyFont="1" applyBorder="1" applyAlignment="1" applyProtection="1">
      <alignment horizontal="center"/>
      <protection hidden="1"/>
    </xf>
    <xf numFmtId="0" fontId="31" fillId="0" borderId="77" xfId="0" applyFont="1" applyBorder="1" applyAlignment="1" applyProtection="1">
      <alignment horizontal="center" vertical="center"/>
      <protection hidden="1"/>
    </xf>
    <xf numFmtId="0" fontId="31" fillId="0" borderId="78" xfId="0" applyFont="1" applyBorder="1" applyAlignment="1" applyProtection="1">
      <alignment horizontal="center" vertical="center"/>
      <protection hidden="1"/>
    </xf>
    <xf numFmtId="0" fontId="31" fillId="0" borderId="79" xfId="0" applyFont="1" applyBorder="1" applyAlignment="1" applyProtection="1">
      <alignment horizontal="center" vertical="center"/>
      <protection hidden="1"/>
    </xf>
    <xf numFmtId="0" fontId="34" fillId="0" borderId="80" xfId="0" applyFont="1" applyBorder="1" applyAlignment="1" applyProtection="1">
      <alignment horizontal="center" vertical="center" wrapText="1"/>
      <protection hidden="1"/>
    </xf>
    <xf numFmtId="0" fontId="34" fillId="0" borderId="75" xfId="0" applyFont="1" applyBorder="1" applyAlignment="1" applyProtection="1">
      <alignment horizontal="center" vertical="center" wrapText="1"/>
      <protection hidden="1"/>
    </xf>
    <xf numFmtId="0" fontId="34" fillId="0" borderId="76" xfId="0" applyFont="1" applyBorder="1" applyAlignment="1" applyProtection="1">
      <alignment horizontal="center" vertical="center" wrapText="1"/>
      <protection hidden="1"/>
    </xf>
    <xf numFmtId="167" fontId="20" fillId="0" borderId="75" xfId="0" applyNumberFormat="1" applyFont="1" applyBorder="1" applyAlignment="1" applyProtection="1">
      <alignment horizontal="center" vertical="center"/>
      <protection hidden="1"/>
    </xf>
    <xf numFmtId="14" fontId="21" fillId="0" borderId="87" xfId="0" applyNumberFormat="1" applyFont="1" applyBorder="1" applyAlignment="1" applyProtection="1">
      <alignment horizontal="center" vertical="center"/>
      <protection hidden="1"/>
    </xf>
    <xf numFmtId="14" fontId="21" fillId="0" borderId="0" xfId="0" applyNumberFormat="1" applyFont="1" applyBorder="1" applyAlignment="1" applyProtection="1">
      <alignment horizontal="center" vertical="center"/>
      <protection hidden="1"/>
    </xf>
    <xf numFmtId="14" fontId="21" fillId="0" borderId="71" xfId="0" applyNumberFormat="1"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71" xfId="0" applyFont="1" applyBorder="1" applyAlignment="1" applyProtection="1">
      <alignment horizontal="center" vertical="center"/>
      <protection hidden="1"/>
    </xf>
    <xf numFmtId="0" fontId="21" fillId="0" borderId="87" xfId="0" applyFont="1" applyBorder="1" applyAlignment="1" applyProtection="1">
      <alignment horizontal="center" vertical="center"/>
      <protection hidden="1"/>
    </xf>
    <xf numFmtId="2" fontId="21" fillId="0" borderId="0" xfId="0" applyNumberFormat="1" applyFont="1" applyBorder="1" applyAlignment="1" applyProtection="1">
      <alignment horizontal="left" vertical="center"/>
      <protection hidden="1"/>
    </xf>
    <xf numFmtId="2" fontId="20" fillId="0" borderId="0" xfId="0" applyNumberFormat="1" applyFont="1" applyBorder="1" applyAlignment="1" applyProtection="1">
      <alignment horizontal="left" vertical="center" wrapText="1"/>
      <protection hidden="1"/>
    </xf>
    <xf numFmtId="0" fontId="20" fillId="0" borderId="0" xfId="0" applyFont="1" applyBorder="1" applyAlignment="1" applyProtection="1">
      <alignment horizontal="left" vertical="center"/>
      <protection hidden="1"/>
    </xf>
    <xf numFmtId="0" fontId="20" fillId="0" borderId="71" xfId="0" applyFont="1" applyBorder="1" applyAlignment="1" applyProtection="1">
      <alignment horizontal="left" vertical="center"/>
      <protection hidden="1"/>
    </xf>
    <xf numFmtId="0" fontId="26" fillId="0" borderId="75" xfId="0" applyFont="1" applyBorder="1" applyAlignment="1" applyProtection="1">
      <alignment horizontal="left" vertical="center"/>
      <protection hidden="1"/>
    </xf>
    <xf numFmtId="168" fontId="36" fillId="0" borderId="75" xfId="0" applyNumberFormat="1" applyFont="1" applyBorder="1" applyAlignment="1" applyProtection="1">
      <alignment horizontal="center" vertical="center"/>
      <protection hidden="1"/>
    </xf>
    <xf numFmtId="168" fontId="36" fillId="0" borderId="76" xfId="0" applyNumberFormat="1" applyFont="1" applyBorder="1" applyAlignment="1" applyProtection="1">
      <alignment horizontal="center" vertical="center"/>
      <protection hidden="1"/>
    </xf>
    <xf numFmtId="0" fontId="5" fillId="0" borderId="67" xfId="0" applyFont="1" applyBorder="1" applyAlignment="1" applyProtection="1">
      <alignment horizontal="center"/>
      <protection hidden="1"/>
    </xf>
    <xf numFmtId="0" fontId="5" fillId="0" borderId="68" xfId="0" applyFont="1" applyBorder="1" applyAlignment="1" applyProtection="1">
      <alignment horizontal="center"/>
      <protection hidden="1"/>
    </xf>
    <xf numFmtId="0" fontId="21" fillId="0" borderId="68" xfId="0" applyFont="1" applyBorder="1" applyAlignment="1" applyProtection="1">
      <alignment horizontal="right" vertical="center"/>
      <protection hidden="1"/>
    </xf>
    <xf numFmtId="0" fontId="5" fillId="0" borderId="70" xfId="0" applyFont="1" applyBorder="1" applyAlignment="1" applyProtection="1">
      <alignment horizontal="center" vertical="center"/>
      <protection hidden="1"/>
    </xf>
    <xf numFmtId="0" fontId="5" fillId="0" borderId="72" xfId="0" applyFont="1" applyBorder="1" applyAlignment="1" applyProtection="1">
      <alignment horizontal="center" vertical="center"/>
      <protection hidden="1"/>
    </xf>
    <xf numFmtId="0" fontId="21" fillId="0" borderId="0" xfId="0" applyFont="1" applyBorder="1" applyAlignment="1" applyProtection="1">
      <alignment horizontal="left" vertical="center"/>
      <protection hidden="1"/>
    </xf>
    <xf numFmtId="168" fontId="32" fillId="0" borderId="75" xfId="0" applyNumberFormat="1" applyFont="1" applyBorder="1" applyAlignment="1" applyProtection="1">
      <alignment horizontal="center" vertical="center"/>
      <protection hidden="1"/>
    </xf>
    <xf numFmtId="168" fontId="32" fillId="0" borderId="76" xfId="0" applyNumberFormat="1" applyFont="1" applyBorder="1" applyAlignment="1" applyProtection="1">
      <alignment horizontal="center" vertical="center"/>
      <protection hidden="1"/>
    </xf>
    <xf numFmtId="0" fontId="30" fillId="0" borderId="72" xfId="0" applyFont="1" applyBorder="1" applyAlignment="1" applyProtection="1">
      <alignment horizontal="center" vertical="center"/>
      <protection hidden="1"/>
    </xf>
    <xf numFmtId="0" fontId="30" fillId="0" borderId="73" xfId="0" applyFont="1" applyBorder="1" applyAlignment="1" applyProtection="1">
      <alignment horizontal="center" vertical="center"/>
      <protection hidden="1"/>
    </xf>
    <xf numFmtId="0" fontId="30" fillId="0" borderId="74" xfId="0" applyFont="1" applyBorder="1" applyAlignment="1" applyProtection="1">
      <alignment horizontal="center" vertical="center"/>
      <protection hidden="1"/>
    </xf>
    <xf numFmtId="0" fontId="38" fillId="0" borderId="68" xfId="0" applyFont="1" applyBorder="1" applyAlignment="1" applyProtection="1">
      <alignment horizontal="center" vertical="center"/>
      <protection hidden="1"/>
    </xf>
    <xf numFmtId="0" fontId="38" fillId="0" borderId="69" xfId="0" applyFont="1" applyBorder="1" applyAlignment="1" applyProtection="1">
      <alignment horizontal="center" vertical="center"/>
      <protection hidden="1"/>
    </xf>
    <xf numFmtId="0" fontId="37" fillId="0" borderId="70" xfId="0" applyFont="1" applyBorder="1" applyAlignment="1" applyProtection="1">
      <alignment horizontal="center" vertical="center"/>
      <protection hidden="1"/>
    </xf>
    <xf numFmtId="0" fontId="37" fillId="0" borderId="0" xfId="0" applyFont="1" applyBorder="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39" fillId="0" borderId="68" xfId="0" applyFont="1" applyBorder="1" applyAlignment="1" applyProtection="1">
      <alignment horizontal="center" vertical="center"/>
      <protection hidden="1"/>
    </xf>
    <xf numFmtId="0" fontId="39" fillId="0" borderId="69" xfId="0" applyFont="1" applyBorder="1" applyAlignment="1" applyProtection="1">
      <alignment horizontal="center" vertical="center"/>
      <protection hidden="1"/>
    </xf>
    <xf numFmtId="0" fontId="21" fillId="0" borderId="75" xfId="0" applyFont="1" applyBorder="1" applyAlignment="1" applyProtection="1">
      <alignment horizontal="left" vertical="center"/>
      <protection hidden="1"/>
    </xf>
    <xf numFmtId="0" fontId="33" fillId="0" borderId="75" xfId="0" applyFont="1" applyBorder="1" applyAlignment="1" applyProtection="1">
      <alignment horizontal="left" vertical="center"/>
      <protection hidden="1"/>
    </xf>
    <xf numFmtId="0" fontId="5" fillId="0" borderId="88" xfId="0" applyFont="1" applyBorder="1" applyAlignment="1" applyProtection="1">
      <alignment horizontal="center"/>
      <protection hidden="1"/>
    </xf>
  </cellXfs>
  <cellStyles count="8">
    <cellStyle name="Comma" xfId="6" builtinId="3"/>
    <cellStyle name="Comma 2" xfId="5"/>
    <cellStyle name="Comma_From 16" xfId="3"/>
    <cellStyle name="Hyperlink" xfId="7" builtinId="8"/>
    <cellStyle name="Normal" xfId="0" builtinId="0"/>
    <cellStyle name="Normal 2" xfId="1"/>
    <cellStyle name="Normal 3" xfId="4"/>
    <cellStyle name="Normal_pay 2008-09" xfId="2"/>
  </cellStyles>
  <dxfs count="31">
    <dxf>
      <font>
        <color theme="0"/>
      </font>
    </dxf>
    <dxf>
      <font>
        <color theme="0"/>
      </font>
    </dxf>
    <dxf>
      <font>
        <color rgb="FF006600"/>
      </font>
    </dxf>
    <dxf>
      <font>
        <color rgb="FFFF0000"/>
      </font>
    </dxf>
    <dxf>
      <font>
        <color rgb="FF006600"/>
      </font>
    </dxf>
    <dxf>
      <font>
        <color rgb="FFFF0000"/>
      </font>
    </dxf>
    <dxf>
      <font>
        <color theme="0"/>
      </font>
    </dxf>
    <dxf>
      <font>
        <color rgb="FF006600"/>
      </font>
    </dxf>
    <dxf>
      <font>
        <color rgb="FFFF0000"/>
      </font>
    </dxf>
    <dxf>
      <font>
        <color rgb="FF006600"/>
      </font>
    </dxf>
    <dxf>
      <font>
        <color rgb="FFFF0000"/>
      </font>
    </dxf>
    <dxf>
      <font>
        <color theme="9" tint="0.79998168889431442"/>
      </font>
    </dxf>
    <dxf>
      <font>
        <color theme="0"/>
      </font>
    </dxf>
    <dxf>
      <font>
        <color theme="0" tint="-4.9989318521683403E-2"/>
      </font>
    </dxf>
    <dxf>
      <font>
        <color rgb="FFFF0000"/>
      </font>
    </dxf>
    <dxf>
      <font>
        <color rgb="FF006600"/>
      </font>
    </dxf>
    <dxf>
      <font>
        <color theme="9" tint="0.59996337778862885"/>
      </font>
    </dxf>
    <dxf>
      <font>
        <color theme="0"/>
      </font>
    </dxf>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28576</xdr:colOff>
      <xdr:row>1</xdr:row>
      <xdr:rowOff>28576</xdr:rowOff>
    </xdr:from>
    <xdr:to>
      <xdr:col>6</xdr:col>
      <xdr:colOff>2171699</xdr:colOff>
      <xdr:row>4</xdr:row>
      <xdr:rowOff>542925</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448801" y="123826"/>
          <a:ext cx="2143123" cy="1790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0</xdr:colOff>
      <xdr:row>0</xdr:row>
      <xdr:rowOff>0</xdr:rowOff>
    </xdr:from>
    <xdr:to>
      <xdr:col>16384</xdr:col>
      <xdr:colOff>25977</xdr:colOff>
      <xdr:row>58</xdr:row>
      <xdr:rowOff>121227</xdr:rowOff>
    </xdr:to>
    <xdr:pic>
      <xdr:nvPicPr>
        <xdr:cNvPr id="2" name="Picture 1" descr="New Picture.bmp"/>
        <xdr:cNvPicPr>
          <a:picLocks noChangeAspect="1"/>
        </xdr:cNvPicPr>
      </xdr:nvPicPr>
      <xdr:blipFill>
        <a:blip xmlns:r="http://schemas.openxmlformats.org/officeDocument/2006/relationships" r:embed="rId1" cstate="print"/>
        <a:stretch>
          <a:fillRect/>
        </a:stretch>
      </xdr:blipFill>
      <xdr:spPr>
        <a:xfrm>
          <a:off x="14789727" y="0"/>
          <a:ext cx="14226886" cy="23639318"/>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6600"/>
  </sheetPr>
  <dimension ref="A1:H9"/>
  <sheetViews>
    <sheetView showGridLines="0" showRowColHeaders="0" workbookViewId="0">
      <selection activeCell="D2" sqref="D2:D3"/>
    </sheetView>
  </sheetViews>
  <sheetFormatPr defaultColWidth="0" defaultRowHeight="15" zeroHeight="1"/>
  <cols>
    <col min="1" max="1" width="2.28515625" style="1" customWidth="1"/>
    <col min="2" max="2" width="92" style="140" customWidth="1"/>
    <col min="3" max="3" width="2.28515625" style="140" customWidth="1"/>
    <col min="4" max="4" width="38.7109375" style="140" customWidth="1"/>
    <col min="5" max="5" width="2.28515625" style="1" customWidth="1"/>
    <col min="6" max="6" width="3.7109375" style="1" customWidth="1"/>
    <col min="7" max="7" width="33" style="1" customWidth="1"/>
    <col min="8" max="8" width="3.140625" style="1" customWidth="1"/>
    <col min="9" max="16384" width="9.140625" style="1" hidden="1"/>
  </cols>
  <sheetData>
    <row r="1" spans="1:8" ht="36.75" customHeight="1" thickBot="1">
      <c r="A1" s="450" t="s">
        <v>493</v>
      </c>
      <c r="B1" s="450"/>
      <c r="C1" s="450"/>
      <c r="D1" s="450"/>
      <c r="E1" s="450"/>
      <c r="F1" s="450"/>
      <c r="G1" s="450"/>
      <c r="H1" s="450"/>
    </row>
    <row r="2" spans="1:8" s="283" customFormat="1" ht="24" customHeight="1">
      <c r="A2" s="453"/>
      <c r="B2" s="282" t="s">
        <v>464</v>
      </c>
      <c r="C2" s="454"/>
      <c r="D2" s="455" t="s">
        <v>465</v>
      </c>
      <c r="E2" s="453"/>
      <c r="F2" s="453"/>
      <c r="G2" s="451"/>
      <c r="H2" s="452"/>
    </row>
    <row r="3" spans="1:8" s="6" customFormat="1" ht="30.75" customHeight="1" thickBot="1">
      <c r="A3" s="453"/>
      <c r="B3" s="284" t="s">
        <v>487</v>
      </c>
      <c r="C3" s="454"/>
      <c r="D3" s="456"/>
      <c r="E3" s="453"/>
      <c r="F3" s="453"/>
      <c r="G3" s="451"/>
      <c r="H3" s="452"/>
    </row>
    <row r="4" spans="1:8" s="6" customFormat="1" ht="45.75" customHeight="1" thickBot="1">
      <c r="A4" s="453"/>
      <c r="B4" s="285" t="s">
        <v>459</v>
      </c>
      <c r="C4" s="454"/>
      <c r="D4" s="286"/>
      <c r="E4" s="453"/>
      <c r="F4" s="453"/>
      <c r="G4" s="451"/>
      <c r="H4" s="452"/>
    </row>
    <row r="5" spans="1:8" s="6" customFormat="1" ht="45" customHeight="1" thickBot="1">
      <c r="A5" s="453"/>
      <c r="B5" s="287" t="s">
        <v>460</v>
      </c>
      <c r="C5" s="454"/>
      <c r="D5" s="297" t="s">
        <v>466</v>
      </c>
      <c r="E5" s="453"/>
      <c r="F5" s="453"/>
      <c r="G5" s="451"/>
      <c r="H5" s="452"/>
    </row>
    <row r="6" spans="1:8" s="6" customFormat="1" ht="42" customHeight="1" thickBot="1">
      <c r="A6" s="453"/>
      <c r="B6" s="288" t="s">
        <v>461</v>
      </c>
      <c r="C6" s="454"/>
      <c r="D6" s="286"/>
      <c r="E6" s="453"/>
      <c r="F6" s="453"/>
      <c r="G6" s="289" t="s">
        <v>468</v>
      </c>
      <c r="H6" s="452"/>
    </row>
    <row r="7" spans="1:8" s="6" customFormat="1" ht="42" customHeight="1" thickBot="1">
      <c r="A7" s="453"/>
      <c r="B7" s="290" t="s">
        <v>463</v>
      </c>
      <c r="C7" s="454"/>
      <c r="D7" s="296" t="s">
        <v>467</v>
      </c>
      <c r="E7" s="453"/>
      <c r="F7" s="453"/>
      <c r="G7" s="291" t="s">
        <v>469</v>
      </c>
      <c r="H7" s="452"/>
    </row>
    <row r="8" spans="1:8" s="6" customFormat="1" ht="55.5" customHeight="1" thickBot="1">
      <c r="A8" s="453"/>
      <c r="B8" s="292" t="s">
        <v>462</v>
      </c>
      <c r="C8" s="454"/>
      <c r="D8" s="331"/>
      <c r="E8" s="453"/>
      <c r="F8" s="453"/>
      <c r="G8" s="293" t="s">
        <v>470</v>
      </c>
      <c r="H8" s="452"/>
    </row>
    <row r="9" spans="1:8" s="6" customFormat="1" ht="12" customHeight="1">
      <c r="A9" s="453"/>
      <c r="B9" s="294"/>
      <c r="C9" s="454"/>
      <c r="D9" s="286"/>
      <c r="E9" s="453"/>
      <c r="F9" s="453"/>
      <c r="G9" s="295"/>
      <c r="H9" s="452"/>
    </row>
  </sheetData>
  <sheetProtection password="E8FA" sheet="1" objects="1" scenarios="1" formatCells="0" formatColumns="0" selectLockedCells="1"/>
  <mergeCells count="7">
    <mergeCell ref="A1:H1"/>
    <mergeCell ref="G2:G5"/>
    <mergeCell ref="H2:H9"/>
    <mergeCell ref="A2:A9"/>
    <mergeCell ref="C2:C9"/>
    <mergeCell ref="D2:D3"/>
    <mergeCell ref="E2:F9"/>
  </mergeCells>
  <hyperlinks>
    <hyperlink ref="D2:D3" location="'Income Tax Cal. Report'!A1" display="'Income Tax Cal. Report'!A1"/>
    <hyperlink ref="D5" location="'Form-16'!A1" display="'Form-16'!A1"/>
    <hyperlink ref="D7" location="'HRA Receipt'!A1" display="Form-16 देखें"/>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tabColor theme="9" tint="-0.249977111117893"/>
  </sheetPr>
  <dimension ref="A1:AV84"/>
  <sheetViews>
    <sheetView showGridLines="0" showRowColHeaders="0" topLeftCell="A49" zoomScale="55" zoomScaleNormal="55" workbookViewId="0">
      <selection activeCell="P67" activeCellId="4" sqref="P8:W8 D32:K32 P32:W32 D67:K67 P67:W67"/>
    </sheetView>
  </sheetViews>
  <sheetFormatPr defaultColWidth="0" defaultRowHeight="15" zeroHeight="1"/>
  <cols>
    <col min="1" max="1" width="3.28515625" style="1" customWidth="1"/>
    <col min="2" max="2" width="4" style="1" customWidth="1"/>
    <col min="3" max="3" width="11.7109375" style="1" bestFit="1" customWidth="1"/>
    <col min="4" max="4" width="9.85546875" style="1" customWidth="1"/>
    <col min="5" max="5" width="9.140625" style="1" customWidth="1"/>
    <col min="6" max="6" width="15.140625" style="1" customWidth="1"/>
    <col min="7" max="7" width="13.28515625" style="1" customWidth="1"/>
    <col min="8" max="8" width="9.140625" style="1" customWidth="1"/>
    <col min="9" max="9" width="13.140625" style="1" customWidth="1"/>
    <col min="10" max="10" width="4" style="1" customWidth="1"/>
    <col min="11" max="11" width="16.42578125" style="1" customWidth="1"/>
    <col min="12" max="13" width="2.5703125" style="1" customWidth="1"/>
    <col min="14" max="14" width="4" style="1" customWidth="1"/>
    <col min="15" max="15" width="11.7109375" style="1" bestFit="1" customWidth="1"/>
    <col min="16" max="16" width="9.85546875" style="1" customWidth="1"/>
    <col min="17" max="17" width="9.140625" style="1" customWidth="1"/>
    <col min="18" max="18" width="15.140625" style="1" customWidth="1"/>
    <col min="19" max="19" width="13.28515625" style="1" customWidth="1"/>
    <col min="20" max="20" width="9.140625" style="1" customWidth="1"/>
    <col min="21" max="21" width="13.140625" style="1" customWidth="1"/>
    <col min="22" max="22" width="4" style="1" customWidth="1"/>
    <col min="23" max="23" width="16.42578125" style="1" customWidth="1"/>
    <col min="24" max="24" width="2.28515625" style="1" customWidth="1"/>
    <col min="25" max="25" width="4" style="1" customWidth="1"/>
    <col min="26" max="48" width="9.140625" style="1" customWidth="1"/>
    <col min="49" max="16384" width="9.140625" style="1" hidden="1"/>
  </cols>
  <sheetData>
    <row r="1" spans="1:24" ht="35.25" customHeight="1" thickBot="1">
      <c r="A1" s="1132"/>
      <c r="B1" s="1132"/>
      <c r="C1" s="1132"/>
      <c r="D1" s="1132"/>
      <c r="E1" s="1132"/>
      <c r="F1" s="1132"/>
      <c r="G1" s="1132"/>
      <c r="H1" s="1132"/>
      <c r="I1" s="1132"/>
      <c r="J1" s="1132"/>
      <c r="K1" s="1132"/>
      <c r="L1" s="1132"/>
      <c r="M1" s="1132"/>
      <c r="N1" s="1132"/>
      <c r="O1" s="1132"/>
      <c r="P1" s="1132"/>
      <c r="Q1" s="1132"/>
      <c r="R1" s="1132"/>
      <c r="S1" s="1132"/>
      <c r="T1" s="1132"/>
      <c r="U1" s="1132"/>
      <c r="V1" s="1132"/>
      <c r="W1" s="1132"/>
      <c r="X1" s="18"/>
    </row>
    <row r="2" spans="1:24" ht="35.25" customHeight="1">
      <c r="A2" s="1132"/>
      <c r="B2" s="19">
        <v>1</v>
      </c>
      <c r="C2" s="1222" t="s">
        <v>57</v>
      </c>
      <c r="D2" s="1222"/>
      <c r="E2" s="1222"/>
      <c r="F2" s="1222"/>
      <c r="G2" s="1222"/>
      <c r="H2" s="1222"/>
      <c r="I2" s="1222"/>
      <c r="J2" s="1222"/>
      <c r="K2" s="1223"/>
      <c r="L2" s="1099"/>
      <c r="M2" s="1132"/>
      <c r="N2" s="19">
        <v>2</v>
      </c>
      <c r="O2" s="1222" t="s">
        <v>57</v>
      </c>
      <c r="P2" s="1222"/>
      <c r="Q2" s="1222"/>
      <c r="R2" s="1222"/>
      <c r="S2" s="1222"/>
      <c r="T2" s="1222"/>
      <c r="U2" s="1222"/>
      <c r="V2" s="1222"/>
      <c r="W2" s="1223"/>
      <c r="X2" s="1132"/>
    </row>
    <row r="3" spans="1:24" ht="35.25" customHeight="1">
      <c r="A3" s="1132"/>
      <c r="B3" s="1219" t="s">
        <v>58</v>
      </c>
      <c r="C3" s="1220"/>
      <c r="D3" s="1220"/>
      <c r="E3" s="1220"/>
      <c r="F3" s="1220"/>
      <c r="G3" s="1220"/>
      <c r="H3" s="1220"/>
      <c r="I3" s="1220"/>
      <c r="J3" s="1220"/>
      <c r="K3" s="1221"/>
      <c r="L3" s="1099"/>
      <c r="M3" s="1132"/>
      <c r="N3" s="1219" t="s">
        <v>58</v>
      </c>
      <c r="O3" s="1220"/>
      <c r="P3" s="1220"/>
      <c r="Q3" s="1220"/>
      <c r="R3" s="1220"/>
      <c r="S3" s="1220"/>
      <c r="T3" s="1220"/>
      <c r="U3" s="1220"/>
      <c r="V3" s="1220"/>
      <c r="W3" s="1221"/>
      <c r="X3" s="1132"/>
    </row>
    <row r="4" spans="1:24" ht="35.25" customHeight="1" thickBot="1">
      <c r="A4" s="1132"/>
      <c r="B4" s="1214"/>
      <c r="C4" s="1215"/>
      <c r="D4" s="1215"/>
      <c r="E4" s="1215"/>
      <c r="F4" s="1215"/>
      <c r="G4" s="1215"/>
      <c r="H4" s="1215"/>
      <c r="I4" s="1215"/>
      <c r="J4" s="1215"/>
      <c r="K4" s="1216"/>
      <c r="L4" s="1099"/>
      <c r="M4" s="1132"/>
      <c r="N4" s="1214"/>
      <c r="O4" s="1215"/>
      <c r="P4" s="1215"/>
      <c r="Q4" s="1215"/>
      <c r="R4" s="1215"/>
      <c r="S4" s="1215"/>
      <c r="T4" s="1215"/>
      <c r="U4" s="1215"/>
      <c r="V4" s="1215"/>
      <c r="W4" s="1216"/>
      <c r="X4" s="1132"/>
    </row>
    <row r="5" spans="1:24" ht="35.25" customHeight="1">
      <c r="A5" s="1132"/>
      <c r="B5" s="1206"/>
      <c r="C5" s="1207"/>
      <c r="D5" s="1207"/>
      <c r="E5" s="1207"/>
      <c r="F5" s="1207"/>
      <c r="G5" s="1207"/>
      <c r="H5" s="1207"/>
      <c r="I5" s="1208" t="s">
        <v>59</v>
      </c>
      <c r="J5" s="1208"/>
      <c r="K5" s="20"/>
      <c r="L5" s="1099"/>
      <c r="M5" s="1132"/>
      <c r="N5" s="1206"/>
      <c r="O5" s="1207"/>
      <c r="P5" s="1207"/>
      <c r="Q5" s="1207"/>
      <c r="R5" s="1207"/>
      <c r="S5" s="1207"/>
      <c r="T5" s="1207"/>
      <c r="U5" s="1208" t="s">
        <v>59</v>
      </c>
      <c r="V5" s="1208"/>
      <c r="W5" s="20"/>
      <c r="X5" s="1132"/>
    </row>
    <row r="6" spans="1:24" ht="35.25" customHeight="1">
      <c r="A6" s="1132"/>
      <c r="B6" s="1209"/>
      <c r="C6" s="21" t="s">
        <v>60</v>
      </c>
      <c r="D6" s="1201">
        <f>'Exemp.(HRA+Other) &amp; Other incom'!$O$4</f>
        <v>0</v>
      </c>
      <c r="E6" s="1201"/>
      <c r="F6" s="1201"/>
      <c r="G6" s="1201"/>
      <c r="H6" s="1201"/>
      <c r="I6" s="1201"/>
      <c r="J6" s="1201"/>
      <c r="K6" s="1202"/>
      <c r="L6" s="1099"/>
      <c r="M6" s="1132"/>
      <c r="N6" s="1209"/>
      <c r="O6" s="21" t="s">
        <v>60</v>
      </c>
      <c r="P6" s="1201">
        <f>'Exemp.(HRA+Other) &amp; Other incom'!$O$4</f>
        <v>0</v>
      </c>
      <c r="Q6" s="1201"/>
      <c r="R6" s="1201"/>
      <c r="S6" s="1201"/>
      <c r="T6" s="1201"/>
      <c r="U6" s="1201"/>
      <c r="V6" s="1201"/>
      <c r="W6" s="1202"/>
      <c r="X6" s="1132"/>
    </row>
    <row r="7" spans="1:24" ht="35.25" customHeight="1">
      <c r="A7" s="1132"/>
      <c r="B7" s="1209"/>
      <c r="C7" s="21"/>
      <c r="D7" s="1199" t="s">
        <v>61</v>
      </c>
      <c r="E7" s="1199"/>
      <c r="F7" s="1199"/>
      <c r="G7" s="1199"/>
      <c r="H7" s="1200" t="str">
        <f>'Exemp.(HRA+Other) &amp; Other incom'!$A$4</f>
        <v>SHAHID ALI</v>
      </c>
      <c r="I7" s="1200"/>
      <c r="J7" s="1200"/>
      <c r="K7" s="22" t="str">
        <f>CONCATENATE("(",'Exemp.(HRA+Other) &amp; Other incom'!$C$4,")")</f>
        <v>(Block Teacher)</v>
      </c>
      <c r="L7" s="1099"/>
      <c r="M7" s="1132"/>
      <c r="N7" s="1209"/>
      <c r="O7" s="21"/>
      <c r="P7" s="1199" t="s">
        <v>61</v>
      </c>
      <c r="Q7" s="1199"/>
      <c r="R7" s="1199"/>
      <c r="S7" s="1199"/>
      <c r="T7" s="1200" t="str">
        <f>'Exemp.(HRA+Other) &amp; Other incom'!$A$4</f>
        <v>SHAHID ALI</v>
      </c>
      <c r="U7" s="1200"/>
      <c r="V7" s="1200"/>
      <c r="W7" s="22" t="str">
        <f>CONCATENATE("(",'Exemp.(HRA+Other) &amp; Other incom'!$C$4,")")</f>
        <v>(Block Teacher)</v>
      </c>
      <c r="X7" s="1132"/>
    </row>
    <row r="8" spans="1:24" ht="35.25" customHeight="1">
      <c r="A8" s="1132"/>
      <c r="B8" s="1209"/>
      <c r="C8" s="21" t="s">
        <v>62</v>
      </c>
      <c r="D8" s="1201" t="str">
        <f>'Basic Deta'!$G$10</f>
        <v>M.S. BASUDHAR</v>
      </c>
      <c r="E8" s="1201"/>
      <c r="F8" s="1201"/>
      <c r="G8" s="1201"/>
      <c r="H8" s="1201"/>
      <c r="I8" s="1201"/>
      <c r="J8" s="1201"/>
      <c r="K8" s="1202"/>
      <c r="L8" s="1099"/>
      <c r="M8" s="1132"/>
      <c r="N8" s="1209"/>
      <c r="O8" s="21" t="s">
        <v>62</v>
      </c>
      <c r="P8" s="1201" t="str">
        <f>'Basic Deta'!$G$10</f>
        <v>M.S. BASUDHAR</v>
      </c>
      <c r="Q8" s="1201"/>
      <c r="R8" s="1201"/>
      <c r="S8" s="1201"/>
      <c r="T8" s="1201"/>
      <c r="U8" s="1201"/>
      <c r="V8" s="1201"/>
      <c r="W8" s="1202"/>
      <c r="X8" s="1132"/>
    </row>
    <row r="9" spans="1:24" ht="35.25" customHeight="1">
      <c r="A9" s="1132"/>
      <c r="B9" s="1209"/>
      <c r="C9" s="1224" t="s">
        <v>73</v>
      </c>
      <c r="D9" s="1224"/>
      <c r="E9" s="1224"/>
      <c r="F9" s="1224"/>
      <c r="G9" s="1212">
        <f>G10*3</f>
        <v>15330</v>
      </c>
      <c r="H9" s="1212"/>
      <c r="I9" s="1212"/>
      <c r="J9" s="1212"/>
      <c r="K9" s="1213"/>
      <c r="L9" s="1099"/>
      <c r="M9" s="1132"/>
      <c r="N9" s="1209"/>
      <c r="O9" s="1224" t="s">
        <v>73</v>
      </c>
      <c r="P9" s="1224"/>
      <c r="Q9" s="1224"/>
      <c r="R9" s="1224"/>
      <c r="S9" s="1212">
        <f>G10*3</f>
        <v>15330</v>
      </c>
      <c r="T9" s="1212"/>
      <c r="U9" s="1212"/>
      <c r="V9" s="1212"/>
      <c r="W9" s="1213"/>
      <c r="X9" s="1132"/>
    </row>
    <row r="10" spans="1:24" ht="35.25" customHeight="1">
      <c r="A10" s="1132"/>
      <c r="B10" s="1209"/>
      <c r="C10" s="1225" t="s">
        <v>72</v>
      </c>
      <c r="D10" s="1225"/>
      <c r="E10" s="1225"/>
      <c r="F10" s="1225"/>
      <c r="G10" s="1212">
        <f>'Exemp.(HRA+Other) &amp; Other incom'!$M$4</f>
        <v>5110</v>
      </c>
      <c r="H10" s="1212"/>
      <c r="I10" s="1212"/>
      <c r="J10" s="1212"/>
      <c r="K10" s="1213"/>
      <c r="L10" s="1099"/>
      <c r="M10" s="1132"/>
      <c r="N10" s="1209"/>
      <c r="O10" s="1225" t="s">
        <v>72</v>
      </c>
      <c r="P10" s="1225"/>
      <c r="Q10" s="1225"/>
      <c r="R10" s="1225"/>
      <c r="S10" s="1212">
        <f>'Exemp.(HRA+Other) &amp; Other incom'!$M$4</f>
        <v>5110</v>
      </c>
      <c r="T10" s="1212"/>
      <c r="U10" s="1212"/>
      <c r="V10" s="1212"/>
      <c r="W10" s="1213"/>
      <c r="X10" s="1132"/>
    </row>
    <row r="11" spans="1:24" ht="35.25" customHeight="1">
      <c r="A11" s="1132"/>
      <c r="B11" s="1209"/>
      <c r="C11" s="1211" t="s">
        <v>63</v>
      </c>
      <c r="D11" s="1211"/>
      <c r="E11" s="1169" t="s">
        <v>71</v>
      </c>
      <c r="F11" s="1169"/>
      <c r="G11" s="1169"/>
      <c r="H11" s="1169"/>
      <c r="I11" s="1169"/>
      <c r="J11" s="1169"/>
      <c r="K11" s="1170"/>
      <c r="L11" s="1099"/>
      <c r="M11" s="1132"/>
      <c r="N11" s="1209"/>
      <c r="O11" s="1211" t="s">
        <v>63</v>
      </c>
      <c r="P11" s="1211"/>
      <c r="Q11" s="1169" t="s">
        <v>473</v>
      </c>
      <c r="R11" s="1169"/>
      <c r="S11" s="1169"/>
      <c r="T11" s="1169"/>
      <c r="U11" s="1169"/>
      <c r="V11" s="1169"/>
      <c r="W11" s="1170"/>
      <c r="X11" s="1132"/>
    </row>
    <row r="12" spans="1:24" ht="35.25" customHeight="1">
      <c r="A12" s="1132"/>
      <c r="B12" s="1209"/>
      <c r="C12" s="1196"/>
      <c r="D12" s="1196"/>
      <c r="E12" s="1196"/>
      <c r="F12" s="1196"/>
      <c r="G12" s="1196"/>
      <c r="H12" s="1196"/>
      <c r="I12" s="1196"/>
      <c r="J12" s="1196"/>
      <c r="K12" s="1197"/>
      <c r="L12" s="1099"/>
      <c r="M12" s="1132"/>
      <c r="N12" s="1209"/>
      <c r="O12" s="1196"/>
      <c r="P12" s="1196"/>
      <c r="Q12" s="1196"/>
      <c r="R12" s="1196"/>
      <c r="S12" s="1196"/>
      <c r="T12" s="1196"/>
      <c r="U12" s="1196"/>
      <c r="V12" s="1196"/>
      <c r="W12" s="1197"/>
      <c r="X12" s="1132"/>
    </row>
    <row r="13" spans="1:24" ht="35.25" customHeight="1">
      <c r="A13" s="1132"/>
      <c r="B13" s="1209"/>
      <c r="C13" s="21" t="s">
        <v>64</v>
      </c>
      <c r="D13" s="1179">
        <f>G9</f>
        <v>15330</v>
      </c>
      <c r="E13" s="1179"/>
      <c r="F13" s="1198"/>
      <c r="G13" s="1196"/>
      <c r="H13" s="1196"/>
      <c r="I13" s="1196"/>
      <c r="J13" s="1196"/>
      <c r="K13" s="1197"/>
      <c r="L13" s="1099"/>
      <c r="M13" s="1132"/>
      <c r="N13" s="1209"/>
      <c r="O13" s="21" t="s">
        <v>64</v>
      </c>
      <c r="P13" s="1179">
        <f>G9</f>
        <v>15330</v>
      </c>
      <c r="Q13" s="1179"/>
      <c r="R13" s="1198"/>
      <c r="S13" s="1196"/>
      <c r="T13" s="1196"/>
      <c r="U13" s="1196"/>
      <c r="V13" s="1196"/>
      <c r="W13" s="1197"/>
      <c r="X13" s="1132"/>
    </row>
    <row r="14" spans="1:24" ht="35.25" customHeight="1">
      <c r="A14" s="1132"/>
      <c r="B14" s="1209"/>
      <c r="C14" s="1184"/>
      <c r="D14" s="1184"/>
      <c r="E14" s="1184"/>
      <c r="F14" s="1184"/>
      <c r="G14" s="1184"/>
      <c r="H14" s="1184"/>
      <c r="I14" s="1184"/>
      <c r="J14" s="1184"/>
      <c r="K14" s="1185"/>
      <c r="L14" s="1099"/>
      <c r="M14" s="1132"/>
      <c r="N14" s="1209"/>
      <c r="O14" s="1184"/>
      <c r="P14" s="1184"/>
      <c r="Q14" s="1184"/>
      <c r="R14" s="1184"/>
      <c r="S14" s="1184"/>
      <c r="T14" s="1184"/>
      <c r="U14" s="1184"/>
      <c r="V14" s="1184"/>
      <c r="W14" s="1185"/>
      <c r="X14" s="1132"/>
    </row>
    <row r="15" spans="1:24" ht="35.25" customHeight="1">
      <c r="A15" s="1132"/>
      <c r="B15" s="1209"/>
      <c r="C15" s="21" t="s">
        <v>65</v>
      </c>
      <c r="D15" s="1192">
        <f>K5</f>
        <v>0</v>
      </c>
      <c r="E15" s="1192"/>
      <c r="F15" s="1193"/>
      <c r="G15" s="1194"/>
      <c r="H15" s="1194"/>
      <c r="I15" s="1194"/>
      <c r="J15" s="1194"/>
      <c r="K15" s="1195"/>
      <c r="L15" s="1099"/>
      <c r="M15" s="1132"/>
      <c r="N15" s="1209"/>
      <c r="O15" s="21" t="s">
        <v>65</v>
      </c>
      <c r="P15" s="1192">
        <f>K5</f>
        <v>0</v>
      </c>
      <c r="Q15" s="1192"/>
      <c r="R15" s="1193"/>
      <c r="S15" s="1194"/>
      <c r="T15" s="1194"/>
      <c r="U15" s="1194"/>
      <c r="V15" s="1194"/>
      <c r="W15" s="1195"/>
      <c r="X15" s="1132"/>
    </row>
    <row r="16" spans="1:24" ht="35.25" customHeight="1" thickBot="1">
      <c r="A16" s="1132"/>
      <c r="B16" s="1209"/>
      <c r="C16" s="1184"/>
      <c r="D16" s="1184"/>
      <c r="E16" s="1184"/>
      <c r="F16" s="1184"/>
      <c r="G16" s="1184"/>
      <c r="H16" s="1184"/>
      <c r="I16" s="1184"/>
      <c r="J16" s="1184"/>
      <c r="K16" s="1185"/>
      <c r="L16" s="1099"/>
      <c r="M16" s="1132"/>
      <c r="N16" s="1209"/>
      <c r="O16" s="1184"/>
      <c r="P16" s="1184"/>
      <c r="Q16" s="1184"/>
      <c r="R16" s="1184"/>
      <c r="S16" s="1184"/>
      <c r="T16" s="1184"/>
      <c r="U16" s="1184"/>
      <c r="V16" s="1184"/>
      <c r="W16" s="1185"/>
      <c r="X16" s="1132"/>
    </row>
    <row r="17" spans="1:24" ht="35.25" customHeight="1">
      <c r="A17" s="1132"/>
      <c r="B17" s="1209"/>
      <c r="C17" s="1184"/>
      <c r="D17" s="1184"/>
      <c r="E17" s="1184"/>
      <c r="F17" s="1184"/>
      <c r="G17" s="1186" t="s">
        <v>66</v>
      </c>
      <c r="H17" s="1187"/>
      <c r="I17" s="1187"/>
      <c r="J17" s="1187"/>
      <c r="K17" s="1188"/>
      <c r="L17" s="1099"/>
      <c r="M17" s="1132"/>
      <c r="N17" s="1209"/>
      <c r="O17" s="1184"/>
      <c r="P17" s="1184"/>
      <c r="Q17" s="1184"/>
      <c r="R17" s="1184"/>
      <c r="S17" s="1186" t="s">
        <v>66</v>
      </c>
      <c r="T17" s="1187"/>
      <c r="U17" s="1187"/>
      <c r="V17" s="1187"/>
      <c r="W17" s="1188"/>
      <c r="X17" s="1132"/>
    </row>
    <row r="18" spans="1:24" ht="35.25" customHeight="1">
      <c r="A18" s="1132"/>
      <c r="B18" s="1209"/>
      <c r="C18" s="1184"/>
      <c r="D18" s="1184"/>
      <c r="E18" s="1184"/>
      <c r="F18" s="1184"/>
      <c r="G18" s="1189" t="s">
        <v>67</v>
      </c>
      <c r="H18" s="1190"/>
      <c r="I18" s="1190"/>
      <c r="J18" s="1190"/>
      <c r="K18" s="1191"/>
      <c r="L18" s="1099"/>
      <c r="M18" s="1132"/>
      <c r="N18" s="1209"/>
      <c r="O18" s="1184"/>
      <c r="P18" s="1184"/>
      <c r="Q18" s="1184"/>
      <c r="R18" s="1184"/>
      <c r="S18" s="1189" t="s">
        <v>67</v>
      </c>
      <c r="T18" s="1190"/>
      <c r="U18" s="1190"/>
      <c r="V18" s="1190"/>
      <c r="W18" s="1191"/>
      <c r="X18" s="1132"/>
    </row>
    <row r="19" spans="1:24" ht="35.25" customHeight="1">
      <c r="A19" s="1132"/>
      <c r="B19" s="1209"/>
      <c r="C19" s="1184"/>
      <c r="D19" s="1184"/>
      <c r="E19" s="1184"/>
      <c r="F19" s="1184"/>
      <c r="G19" s="1165" t="s">
        <v>68</v>
      </c>
      <c r="H19" s="1166"/>
      <c r="I19" s="1167">
        <f>D6</f>
        <v>0</v>
      </c>
      <c r="J19" s="1167"/>
      <c r="K19" s="1168"/>
      <c r="L19" s="1099"/>
      <c r="M19" s="1132"/>
      <c r="N19" s="1209"/>
      <c r="O19" s="1184"/>
      <c r="P19" s="1184"/>
      <c r="Q19" s="1184"/>
      <c r="R19" s="1184"/>
      <c r="S19" s="1165" t="s">
        <v>68</v>
      </c>
      <c r="T19" s="1166"/>
      <c r="U19" s="1167">
        <f>D6</f>
        <v>0</v>
      </c>
      <c r="V19" s="1167"/>
      <c r="W19" s="1168"/>
      <c r="X19" s="1132"/>
    </row>
    <row r="20" spans="1:24" ht="35.25" customHeight="1">
      <c r="A20" s="1132"/>
      <c r="B20" s="1209"/>
      <c r="C20" s="1184"/>
      <c r="D20" s="1184"/>
      <c r="E20" s="1184"/>
      <c r="F20" s="1184"/>
      <c r="G20" s="1178" t="s">
        <v>69</v>
      </c>
      <c r="H20" s="1179"/>
      <c r="I20" s="1179"/>
      <c r="J20" s="1179"/>
      <c r="K20" s="1180"/>
      <c r="L20" s="1099"/>
      <c r="M20" s="1132"/>
      <c r="N20" s="1209"/>
      <c r="O20" s="1184"/>
      <c r="P20" s="1184"/>
      <c r="Q20" s="1184"/>
      <c r="R20" s="1184"/>
      <c r="S20" s="1178" t="s">
        <v>69</v>
      </c>
      <c r="T20" s="1179"/>
      <c r="U20" s="1179"/>
      <c r="V20" s="1179"/>
      <c r="W20" s="1180"/>
      <c r="X20" s="1132"/>
    </row>
    <row r="21" spans="1:24" ht="35.25" customHeight="1">
      <c r="A21" s="1132"/>
      <c r="B21" s="1209"/>
      <c r="C21" s="1184"/>
      <c r="D21" s="1184"/>
      <c r="E21" s="1184"/>
      <c r="F21" s="1184"/>
      <c r="G21" s="1181">
        <f>'Exemp.(HRA+Other) &amp; Other incom'!$P$4</f>
        <v>0</v>
      </c>
      <c r="H21" s="1182"/>
      <c r="I21" s="1182"/>
      <c r="J21" s="1182"/>
      <c r="K21" s="1183"/>
      <c r="L21" s="1099"/>
      <c r="M21" s="1132"/>
      <c r="N21" s="1209"/>
      <c r="O21" s="1184"/>
      <c r="P21" s="1184"/>
      <c r="Q21" s="1184"/>
      <c r="R21" s="1184"/>
      <c r="S21" s="1181">
        <f>'Exemp.(HRA+Other) &amp; Other incom'!$P$4</f>
        <v>0</v>
      </c>
      <c r="T21" s="1182"/>
      <c r="U21" s="1182"/>
      <c r="V21" s="1182"/>
      <c r="W21" s="1183"/>
      <c r="X21" s="1132"/>
    </row>
    <row r="22" spans="1:24" ht="35.25" customHeight="1">
      <c r="A22" s="1132"/>
      <c r="B22" s="1209"/>
      <c r="C22" s="1184"/>
      <c r="D22" s="1184"/>
      <c r="E22" s="1184"/>
      <c r="F22" s="1184"/>
      <c r="G22" s="1181"/>
      <c r="H22" s="1182"/>
      <c r="I22" s="1182"/>
      <c r="J22" s="1182"/>
      <c r="K22" s="1183"/>
      <c r="L22" s="1099"/>
      <c r="M22" s="1132"/>
      <c r="N22" s="1209"/>
      <c r="O22" s="1184"/>
      <c r="P22" s="1184"/>
      <c r="Q22" s="1184"/>
      <c r="R22" s="1184"/>
      <c r="S22" s="1181"/>
      <c r="T22" s="1182"/>
      <c r="U22" s="1182"/>
      <c r="V22" s="1182"/>
      <c r="W22" s="1183"/>
      <c r="X22" s="1132"/>
    </row>
    <row r="23" spans="1:24" ht="35.25" customHeight="1" thickBot="1">
      <c r="A23" s="1132"/>
      <c r="B23" s="1209"/>
      <c r="C23" s="1184"/>
      <c r="D23" s="1184"/>
      <c r="E23" s="1184"/>
      <c r="F23" s="1184"/>
      <c r="G23" s="1172" t="s">
        <v>70</v>
      </c>
      <c r="H23" s="1173"/>
      <c r="I23" s="1173"/>
      <c r="J23" s="1174">
        <f>'Exemp.(HRA+Other) &amp; Other incom'!$Q$4</f>
        <v>0</v>
      </c>
      <c r="K23" s="1175"/>
      <c r="L23" s="1099"/>
      <c r="M23" s="1132"/>
      <c r="N23" s="1209"/>
      <c r="O23" s="1184"/>
      <c r="P23" s="1184"/>
      <c r="Q23" s="1184"/>
      <c r="R23" s="1184"/>
      <c r="S23" s="1172" t="s">
        <v>70</v>
      </c>
      <c r="T23" s="1173"/>
      <c r="U23" s="1173"/>
      <c r="V23" s="1174">
        <f>'Exemp.(HRA+Other) &amp; Other incom'!$Q$4</f>
        <v>0</v>
      </c>
      <c r="W23" s="1175"/>
      <c r="X23" s="1132"/>
    </row>
    <row r="24" spans="1:24" ht="35.25" customHeight="1" thickBot="1">
      <c r="A24" s="1132"/>
      <c r="B24" s="1210"/>
      <c r="C24" s="1176"/>
      <c r="D24" s="1176"/>
      <c r="E24" s="1176"/>
      <c r="F24" s="1176"/>
      <c r="G24" s="1176"/>
      <c r="H24" s="1176"/>
      <c r="I24" s="1176"/>
      <c r="J24" s="1176"/>
      <c r="K24" s="1177"/>
      <c r="L24" s="1099"/>
      <c r="M24" s="1132"/>
      <c r="N24" s="1210"/>
      <c r="O24" s="1176"/>
      <c r="P24" s="1176"/>
      <c r="Q24" s="1176"/>
      <c r="R24" s="1176"/>
      <c r="S24" s="1176"/>
      <c r="T24" s="1176"/>
      <c r="U24" s="1176"/>
      <c r="V24" s="1176"/>
      <c r="W24" s="1177"/>
      <c r="X24" s="1132"/>
    </row>
    <row r="25" spans="1:24" ht="35.25" customHeight="1" thickBot="1">
      <c r="A25" s="1132"/>
      <c r="B25" s="1226"/>
      <c r="C25" s="1226"/>
      <c r="D25" s="1226"/>
      <c r="E25" s="1226"/>
      <c r="F25" s="1226"/>
      <c r="G25" s="1226"/>
      <c r="H25" s="1226"/>
      <c r="I25" s="1226"/>
      <c r="J25" s="1226"/>
      <c r="K25" s="1226"/>
      <c r="L25" s="1099"/>
      <c r="M25" s="1132"/>
      <c r="N25" s="1226"/>
      <c r="O25" s="1226"/>
      <c r="P25" s="1226"/>
      <c r="Q25" s="1226"/>
      <c r="R25" s="1226"/>
      <c r="S25" s="1226"/>
      <c r="T25" s="1226"/>
      <c r="U25" s="1226"/>
      <c r="V25" s="1226"/>
      <c r="W25" s="1226"/>
      <c r="X25" s="1132"/>
    </row>
    <row r="26" spans="1:24" ht="35.25" customHeight="1">
      <c r="A26" s="1132"/>
      <c r="B26" s="19">
        <v>3</v>
      </c>
      <c r="C26" s="1222" t="s">
        <v>57</v>
      </c>
      <c r="D26" s="1222"/>
      <c r="E26" s="1222"/>
      <c r="F26" s="1222"/>
      <c r="G26" s="1222"/>
      <c r="H26" s="1222"/>
      <c r="I26" s="1222"/>
      <c r="J26" s="1222"/>
      <c r="K26" s="1223"/>
      <c r="L26" s="1099"/>
      <c r="M26" s="1132"/>
      <c r="N26" s="19">
        <v>4</v>
      </c>
      <c r="O26" s="1222" t="s">
        <v>57</v>
      </c>
      <c r="P26" s="1222"/>
      <c r="Q26" s="1222"/>
      <c r="R26" s="1222"/>
      <c r="S26" s="1222"/>
      <c r="T26" s="1222"/>
      <c r="U26" s="1222"/>
      <c r="V26" s="1222"/>
      <c r="W26" s="1223"/>
      <c r="X26" s="1132"/>
    </row>
    <row r="27" spans="1:24" ht="35.25" customHeight="1">
      <c r="A27" s="1132"/>
      <c r="B27" s="1219" t="s">
        <v>58</v>
      </c>
      <c r="C27" s="1220"/>
      <c r="D27" s="1220"/>
      <c r="E27" s="1220"/>
      <c r="F27" s="1220"/>
      <c r="G27" s="1220"/>
      <c r="H27" s="1220"/>
      <c r="I27" s="1220"/>
      <c r="J27" s="1220"/>
      <c r="K27" s="1221"/>
      <c r="L27" s="1099"/>
      <c r="M27" s="1132"/>
      <c r="N27" s="1219" t="s">
        <v>58</v>
      </c>
      <c r="O27" s="1220"/>
      <c r="P27" s="1220"/>
      <c r="Q27" s="1220"/>
      <c r="R27" s="1220"/>
      <c r="S27" s="1220"/>
      <c r="T27" s="1220"/>
      <c r="U27" s="1220"/>
      <c r="V27" s="1220"/>
      <c r="W27" s="1221"/>
      <c r="X27" s="1132"/>
    </row>
    <row r="28" spans="1:24" ht="35.25" customHeight="1" thickBot="1">
      <c r="A28" s="1132"/>
      <c r="B28" s="1214"/>
      <c r="C28" s="1215"/>
      <c r="D28" s="1215"/>
      <c r="E28" s="1215"/>
      <c r="F28" s="1215"/>
      <c r="G28" s="1215"/>
      <c r="H28" s="1215"/>
      <c r="I28" s="1215"/>
      <c r="J28" s="1215"/>
      <c r="K28" s="1216"/>
      <c r="L28" s="1099"/>
      <c r="M28" s="1132"/>
      <c r="N28" s="1214"/>
      <c r="O28" s="1215"/>
      <c r="P28" s="1215"/>
      <c r="Q28" s="1215"/>
      <c r="R28" s="1215"/>
      <c r="S28" s="1215"/>
      <c r="T28" s="1215"/>
      <c r="U28" s="1215"/>
      <c r="V28" s="1215"/>
      <c r="W28" s="1216"/>
      <c r="X28" s="1132"/>
    </row>
    <row r="29" spans="1:24" ht="35.25" customHeight="1">
      <c r="A29" s="1132"/>
      <c r="B29" s="1206"/>
      <c r="C29" s="1207"/>
      <c r="D29" s="1207"/>
      <c r="E29" s="1207"/>
      <c r="F29" s="1207"/>
      <c r="G29" s="1207"/>
      <c r="H29" s="1207"/>
      <c r="I29" s="1208" t="s">
        <v>59</v>
      </c>
      <c r="J29" s="1208"/>
      <c r="K29" s="20"/>
      <c r="L29" s="1099"/>
      <c r="M29" s="1132"/>
      <c r="N29" s="1206"/>
      <c r="O29" s="1207"/>
      <c r="P29" s="1207"/>
      <c r="Q29" s="1207"/>
      <c r="R29" s="1207"/>
      <c r="S29" s="1207"/>
      <c r="T29" s="1207"/>
      <c r="U29" s="1208" t="s">
        <v>59</v>
      </c>
      <c r="V29" s="1208"/>
      <c r="W29" s="20"/>
      <c r="X29" s="1132"/>
    </row>
    <row r="30" spans="1:24" ht="35.25" customHeight="1">
      <c r="A30" s="1132"/>
      <c r="B30" s="1209"/>
      <c r="C30" s="21" t="s">
        <v>60</v>
      </c>
      <c r="D30" s="1201">
        <f>'Exemp.(HRA+Other) &amp; Other incom'!$O$4</f>
        <v>0</v>
      </c>
      <c r="E30" s="1201"/>
      <c r="F30" s="1201"/>
      <c r="G30" s="1201"/>
      <c r="H30" s="1201"/>
      <c r="I30" s="1201"/>
      <c r="J30" s="1201"/>
      <c r="K30" s="1202"/>
      <c r="L30" s="1099"/>
      <c r="M30" s="1132"/>
      <c r="N30" s="1209"/>
      <c r="O30" s="21" t="s">
        <v>60</v>
      </c>
      <c r="P30" s="1201">
        <f>'Exemp.(HRA+Other) &amp; Other incom'!$O$4</f>
        <v>0</v>
      </c>
      <c r="Q30" s="1201"/>
      <c r="R30" s="1201"/>
      <c r="S30" s="1201"/>
      <c r="T30" s="1201"/>
      <c r="U30" s="1201"/>
      <c r="V30" s="1201"/>
      <c r="W30" s="1202"/>
      <c r="X30" s="1132"/>
    </row>
    <row r="31" spans="1:24" ht="35.25" customHeight="1">
      <c r="A31" s="1132"/>
      <c r="B31" s="1209"/>
      <c r="C31" s="21"/>
      <c r="D31" s="1199" t="s">
        <v>61</v>
      </c>
      <c r="E31" s="1199"/>
      <c r="F31" s="1199"/>
      <c r="G31" s="1199"/>
      <c r="H31" s="1200" t="str">
        <f>'Exemp.(HRA+Other) &amp; Other incom'!$A$4</f>
        <v>SHAHID ALI</v>
      </c>
      <c r="I31" s="1200"/>
      <c r="J31" s="1200"/>
      <c r="K31" s="22" t="str">
        <f>CONCATENATE("(",'Exemp.(HRA+Other) &amp; Other incom'!$C$4,")")</f>
        <v>(Block Teacher)</v>
      </c>
      <c r="L31" s="1099"/>
      <c r="M31" s="1132"/>
      <c r="N31" s="1209"/>
      <c r="O31" s="21"/>
      <c r="P31" s="1199" t="s">
        <v>61</v>
      </c>
      <c r="Q31" s="1199"/>
      <c r="R31" s="1199"/>
      <c r="S31" s="1199"/>
      <c r="T31" s="1200" t="str">
        <f>'Exemp.(HRA+Other) &amp; Other incom'!$A$4</f>
        <v>SHAHID ALI</v>
      </c>
      <c r="U31" s="1200"/>
      <c r="V31" s="1200"/>
      <c r="W31" s="22" t="str">
        <f>CONCATENATE("(",'Exemp.(HRA+Other) &amp; Other incom'!$C$4,")")</f>
        <v>(Block Teacher)</v>
      </c>
      <c r="X31" s="1132"/>
    </row>
    <row r="32" spans="1:24" ht="35.25" customHeight="1">
      <c r="A32" s="1132"/>
      <c r="B32" s="1209"/>
      <c r="C32" s="21" t="s">
        <v>62</v>
      </c>
      <c r="D32" s="1201" t="str">
        <f>'Basic Deta'!$G$10</f>
        <v>M.S. BASUDHAR</v>
      </c>
      <c r="E32" s="1201"/>
      <c r="F32" s="1201"/>
      <c r="G32" s="1201"/>
      <c r="H32" s="1201"/>
      <c r="I32" s="1201"/>
      <c r="J32" s="1201"/>
      <c r="K32" s="1202"/>
      <c r="L32" s="1099"/>
      <c r="M32" s="1132"/>
      <c r="N32" s="1209"/>
      <c r="O32" s="21" t="s">
        <v>62</v>
      </c>
      <c r="P32" s="1201" t="str">
        <f>'Basic Deta'!$G$10</f>
        <v>M.S. BASUDHAR</v>
      </c>
      <c r="Q32" s="1201"/>
      <c r="R32" s="1201"/>
      <c r="S32" s="1201"/>
      <c r="T32" s="1201"/>
      <c r="U32" s="1201"/>
      <c r="V32" s="1201"/>
      <c r="W32" s="1202"/>
      <c r="X32" s="1132"/>
    </row>
    <row r="33" spans="1:24" ht="35.25" customHeight="1">
      <c r="A33" s="1132"/>
      <c r="B33" s="1209"/>
      <c r="C33" s="1224" t="s">
        <v>73</v>
      </c>
      <c r="D33" s="1224"/>
      <c r="E33" s="1224"/>
      <c r="F33" s="1224"/>
      <c r="G33" s="1212">
        <f>G34*3</f>
        <v>15330</v>
      </c>
      <c r="H33" s="1212"/>
      <c r="I33" s="1212"/>
      <c r="J33" s="1212"/>
      <c r="K33" s="1213"/>
      <c r="L33" s="1099"/>
      <c r="M33" s="1132"/>
      <c r="N33" s="1209"/>
      <c r="O33" s="1224" t="s">
        <v>73</v>
      </c>
      <c r="P33" s="1224"/>
      <c r="Q33" s="1224"/>
      <c r="R33" s="1224"/>
      <c r="S33" s="1212">
        <f>S34*3</f>
        <v>15330</v>
      </c>
      <c r="T33" s="1212"/>
      <c r="U33" s="1212"/>
      <c r="V33" s="1212"/>
      <c r="W33" s="1213"/>
      <c r="X33" s="1132"/>
    </row>
    <row r="34" spans="1:24" ht="35.25" customHeight="1">
      <c r="A34" s="1132"/>
      <c r="B34" s="1209"/>
      <c r="C34" s="1225" t="s">
        <v>72</v>
      </c>
      <c r="D34" s="1225"/>
      <c r="E34" s="1225"/>
      <c r="F34" s="1225"/>
      <c r="G34" s="1212">
        <f>'Exemp.(HRA+Other) &amp; Other incom'!$M$4</f>
        <v>5110</v>
      </c>
      <c r="H34" s="1212"/>
      <c r="I34" s="1212"/>
      <c r="J34" s="1212"/>
      <c r="K34" s="1213"/>
      <c r="L34" s="1099"/>
      <c r="M34" s="1132"/>
      <c r="N34" s="1209"/>
      <c r="O34" s="1225" t="s">
        <v>72</v>
      </c>
      <c r="P34" s="1225"/>
      <c r="Q34" s="1225"/>
      <c r="R34" s="1225"/>
      <c r="S34" s="1212">
        <f>'Exemp.(HRA+Other) &amp; Other incom'!$M$4</f>
        <v>5110</v>
      </c>
      <c r="T34" s="1212"/>
      <c r="U34" s="1212"/>
      <c r="V34" s="1212"/>
      <c r="W34" s="1213"/>
      <c r="X34" s="1132"/>
    </row>
    <row r="35" spans="1:24" ht="35.25" customHeight="1">
      <c r="A35" s="1132"/>
      <c r="B35" s="1209"/>
      <c r="C35" s="1211" t="s">
        <v>63</v>
      </c>
      <c r="D35" s="1211"/>
      <c r="E35" s="1169" t="s">
        <v>474</v>
      </c>
      <c r="F35" s="1169"/>
      <c r="G35" s="1169"/>
      <c r="H35" s="1169"/>
      <c r="I35" s="1169"/>
      <c r="J35" s="1169"/>
      <c r="K35" s="1170"/>
      <c r="L35" s="1099"/>
      <c r="M35" s="1132"/>
      <c r="N35" s="1209"/>
      <c r="O35" s="1211" t="s">
        <v>63</v>
      </c>
      <c r="P35" s="1211"/>
      <c r="Q35" s="1169" t="s">
        <v>475</v>
      </c>
      <c r="R35" s="1169"/>
      <c r="S35" s="1169"/>
      <c r="T35" s="1169"/>
      <c r="U35" s="1169"/>
      <c r="V35" s="1169"/>
      <c r="W35" s="1170"/>
      <c r="X35" s="1132"/>
    </row>
    <row r="36" spans="1:24" ht="35.25" customHeight="1">
      <c r="A36" s="1132"/>
      <c r="B36" s="1209"/>
      <c r="C36" s="1196"/>
      <c r="D36" s="1196"/>
      <c r="E36" s="1196"/>
      <c r="F36" s="1196"/>
      <c r="G36" s="1196"/>
      <c r="H36" s="1196"/>
      <c r="I36" s="1196"/>
      <c r="J36" s="1196"/>
      <c r="K36" s="1197"/>
      <c r="L36" s="1099"/>
      <c r="M36" s="1132"/>
      <c r="N36" s="1209"/>
      <c r="O36" s="1196"/>
      <c r="P36" s="1196"/>
      <c r="Q36" s="1196"/>
      <c r="R36" s="1196"/>
      <c r="S36" s="1196"/>
      <c r="T36" s="1196"/>
      <c r="U36" s="1196"/>
      <c r="V36" s="1196"/>
      <c r="W36" s="1197"/>
      <c r="X36" s="1132"/>
    </row>
    <row r="37" spans="1:24" ht="35.25" customHeight="1">
      <c r="A37" s="1132"/>
      <c r="B37" s="1209"/>
      <c r="C37" s="21" t="s">
        <v>64</v>
      </c>
      <c r="D37" s="1179">
        <f>G33</f>
        <v>15330</v>
      </c>
      <c r="E37" s="1179"/>
      <c r="F37" s="1198"/>
      <c r="G37" s="1196"/>
      <c r="H37" s="1196"/>
      <c r="I37" s="1196"/>
      <c r="J37" s="1196"/>
      <c r="K37" s="1197"/>
      <c r="L37" s="1099"/>
      <c r="M37" s="1132"/>
      <c r="N37" s="1209"/>
      <c r="O37" s="21" t="s">
        <v>64</v>
      </c>
      <c r="P37" s="1179">
        <f>S33</f>
        <v>15330</v>
      </c>
      <c r="Q37" s="1179"/>
      <c r="R37" s="1198"/>
      <c r="S37" s="1196"/>
      <c r="T37" s="1196"/>
      <c r="U37" s="1196"/>
      <c r="V37" s="1196"/>
      <c r="W37" s="1197"/>
      <c r="X37" s="1132"/>
    </row>
    <row r="38" spans="1:24" ht="35.25" customHeight="1">
      <c r="A38" s="1132"/>
      <c r="B38" s="1209"/>
      <c r="C38" s="1184"/>
      <c r="D38" s="1184"/>
      <c r="E38" s="1184"/>
      <c r="F38" s="1184"/>
      <c r="G38" s="1184"/>
      <c r="H38" s="1184"/>
      <c r="I38" s="1184"/>
      <c r="J38" s="1184"/>
      <c r="K38" s="1185"/>
      <c r="L38" s="1099"/>
      <c r="M38" s="1132"/>
      <c r="N38" s="1209"/>
      <c r="O38" s="1184"/>
      <c r="P38" s="1184"/>
      <c r="Q38" s="1184"/>
      <c r="R38" s="1184"/>
      <c r="S38" s="1184"/>
      <c r="T38" s="1184"/>
      <c r="U38" s="1184"/>
      <c r="V38" s="1184"/>
      <c r="W38" s="1185"/>
      <c r="X38" s="1132"/>
    </row>
    <row r="39" spans="1:24" ht="35.25" customHeight="1">
      <c r="A39" s="1132"/>
      <c r="B39" s="1209"/>
      <c r="C39" s="21" t="s">
        <v>65</v>
      </c>
      <c r="D39" s="1192">
        <f>K29</f>
        <v>0</v>
      </c>
      <c r="E39" s="1192"/>
      <c r="F39" s="1193"/>
      <c r="G39" s="1194"/>
      <c r="H39" s="1194"/>
      <c r="I39" s="1194"/>
      <c r="J39" s="1194"/>
      <c r="K39" s="1195"/>
      <c r="L39" s="1099"/>
      <c r="M39" s="1132"/>
      <c r="N39" s="1209"/>
      <c r="O39" s="21" t="s">
        <v>65</v>
      </c>
      <c r="P39" s="1192">
        <f>W29</f>
        <v>0</v>
      </c>
      <c r="Q39" s="1192"/>
      <c r="R39" s="1193"/>
      <c r="S39" s="1194"/>
      <c r="T39" s="1194"/>
      <c r="U39" s="1194"/>
      <c r="V39" s="1194"/>
      <c r="W39" s="1195"/>
      <c r="X39" s="1132"/>
    </row>
    <row r="40" spans="1:24" ht="35.25" customHeight="1" thickBot="1">
      <c r="A40" s="1132"/>
      <c r="B40" s="1209"/>
      <c r="C40" s="1184"/>
      <c r="D40" s="1184"/>
      <c r="E40" s="1184"/>
      <c r="F40" s="1184"/>
      <c r="G40" s="1184"/>
      <c r="H40" s="1184"/>
      <c r="I40" s="1184"/>
      <c r="J40" s="1184"/>
      <c r="K40" s="1185"/>
      <c r="L40" s="1099"/>
      <c r="M40" s="1132"/>
      <c r="N40" s="1209"/>
      <c r="O40" s="1184"/>
      <c r="P40" s="1184"/>
      <c r="Q40" s="1184"/>
      <c r="R40" s="1184"/>
      <c r="S40" s="1184"/>
      <c r="T40" s="1184"/>
      <c r="U40" s="1184"/>
      <c r="V40" s="1184"/>
      <c r="W40" s="1185"/>
      <c r="X40" s="1132"/>
    </row>
    <row r="41" spans="1:24" ht="35.25" customHeight="1">
      <c r="A41" s="1132"/>
      <c r="B41" s="1209"/>
      <c r="C41" s="1184"/>
      <c r="D41" s="1184"/>
      <c r="E41" s="1184"/>
      <c r="F41" s="1184"/>
      <c r="G41" s="1186" t="s">
        <v>66</v>
      </c>
      <c r="H41" s="1187"/>
      <c r="I41" s="1187"/>
      <c r="J41" s="1187"/>
      <c r="K41" s="1188"/>
      <c r="L41" s="1099"/>
      <c r="M41" s="1132"/>
      <c r="N41" s="1209"/>
      <c r="O41" s="1184"/>
      <c r="P41" s="1184"/>
      <c r="Q41" s="1184"/>
      <c r="R41" s="1184"/>
      <c r="S41" s="1186" t="s">
        <v>66</v>
      </c>
      <c r="T41" s="1187"/>
      <c r="U41" s="1187"/>
      <c r="V41" s="1187"/>
      <c r="W41" s="1188"/>
      <c r="X41" s="1132"/>
    </row>
    <row r="42" spans="1:24" ht="35.25" customHeight="1">
      <c r="A42" s="1132"/>
      <c r="B42" s="1209"/>
      <c r="C42" s="1184"/>
      <c r="D42" s="1184"/>
      <c r="E42" s="1184"/>
      <c r="F42" s="1184"/>
      <c r="G42" s="1189" t="s">
        <v>67</v>
      </c>
      <c r="H42" s="1190"/>
      <c r="I42" s="1190"/>
      <c r="J42" s="1190"/>
      <c r="K42" s="1191"/>
      <c r="L42" s="1099"/>
      <c r="M42" s="1132"/>
      <c r="N42" s="1209"/>
      <c r="O42" s="1184"/>
      <c r="P42" s="1184"/>
      <c r="Q42" s="1184"/>
      <c r="R42" s="1184"/>
      <c r="S42" s="1189" t="s">
        <v>67</v>
      </c>
      <c r="T42" s="1190"/>
      <c r="U42" s="1190"/>
      <c r="V42" s="1190"/>
      <c r="W42" s="1191"/>
      <c r="X42" s="1132"/>
    </row>
    <row r="43" spans="1:24" ht="35.25" customHeight="1">
      <c r="A43" s="1132"/>
      <c r="B43" s="1209"/>
      <c r="C43" s="1184"/>
      <c r="D43" s="1184"/>
      <c r="E43" s="1184"/>
      <c r="F43" s="1184"/>
      <c r="G43" s="1165" t="s">
        <v>68</v>
      </c>
      <c r="H43" s="1166"/>
      <c r="I43" s="1167">
        <f>D30</f>
        <v>0</v>
      </c>
      <c r="J43" s="1167"/>
      <c r="K43" s="1168"/>
      <c r="L43" s="1099"/>
      <c r="M43" s="1132"/>
      <c r="N43" s="1209"/>
      <c r="O43" s="1184"/>
      <c r="P43" s="1184"/>
      <c r="Q43" s="1184"/>
      <c r="R43" s="1184"/>
      <c r="S43" s="1165" t="s">
        <v>68</v>
      </c>
      <c r="T43" s="1166"/>
      <c r="U43" s="1167">
        <f>P30</f>
        <v>0</v>
      </c>
      <c r="V43" s="1167"/>
      <c r="W43" s="1168"/>
      <c r="X43" s="1132"/>
    </row>
    <row r="44" spans="1:24" ht="35.25" customHeight="1">
      <c r="A44" s="1132"/>
      <c r="B44" s="1209"/>
      <c r="C44" s="1184"/>
      <c r="D44" s="1184"/>
      <c r="E44" s="1184"/>
      <c r="F44" s="1184"/>
      <c r="G44" s="1178" t="s">
        <v>69</v>
      </c>
      <c r="H44" s="1179"/>
      <c r="I44" s="1179"/>
      <c r="J44" s="1179"/>
      <c r="K44" s="1180"/>
      <c r="L44" s="1099"/>
      <c r="M44" s="1132"/>
      <c r="N44" s="1209"/>
      <c r="O44" s="1184"/>
      <c r="P44" s="1184"/>
      <c r="Q44" s="1184"/>
      <c r="R44" s="1184"/>
      <c r="S44" s="1178" t="s">
        <v>69</v>
      </c>
      <c r="T44" s="1179"/>
      <c r="U44" s="1179"/>
      <c r="V44" s="1179"/>
      <c r="W44" s="1180"/>
      <c r="X44" s="1132"/>
    </row>
    <row r="45" spans="1:24" ht="35.25" customHeight="1">
      <c r="A45" s="1132"/>
      <c r="B45" s="1209"/>
      <c r="C45" s="1184"/>
      <c r="D45" s="1184"/>
      <c r="E45" s="1184"/>
      <c r="F45" s="1184"/>
      <c r="G45" s="1181">
        <f>'Exemp.(HRA+Other) &amp; Other incom'!$P$4</f>
        <v>0</v>
      </c>
      <c r="H45" s="1182"/>
      <c r="I45" s="1182"/>
      <c r="J45" s="1182"/>
      <c r="K45" s="1183"/>
      <c r="L45" s="1099"/>
      <c r="M45" s="1132"/>
      <c r="N45" s="1209"/>
      <c r="O45" s="1184"/>
      <c r="P45" s="1184"/>
      <c r="Q45" s="1184"/>
      <c r="R45" s="1184"/>
      <c r="S45" s="1181">
        <f>'Exemp.(HRA+Other) &amp; Other incom'!$P$4</f>
        <v>0</v>
      </c>
      <c r="T45" s="1182"/>
      <c r="U45" s="1182"/>
      <c r="V45" s="1182"/>
      <c r="W45" s="1183"/>
      <c r="X45" s="1132"/>
    </row>
    <row r="46" spans="1:24" ht="35.25" customHeight="1">
      <c r="A46" s="1132"/>
      <c r="B46" s="1209"/>
      <c r="C46" s="1184"/>
      <c r="D46" s="1184"/>
      <c r="E46" s="1184"/>
      <c r="F46" s="1184"/>
      <c r="G46" s="1181"/>
      <c r="H46" s="1182"/>
      <c r="I46" s="1182"/>
      <c r="J46" s="1182"/>
      <c r="K46" s="1183"/>
      <c r="L46" s="1099"/>
      <c r="M46" s="1132"/>
      <c r="N46" s="1209"/>
      <c r="O46" s="1184"/>
      <c r="P46" s="1184"/>
      <c r="Q46" s="1184"/>
      <c r="R46" s="1184"/>
      <c r="S46" s="1181"/>
      <c r="T46" s="1182"/>
      <c r="U46" s="1182"/>
      <c r="V46" s="1182"/>
      <c r="W46" s="1183"/>
      <c r="X46" s="1132"/>
    </row>
    <row r="47" spans="1:24" ht="35.25" customHeight="1" thickBot="1">
      <c r="A47" s="1132"/>
      <c r="B47" s="1209"/>
      <c r="C47" s="1184"/>
      <c r="D47" s="1184"/>
      <c r="E47" s="1184"/>
      <c r="F47" s="1184"/>
      <c r="G47" s="1172" t="s">
        <v>70</v>
      </c>
      <c r="H47" s="1173"/>
      <c r="I47" s="1173"/>
      <c r="J47" s="1174">
        <f>'Exemp.(HRA+Other) &amp; Other incom'!$Q$4</f>
        <v>0</v>
      </c>
      <c r="K47" s="1175"/>
      <c r="L47" s="1099"/>
      <c r="M47" s="1132"/>
      <c r="N47" s="1209"/>
      <c r="O47" s="1184"/>
      <c r="P47" s="1184"/>
      <c r="Q47" s="1184"/>
      <c r="R47" s="1184"/>
      <c r="S47" s="1172" t="s">
        <v>70</v>
      </c>
      <c r="T47" s="1173"/>
      <c r="U47" s="1173"/>
      <c r="V47" s="1174">
        <f>'Exemp.(HRA+Other) &amp; Other incom'!$Q$4</f>
        <v>0</v>
      </c>
      <c r="W47" s="1175"/>
      <c r="X47" s="1132"/>
    </row>
    <row r="48" spans="1:24" ht="35.25" customHeight="1" thickBot="1">
      <c r="A48" s="1132"/>
      <c r="B48" s="1210"/>
      <c r="C48" s="1176"/>
      <c r="D48" s="1176"/>
      <c r="E48" s="1176"/>
      <c r="F48" s="1176"/>
      <c r="G48" s="1176"/>
      <c r="H48" s="1176"/>
      <c r="I48" s="1176"/>
      <c r="J48" s="1176"/>
      <c r="K48" s="1177"/>
      <c r="L48" s="1099"/>
      <c r="M48" s="1132"/>
      <c r="N48" s="1210"/>
      <c r="O48" s="1176"/>
      <c r="P48" s="1176"/>
      <c r="Q48" s="1176"/>
      <c r="R48" s="1176"/>
      <c r="S48" s="1176"/>
      <c r="T48" s="1176"/>
      <c r="U48" s="1176"/>
      <c r="V48" s="1176"/>
      <c r="W48" s="1177"/>
      <c r="X48" s="1132"/>
    </row>
    <row r="49" spans="1:48">
      <c r="A49" s="1132"/>
      <c r="B49" s="1132"/>
      <c r="C49" s="1132"/>
      <c r="D49" s="1132"/>
      <c r="E49" s="1132"/>
      <c r="F49" s="1132"/>
      <c r="G49" s="1132"/>
      <c r="H49" s="1132"/>
      <c r="I49" s="1132"/>
      <c r="J49" s="1132"/>
      <c r="K49" s="1132"/>
      <c r="L49" s="1132"/>
      <c r="M49" s="1132"/>
      <c r="N49" s="1132"/>
      <c r="O49" s="1132"/>
      <c r="P49" s="1132"/>
      <c r="Q49" s="1132"/>
      <c r="R49" s="1132"/>
      <c r="S49" s="1132"/>
      <c r="T49" s="1132"/>
      <c r="U49" s="1132"/>
      <c r="V49" s="1132"/>
      <c r="W49" s="1132"/>
      <c r="X49" s="1132"/>
    </row>
    <row r="50" spans="1:48">
      <c r="A50" s="1132"/>
      <c r="B50" s="1132"/>
      <c r="C50" s="1132"/>
      <c r="D50" s="1132"/>
      <c r="E50" s="1132"/>
      <c r="F50" s="1132"/>
      <c r="G50" s="1132"/>
      <c r="H50" s="1132"/>
      <c r="I50" s="1132"/>
      <c r="J50" s="1132"/>
      <c r="K50" s="1132"/>
      <c r="L50" s="1132"/>
      <c r="M50" s="1132"/>
      <c r="N50" s="1132"/>
      <c r="O50" s="1132"/>
      <c r="P50" s="1132"/>
      <c r="Q50" s="1132"/>
      <c r="R50" s="1132"/>
      <c r="S50" s="1132"/>
      <c r="T50" s="1132"/>
      <c r="U50" s="1132"/>
      <c r="V50" s="1132"/>
      <c r="W50" s="1132"/>
      <c r="X50" s="1132"/>
    </row>
    <row r="51" spans="1:48">
      <c r="A51" s="1132"/>
      <c r="B51" s="1132"/>
      <c r="C51" s="1132"/>
      <c r="D51" s="1132"/>
      <c r="E51" s="1132"/>
      <c r="F51" s="1132"/>
      <c r="G51" s="1132"/>
      <c r="H51" s="1132"/>
      <c r="I51" s="1132"/>
      <c r="J51" s="1132"/>
      <c r="K51" s="1132"/>
      <c r="L51" s="1132"/>
      <c r="M51" s="1132"/>
      <c r="N51" s="1132"/>
      <c r="O51" s="1132"/>
      <c r="P51" s="1132"/>
      <c r="Q51" s="1132"/>
      <c r="R51" s="1132"/>
      <c r="S51" s="1132"/>
      <c r="T51" s="1132"/>
      <c r="U51" s="1132"/>
      <c r="V51" s="1132"/>
      <c r="W51" s="1132"/>
      <c r="X51" s="1132"/>
    </row>
    <row r="52" spans="1:48">
      <c r="A52" s="1132"/>
      <c r="B52" s="1132"/>
      <c r="C52" s="1132"/>
      <c r="D52" s="1132"/>
      <c r="E52" s="1132"/>
      <c r="F52" s="1132"/>
      <c r="G52" s="1132"/>
      <c r="H52" s="1132"/>
      <c r="I52" s="1132"/>
      <c r="J52" s="1132"/>
      <c r="K52" s="1132"/>
      <c r="L52" s="1132"/>
      <c r="M52" s="1132"/>
      <c r="N52" s="1132"/>
      <c r="O52" s="1132"/>
      <c r="P52" s="1132"/>
      <c r="Q52" s="1132"/>
      <c r="R52" s="1132"/>
      <c r="S52" s="1132"/>
      <c r="T52" s="1132"/>
      <c r="U52" s="1132"/>
      <c r="V52" s="1132"/>
      <c r="W52" s="1132"/>
      <c r="X52" s="1132"/>
    </row>
    <row r="53" spans="1:48">
      <c r="A53" s="1132"/>
      <c r="B53" s="1132"/>
      <c r="C53" s="1132"/>
      <c r="D53" s="1132"/>
      <c r="E53" s="1132"/>
      <c r="F53" s="1132"/>
      <c r="G53" s="1132"/>
      <c r="H53" s="1132"/>
      <c r="I53" s="1132"/>
      <c r="J53" s="1132"/>
      <c r="K53" s="1132"/>
      <c r="L53" s="1132"/>
      <c r="M53" s="1132"/>
      <c r="N53" s="1132"/>
      <c r="O53" s="1132"/>
      <c r="P53" s="1132"/>
      <c r="Q53" s="1132"/>
      <c r="R53" s="1132"/>
      <c r="S53" s="1132"/>
      <c r="T53" s="1132"/>
      <c r="U53" s="1132"/>
      <c r="V53" s="1132"/>
      <c r="W53" s="1132"/>
      <c r="X53" s="1132"/>
    </row>
    <row r="54" spans="1:48">
      <c r="A54" s="1132"/>
      <c r="B54" s="1132"/>
      <c r="C54" s="1132"/>
      <c r="D54" s="1132"/>
      <c r="E54" s="1132"/>
      <c r="F54" s="1132"/>
      <c r="G54" s="1132"/>
      <c r="H54" s="1132"/>
      <c r="I54" s="1132"/>
      <c r="J54" s="1132"/>
      <c r="K54" s="1132"/>
      <c r="L54" s="1132"/>
      <c r="M54" s="1132"/>
      <c r="N54" s="1132"/>
      <c r="O54" s="1132"/>
      <c r="P54" s="1132"/>
      <c r="Q54" s="1132"/>
      <c r="R54" s="1132"/>
      <c r="S54" s="1132"/>
      <c r="T54" s="1132"/>
      <c r="U54" s="1132"/>
      <c r="V54" s="1132"/>
      <c r="W54" s="1132"/>
      <c r="X54" s="1132"/>
    </row>
    <row r="55" spans="1:48">
      <c r="A55" s="1132"/>
      <c r="B55" s="1132"/>
      <c r="C55" s="1132"/>
      <c r="D55" s="1132"/>
      <c r="E55" s="1132"/>
      <c r="F55" s="1132"/>
      <c r="G55" s="1132"/>
      <c r="H55" s="1132"/>
      <c r="I55" s="1132"/>
      <c r="J55" s="1132"/>
      <c r="K55" s="1132"/>
      <c r="L55" s="1132"/>
      <c r="M55" s="1132"/>
      <c r="N55" s="1132"/>
      <c r="O55" s="1132"/>
      <c r="P55" s="1132"/>
      <c r="Q55" s="1132"/>
      <c r="R55" s="1132"/>
      <c r="S55" s="1132"/>
      <c r="T55" s="1132"/>
      <c r="U55" s="1132"/>
      <c r="V55" s="1132"/>
      <c r="W55" s="1132"/>
      <c r="X55" s="1132"/>
    </row>
    <row r="56" spans="1:48">
      <c r="A56" s="1132"/>
      <c r="B56" s="1132"/>
      <c r="C56" s="1132"/>
      <c r="D56" s="1132"/>
      <c r="E56" s="1132"/>
      <c r="F56" s="1132"/>
      <c r="G56" s="1132"/>
      <c r="H56" s="1132"/>
      <c r="I56" s="1132"/>
      <c r="J56" s="1132"/>
      <c r="K56" s="1132"/>
      <c r="L56" s="1132"/>
      <c r="M56" s="1132"/>
      <c r="N56" s="1132"/>
      <c r="O56" s="1132"/>
      <c r="P56" s="1132"/>
      <c r="Q56" s="1132"/>
      <c r="R56" s="1132"/>
      <c r="S56" s="1132"/>
      <c r="T56" s="1132"/>
      <c r="U56" s="1132"/>
      <c r="V56" s="1132"/>
      <c r="W56" s="1132"/>
      <c r="X56" s="1132"/>
    </row>
    <row r="57" spans="1:48">
      <c r="A57" s="1132"/>
      <c r="B57" s="1132"/>
      <c r="C57" s="1132"/>
      <c r="D57" s="1132"/>
      <c r="E57" s="1132"/>
      <c r="F57" s="1132"/>
      <c r="G57" s="1132"/>
      <c r="H57" s="1132"/>
      <c r="I57" s="1132"/>
      <c r="J57" s="1132"/>
      <c r="K57" s="1132"/>
      <c r="L57" s="1132"/>
      <c r="M57" s="1132"/>
      <c r="N57" s="1132"/>
      <c r="O57" s="1132"/>
      <c r="P57" s="1132"/>
      <c r="Q57" s="1132"/>
      <c r="R57" s="1132"/>
      <c r="S57" s="1132"/>
      <c r="T57" s="1132"/>
      <c r="U57" s="1132"/>
      <c r="V57" s="1132"/>
      <c r="W57" s="1132"/>
      <c r="X57" s="1132"/>
    </row>
    <row r="58" spans="1:48">
      <c r="A58" s="1132"/>
      <c r="B58" s="1132"/>
      <c r="C58" s="1132"/>
      <c r="D58" s="1132"/>
      <c r="E58" s="1132"/>
      <c r="F58" s="1132"/>
      <c r="G58" s="1132"/>
      <c r="H58" s="1132"/>
      <c r="I58" s="1132"/>
      <c r="J58" s="1132"/>
      <c r="K58" s="1132"/>
      <c r="L58" s="1132"/>
      <c r="M58" s="1132"/>
      <c r="N58" s="1132"/>
      <c r="O58" s="1132"/>
      <c r="P58" s="1132"/>
      <c r="Q58" s="1132"/>
      <c r="R58" s="1132"/>
      <c r="S58" s="1132"/>
      <c r="T58" s="1132"/>
      <c r="U58" s="1132"/>
      <c r="V58" s="1132"/>
      <c r="W58" s="1132"/>
      <c r="X58" s="1132"/>
    </row>
    <row r="59" spans="1:48">
      <c r="A59" s="1132"/>
      <c r="B59" s="1132"/>
      <c r="C59" s="1132"/>
      <c r="D59" s="1132"/>
      <c r="E59" s="1132"/>
      <c r="F59" s="1132"/>
      <c r="G59" s="1132"/>
      <c r="H59" s="1132"/>
      <c r="I59" s="1132"/>
      <c r="J59" s="1132"/>
      <c r="K59" s="1132"/>
      <c r="L59" s="1132"/>
      <c r="M59" s="1132"/>
      <c r="N59" s="1132"/>
      <c r="O59" s="1132"/>
      <c r="P59" s="1132"/>
      <c r="Q59" s="1132"/>
      <c r="R59" s="1132"/>
      <c r="S59" s="1132"/>
      <c r="T59" s="1132"/>
      <c r="U59" s="1132"/>
      <c r="V59" s="1132"/>
      <c r="W59" s="1132"/>
      <c r="X59" s="1132"/>
    </row>
    <row r="60" spans="1:48" ht="35.25" customHeight="1" thickBot="1">
      <c r="A60" s="1132"/>
      <c r="B60" s="1132"/>
      <c r="C60" s="1132"/>
      <c r="D60" s="1132"/>
      <c r="E60" s="1132"/>
      <c r="F60" s="1132"/>
      <c r="G60" s="1132"/>
      <c r="H60" s="1132"/>
      <c r="I60" s="1132"/>
      <c r="J60" s="1132"/>
      <c r="K60" s="1132"/>
      <c r="L60" s="1132"/>
      <c r="M60" s="1132"/>
      <c r="N60" s="1132"/>
      <c r="O60" s="1132"/>
      <c r="P60" s="1132"/>
      <c r="Q60" s="1132"/>
      <c r="R60" s="1132"/>
      <c r="S60" s="1132"/>
      <c r="T60" s="1132"/>
      <c r="U60" s="1132"/>
      <c r="V60" s="1132"/>
      <c r="W60" s="1132"/>
      <c r="X60" s="1171"/>
      <c r="Y60" s="1171"/>
      <c r="Z60" s="1171"/>
      <c r="AA60" s="1171"/>
      <c r="AB60" s="1171"/>
      <c r="AC60" s="1171"/>
      <c r="AD60" s="1171"/>
      <c r="AE60" s="1171"/>
      <c r="AF60" s="1171"/>
      <c r="AG60" s="1171"/>
      <c r="AH60" s="1171"/>
      <c r="AI60" s="1171"/>
      <c r="AJ60" s="1171"/>
      <c r="AK60" s="1171"/>
      <c r="AL60" s="1171"/>
      <c r="AM60" s="1171"/>
      <c r="AN60" s="1171"/>
      <c r="AO60" s="1171"/>
      <c r="AP60" s="1171"/>
      <c r="AQ60" s="1171"/>
      <c r="AR60" s="1171"/>
      <c r="AS60" s="1171"/>
      <c r="AT60" s="1171"/>
      <c r="AU60" s="1171"/>
      <c r="AV60" s="1171"/>
    </row>
    <row r="61" spans="1:48" ht="35.25" customHeight="1">
      <c r="A61" s="111"/>
      <c r="B61" s="19">
        <v>1</v>
      </c>
      <c r="C61" s="1217" t="s">
        <v>57</v>
      </c>
      <c r="D61" s="1217"/>
      <c r="E61" s="1217"/>
      <c r="F61" s="1217"/>
      <c r="G61" s="1217"/>
      <c r="H61" s="1217"/>
      <c r="I61" s="1217"/>
      <c r="J61" s="1217"/>
      <c r="K61" s="1218"/>
      <c r="L61" s="111"/>
      <c r="M61" s="111"/>
      <c r="N61" s="19">
        <v>2</v>
      </c>
      <c r="O61" s="1217" t="s">
        <v>57</v>
      </c>
      <c r="P61" s="1217"/>
      <c r="Q61" s="1217"/>
      <c r="R61" s="1217"/>
      <c r="S61" s="1217"/>
      <c r="T61" s="1217"/>
      <c r="U61" s="1217"/>
      <c r="V61" s="1217"/>
      <c r="W61" s="1218"/>
      <c r="X61" s="1171"/>
      <c r="Y61" s="1171"/>
      <c r="Z61" s="1171"/>
      <c r="AA61" s="1171"/>
      <c r="AB61" s="1171"/>
      <c r="AC61" s="1171"/>
      <c r="AD61" s="1171"/>
      <c r="AE61" s="1171"/>
      <c r="AF61" s="1171"/>
      <c r="AG61" s="1171"/>
      <c r="AH61" s="1171"/>
      <c r="AI61" s="1171"/>
      <c r="AJ61" s="1171"/>
      <c r="AK61" s="1171"/>
      <c r="AL61" s="1171"/>
      <c r="AM61" s="1171"/>
      <c r="AN61" s="1171"/>
      <c r="AO61" s="1171"/>
      <c r="AP61" s="1171"/>
      <c r="AQ61" s="1171"/>
      <c r="AR61" s="1171"/>
      <c r="AS61" s="1171"/>
      <c r="AT61" s="1171"/>
      <c r="AU61" s="1171"/>
      <c r="AV61" s="1171"/>
    </row>
    <row r="62" spans="1:48" ht="35.25" customHeight="1">
      <c r="A62" s="111"/>
      <c r="B62" s="1219" t="s">
        <v>58</v>
      </c>
      <c r="C62" s="1220"/>
      <c r="D62" s="1220"/>
      <c r="E62" s="1220"/>
      <c r="F62" s="1220"/>
      <c r="G62" s="1220"/>
      <c r="H62" s="1220"/>
      <c r="I62" s="1220"/>
      <c r="J62" s="1220"/>
      <c r="K62" s="1221"/>
      <c r="L62" s="111"/>
      <c r="M62" s="111"/>
      <c r="N62" s="1219" t="s">
        <v>58</v>
      </c>
      <c r="O62" s="1220"/>
      <c r="P62" s="1220"/>
      <c r="Q62" s="1220"/>
      <c r="R62" s="1220"/>
      <c r="S62" s="1220"/>
      <c r="T62" s="1220"/>
      <c r="U62" s="1220"/>
      <c r="V62" s="1220"/>
      <c r="W62" s="1221"/>
      <c r="X62" s="1171"/>
      <c r="Y62" s="1171"/>
      <c r="Z62" s="1171"/>
      <c r="AA62" s="1171"/>
      <c r="AB62" s="1171"/>
      <c r="AC62" s="1171"/>
      <c r="AD62" s="1171"/>
      <c r="AE62" s="1171"/>
      <c r="AF62" s="1171"/>
      <c r="AG62" s="1171"/>
      <c r="AH62" s="1171"/>
      <c r="AI62" s="1171"/>
      <c r="AJ62" s="1171"/>
      <c r="AK62" s="1171"/>
      <c r="AL62" s="1171"/>
      <c r="AM62" s="1171"/>
      <c r="AN62" s="1171"/>
      <c r="AO62" s="1171"/>
      <c r="AP62" s="1171"/>
      <c r="AQ62" s="1171"/>
      <c r="AR62" s="1171"/>
      <c r="AS62" s="1171"/>
      <c r="AT62" s="1171"/>
      <c r="AU62" s="1171"/>
      <c r="AV62" s="1171"/>
    </row>
    <row r="63" spans="1:48" ht="35.25" customHeight="1" thickBot="1">
      <c r="A63" s="111"/>
      <c r="B63" s="1214"/>
      <c r="C63" s="1215"/>
      <c r="D63" s="1215"/>
      <c r="E63" s="1215"/>
      <c r="F63" s="1215"/>
      <c r="G63" s="1215"/>
      <c r="H63" s="1215"/>
      <c r="I63" s="1215"/>
      <c r="J63" s="1215"/>
      <c r="K63" s="1216"/>
      <c r="L63" s="111"/>
      <c r="M63" s="111"/>
      <c r="N63" s="1214"/>
      <c r="O63" s="1215"/>
      <c r="P63" s="1215"/>
      <c r="Q63" s="1215"/>
      <c r="R63" s="1215"/>
      <c r="S63" s="1215"/>
      <c r="T63" s="1215"/>
      <c r="U63" s="1215"/>
      <c r="V63" s="1215"/>
      <c r="W63" s="1216"/>
      <c r="X63" s="1171"/>
      <c r="Y63" s="1171"/>
      <c r="Z63" s="1171"/>
      <c r="AA63" s="1171"/>
      <c r="AB63" s="1171"/>
      <c r="AC63" s="1171"/>
      <c r="AD63" s="1171"/>
      <c r="AE63" s="1171"/>
      <c r="AF63" s="1171"/>
      <c r="AG63" s="1171"/>
      <c r="AH63" s="1171"/>
      <c r="AI63" s="1171"/>
      <c r="AJ63" s="1171"/>
      <c r="AK63" s="1171"/>
      <c r="AL63" s="1171"/>
      <c r="AM63" s="1171"/>
      <c r="AN63" s="1171"/>
      <c r="AO63" s="1171"/>
      <c r="AP63" s="1171"/>
      <c r="AQ63" s="1171"/>
      <c r="AR63" s="1171"/>
      <c r="AS63" s="1171"/>
      <c r="AT63" s="1171"/>
      <c r="AU63" s="1171"/>
      <c r="AV63" s="1171"/>
    </row>
    <row r="64" spans="1:48" ht="35.25" customHeight="1">
      <c r="A64" s="111"/>
      <c r="B64" s="1206"/>
      <c r="C64" s="1207"/>
      <c r="D64" s="1207"/>
      <c r="E64" s="1207"/>
      <c r="F64" s="1207"/>
      <c r="G64" s="1207"/>
      <c r="H64" s="1207"/>
      <c r="I64" s="1208" t="s">
        <v>59</v>
      </c>
      <c r="J64" s="1208"/>
      <c r="K64" s="20"/>
      <c r="L64" s="111"/>
      <c r="M64" s="111"/>
      <c r="N64" s="1206"/>
      <c r="O64" s="1207"/>
      <c r="P64" s="1207"/>
      <c r="Q64" s="1207"/>
      <c r="R64" s="1207"/>
      <c r="S64" s="1207"/>
      <c r="T64" s="1207"/>
      <c r="U64" s="1208" t="s">
        <v>59</v>
      </c>
      <c r="V64" s="1208"/>
      <c r="W64" s="20"/>
      <c r="X64" s="1171"/>
      <c r="Y64" s="1171"/>
      <c r="Z64" s="1171"/>
      <c r="AA64" s="1171"/>
      <c r="AB64" s="1171"/>
      <c r="AC64" s="1171"/>
      <c r="AD64" s="1171"/>
      <c r="AE64" s="1171"/>
      <c r="AF64" s="1171"/>
      <c r="AG64" s="1171"/>
      <c r="AH64" s="1171"/>
      <c r="AI64" s="1171"/>
      <c r="AJ64" s="1171"/>
      <c r="AK64" s="1171"/>
      <c r="AL64" s="1171"/>
      <c r="AM64" s="1171"/>
      <c r="AN64" s="1171"/>
      <c r="AO64" s="1171"/>
      <c r="AP64" s="1171"/>
      <c r="AQ64" s="1171"/>
      <c r="AR64" s="1171"/>
      <c r="AS64" s="1171"/>
      <c r="AT64" s="1171"/>
      <c r="AU64" s="1171"/>
      <c r="AV64" s="1171"/>
    </row>
    <row r="65" spans="1:48" ht="35.25" customHeight="1">
      <c r="A65" s="111"/>
      <c r="B65" s="1209"/>
      <c r="C65" s="21" t="s">
        <v>60</v>
      </c>
      <c r="D65" s="1201">
        <f>'Exemp.(HRA+Other) &amp; Other incom'!$O$4</f>
        <v>0</v>
      </c>
      <c r="E65" s="1201"/>
      <c r="F65" s="1201"/>
      <c r="G65" s="1201"/>
      <c r="H65" s="1201"/>
      <c r="I65" s="1201"/>
      <c r="J65" s="1201"/>
      <c r="K65" s="1202"/>
      <c r="L65" s="111"/>
      <c r="M65" s="111"/>
      <c r="N65" s="1209"/>
      <c r="O65" s="21" t="s">
        <v>60</v>
      </c>
      <c r="P65" s="1201">
        <f>'Exemp.(HRA+Other) &amp; Other incom'!$O$4</f>
        <v>0</v>
      </c>
      <c r="Q65" s="1201"/>
      <c r="R65" s="1201"/>
      <c r="S65" s="1201"/>
      <c r="T65" s="1201"/>
      <c r="U65" s="1201"/>
      <c r="V65" s="1201"/>
      <c r="W65" s="1202"/>
      <c r="X65" s="1171"/>
      <c r="Y65" s="1171"/>
      <c r="Z65" s="1171"/>
      <c r="AA65" s="1171"/>
      <c r="AB65" s="1171"/>
      <c r="AC65" s="1171"/>
      <c r="AD65" s="1171"/>
      <c r="AE65" s="1171"/>
      <c r="AF65" s="1171"/>
      <c r="AG65" s="1171"/>
      <c r="AH65" s="1171"/>
      <c r="AI65" s="1171"/>
      <c r="AJ65" s="1171"/>
      <c r="AK65" s="1171"/>
      <c r="AL65" s="1171"/>
      <c r="AM65" s="1171"/>
      <c r="AN65" s="1171"/>
      <c r="AO65" s="1171"/>
      <c r="AP65" s="1171"/>
      <c r="AQ65" s="1171"/>
      <c r="AR65" s="1171"/>
      <c r="AS65" s="1171"/>
      <c r="AT65" s="1171"/>
      <c r="AU65" s="1171"/>
      <c r="AV65" s="1171"/>
    </row>
    <row r="66" spans="1:48" ht="35.25" customHeight="1">
      <c r="A66" s="111"/>
      <c r="B66" s="1209"/>
      <c r="C66" s="21"/>
      <c r="D66" s="1199" t="s">
        <v>61</v>
      </c>
      <c r="E66" s="1199"/>
      <c r="F66" s="1199"/>
      <c r="G66" s="1199"/>
      <c r="H66" s="1200" t="str">
        <f>'Exemp.(HRA+Other) &amp; Other incom'!$A$4</f>
        <v>SHAHID ALI</v>
      </c>
      <c r="I66" s="1200"/>
      <c r="J66" s="1200"/>
      <c r="K66" s="22" t="str">
        <f>CONCATENATE("(",'Exemp.(HRA+Other) &amp; Other incom'!$C$4,")")</f>
        <v>(Block Teacher)</v>
      </c>
      <c r="L66" s="111"/>
      <c r="M66" s="111"/>
      <c r="N66" s="1209"/>
      <c r="O66" s="21"/>
      <c r="P66" s="1199" t="s">
        <v>61</v>
      </c>
      <c r="Q66" s="1199"/>
      <c r="R66" s="1199"/>
      <c r="S66" s="1199"/>
      <c r="T66" s="1200" t="str">
        <f>'Exemp.(HRA+Other) &amp; Other incom'!$A$4</f>
        <v>SHAHID ALI</v>
      </c>
      <c r="U66" s="1200"/>
      <c r="V66" s="1200"/>
      <c r="W66" s="22" t="str">
        <f>CONCATENATE("(",'Exemp.(HRA+Other) &amp; Other incom'!$C$4,")")</f>
        <v>(Block Teacher)</v>
      </c>
      <c r="X66" s="1171"/>
      <c r="Y66" s="1171"/>
      <c r="Z66" s="1171"/>
      <c r="AA66" s="1171"/>
      <c r="AB66" s="1171"/>
      <c r="AC66" s="1171"/>
      <c r="AD66" s="1171"/>
      <c r="AE66" s="1171"/>
      <c r="AF66" s="1171"/>
      <c r="AG66" s="1171"/>
      <c r="AH66" s="1171"/>
      <c r="AI66" s="1171"/>
      <c r="AJ66" s="1171"/>
      <c r="AK66" s="1171"/>
      <c r="AL66" s="1171"/>
      <c r="AM66" s="1171"/>
      <c r="AN66" s="1171"/>
      <c r="AO66" s="1171"/>
      <c r="AP66" s="1171"/>
      <c r="AQ66" s="1171"/>
      <c r="AR66" s="1171"/>
      <c r="AS66" s="1171"/>
      <c r="AT66" s="1171"/>
      <c r="AU66" s="1171"/>
      <c r="AV66" s="1171"/>
    </row>
    <row r="67" spans="1:48" ht="35.25" customHeight="1">
      <c r="A67" s="111"/>
      <c r="B67" s="1209"/>
      <c r="C67" s="21" t="s">
        <v>62</v>
      </c>
      <c r="D67" s="1201" t="str">
        <f>'Basic Deta'!$G$10</f>
        <v>M.S. BASUDHAR</v>
      </c>
      <c r="E67" s="1201"/>
      <c r="F67" s="1201"/>
      <c r="G67" s="1201"/>
      <c r="H67" s="1201"/>
      <c r="I67" s="1201"/>
      <c r="J67" s="1201"/>
      <c r="K67" s="1202"/>
      <c r="L67" s="111"/>
      <c r="M67" s="111"/>
      <c r="N67" s="1209"/>
      <c r="O67" s="21" t="s">
        <v>62</v>
      </c>
      <c r="P67" s="1201" t="str">
        <f>'Basic Deta'!$G$10</f>
        <v>M.S. BASUDHAR</v>
      </c>
      <c r="Q67" s="1201"/>
      <c r="R67" s="1201"/>
      <c r="S67" s="1201"/>
      <c r="T67" s="1201"/>
      <c r="U67" s="1201"/>
      <c r="V67" s="1201"/>
      <c r="W67" s="1202"/>
      <c r="X67" s="1171"/>
      <c r="Y67" s="1171"/>
      <c r="Z67" s="1171"/>
      <c r="AA67" s="1171"/>
      <c r="AB67" s="1171"/>
      <c r="AC67" s="1171"/>
      <c r="AD67" s="1171"/>
      <c r="AE67" s="1171"/>
      <c r="AF67" s="1171"/>
      <c r="AG67" s="1171"/>
      <c r="AH67" s="1171"/>
      <c r="AI67" s="1171"/>
      <c r="AJ67" s="1171"/>
      <c r="AK67" s="1171"/>
      <c r="AL67" s="1171"/>
      <c r="AM67" s="1171"/>
      <c r="AN67" s="1171"/>
      <c r="AO67" s="1171"/>
      <c r="AP67" s="1171"/>
      <c r="AQ67" s="1171"/>
      <c r="AR67" s="1171"/>
      <c r="AS67" s="1171"/>
      <c r="AT67" s="1171"/>
      <c r="AU67" s="1171"/>
      <c r="AV67" s="1171"/>
    </row>
    <row r="68" spans="1:48" ht="35.25" customHeight="1">
      <c r="A68" s="111"/>
      <c r="B68" s="1209"/>
      <c r="C68" s="1203" t="s">
        <v>74</v>
      </c>
      <c r="D68" s="1203"/>
      <c r="E68" s="1203"/>
      <c r="F68" s="1203"/>
      <c r="G68" s="1204">
        <f>G69*12</f>
        <v>61320</v>
      </c>
      <c r="H68" s="1204"/>
      <c r="I68" s="1204"/>
      <c r="J68" s="1204"/>
      <c r="K68" s="1205"/>
      <c r="L68" s="111"/>
      <c r="M68" s="111"/>
      <c r="N68" s="1209"/>
      <c r="O68" s="1203" t="s">
        <v>74</v>
      </c>
      <c r="P68" s="1203"/>
      <c r="Q68" s="1203"/>
      <c r="R68" s="1203"/>
      <c r="S68" s="1204">
        <f>G69*12</f>
        <v>61320</v>
      </c>
      <c r="T68" s="1204"/>
      <c r="U68" s="1204"/>
      <c r="V68" s="1204"/>
      <c r="W68" s="1205"/>
      <c r="X68" s="1171"/>
      <c r="Y68" s="1171"/>
      <c r="Z68" s="1171"/>
      <c r="AA68" s="1171"/>
      <c r="AB68" s="1171"/>
      <c r="AC68" s="1171"/>
      <c r="AD68" s="1171"/>
      <c r="AE68" s="1171"/>
      <c r="AF68" s="1171"/>
      <c r="AG68" s="1171"/>
      <c r="AH68" s="1171"/>
      <c r="AI68" s="1171"/>
      <c r="AJ68" s="1171"/>
      <c r="AK68" s="1171"/>
      <c r="AL68" s="1171"/>
      <c r="AM68" s="1171"/>
      <c r="AN68" s="1171"/>
      <c r="AO68" s="1171"/>
      <c r="AP68" s="1171"/>
      <c r="AQ68" s="1171"/>
      <c r="AR68" s="1171"/>
      <c r="AS68" s="1171"/>
      <c r="AT68" s="1171"/>
      <c r="AU68" s="1171"/>
      <c r="AV68" s="1171"/>
    </row>
    <row r="69" spans="1:48" ht="35.25" customHeight="1">
      <c r="A69" s="111"/>
      <c r="B69" s="1209"/>
      <c r="C69" s="1203" t="s">
        <v>72</v>
      </c>
      <c r="D69" s="1203"/>
      <c r="E69" s="1203"/>
      <c r="F69" s="1203"/>
      <c r="G69" s="1204">
        <f>'Exemp.(HRA+Other) &amp; Other incom'!$M$4</f>
        <v>5110</v>
      </c>
      <c r="H69" s="1204"/>
      <c r="I69" s="1204"/>
      <c r="J69" s="1204"/>
      <c r="K69" s="1205"/>
      <c r="L69" s="111"/>
      <c r="M69" s="111"/>
      <c r="N69" s="1209"/>
      <c r="O69" s="1203" t="s">
        <v>72</v>
      </c>
      <c r="P69" s="1203"/>
      <c r="Q69" s="1203"/>
      <c r="R69" s="1203"/>
      <c r="S69" s="1204">
        <f>'Exemp.(HRA+Other) &amp; Other incom'!$M$4</f>
        <v>5110</v>
      </c>
      <c r="T69" s="1204"/>
      <c r="U69" s="1204"/>
      <c r="V69" s="1204"/>
      <c r="W69" s="1205"/>
      <c r="X69" s="1171"/>
      <c r="Y69" s="1171"/>
      <c r="Z69" s="1171"/>
      <c r="AA69" s="1171"/>
      <c r="AB69" s="1171"/>
      <c r="AC69" s="1171"/>
      <c r="AD69" s="1171"/>
      <c r="AE69" s="1171"/>
      <c r="AF69" s="1171"/>
      <c r="AG69" s="1171"/>
      <c r="AH69" s="1171"/>
      <c r="AI69" s="1171"/>
      <c r="AJ69" s="1171"/>
      <c r="AK69" s="1171"/>
      <c r="AL69" s="1171"/>
      <c r="AM69" s="1171"/>
      <c r="AN69" s="1171"/>
      <c r="AO69" s="1171"/>
      <c r="AP69" s="1171"/>
      <c r="AQ69" s="1171"/>
      <c r="AR69" s="1171"/>
      <c r="AS69" s="1171"/>
      <c r="AT69" s="1171"/>
      <c r="AU69" s="1171"/>
      <c r="AV69" s="1171"/>
    </row>
    <row r="70" spans="1:48" ht="35.25" customHeight="1">
      <c r="A70" s="111"/>
      <c r="B70" s="1209"/>
      <c r="C70" s="1211" t="s">
        <v>63</v>
      </c>
      <c r="D70" s="1211"/>
      <c r="E70" s="1169" t="s">
        <v>476</v>
      </c>
      <c r="F70" s="1169"/>
      <c r="G70" s="1169"/>
      <c r="H70" s="1169"/>
      <c r="I70" s="1169"/>
      <c r="J70" s="1169"/>
      <c r="K70" s="1170"/>
      <c r="L70" s="111"/>
      <c r="M70" s="111"/>
      <c r="N70" s="1209"/>
      <c r="O70" s="1211" t="s">
        <v>63</v>
      </c>
      <c r="P70" s="1211"/>
      <c r="Q70" s="1169" t="str">
        <f>E70</f>
        <v>1 April, 2022 To 31 March, 2023</v>
      </c>
      <c r="R70" s="1169"/>
      <c r="S70" s="1169"/>
      <c r="T70" s="1169"/>
      <c r="U70" s="1169"/>
      <c r="V70" s="1169"/>
      <c r="W70" s="1170"/>
      <c r="X70" s="1171"/>
      <c r="Y70" s="1171"/>
      <c r="Z70" s="1171"/>
      <c r="AA70" s="1171"/>
      <c r="AB70" s="1171"/>
      <c r="AC70" s="1171"/>
      <c r="AD70" s="1171"/>
      <c r="AE70" s="1171"/>
      <c r="AF70" s="1171"/>
      <c r="AG70" s="1171"/>
      <c r="AH70" s="1171"/>
      <c r="AI70" s="1171"/>
      <c r="AJ70" s="1171"/>
      <c r="AK70" s="1171"/>
      <c r="AL70" s="1171"/>
      <c r="AM70" s="1171"/>
      <c r="AN70" s="1171"/>
      <c r="AO70" s="1171"/>
      <c r="AP70" s="1171"/>
      <c r="AQ70" s="1171"/>
      <c r="AR70" s="1171"/>
      <c r="AS70" s="1171"/>
      <c r="AT70" s="1171"/>
      <c r="AU70" s="1171"/>
      <c r="AV70" s="1171"/>
    </row>
    <row r="71" spans="1:48" ht="35.25" customHeight="1">
      <c r="A71" s="111"/>
      <c r="B71" s="1209"/>
      <c r="C71" s="1196"/>
      <c r="D71" s="1196"/>
      <c r="E71" s="1196"/>
      <c r="F71" s="1196"/>
      <c r="G71" s="1196"/>
      <c r="H71" s="1196"/>
      <c r="I71" s="1196"/>
      <c r="J71" s="1196"/>
      <c r="K71" s="1197"/>
      <c r="L71" s="111"/>
      <c r="M71" s="111"/>
      <c r="N71" s="1209"/>
      <c r="O71" s="1196"/>
      <c r="P71" s="1196"/>
      <c r="Q71" s="1196"/>
      <c r="R71" s="1196"/>
      <c r="S71" s="1196"/>
      <c r="T71" s="1196"/>
      <c r="U71" s="1196"/>
      <c r="V71" s="1196"/>
      <c r="W71" s="1197"/>
      <c r="X71" s="1171"/>
      <c r="Y71" s="1171"/>
      <c r="Z71" s="1171"/>
      <c r="AA71" s="1171"/>
      <c r="AB71" s="1171"/>
      <c r="AC71" s="1171"/>
      <c r="AD71" s="1171"/>
      <c r="AE71" s="1171"/>
      <c r="AF71" s="1171"/>
      <c r="AG71" s="1171"/>
      <c r="AH71" s="1171"/>
      <c r="AI71" s="1171"/>
      <c r="AJ71" s="1171"/>
      <c r="AK71" s="1171"/>
      <c r="AL71" s="1171"/>
      <c r="AM71" s="1171"/>
      <c r="AN71" s="1171"/>
      <c r="AO71" s="1171"/>
      <c r="AP71" s="1171"/>
      <c r="AQ71" s="1171"/>
      <c r="AR71" s="1171"/>
      <c r="AS71" s="1171"/>
      <c r="AT71" s="1171"/>
      <c r="AU71" s="1171"/>
      <c r="AV71" s="1171"/>
    </row>
    <row r="72" spans="1:48" ht="35.25" customHeight="1">
      <c r="A72" s="111"/>
      <c r="B72" s="1209"/>
      <c r="C72" s="21" t="s">
        <v>64</v>
      </c>
      <c r="D72" s="1179">
        <f>G68</f>
        <v>61320</v>
      </c>
      <c r="E72" s="1179"/>
      <c r="F72" s="1198"/>
      <c r="G72" s="1196"/>
      <c r="H72" s="1196"/>
      <c r="I72" s="1196"/>
      <c r="J72" s="1196"/>
      <c r="K72" s="1197"/>
      <c r="L72" s="111"/>
      <c r="M72" s="111"/>
      <c r="N72" s="1209"/>
      <c r="O72" s="21" t="s">
        <v>64</v>
      </c>
      <c r="P72" s="1179">
        <f>G68</f>
        <v>61320</v>
      </c>
      <c r="Q72" s="1179"/>
      <c r="R72" s="1198"/>
      <c r="S72" s="1196"/>
      <c r="T72" s="1196"/>
      <c r="U72" s="1196"/>
      <c r="V72" s="1196"/>
      <c r="W72" s="1197"/>
      <c r="X72" s="1171"/>
      <c r="Y72" s="1171"/>
      <c r="Z72" s="1171"/>
      <c r="AA72" s="1171"/>
      <c r="AB72" s="1171"/>
      <c r="AC72" s="1171"/>
      <c r="AD72" s="1171"/>
      <c r="AE72" s="1171"/>
      <c r="AF72" s="1171"/>
      <c r="AG72" s="1171"/>
      <c r="AH72" s="1171"/>
      <c r="AI72" s="1171"/>
      <c r="AJ72" s="1171"/>
      <c r="AK72" s="1171"/>
      <c r="AL72" s="1171"/>
      <c r="AM72" s="1171"/>
      <c r="AN72" s="1171"/>
      <c r="AO72" s="1171"/>
      <c r="AP72" s="1171"/>
      <c r="AQ72" s="1171"/>
      <c r="AR72" s="1171"/>
      <c r="AS72" s="1171"/>
      <c r="AT72" s="1171"/>
      <c r="AU72" s="1171"/>
      <c r="AV72" s="1171"/>
    </row>
    <row r="73" spans="1:48" ht="35.25" customHeight="1">
      <c r="A73" s="111"/>
      <c r="B73" s="1209"/>
      <c r="C73" s="1184"/>
      <c r="D73" s="1184"/>
      <c r="E73" s="1184"/>
      <c r="F73" s="1184"/>
      <c r="G73" s="1184"/>
      <c r="H73" s="1184"/>
      <c r="I73" s="1184"/>
      <c r="J73" s="1184"/>
      <c r="K73" s="1185"/>
      <c r="L73" s="111"/>
      <c r="M73" s="111"/>
      <c r="N73" s="1209"/>
      <c r="O73" s="1184"/>
      <c r="P73" s="1184"/>
      <c r="Q73" s="1184"/>
      <c r="R73" s="1184"/>
      <c r="S73" s="1184"/>
      <c r="T73" s="1184"/>
      <c r="U73" s="1184"/>
      <c r="V73" s="1184"/>
      <c r="W73" s="1185"/>
      <c r="X73" s="1171"/>
      <c r="Y73" s="1171"/>
      <c r="Z73" s="1171"/>
      <c r="AA73" s="1171"/>
      <c r="AB73" s="1171"/>
      <c r="AC73" s="1171"/>
      <c r="AD73" s="1171"/>
      <c r="AE73" s="1171"/>
      <c r="AF73" s="1171"/>
      <c r="AG73" s="1171"/>
      <c r="AH73" s="1171"/>
      <c r="AI73" s="1171"/>
      <c r="AJ73" s="1171"/>
      <c r="AK73" s="1171"/>
      <c r="AL73" s="1171"/>
      <c r="AM73" s="1171"/>
      <c r="AN73" s="1171"/>
      <c r="AO73" s="1171"/>
      <c r="AP73" s="1171"/>
      <c r="AQ73" s="1171"/>
      <c r="AR73" s="1171"/>
      <c r="AS73" s="1171"/>
      <c r="AT73" s="1171"/>
      <c r="AU73" s="1171"/>
      <c r="AV73" s="1171"/>
    </row>
    <row r="74" spans="1:48" ht="35.25" customHeight="1">
      <c r="A74" s="111"/>
      <c r="B74" s="1209"/>
      <c r="C74" s="21" t="s">
        <v>65</v>
      </c>
      <c r="D74" s="1192">
        <f>K64</f>
        <v>0</v>
      </c>
      <c r="E74" s="1192"/>
      <c r="F74" s="1193"/>
      <c r="G74" s="1194"/>
      <c r="H74" s="1194"/>
      <c r="I74" s="1194"/>
      <c r="J74" s="1194"/>
      <c r="K74" s="1195"/>
      <c r="L74" s="111"/>
      <c r="M74" s="111"/>
      <c r="N74" s="1209"/>
      <c r="O74" s="21" t="s">
        <v>65</v>
      </c>
      <c r="P74" s="1192">
        <f>K64</f>
        <v>0</v>
      </c>
      <c r="Q74" s="1192"/>
      <c r="R74" s="1193"/>
      <c r="S74" s="1194"/>
      <c r="T74" s="1194"/>
      <c r="U74" s="1194"/>
      <c r="V74" s="1194"/>
      <c r="W74" s="1195"/>
      <c r="X74" s="1171"/>
      <c r="Y74" s="1171"/>
      <c r="Z74" s="1171"/>
      <c r="AA74" s="1171"/>
      <c r="AB74" s="1171"/>
      <c r="AC74" s="1171"/>
      <c r="AD74" s="1171"/>
      <c r="AE74" s="1171"/>
      <c r="AF74" s="1171"/>
      <c r="AG74" s="1171"/>
      <c r="AH74" s="1171"/>
      <c r="AI74" s="1171"/>
      <c r="AJ74" s="1171"/>
      <c r="AK74" s="1171"/>
      <c r="AL74" s="1171"/>
      <c r="AM74" s="1171"/>
      <c r="AN74" s="1171"/>
      <c r="AO74" s="1171"/>
      <c r="AP74" s="1171"/>
      <c r="AQ74" s="1171"/>
      <c r="AR74" s="1171"/>
      <c r="AS74" s="1171"/>
      <c r="AT74" s="1171"/>
      <c r="AU74" s="1171"/>
      <c r="AV74" s="1171"/>
    </row>
    <row r="75" spans="1:48" ht="35.25" customHeight="1" thickBot="1">
      <c r="A75" s="111"/>
      <c r="B75" s="1209"/>
      <c r="C75" s="1184"/>
      <c r="D75" s="1184"/>
      <c r="E75" s="1184"/>
      <c r="F75" s="1184"/>
      <c r="G75" s="1184"/>
      <c r="H75" s="1184"/>
      <c r="I75" s="1184"/>
      <c r="J75" s="1184"/>
      <c r="K75" s="1185"/>
      <c r="L75" s="111"/>
      <c r="M75" s="111"/>
      <c r="N75" s="1209"/>
      <c r="O75" s="1184"/>
      <c r="P75" s="1184"/>
      <c r="Q75" s="1184"/>
      <c r="R75" s="1184"/>
      <c r="S75" s="1184"/>
      <c r="T75" s="1184"/>
      <c r="U75" s="1184"/>
      <c r="V75" s="1184"/>
      <c r="W75" s="1185"/>
      <c r="X75" s="1171"/>
      <c r="Y75" s="1171"/>
      <c r="Z75" s="1171"/>
      <c r="AA75" s="1171"/>
      <c r="AB75" s="1171"/>
      <c r="AC75" s="1171"/>
      <c r="AD75" s="1171"/>
      <c r="AE75" s="1171"/>
      <c r="AF75" s="1171"/>
      <c r="AG75" s="1171"/>
      <c r="AH75" s="1171"/>
      <c r="AI75" s="1171"/>
      <c r="AJ75" s="1171"/>
      <c r="AK75" s="1171"/>
      <c r="AL75" s="1171"/>
      <c r="AM75" s="1171"/>
      <c r="AN75" s="1171"/>
      <c r="AO75" s="1171"/>
      <c r="AP75" s="1171"/>
      <c r="AQ75" s="1171"/>
      <c r="AR75" s="1171"/>
      <c r="AS75" s="1171"/>
      <c r="AT75" s="1171"/>
      <c r="AU75" s="1171"/>
      <c r="AV75" s="1171"/>
    </row>
    <row r="76" spans="1:48" ht="35.25" customHeight="1">
      <c r="A76" s="111"/>
      <c r="B76" s="1209"/>
      <c r="C76" s="1184"/>
      <c r="D76" s="1184"/>
      <c r="E76" s="1184"/>
      <c r="F76" s="1184"/>
      <c r="G76" s="1186" t="s">
        <v>66</v>
      </c>
      <c r="H76" s="1187"/>
      <c r="I76" s="1187"/>
      <c r="J76" s="1187"/>
      <c r="K76" s="1188"/>
      <c r="L76" s="111"/>
      <c r="M76" s="111"/>
      <c r="N76" s="1209"/>
      <c r="O76" s="1184"/>
      <c r="P76" s="1184"/>
      <c r="Q76" s="1184"/>
      <c r="R76" s="1184"/>
      <c r="S76" s="1186" t="s">
        <v>66</v>
      </c>
      <c r="T76" s="1187"/>
      <c r="U76" s="1187"/>
      <c r="V76" s="1187"/>
      <c r="W76" s="1188"/>
      <c r="X76" s="1171"/>
      <c r="Y76" s="1171"/>
      <c r="Z76" s="1171"/>
      <c r="AA76" s="1171"/>
      <c r="AB76" s="1171"/>
      <c r="AC76" s="1171"/>
      <c r="AD76" s="1171"/>
      <c r="AE76" s="1171"/>
      <c r="AF76" s="1171"/>
      <c r="AG76" s="1171"/>
      <c r="AH76" s="1171"/>
      <c r="AI76" s="1171"/>
      <c r="AJ76" s="1171"/>
      <c r="AK76" s="1171"/>
      <c r="AL76" s="1171"/>
      <c r="AM76" s="1171"/>
      <c r="AN76" s="1171"/>
      <c r="AO76" s="1171"/>
      <c r="AP76" s="1171"/>
      <c r="AQ76" s="1171"/>
      <c r="AR76" s="1171"/>
      <c r="AS76" s="1171"/>
      <c r="AT76" s="1171"/>
      <c r="AU76" s="1171"/>
      <c r="AV76" s="1171"/>
    </row>
    <row r="77" spans="1:48" ht="35.25" customHeight="1">
      <c r="A77" s="111"/>
      <c r="B77" s="1209"/>
      <c r="C77" s="1184"/>
      <c r="D77" s="1184"/>
      <c r="E77" s="1184"/>
      <c r="F77" s="1184"/>
      <c r="G77" s="1189" t="s">
        <v>67</v>
      </c>
      <c r="H77" s="1190"/>
      <c r="I77" s="1190"/>
      <c r="J77" s="1190"/>
      <c r="K77" s="1191"/>
      <c r="L77" s="111"/>
      <c r="M77" s="111"/>
      <c r="N77" s="1209"/>
      <c r="O77" s="1184"/>
      <c r="P77" s="1184"/>
      <c r="Q77" s="1184"/>
      <c r="R77" s="1184"/>
      <c r="S77" s="1189" t="s">
        <v>67</v>
      </c>
      <c r="T77" s="1190"/>
      <c r="U77" s="1190"/>
      <c r="V77" s="1190"/>
      <c r="W77" s="1191"/>
      <c r="X77" s="1171"/>
      <c r="Y77" s="1171"/>
      <c r="Z77" s="1171"/>
      <c r="AA77" s="1171"/>
      <c r="AB77" s="1171"/>
      <c r="AC77" s="1171"/>
      <c r="AD77" s="1171"/>
      <c r="AE77" s="1171"/>
      <c r="AF77" s="1171"/>
      <c r="AG77" s="1171"/>
      <c r="AH77" s="1171"/>
      <c r="AI77" s="1171"/>
      <c r="AJ77" s="1171"/>
      <c r="AK77" s="1171"/>
      <c r="AL77" s="1171"/>
      <c r="AM77" s="1171"/>
      <c r="AN77" s="1171"/>
      <c r="AO77" s="1171"/>
      <c r="AP77" s="1171"/>
      <c r="AQ77" s="1171"/>
      <c r="AR77" s="1171"/>
      <c r="AS77" s="1171"/>
      <c r="AT77" s="1171"/>
      <c r="AU77" s="1171"/>
      <c r="AV77" s="1171"/>
    </row>
    <row r="78" spans="1:48" ht="35.25" customHeight="1">
      <c r="A78" s="111"/>
      <c r="B78" s="1209"/>
      <c r="C78" s="1184"/>
      <c r="D78" s="1184"/>
      <c r="E78" s="1184"/>
      <c r="F78" s="1184"/>
      <c r="G78" s="1165" t="s">
        <v>68</v>
      </c>
      <c r="H78" s="1166"/>
      <c r="I78" s="1167">
        <f>D65</f>
        <v>0</v>
      </c>
      <c r="J78" s="1167"/>
      <c r="K78" s="1168"/>
      <c r="L78" s="111"/>
      <c r="M78" s="111"/>
      <c r="N78" s="1209"/>
      <c r="O78" s="1184"/>
      <c r="P78" s="1184"/>
      <c r="Q78" s="1184"/>
      <c r="R78" s="1184"/>
      <c r="S78" s="1165" t="s">
        <v>68</v>
      </c>
      <c r="T78" s="1166"/>
      <c r="U78" s="1167">
        <f>D65</f>
        <v>0</v>
      </c>
      <c r="V78" s="1167"/>
      <c r="W78" s="1168"/>
      <c r="X78" s="1171"/>
      <c r="Y78" s="1171"/>
      <c r="Z78" s="1171"/>
      <c r="AA78" s="1171"/>
      <c r="AB78" s="1171"/>
      <c r="AC78" s="1171"/>
      <c r="AD78" s="1171"/>
      <c r="AE78" s="1171"/>
      <c r="AF78" s="1171"/>
      <c r="AG78" s="1171"/>
      <c r="AH78" s="1171"/>
      <c r="AI78" s="1171"/>
      <c r="AJ78" s="1171"/>
      <c r="AK78" s="1171"/>
      <c r="AL78" s="1171"/>
      <c r="AM78" s="1171"/>
      <c r="AN78" s="1171"/>
      <c r="AO78" s="1171"/>
      <c r="AP78" s="1171"/>
      <c r="AQ78" s="1171"/>
      <c r="AR78" s="1171"/>
      <c r="AS78" s="1171"/>
      <c r="AT78" s="1171"/>
      <c r="AU78" s="1171"/>
      <c r="AV78" s="1171"/>
    </row>
    <row r="79" spans="1:48" ht="35.25" customHeight="1">
      <c r="A79" s="111"/>
      <c r="B79" s="1209"/>
      <c r="C79" s="1184"/>
      <c r="D79" s="1184"/>
      <c r="E79" s="1184"/>
      <c r="F79" s="1184"/>
      <c r="G79" s="1178" t="s">
        <v>69</v>
      </c>
      <c r="H79" s="1179"/>
      <c r="I79" s="1179"/>
      <c r="J79" s="1179"/>
      <c r="K79" s="1180"/>
      <c r="L79" s="111"/>
      <c r="M79" s="111"/>
      <c r="N79" s="1209"/>
      <c r="O79" s="1184"/>
      <c r="P79" s="1184"/>
      <c r="Q79" s="1184"/>
      <c r="R79" s="1184"/>
      <c r="S79" s="1178" t="s">
        <v>69</v>
      </c>
      <c r="T79" s="1179"/>
      <c r="U79" s="1179"/>
      <c r="V79" s="1179"/>
      <c r="W79" s="1180"/>
      <c r="X79" s="1171"/>
      <c r="Y79" s="1171"/>
      <c r="Z79" s="1171"/>
      <c r="AA79" s="1171"/>
      <c r="AB79" s="1171"/>
      <c r="AC79" s="1171"/>
      <c r="AD79" s="1171"/>
      <c r="AE79" s="1171"/>
      <c r="AF79" s="1171"/>
      <c r="AG79" s="1171"/>
      <c r="AH79" s="1171"/>
      <c r="AI79" s="1171"/>
      <c r="AJ79" s="1171"/>
      <c r="AK79" s="1171"/>
      <c r="AL79" s="1171"/>
      <c r="AM79" s="1171"/>
      <c r="AN79" s="1171"/>
      <c r="AO79" s="1171"/>
      <c r="AP79" s="1171"/>
      <c r="AQ79" s="1171"/>
      <c r="AR79" s="1171"/>
      <c r="AS79" s="1171"/>
      <c r="AT79" s="1171"/>
      <c r="AU79" s="1171"/>
      <c r="AV79" s="1171"/>
    </row>
    <row r="80" spans="1:48" ht="35.25" customHeight="1">
      <c r="A80" s="111"/>
      <c r="B80" s="1209"/>
      <c r="C80" s="1184"/>
      <c r="D80" s="1184"/>
      <c r="E80" s="1184"/>
      <c r="F80" s="1184"/>
      <c r="G80" s="1181">
        <f>'Exemp.(HRA+Other) &amp; Other incom'!$P$4</f>
        <v>0</v>
      </c>
      <c r="H80" s="1182"/>
      <c r="I80" s="1182"/>
      <c r="J80" s="1182"/>
      <c r="K80" s="1183"/>
      <c r="L80" s="111"/>
      <c r="M80" s="111"/>
      <c r="N80" s="1209"/>
      <c r="O80" s="1184"/>
      <c r="P80" s="1184"/>
      <c r="Q80" s="1184"/>
      <c r="R80" s="1184"/>
      <c r="S80" s="1181">
        <f>'Exemp.(HRA+Other) &amp; Other incom'!$P$4</f>
        <v>0</v>
      </c>
      <c r="T80" s="1182"/>
      <c r="U80" s="1182"/>
      <c r="V80" s="1182"/>
      <c r="W80" s="1183"/>
      <c r="X80" s="1171"/>
      <c r="Y80" s="1171"/>
      <c r="Z80" s="1171"/>
      <c r="AA80" s="1171"/>
      <c r="AB80" s="1171"/>
      <c r="AC80" s="1171"/>
      <c r="AD80" s="1171"/>
      <c r="AE80" s="1171"/>
      <c r="AF80" s="1171"/>
      <c r="AG80" s="1171"/>
      <c r="AH80" s="1171"/>
      <c r="AI80" s="1171"/>
      <c r="AJ80" s="1171"/>
      <c r="AK80" s="1171"/>
      <c r="AL80" s="1171"/>
      <c r="AM80" s="1171"/>
      <c r="AN80" s="1171"/>
      <c r="AO80" s="1171"/>
      <c r="AP80" s="1171"/>
      <c r="AQ80" s="1171"/>
      <c r="AR80" s="1171"/>
      <c r="AS80" s="1171"/>
      <c r="AT80" s="1171"/>
      <c r="AU80" s="1171"/>
      <c r="AV80" s="1171"/>
    </row>
    <row r="81" spans="1:48" ht="35.25" customHeight="1">
      <c r="A81" s="111"/>
      <c r="B81" s="1209"/>
      <c r="C81" s="1184"/>
      <c r="D81" s="1184"/>
      <c r="E81" s="1184"/>
      <c r="F81" s="1184"/>
      <c r="G81" s="1181"/>
      <c r="H81" s="1182"/>
      <c r="I81" s="1182"/>
      <c r="J81" s="1182"/>
      <c r="K81" s="1183"/>
      <c r="L81" s="111"/>
      <c r="M81" s="111"/>
      <c r="N81" s="1209"/>
      <c r="O81" s="1184"/>
      <c r="P81" s="1184"/>
      <c r="Q81" s="1184"/>
      <c r="R81" s="1184"/>
      <c r="S81" s="1181"/>
      <c r="T81" s="1182"/>
      <c r="U81" s="1182"/>
      <c r="V81" s="1182"/>
      <c r="W81" s="1183"/>
      <c r="X81" s="1171"/>
      <c r="Y81" s="1171"/>
      <c r="Z81" s="1171"/>
      <c r="AA81" s="1171"/>
      <c r="AB81" s="1171"/>
      <c r="AC81" s="1171"/>
      <c r="AD81" s="1171"/>
      <c r="AE81" s="1171"/>
      <c r="AF81" s="1171"/>
      <c r="AG81" s="1171"/>
      <c r="AH81" s="1171"/>
      <c r="AI81" s="1171"/>
      <c r="AJ81" s="1171"/>
      <c r="AK81" s="1171"/>
      <c r="AL81" s="1171"/>
      <c r="AM81" s="1171"/>
      <c r="AN81" s="1171"/>
      <c r="AO81" s="1171"/>
      <c r="AP81" s="1171"/>
      <c r="AQ81" s="1171"/>
      <c r="AR81" s="1171"/>
      <c r="AS81" s="1171"/>
      <c r="AT81" s="1171"/>
      <c r="AU81" s="1171"/>
      <c r="AV81" s="1171"/>
    </row>
    <row r="82" spans="1:48" ht="35.25" customHeight="1" thickBot="1">
      <c r="A82" s="111"/>
      <c r="B82" s="1209"/>
      <c r="C82" s="1184"/>
      <c r="D82" s="1184"/>
      <c r="E82" s="1184"/>
      <c r="F82" s="1184"/>
      <c r="G82" s="1172" t="s">
        <v>70</v>
      </c>
      <c r="H82" s="1173"/>
      <c r="I82" s="1173"/>
      <c r="J82" s="1174">
        <f>'Exemp.(HRA+Other) &amp; Other incom'!$Q$4</f>
        <v>0</v>
      </c>
      <c r="K82" s="1175"/>
      <c r="L82" s="111"/>
      <c r="M82" s="111"/>
      <c r="N82" s="1209"/>
      <c r="O82" s="1184"/>
      <c r="P82" s="1184"/>
      <c r="Q82" s="1184"/>
      <c r="R82" s="1184"/>
      <c r="S82" s="1172" t="s">
        <v>70</v>
      </c>
      <c r="T82" s="1173"/>
      <c r="U82" s="1173"/>
      <c r="V82" s="1174">
        <f>'Exemp.(HRA+Other) &amp; Other incom'!$Q$4</f>
        <v>0</v>
      </c>
      <c r="W82" s="1175"/>
      <c r="X82" s="1171"/>
      <c r="Y82" s="1171"/>
      <c r="Z82" s="1171"/>
      <c r="AA82" s="1171"/>
      <c r="AB82" s="1171"/>
      <c r="AC82" s="1171"/>
      <c r="AD82" s="1171"/>
      <c r="AE82" s="1171"/>
      <c r="AF82" s="1171"/>
      <c r="AG82" s="1171"/>
      <c r="AH82" s="1171"/>
      <c r="AI82" s="1171"/>
      <c r="AJ82" s="1171"/>
      <c r="AK82" s="1171"/>
      <c r="AL82" s="1171"/>
      <c r="AM82" s="1171"/>
      <c r="AN82" s="1171"/>
      <c r="AO82" s="1171"/>
      <c r="AP82" s="1171"/>
      <c r="AQ82" s="1171"/>
      <c r="AR82" s="1171"/>
      <c r="AS82" s="1171"/>
      <c r="AT82" s="1171"/>
      <c r="AU82" s="1171"/>
      <c r="AV82" s="1171"/>
    </row>
    <row r="83" spans="1:48" ht="35.25" customHeight="1" thickBot="1">
      <c r="A83" s="111"/>
      <c r="B83" s="1210"/>
      <c r="C83" s="1176"/>
      <c r="D83" s="1176"/>
      <c r="E83" s="1176"/>
      <c r="F83" s="1176"/>
      <c r="G83" s="1176"/>
      <c r="H83" s="1176"/>
      <c r="I83" s="1176"/>
      <c r="J83" s="1176"/>
      <c r="K83" s="1177"/>
      <c r="L83" s="111"/>
      <c r="M83" s="111"/>
      <c r="N83" s="1210"/>
      <c r="O83" s="1176"/>
      <c r="P83" s="1176"/>
      <c r="Q83" s="1176"/>
      <c r="R83" s="1176"/>
      <c r="S83" s="1176"/>
      <c r="T83" s="1176"/>
      <c r="U83" s="1176"/>
      <c r="V83" s="1176"/>
      <c r="W83" s="1177"/>
      <c r="X83" s="1171"/>
      <c r="Y83" s="1171"/>
      <c r="Z83" s="1171"/>
      <c r="AA83" s="1171"/>
      <c r="AB83" s="1171"/>
      <c r="AC83" s="1171"/>
      <c r="AD83" s="1171"/>
      <c r="AE83" s="1171"/>
      <c r="AF83" s="1171"/>
      <c r="AG83" s="1171"/>
      <c r="AH83" s="1171"/>
      <c r="AI83" s="1171"/>
      <c r="AJ83" s="1171"/>
      <c r="AK83" s="1171"/>
      <c r="AL83" s="1171"/>
      <c r="AM83" s="1171"/>
      <c r="AN83" s="1171"/>
      <c r="AO83" s="1171"/>
      <c r="AP83" s="1171"/>
      <c r="AQ83" s="1171"/>
      <c r="AR83" s="1171"/>
      <c r="AS83" s="1171"/>
      <c r="AT83" s="1171"/>
      <c r="AU83" s="1171"/>
      <c r="AV83" s="1171"/>
    </row>
    <row r="84" spans="1:48">
      <c r="A84" s="1132"/>
      <c r="B84" s="1132"/>
      <c r="C84" s="1132"/>
      <c r="D84" s="1132"/>
      <c r="E84" s="1132"/>
      <c r="F84" s="1132"/>
      <c r="G84" s="1132"/>
      <c r="H84" s="1132"/>
      <c r="I84" s="1132"/>
      <c r="J84" s="1132"/>
      <c r="K84" s="1132"/>
      <c r="L84" s="1132"/>
      <c r="M84" s="1132"/>
      <c r="N84" s="1132"/>
      <c r="O84" s="1132"/>
      <c r="P84" s="1132"/>
      <c r="Q84" s="1132"/>
      <c r="R84" s="1132"/>
      <c r="S84" s="1132"/>
      <c r="T84" s="1132"/>
      <c r="U84" s="1132"/>
      <c r="V84" s="1132"/>
      <c r="W84" s="1132"/>
      <c r="X84" s="1171"/>
      <c r="Y84" s="1171"/>
      <c r="Z84" s="1171"/>
      <c r="AA84" s="1171"/>
      <c r="AB84" s="1171"/>
      <c r="AC84" s="1171"/>
      <c r="AD84" s="1171"/>
      <c r="AE84" s="1171"/>
      <c r="AF84" s="1171"/>
      <c r="AG84" s="1171"/>
      <c r="AH84" s="1171"/>
      <c r="AI84" s="1171"/>
      <c r="AJ84" s="1171"/>
      <c r="AK84" s="1171"/>
      <c r="AL84" s="1171"/>
      <c r="AM84" s="1171"/>
      <c r="AN84" s="1171"/>
      <c r="AO84" s="1171"/>
      <c r="AP84" s="1171"/>
      <c r="AQ84" s="1171"/>
      <c r="AR84" s="1171"/>
      <c r="AS84" s="1171"/>
      <c r="AT84" s="1171"/>
      <c r="AU84" s="1171"/>
      <c r="AV84" s="1171"/>
    </row>
  </sheetData>
  <sheetProtection password="E8FA" sheet="1" objects="1" scenarios="1" formatCells="0" formatColumns="0" formatRows="0" selectLockedCells="1"/>
  <mergeCells count="209">
    <mergeCell ref="C2:K2"/>
    <mergeCell ref="D6:K6"/>
    <mergeCell ref="D7:G7"/>
    <mergeCell ref="H7:J7"/>
    <mergeCell ref="I5:J5"/>
    <mergeCell ref="N5:T5"/>
    <mergeCell ref="U5:V5"/>
    <mergeCell ref="N6:N24"/>
    <mergeCell ref="O12:W12"/>
    <mergeCell ref="R13:W13"/>
    <mergeCell ref="G24:K24"/>
    <mergeCell ref="S19:T19"/>
    <mergeCell ref="U19:W19"/>
    <mergeCell ref="S20:W20"/>
    <mergeCell ref="B3:K3"/>
    <mergeCell ref="C16:K16"/>
    <mergeCell ref="G20:K20"/>
    <mergeCell ref="G21:K22"/>
    <mergeCell ref="G23:I23"/>
    <mergeCell ref="G17:K17"/>
    <mergeCell ref="S23:U23"/>
    <mergeCell ref="N3:W3"/>
    <mergeCell ref="P6:W6"/>
    <mergeCell ref="P7:S7"/>
    <mergeCell ref="T7:V7"/>
    <mergeCell ref="P8:W8"/>
    <mergeCell ref="O10:R10"/>
    <mergeCell ref="S10:W10"/>
    <mergeCell ref="O17:R24"/>
    <mergeCell ref="Q11:W11"/>
    <mergeCell ref="S21:W22"/>
    <mergeCell ref="O9:R9"/>
    <mergeCell ref="A49:X59"/>
    <mergeCell ref="X2:X48"/>
    <mergeCell ref="S33:W33"/>
    <mergeCell ref="D30:K30"/>
    <mergeCell ref="P30:W30"/>
    <mergeCell ref="D31:G31"/>
    <mergeCell ref="H31:J31"/>
    <mergeCell ref="P31:S31"/>
    <mergeCell ref="T31:V31"/>
    <mergeCell ref="G42:K42"/>
    <mergeCell ref="S44:W44"/>
    <mergeCell ref="G45:K46"/>
    <mergeCell ref="D39:E39"/>
    <mergeCell ref="P39:Q39"/>
    <mergeCell ref="G41:K41"/>
    <mergeCell ref="S45:W46"/>
    <mergeCell ref="B4:K4"/>
    <mergeCell ref="N4:W4"/>
    <mergeCell ref="B5:H5"/>
    <mergeCell ref="G47:I47"/>
    <mergeCell ref="J47:K47"/>
    <mergeCell ref="S47:U47"/>
    <mergeCell ref="V47:W47"/>
    <mergeCell ref="G48:K48"/>
    <mergeCell ref="S48:W48"/>
    <mergeCell ref="O41:R48"/>
    <mergeCell ref="S42:W42"/>
    <mergeCell ref="G43:H43"/>
    <mergeCell ref="I43:K43"/>
    <mergeCell ref="S43:T43"/>
    <mergeCell ref="U43:W43"/>
    <mergeCell ref="G44:K44"/>
    <mergeCell ref="D37:E37"/>
    <mergeCell ref="L2:L48"/>
    <mergeCell ref="N25:W25"/>
    <mergeCell ref="V23:W23"/>
    <mergeCell ref="S24:W24"/>
    <mergeCell ref="O2:W2"/>
    <mergeCell ref="B25:K25"/>
    <mergeCell ref="B30:B48"/>
    <mergeCell ref="A1:W1"/>
    <mergeCell ref="A2:A48"/>
    <mergeCell ref="M2:M48"/>
    <mergeCell ref="S41:W41"/>
    <mergeCell ref="F39:K39"/>
    <mergeCell ref="C40:K40"/>
    <mergeCell ref="C41:F48"/>
    <mergeCell ref="C34:F34"/>
    <mergeCell ref="G34:K34"/>
    <mergeCell ref="O34:R34"/>
    <mergeCell ref="S34:W34"/>
    <mergeCell ref="C35:D35"/>
    <mergeCell ref="O35:P35"/>
    <mergeCell ref="D32:K32"/>
    <mergeCell ref="P32:W32"/>
    <mergeCell ref="C33:F33"/>
    <mergeCell ref="O16:W16"/>
    <mergeCell ref="G33:K33"/>
    <mergeCell ref="O33:R33"/>
    <mergeCell ref="F13:K13"/>
    <mergeCell ref="B28:K28"/>
    <mergeCell ref="B29:H29"/>
    <mergeCell ref="C14:K14"/>
    <mergeCell ref="I29:J29"/>
    <mergeCell ref="O14:W14"/>
    <mergeCell ref="R15:W15"/>
    <mergeCell ref="D8:K8"/>
    <mergeCell ref="C9:F9"/>
    <mergeCell ref="G9:K9"/>
    <mergeCell ref="J23:K23"/>
    <mergeCell ref="C10:F10"/>
    <mergeCell ref="G10:K10"/>
    <mergeCell ref="D13:E13"/>
    <mergeCell ref="D15:E15"/>
    <mergeCell ref="G18:K18"/>
    <mergeCell ref="G19:H19"/>
    <mergeCell ref="C17:F24"/>
    <mergeCell ref="F15:K15"/>
    <mergeCell ref="C11:D11"/>
    <mergeCell ref="E11:K11"/>
    <mergeCell ref="I19:K19"/>
    <mergeCell ref="O61:W61"/>
    <mergeCell ref="B62:K62"/>
    <mergeCell ref="N62:W62"/>
    <mergeCell ref="C26:K26"/>
    <mergeCell ref="O26:W26"/>
    <mergeCell ref="B27:K27"/>
    <mergeCell ref="N27:W27"/>
    <mergeCell ref="P37:Q37"/>
    <mergeCell ref="Q35:W35"/>
    <mergeCell ref="E35:K35"/>
    <mergeCell ref="B6:B24"/>
    <mergeCell ref="C12:K12"/>
    <mergeCell ref="S17:W17"/>
    <mergeCell ref="S18:W18"/>
    <mergeCell ref="S9:W9"/>
    <mergeCell ref="O11:P11"/>
    <mergeCell ref="P13:Q13"/>
    <mergeCell ref="P15:Q15"/>
    <mergeCell ref="B63:K63"/>
    <mergeCell ref="N63:W63"/>
    <mergeCell ref="N28:W28"/>
    <mergeCell ref="N29:T29"/>
    <mergeCell ref="U29:V29"/>
    <mergeCell ref="N30:N48"/>
    <mergeCell ref="O36:W36"/>
    <mergeCell ref="R37:W37"/>
    <mergeCell ref="O38:W38"/>
    <mergeCell ref="R39:W39"/>
    <mergeCell ref="O40:W40"/>
    <mergeCell ref="C36:K36"/>
    <mergeCell ref="F37:K37"/>
    <mergeCell ref="C38:K38"/>
    <mergeCell ref="A60:W60"/>
    <mergeCell ref="C61:K61"/>
    <mergeCell ref="P66:S66"/>
    <mergeCell ref="T66:V66"/>
    <mergeCell ref="D67:K67"/>
    <mergeCell ref="P67:W67"/>
    <mergeCell ref="C68:F68"/>
    <mergeCell ref="G68:K68"/>
    <mergeCell ref="O68:R68"/>
    <mergeCell ref="S68:W68"/>
    <mergeCell ref="B64:H64"/>
    <mergeCell ref="I64:J64"/>
    <mergeCell ref="N64:T64"/>
    <mergeCell ref="U64:V64"/>
    <mergeCell ref="B65:B83"/>
    <mergeCell ref="D65:K65"/>
    <mergeCell ref="N65:N83"/>
    <mergeCell ref="P65:W65"/>
    <mergeCell ref="D66:G66"/>
    <mergeCell ref="H66:J66"/>
    <mergeCell ref="C69:F69"/>
    <mergeCell ref="G69:K69"/>
    <mergeCell ref="O69:R69"/>
    <mergeCell ref="S69:W69"/>
    <mergeCell ref="C70:D70"/>
    <mergeCell ref="O70:P70"/>
    <mergeCell ref="G77:K77"/>
    <mergeCell ref="S77:W77"/>
    <mergeCell ref="C73:K73"/>
    <mergeCell ref="O73:W73"/>
    <mergeCell ref="D74:E74"/>
    <mergeCell ref="F74:K74"/>
    <mergeCell ref="P74:Q74"/>
    <mergeCell ref="R74:W74"/>
    <mergeCell ref="C71:K71"/>
    <mergeCell ref="O71:W71"/>
    <mergeCell ref="D72:E72"/>
    <mergeCell ref="F72:K72"/>
    <mergeCell ref="P72:Q72"/>
    <mergeCell ref="R72:W72"/>
    <mergeCell ref="G78:H78"/>
    <mergeCell ref="I78:K78"/>
    <mergeCell ref="E70:K70"/>
    <mergeCell ref="Q70:W70"/>
    <mergeCell ref="A84:W84"/>
    <mergeCell ref="X60:AV84"/>
    <mergeCell ref="G82:I82"/>
    <mergeCell ref="J82:K82"/>
    <mergeCell ref="S82:U82"/>
    <mergeCell ref="V82:W82"/>
    <mergeCell ref="G83:K83"/>
    <mergeCell ref="S83:W83"/>
    <mergeCell ref="S78:T78"/>
    <mergeCell ref="U78:W78"/>
    <mergeCell ref="G79:K79"/>
    <mergeCell ref="S79:W79"/>
    <mergeCell ref="G80:K81"/>
    <mergeCell ref="S80:W81"/>
    <mergeCell ref="C75:K75"/>
    <mergeCell ref="O75:W75"/>
    <mergeCell ref="C76:F83"/>
    <mergeCell ref="G76:K76"/>
    <mergeCell ref="O76:R83"/>
    <mergeCell ref="S76:W76"/>
  </mergeCells>
  <conditionalFormatting sqref="N2:N4 N2:W2 X1 C2:K2 B2:B6 K5:K10 R12:W34 D13:F13 D15:F15 C6:C17 R36:W48 O61:W61 X60 C61:K61 B61:B65 K64:K69 F65:J69 D72:F72 D74:F74 C65:C76 G76:K83 N61:N83 R71:W83 D65:E70 O63:Q83 R63:W69 N4:Q48 F36:K48 B25:E48 F25:F34 G17:K34 R4:W10 D6:E11 F6:J10 P8:W8 D32:K32 P32:W32 D67:K67 P67:W67">
    <cfRule type="cellIs" dxfId="0" priority="2" operator="equal">
      <formula>0</formula>
    </cfRule>
  </conditionalFormatting>
  <pageMargins left="0.23622047244094491" right="0.23622047244094491" top="0.23622047244094491" bottom="0.23622047244094491" header="0.19685039370078741" footer="0.19685039370078741"/>
  <pageSetup paperSize="9" scale="46" orientation="portrait" r:id="rId1"/>
  <drawing r:id="rId2"/>
</worksheet>
</file>

<file path=xl/worksheets/sheet2.xml><?xml version="1.0" encoding="utf-8"?>
<worksheet xmlns="http://schemas.openxmlformats.org/spreadsheetml/2006/main" xmlns:r="http://schemas.openxmlformats.org/officeDocument/2006/relationships">
  <sheetPr>
    <tabColor rgb="FFFF0000"/>
  </sheetPr>
  <dimension ref="A1:P34"/>
  <sheetViews>
    <sheetView showGridLines="0" tabSelected="1" zoomScaleSheetLayoutView="106" workbookViewId="0">
      <selection activeCell="N13" sqref="N13:N14"/>
    </sheetView>
  </sheetViews>
  <sheetFormatPr defaultColWidth="0" defaultRowHeight="15" zeroHeight="1"/>
  <cols>
    <col min="1" max="1" width="2" style="1" customWidth="1"/>
    <col min="2" max="3" width="11.7109375" style="10" customWidth="1"/>
    <col min="4" max="4" width="14.28515625" style="1" customWidth="1"/>
    <col min="5" max="5" width="13.7109375" style="1" customWidth="1"/>
    <col min="6" max="6" width="15" style="1" customWidth="1"/>
    <col min="7" max="7" width="12.140625" style="1" customWidth="1"/>
    <col min="8" max="8" width="11.140625" style="1" customWidth="1"/>
    <col min="9" max="9" width="13.28515625" style="1" customWidth="1"/>
    <col min="10" max="10" width="11.28515625" style="1" customWidth="1"/>
    <col min="11" max="11" width="13.28515625" style="1" customWidth="1"/>
    <col min="12" max="12" width="14.28515625" style="1" customWidth="1"/>
    <col min="13" max="13" width="12.85546875" style="1" customWidth="1"/>
    <col min="14" max="14" width="12.28515625" style="1" customWidth="1"/>
    <col min="15" max="15" width="18.5703125" style="1" customWidth="1"/>
    <col min="16" max="16" width="2.42578125" style="1" customWidth="1"/>
    <col min="17" max="16384" width="6.85546875" style="1" hidden="1"/>
  </cols>
  <sheetData>
    <row r="1" spans="1:16" ht="21.75" customHeight="1" thickBot="1">
      <c r="A1" s="516"/>
      <c r="B1" s="508" t="s">
        <v>0</v>
      </c>
      <c r="C1" s="509"/>
      <c r="D1" s="509"/>
      <c r="E1" s="509"/>
      <c r="F1" s="509"/>
      <c r="G1" s="509"/>
      <c r="H1" s="509"/>
      <c r="I1" s="509"/>
      <c r="J1" s="509"/>
      <c r="K1" s="509"/>
      <c r="L1" s="509"/>
      <c r="M1" s="509"/>
      <c r="N1" s="509"/>
      <c r="O1" s="509"/>
      <c r="P1" s="514"/>
    </row>
    <row r="2" spans="1:16" ht="19.5" hidden="1" customHeight="1" thickBot="1">
      <c r="A2" s="517"/>
      <c r="B2" s="510" t="s">
        <v>1</v>
      </c>
      <c r="C2" s="511"/>
      <c r="D2" s="511"/>
      <c r="E2" s="511"/>
      <c r="F2" s="511"/>
      <c r="G2" s="511"/>
      <c r="H2" s="511"/>
      <c r="I2" s="511"/>
      <c r="J2" s="511"/>
      <c r="K2" s="511"/>
      <c r="L2" s="511"/>
      <c r="M2" s="511"/>
      <c r="N2" s="511"/>
      <c r="O2" s="511"/>
      <c r="P2" s="515"/>
    </row>
    <row r="3" spans="1:16" ht="23.25" hidden="1" customHeight="1" thickBot="1">
      <c r="A3" s="517"/>
      <c r="B3" s="512" t="s">
        <v>10</v>
      </c>
      <c r="C3" s="513"/>
      <c r="D3" s="513"/>
      <c r="E3" s="513"/>
      <c r="F3" s="513"/>
      <c r="G3" s="513"/>
      <c r="H3" s="513"/>
      <c r="I3" s="513"/>
      <c r="J3" s="513"/>
      <c r="K3" s="513"/>
      <c r="L3" s="513"/>
      <c r="M3" s="513"/>
      <c r="N3" s="513"/>
      <c r="O3" s="513"/>
      <c r="P3" s="515"/>
    </row>
    <row r="4" spans="1:16" s="2" customFormat="1" ht="17.25" customHeight="1" thickBot="1">
      <c r="A4" s="517"/>
      <c r="B4" s="532" t="s">
        <v>11</v>
      </c>
      <c r="C4" s="532"/>
      <c r="D4" s="532"/>
      <c r="E4" s="532"/>
      <c r="F4" s="532"/>
      <c r="G4" s="532"/>
      <c r="H4" s="532"/>
      <c r="I4" s="532"/>
      <c r="J4" s="532"/>
      <c r="K4" s="532"/>
      <c r="L4" s="532"/>
      <c r="M4" s="532"/>
      <c r="N4" s="532"/>
      <c r="O4" s="532"/>
      <c r="P4" s="515"/>
    </row>
    <row r="5" spans="1:16" s="129" customFormat="1" ht="28.5" customHeight="1" thickBot="1">
      <c r="A5" s="517"/>
      <c r="B5" s="526" t="s">
        <v>489</v>
      </c>
      <c r="C5" s="527"/>
      <c r="D5" s="528"/>
      <c r="E5" s="460" t="s">
        <v>508</v>
      </c>
      <c r="F5" s="461"/>
      <c r="G5" s="461"/>
      <c r="H5" s="461"/>
      <c r="I5" s="461"/>
      <c r="J5" s="462"/>
      <c r="K5" s="522" t="s">
        <v>488</v>
      </c>
      <c r="L5" s="523"/>
      <c r="M5" s="538" t="s">
        <v>497</v>
      </c>
      <c r="N5" s="539"/>
      <c r="O5" s="299" t="s">
        <v>478</v>
      </c>
      <c r="P5" s="515"/>
    </row>
    <row r="6" spans="1:16" s="129" customFormat="1" ht="20.25" customHeight="1">
      <c r="A6" s="517"/>
      <c r="B6" s="529" t="s">
        <v>500</v>
      </c>
      <c r="C6" s="530"/>
      <c r="D6" s="531"/>
      <c r="E6" s="520" t="s">
        <v>498</v>
      </c>
      <c r="F6" s="521"/>
      <c r="G6" s="471" t="s">
        <v>21</v>
      </c>
      <c r="H6" s="472"/>
      <c r="I6" s="518"/>
      <c r="J6" s="519"/>
      <c r="K6" s="524" t="s">
        <v>490</v>
      </c>
      <c r="L6" s="525"/>
      <c r="M6" s="469"/>
      <c r="N6" s="470"/>
      <c r="O6" s="315" t="s">
        <v>44</v>
      </c>
      <c r="P6" s="515"/>
    </row>
    <row r="7" spans="1:16" s="129" customFormat="1" ht="6.75" customHeight="1">
      <c r="A7" s="517"/>
      <c r="B7" s="457"/>
      <c r="C7" s="458"/>
      <c r="D7" s="458"/>
      <c r="E7" s="458"/>
      <c r="F7" s="458"/>
      <c r="G7" s="458"/>
      <c r="H7" s="458"/>
      <c r="I7" s="458"/>
      <c r="J7" s="458"/>
      <c r="K7" s="458"/>
      <c r="L7" s="458"/>
      <c r="M7" s="458"/>
      <c r="N7" s="459"/>
      <c r="O7" s="314"/>
      <c r="P7" s="515"/>
    </row>
    <row r="8" spans="1:16" s="129" customFormat="1" ht="18" customHeight="1" thickBot="1">
      <c r="A8" s="517"/>
      <c r="B8" s="533" t="s">
        <v>222</v>
      </c>
      <c r="C8" s="534"/>
      <c r="D8" s="534"/>
      <c r="E8" s="534"/>
      <c r="F8" s="534"/>
      <c r="G8" s="534"/>
      <c r="H8" s="534"/>
      <c r="I8" s="534"/>
      <c r="J8" s="534"/>
      <c r="K8" s="534"/>
      <c r="L8" s="534"/>
      <c r="M8" s="534"/>
      <c r="N8" s="534"/>
      <c r="O8" s="535"/>
      <c r="P8" s="515"/>
    </row>
    <row r="9" spans="1:16" s="5" customFormat="1" ht="33.75" customHeight="1" thickBot="1">
      <c r="A9" s="517"/>
      <c r="B9" s="463" t="s">
        <v>7</v>
      </c>
      <c r="C9" s="464"/>
      <c r="D9" s="464" t="s">
        <v>8</v>
      </c>
      <c r="E9" s="464"/>
      <c r="F9" s="38" t="s">
        <v>9</v>
      </c>
      <c r="G9" s="464" t="s">
        <v>118</v>
      </c>
      <c r="H9" s="464"/>
      <c r="I9" s="464"/>
      <c r="J9" s="371" t="s">
        <v>477</v>
      </c>
      <c r="K9" s="298" t="s">
        <v>507</v>
      </c>
      <c r="L9" s="97" t="s">
        <v>50</v>
      </c>
      <c r="M9" s="465" t="s">
        <v>5</v>
      </c>
      <c r="N9" s="466"/>
      <c r="O9" s="41" t="s">
        <v>116</v>
      </c>
      <c r="P9" s="515"/>
    </row>
    <row r="10" spans="1:16" s="129" customFormat="1" ht="29.25" customHeight="1" thickBot="1">
      <c r="A10" s="517"/>
      <c r="B10" s="473" t="s">
        <v>496</v>
      </c>
      <c r="C10" s="474"/>
      <c r="D10" s="467">
        <v>123</v>
      </c>
      <c r="E10" s="468"/>
      <c r="F10" s="449" t="s">
        <v>491</v>
      </c>
      <c r="G10" s="475" t="s">
        <v>502</v>
      </c>
      <c r="H10" s="476"/>
      <c r="I10" s="477"/>
      <c r="J10" s="39">
        <v>28660</v>
      </c>
      <c r="K10" s="39">
        <f>ROUNDUP(J10*1.03,-1)+10</f>
        <v>29530</v>
      </c>
      <c r="L10" s="95" t="s">
        <v>499</v>
      </c>
      <c r="M10" s="467">
        <v>742781203</v>
      </c>
      <c r="N10" s="468"/>
      <c r="O10" s="40" t="s">
        <v>225</v>
      </c>
      <c r="P10" s="515"/>
    </row>
    <row r="11" spans="1:16" s="129" customFormat="1" ht="7.5" customHeight="1" thickBot="1">
      <c r="A11" s="517"/>
      <c r="B11" s="457"/>
      <c r="C11" s="458"/>
      <c r="D11" s="458"/>
      <c r="E11" s="458"/>
      <c r="F11" s="458"/>
      <c r="G11" s="458"/>
      <c r="H11" s="458"/>
      <c r="I11" s="458"/>
      <c r="J11" s="458"/>
      <c r="K11" s="458"/>
      <c r="L11" s="458"/>
      <c r="M11" s="458"/>
      <c r="N11" s="459"/>
      <c r="O11" s="96"/>
      <c r="P11" s="515"/>
    </row>
    <row r="12" spans="1:16" s="129" customFormat="1" ht="14.25" customHeight="1">
      <c r="A12" s="517"/>
      <c r="B12" s="486" t="s">
        <v>221</v>
      </c>
      <c r="C12" s="498" t="s">
        <v>15</v>
      </c>
      <c r="D12" s="496"/>
      <c r="E12" s="496"/>
      <c r="F12" s="496"/>
      <c r="G12" s="496"/>
      <c r="H12" s="496"/>
      <c r="I12" s="496"/>
      <c r="J12" s="495" t="s">
        <v>14</v>
      </c>
      <c r="K12" s="496"/>
      <c r="L12" s="496"/>
      <c r="M12" s="496"/>
      <c r="N12" s="496"/>
      <c r="O12" s="497"/>
      <c r="P12" s="515"/>
    </row>
    <row r="13" spans="1:16" s="11" customFormat="1" ht="17.25" customHeight="1">
      <c r="A13" s="517"/>
      <c r="B13" s="487"/>
      <c r="C13" s="275" t="s">
        <v>18</v>
      </c>
      <c r="D13" s="322" t="s">
        <v>22</v>
      </c>
      <c r="E13" s="322" t="s">
        <v>22</v>
      </c>
      <c r="F13" s="491" t="s">
        <v>12</v>
      </c>
      <c r="G13" s="492"/>
      <c r="H13" s="489" t="s">
        <v>509</v>
      </c>
      <c r="I13" s="493" t="s">
        <v>513</v>
      </c>
      <c r="J13" s="482" t="s">
        <v>510</v>
      </c>
      <c r="K13" s="478" t="s">
        <v>511</v>
      </c>
      <c r="L13" s="484" t="s">
        <v>527</v>
      </c>
      <c r="M13" s="478" t="s">
        <v>17</v>
      </c>
      <c r="N13" s="480" t="s">
        <v>479</v>
      </c>
      <c r="O13" s="536" t="s">
        <v>514</v>
      </c>
      <c r="P13" s="515"/>
    </row>
    <row r="14" spans="1:16" s="129" customFormat="1" ht="15.75" customHeight="1" thickBot="1">
      <c r="A14" s="517"/>
      <c r="B14" s="488"/>
      <c r="C14" s="276"/>
      <c r="D14" s="321" t="s">
        <v>23</v>
      </c>
      <c r="E14" s="321" t="s">
        <v>24</v>
      </c>
      <c r="F14" s="277" t="s">
        <v>13</v>
      </c>
      <c r="G14" s="278" t="s">
        <v>4</v>
      </c>
      <c r="H14" s="490"/>
      <c r="I14" s="494"/>
      <c r="J14" s="483"/>
      <c r="K14" s="479"/>
      <c r="L14" s="485"/>
      <c r="M14" s="479"/>
      <c r="N14" s="481"/>
      <c r="O14" s="537"/>
      <c r="P14" s="515"/>
    </row>
    <row r="15" spans="1:16" s="129" customFormat="1" ht="26.25" customHeight="1" thickBot="1">
      <c r="A15" s="517"/>
      <c r="B15" s="281" t="s">
        <v>19</v>
      </c>
      <c r="C15" s="37">
        <v>0</v>
      </c>
      <c r="D15" s="43" t="s">
        <v>20</v>
      </c>
      <c r="E15" s="43" t="s">
        <v>20</v>
      </c>
      <c r="F15" s="44" t="s">
        <v>235</v>
      </c>
      <c r="G15" s="45">
        <v>44896</v>
      </c>
      <c r="H15" s="46">
        <v>1000</v>
      </c>
      <c r="I15" s="46">
        <v>0</v>
      </c>
      <c r="J15" s="46">
        <v>1800</v>
      </c>
      <c r="K15" s="37">
        <v>0</v>
      </c>
      <c r="L15" s="37">
        <v>0</v>
      </c>
      <c r="M15" s="37">
        <v>0</v>
      </c>
      <c r="N15" s="47">
        <v>0</v>
      </c>
      <c r="O15" s="48">
        <v>1000</v>
      </c>
      <c r="P15" s="515"/>
    </row>
    <row r="16" spans="1:16" s="3" customFormat="1" ht="7.5" customHeight="1" thickBot="1">
      <c r="A16" s="517"/>
      <c r="B16" s="499"/>
      <c r="C16" s="500"/>
      <c r="D16" s="500"/>
      <c r="E16" s="500"/>
      <c r="F16" s="500"/>
      <c r="G16" s="500"/>
      <c r="H16" s="500"/>
      <c r="I16" s="500"/>
      <c r="J16" s="500"/>
      <c r="K16" s="500"/>
      <c r="L16" s="500"/>
      <c r="M16" s="500"/>
      <c r="N16" s="500"/>
      <c r="O16" s="500"/>
      <c r="P16" s="515"/>
    </row>
    <row r="17" spans="1:16" s="11" customFormat="1" ht="15.75" customHeight="1">
      <c r="A17" s="517"/>
      <c r="B17" s="501" t="s">
        <v>25</v>
      </c>
      <c r="C17" s="502"/>
      <c r="D17" s="502"/>
      <c r="E17" s="502"/>
      <c r="F17" s="502"/>
      <c r="G17" s="502"/>
      <c r="H17" s="502"/>
      <c r="I17" s="502"/>
      <c r="J17" s="502"/>
      <c r="K17" s="502"/>
      <c r="L17" s="502"/>
      <c r="M17" s="502"/>
      <c r="N17" s="502"/>
      <c r="O17" s="503"/>
      <c r="P17" s="515"/>
    </row>
    <row r="18" spans="1:16" s="129" customFormat="1" ht="17.25" customHeight="1" thickBot="1">
      <c r="A18" s="517"/>
      <c r="B18" s="279">
        <v>44621</v>
      </c>
      <c r="C18" s="280">
        <v>44652</v>
      </c>
      <c r="D18" s="280">
        <v>44682</v>
      </c>
      <c r="E18" s="280">
        <v>44713</v>
      </c>
      <c r="F18" s="280">
        <v>44743</v>
      </c>
      <c r="G18" s="280">
        <v>44774</v>
      </c>
      <c r="H18" s="280">
        <v>44805</v>
      </c>
      <c r="I18" s="280">
        <v>44835</v>
      </c>
      <c r="J18" s="280">
        <v>44866</v>
      </c>
      <c r="K18" s="280">
        <v>44896</v>
      </c>
      <c r="L18" s="280">
        <v>44927</v>
      </c>
      <c r="M18" s="280">
        <v>44958</v>
      </c>
      <c r="N18" s="504" t="s">
        <v>119</v>
      </c>
      <c r="O18" s="505"/>
      <c r="P18" s="515"/>
    </row>
    <row r="19" spans="1:16" s="129" customFormat="1" ht="25.5" customHeight="1" thickBot="1">
      <c r="A19" s="517"/>
      <c r="B19" s="316">
        <v>0</v>
      </c>
      <c r="C19" s="317">
        <f>B19</f>
        <v>0</v>
      </c>
      <c r="D19" s="317">
        <f t="shared" ref="D19:M19" si="0">C19</f>
        <v>0</v>
      </c>
      <c r="E19" s="317">
        <f t="shared" si="0"/>
        <v>0</v>
      </c>
      <c r="F19" s="317">
        <f t="shared" si="0"/>
        <v>0</v>
      </c>
      <c r="G19" s="317">
        <f t="shared" si="0"/>
        <v>0</v>
      </c>
      <c r="H19" s="317">
        <f t="shared" si="0"/>
        <v>0</v>
      </c>
      <c r="I19" s="317">
        <f t="shared" si="0"/>
        <v>0</v>
      </c>
      <c r="J19" s="317">
        <f t="shared" si="0"/>
        <v>0</v>
      </c>
      <c r="K19" s="317">
        <f t="shared" si="0"/>
        <v>0</v>
      </c>
      <c r="L19" s="317">
        <f t="shared" si="0"/>
        <v>0</v>
      </c>
      <c r="M19" s="317">
        <f t="shared" si="0"/>
        <v>0</v>
      </c>
      <c r="N19" s="506">
        <v>0</v>
      </c>
      <c r="O19" s="507"/>
      <c r="P19" s="515"/>
    </row>
    <row r="20" spans="1:16" ht="11.25" customHeight="1">
      <c r="A20" s="517"/>
      <c r="B20" s="457"/>
      <c r="C20" s="458"/>
      <c r="D20" s="458"/>
      <c r="E20" s="458"/>
      <c r="F20" s="458"/>
      <c r="G20" s="458"/>
      <c r="H20" s="458"/>
      <c r="I20" s="458"/>
      <c r="J20" s="458"/>
      <c r="K20" s="458"/>
      <c r="L20" s="458"/>
      <c r="M20" s="458"/>
      <c r="N20" s="459"/>
      <c r="O20" s="42"/>
      <c r="P20" s="515"/>
    </row>
    <row r="21" spans="1:16" ht="17.25" hidden="1" customHeight="1"/>
    <row r="22" spans="1:16" ht="17.25" hidden="1" customHeight="1"/>
    <row r="23" spans="1:16" ht="17.25" hidden="1" customHeight="1"/>
    <row r="24" spans="1:16" ht="17.25" hidden="1" customHeight="1"/>
    <row r="25" spans="1:16" ht="17.25" hidden="1" customHeight="1"/>
    <row r="26" spans="1:16" ht="17.25" hidden="1" customHeight="1"/>
    <row r="27" spans="1:16" ht="17.25" hidden="1" customHeight="1"/>
    <row r="28" spans="1:16" ht="17.25" hidden="1" customHeight="1"/>
    <row r="29" spans="1:16" ht="17.25" hidden="1" customHeight="1"/>
    <row r="30" spans="1:16" ht="17.25" hidden="1" customHeight="1"/>
    <row r="31" spans="1:16" hidden="1"/>
    <row r="32" spans="1:16" hidden="1"/>
    <row r="33" hidden="1"/>
    <row r="34" hidden="1"/>
  </sheetData>
  <sheetProtection password="E8FA" sheet="1" objects="1" scenarios="1" formatCells="0" formatColumns="0" formatRows="0" selectLockedCells="1"/>
  <mergeCells count="44">
    <mergeCell ref="B1:O1"/>
    <mergeCell ref="B2:O2"/>
    <mergeCell ref="B3:O3"/>
    <mergeCell ref="P1:P20"/>
    <mergeCell ref="A1:A20"/>
    <mergeCell ref="I6:J6"/>
    <mergeCell ref="B7:N7"/>
    <mergeCell ref="E6:F6"/>
    <mergeCell ref="K5:L5"/>
    <mergeCell ref="K6:L6"/>
    <mergeCell ref="B5:D5"/>
    <mergeCell ref="B6:D6"/>
    <mergeCell ref="B4:O4"/>
    <mergeCell ref="B8:O8"/>
    <mergeCell ref="O13:O14"/>
    <mergeCell ref="M5:N5"/>
    <mergeCell ref="B20:N20"/>
    <mergeCell ref="M13:M14"/>
    <mergeCell ref="N13:N14"/>
    <mergeCell ref="J13:J14"/>
    <mergeCell ref="K13:K14"/>
    <mergeCell ref="L13:L14"/>
    <mergeCell ref="B12:B14"/>
    <mergeCell ref="H13:H14"/>
    <mergeCell ref="F13:G13"/>
    <mergeCell ref="I13:I14"/>
    <mergeCell ref="J12:O12"/>
    <mergeCell ref="C12:I12"/>
    <mergeCell ref="B16:O16"/>
    <mergeCell ref="B17:O17"/>
    <mergeCell ref="N18:O18"/>
    <mergeCell ref="N19:O19"/>
    <mergeCell ref="B11:N11"/>
    <mergeCell ref="E5:J5"/>
    <mergeCell ref="B9:C9"/>
    <mergeCell ref="M9:N9"/>
    <mergeCell ref="M10:N10"/>
    <mergeCell ref="D9:E9"/>
    <mergeCell ref="G9:I9"/>
    <mergeCell ref="M6:N6"/>
    <mergeCell ref="G6:H6"/>
    <mergeCell ref="B10:C10"/>
    <mergeCell ref="D10:E10"/>
    <mergeCell ref="G10:I10"/>
  </mergeCells>
  <dataValidations count="6">
    <dataValidation type="list" allowBlank="1" showInputMessage="1" showErrorMessage="1" sqref="B15">
      <formula1>"Regular,Employed"</formula1>
    </dataValidation>
    <dataValidation type="list" allowBlank="1" showInputMessage="1" showErrorMessage="1" sqref="D15:F15">
      <formula1>"YES,NO"</formula1>
    </dataValidation>
    <dataValidation type="list" allowBlank="1" showInputMessage="1" showErrorMessage="1" sqref="G15">
      <formula1>"Mar-2022,Apr-2022,May-2022,Jun-2022,Jul-2022,Aug-2022,Sep-2022,Oct-2022,Nov-2022,Dec-2022,Jan-2023,Feb-2023"</formula1>
    </dataValidation>
    <dataValidation type="textLength" errorStyle="warning" allowBlank="1" showInputMessage="1" showErrorMessage="1" sqref="I6:J6">
      <formula1>10</formula1>
      <formula2>10</formula2>
    </dataValidation>
    <dataValidation type="textLength" allowBlank="1" showInputMessage="1" showErrorMessage="1" sqref="L10">
      <formula1>10</formula1>
      <formula2>10</formula2>
    </dataValidation>
    <dataValidation type="list" allowBlank="1" showInputMessage="1" showErrorMessage="1" sqref="O10">
      <formula1>"A,B,C"</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workbookViewId="0">
      <selection activeCell="Q22" sqref="Q22"/>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565" t="str">
        <f>'Table (Income-Deduction)'!B1</f>
        <v>District Education Officer, Education Department Primary Education of Bihar</v>
      </c>
      <c r="B1" s="566"/>
      <c r="C1" s="566"/>
      <c r="D1" s="566"/>
      <c r="E1" s="566"/>
      <c r="F1" s="566"/>
      <c r="G1" s="566"/>
      <c r="H1" s="566"/>
      <c r="I1" s="566"/>
      <c r="J1" s="566"/>
      <c r="K1" s="566"/>
      <c r="L1" s="566"/>
      <c r="M1" s="566"/>
      <c r="N1" s="566"/>
      <c r="O1" s="566"/>
      <c r="P1" s="566"/>
      <c r="Q1" s="567"/>
      <c r="R1" s="581"/>
    </row>
    <row r="2" spans="1:28 16384:16384" ht="23.25" customHeight="1" thickBot="1">
      <c r="A2" s="580" t="s">
        <v>77</v>
      </c>
      <c r="B2" s="580"/>
      <c r="C2" s="580"/>
      <c r="D2" s="580"/>
      <c r="E2" s="580"/>
      <c r="F2" s="580"/>
      <c r="G2" s="580"/>
      <c r="H2" s="580"/>
      <c r="I2" s="580"/>
      <c r="J2" s="580"/>
      <c r="K2" s="580"/>
      <c r="L2" s="580"/>
      <c r="M2" s="580"/>
      <c r="N2" s="580"/>
      <c r="O2" s="580"/>
      <c r="P2" s="580"/>
      <c r="Q2" s="580"/>
      <c r="R2" s="581"/>
    </row>
    <row r="3" spans="1:28 16384:16384" s="237" customFormat="1" ht="35.25" customHeight="1" thickBot="1">
      <c r="A3" s="576" t="s">
        <v>7</v>
      </c>
      <c r="B3" s="577"/>
      <c r="C3" s="229" t="s">
        <v>3</v>
      </c>
      <c r="D3" s="229" t="s">
        <v>51</v>
      </c>
      <c r="E3" s="229" t="s">
        <v>28</v>
      </c>
      <c r="F3" s="229" t="s">
        <v>29</v>
      </c>
      <c r="G3" s="229" t="s">
        <v>6</v>
      </c>
      <c r="H3" s="230">
        <v>0.1</v>
      </c>
      <c r="I3" s="229" t="s">
        <v>223</v>
      </c>
      <c r="J3" s="229"/>
      <c r="K3" s="231" t="s">
        <v>75</v>
      </c>
      <c r="L3" s="232" t="s">
        <v>76</v>
      </c>
      <c r="M3" s="233" t="s">
        <v>52</v>
      </c>
      <c r="N3" s="234" t="s">
        <v>53</v>
      </c>
      <c r="O3" s="235" t="s">
        <v>54</v>
      </c>
      <c r="P3" s="229" t="s">
        <v>55</v>
      </c>
      <c r="Q3" s="236" t="s">
        <v>56</v>
      </c>
      <c r="R3" s="581"/>
      <c r="AB3" s="1"/>
    </row>
    <row r="4" spans="1:28 16384:16384" ht="40.5" customHeight="1" thickBot="1">
      <c r="A4" s="578" t="str">
        <f>'Basic Deta'!B10</f>
        <v>SHAHID ALI</v>
      </c>
      <c r="B4" s="579"/>
      <c r="C4" s="238" t="str">
        <f>'Basic Deta'!F10</f>
        <v>Block Teacher</v>
      </c>
      <c r="D4" s="332" t="str">
        <f>'Basic Deta'!G10</f>
        <v>M.S. BASUDHAR</v>
      </c>
      <c r="E4" s="239">
        <f>SUM('Table (Income-Deduction)'!F10:F21,'Table (Income-Deduction)'!F29,'Table (Income-Deduction)'!F30)</f>
        <v>345660</v>
      </c>
      <c r="F4" s="239">
        <f>SUM('Table (Income-Deduction)'!G24,'Table (Income-Deduction)'!G23,'Table (Income-Deduction)'!G10:G21,'Table (Income-Deduction)'!G29:G30)</f>
        <v>128482</v>
      </c>
      <c r="G4" s="87">
        <f>E4+F4</f>
        <v>474142</v>
      </c>
      <c r="H4" s="17">
        <f>ROUNDUP((G4*0.1),0)</f>
        <v>47415</v>
      </c>
      <c r="I4" s="239">
        <f>SUM('Table (Income-Deduction)'!H10:H21,'Table (Income-Deduction)'!H29:H30)</f>
        <v>13822</v>
      </c>
      <c r="J4" s="240">
        <f>ROUNDUP((I4+H4),-1)</f>
        <v>61240</v>
      </c>
      <c r="K4" s="319">
        <f>IF(T4&gt;I4,I4,T4)</f>
        <v>13822</v>
      </c>
      <c r="L4" s="23">
        <f>ROUNDUP((M4*12),-1)</f>
        <v>61320</v>
      </c>
      <c r="M4" s="318">
        <f>IF(H4&gt;100000,0,ROUNDUP(J4/12,-1))</f>
        <v>5110</v>
      </c>
      <c r="N4" s="241">
        <f>ROUNDUP((M4*3),-1)</f>
        <v>15330</v>
      </c>
      <c r="O4" s="25"/>
      <c r="P4" s="25"/>
      <c r="Q4" s="26"/>
      <c r="R4" s="581"/>
      <c r="T4" s="1">
        <f>IF(AND(M4=0,H4&gt;100000),0,IF(AND(M4&gt;0,L4&gt;H4),(L4-H4),0))</f>
        <v>13905</v>
      </c>
    </row>
    <row r="5" spans="1:28 16384:16384" ht="21" customHeight="1" thickBot="1">
      <c r="A5" s="591" t="s">
        <v>78</v>
      </c>
      <c r="B5" s="592"/>
      <c r="C5" s="592"/>
      <c r="D5" s="592"/>
      <c r="E5" s="592"/>
      <c r="F5" s="592"/>
      <c r="G5" s="592"/>
      <c r="H5" s="592"/>
      <c r="I5" s="592"/>
      <c r="J5" s="592"/>
      <c r="K5" s="592"/>
      <c r="L5" s="592"/>
      <c r="M5" s="593"/>
      <c r="N5" s="540" t="s">
        <v>83</v>
      </c>
      <c r="O5" s="541"/>
      <c r="P5" s="541"/>
      <c r="Q5" s="542"/>
      <c r="R5" s="581"/>
    </row>
    <row r="6" spans="1:28 16384:16384" ht="31.5" customHeight="1" thickBot="1">
      <c r="A6" s="242" t="s">
        <v>2</v>
      </c>
      <c r="B6" s="598" t="s">
        <v>80</v>
      </c>
      <c r="C6" s="599"/>
      <c r="D6" s="599"/>
      <c r="E6" s="599"/>
      <c r="F6" s="599"/>
      <c r="G6" s="599"/>
      <c r="H6" s="599"/>
      <c r="I6" s="599"/>
      <c r="J6" s="599"/>
      <c r="K6" s="600"/>
      <c r="L6" s="598" t="s">
        <v>79</v>
      </c>
      <c r="M6" s="601"/>
      <c r="N6" s="243" t="s">
        <v>86</v>
      </c>
      <c r="O6" s="235" t="s">
        <v>84</v>
      </c>
      <c r="P6" s="244" t="s">
        <v>85</v>
      </c>
      <c r="Q6" s="245" t="s">
        <v>79</v>
      </c>
      <c r="R6" s="581"/>
    </row>
    <row r="7" spans="1:28 16384:16384" ht="17.25" customHeight="1">
      <c r="A7" s="246">
        <v>1</v>
      </c>
      <c r="B7" s="543" t="s">
        <v>147</v>
      </c>
      <c r="C7" s="543"/>
      <c r="D7" s="543"/>
      <c r="E7" s="543"/>
      <c r="F7" s="543"/>
      <c r="G7" s="543"/>
      <c r="H7" s="543"/>
      <c r="I7" s="543"/>
      <c r="J7" s="543"/>
      <c r="K7" s="543"/>
      <c r="L7" s="602">
        <v>0</v>
      </c>
      <c r="M7" s="603"/>
      <c r="N7" s="266"/>
      <c r="O7" s="267"/>
      <c r="P7" s="267"/>
      <c r="Q7" s="268">
        <v>0</v>
      </c>
      <c r="R7" s="581"/>
    </row>
    <row r="8" spans="1:28 16384:16384" ht="17.25" customHeight="1">
      <c r="A8" s="247">
        <v>2</v>
      </c>
      <c r="B8" s="544" t="s">
        <v>148</v>
      </c>
      <c r="C8" s="544"/>
      <c r="D8" s="544"/>
      <c r="E8" s="544"/>
      <c r="F8" s="544"/>
      <c r="G8" s="544"/>
      <c r="H8" s="544"/>
      <c r="I8" s="544"/>
      <c r="J8" s="544"/>
      <c r="K8" s="544"/>
      <c r="L8" s="547">
        <v>0</v>
      </c>
      <c r="M8" s="548"/>
      <c r="N8" s="269"/>
      <c r="O8" s="270"/>
      <c r="P8" s="270"/>
      <c r="Q8" s="271">
        <v>0</v>
      </c>
      <c r="R8" s="581"/>
      <c r="XFD8" s="111" t="str">
        <f>IF(L8&gt;50000,"B","A")</f>
        <v>A</v>
      </c>
    </row>
    <row r="9" spans="1:28 16384:16384" ht="17.25" customHeight="1">
      <c r="A9" s="248">
        <v>3</v>
      </c>
      <c r="B9" s="249" t="s">
        <v>149</v>
      </c>
      <c r="C9" s="545" t="s">
        <v>150</v>
      </c>
      <c r="D9" s="545"/>
      <c r="E9" s="545"/>
      <c r="F9" s="545"/>
      <c r="G9" s="545"/>
      <c r="H9" s="545"/>
      <c r="I9" s="545"/>
      <c r="J9" s="545"/>
      <c r="K9" s="546"/>
      <c r="L9" s="547">
        <v>0</v>
      </c>
      <c r="M9" s="548"/>
      <c r="N9" s="269"/>
      <c r="O9" s="270"/>
      <c r="P9" s="270"/>
      <c r="Q9" s="271">
        <v>0</v>
      </c>
      <c r="R9" s="581"/>
      <c r="XFD9" s="111" t="str">
        <f>'Basic Deta'!O10</f>
        <v>A</v>
      </c>
    </row>
    <row r="10" spans="1:28 16384:16384" ht="17.25" customHeight="1" thickBot="1">
      <c r="A10" s="250">
        <v>4</v>
      </c>
      <c r="B10" s="251" t="s">
        <v>149</v>
      </c>
      <c r="C10" s="596" t="s">
        <v>150</v>
      </c>
      <c r="D10" s="596"/>
      <c r="E10" s="596"/>
      <c r="F10" s="596"/>
      <c r="G10" s="596"/>
      <c r="H10" s="596"/>
      <c r="I10" s="596"/>
      <c r="J10" s="596"/>
      <c r="K10" s="597"/>
      <c r="L10" s="549">
        <v>0</v>
      </c>
      <c r="M10" s="550"/>
      <c r="N10" s="272"/>
      <c r="O10" s="273"/>
      <c r="P10" s="273"/>
      <c r="Q10" s="274">
        <v>0</v>
      </c>
      <c r="R10" s="581"/>
      <c r="XFD10" s="111" t="str">
        <f>CONCATENATE(XFD8,XFD9)</f>
        <v>AA</v>
      </c>
    </row>
    <row r="11" spans="1:28 16384:16384" ht="22.5" customHeight="1" thickBot="1">
      <c r="A11" s="580" t="s">
        <v>109</v>
      </c>
      <c r="B11" s="580"/>
      <c r="C11" s="580"/>
      <c r="D11" s="580"/>
      <c r="E11" s="580"/>
      <c r="F11" s="580"/>
      <c r="G11" s="580"/>
      <c r="H11" s="580"/>
      <c r="I11" s="580"/>
      <c r="J11" s="580"/>
      <c r="K11" s="580"/>
      <c r="L11" s="580"/>
      <c r="M11" s="580"/>
      <c r="N11" s="580"/>
      <c r="O11" s="580"/>
      <c r="P11" s="580"/>
      <c r="Q11" s="580"/>
      <c r="R11" s="581"/>
    </row>
    <row r="12" spans="1:28 16384:16384" ht="22.5" customHeight="1" thickBot="1">
      <c r="A12" s="252" t="s">
        <v>2</v>
      </c>
      <c r="B12" s="551" t="s">
        <v>81</v>
      </c>
      <c r="C12" s="559"/>
      <c r="D12" s="559"/>
      <c r="E12" s="559"/>
      <c r="F12" s="559"/>
      <c r="G12" s="559"/>
      <c r="H12" s="559"/>
      <c r="I12" s="559"/>
      <c r="J12" s="559"/>
      <c r="K12" s="560"/>
      <c r="L12" s="551" t="s">
        <v>82</v>
      </c>
      <c r="M12" s="552"/>
      <c r="N12" s="253" t="s">
        <v>2</v>
      </c>
      <c r="O12" s="561" t="s">
        <v>81</v>
      </c>
      <c r="P12" s="562"/>
      <c r="Q12" s="254" t="s">
        <v>79</v>
      </c>
      <c r="R12" s="581"/>
    </row>
    <row r="13" spans="1:28 16384:16384" s="24" customFormat="1" ht="17.25" customHeight="1">
      <c r="A13" s="255">
        <v>1</v>
      </c>
      <c r="B13" s="586" t="s">
        <v>156</v>
      </c>
      <c r="C13" s="586"/>
      <c r="D13" s="586"/>
      <c r="E13" s="586"/>
      <c r="F13" s="586"/>
      <c r="G13" s="586"/>
      <c r="H13" s="586"/>
      <c r="I13" s="586"/>
      <c r="J13" s="586"/>
      <c r="K13" s="586"/>
      <c r="L13" s="553">
        <v>0</v>
      </c>
      <c r="M13" s="554"/>
      <c r="N13" s="256">
        <v>15</v>
      </c>
      <c r="O13" s="587" t="s">
        <v>481</v>
      </c>
      <c r="P13" s="588"/>
      <c r="Q13" s="263">
        <v>0</v>
      </c>
      <c r="R13" s="581"/>
    </row>
    <row r="14" spans="1:28 16384:16384" s="24" customFormat="1" ht="17.25" customHeight="1">
      <c r="A14" s="257">
        <v>2</v>
      </c>
      <c r="B14" s="568" t="s">
        <v>515</v>
      </c>
      <c r="C14" s="568"/>
      <c r="D14" s="568"/>
      <c r="E14" s="568"/>
      <c r="F14" s="568"/>
      <c r="G14" s="568"/>
      <c r="H14" s="568"/>
      <c r="I14" s="568"/>
      <c r="J14" s="568"/>
      <c r="K14" s="568"/>
      <c r="L14" s="563">
        <f>'Table (Income-Deduction)'!U32</f>
        <v>1000</v>
      </c>
      <c r="M14" s="564"/>
      <c r="N14" s="258">
        <v>16</v>
      </c>
      <c r="O14" s="572" t="s">
        <v>482</v>
      </c>
      <c r="P14" s="573"/>
      <c r="Q14" s="264">
        <v>0</v>
      </c>
      <c r="R14" s="581"/>
    </row>
    <row r="15" spans="1:28 16384:16384" s="24" customFormat="1" ht="17.25" customHeight="1">
      <c r="A15" s="259">
        <v>3</v>
      </c>
      <c r="B15" s="569" t="s">
        <v>122</v>
      </c>
      <c r="C15" s="569"/>
      <c r="D15" s="569"/>
      <c r="E15" s="569"/>
      <c r="F15" s="569"/>
      <c r="G15" s="569"/>
      <c r="H15" s="569"/>
      <c r="I15" s="569"/>
      <c r="J15" s="569"/>
      <c r="K15" s="569"/>
      <c r="L15" s="563">
        <v>0</v>
      </c>
      <c r="M15" s="564"/>
      <c r="N15" s="260">
        <v>17</v>
      </c>
      <c r="O15" s="555" t="s">
        <v>135</v>
      </c>
      <c r="P15" s="556"/>
      <c r="Q15" s="264">
        <f>'Table (Income-Deduction)'!R32</f>
        <v>0</v>
      </c>
      <c r="R15" s="581"/>
    </row>
    <row r="16" spans="1:28 16384:16384" s="24" customFormat="1" ht="17.25" customHeight="1">
      <c r="A16" s="257">
        <v>4</v>
      </c>
      <c r="B16" s="568" t="s">
        <v>123</v>
      </c>
      <c r="C16" s="568"/>
      <c r="D16" s="568"/>
      <c r="E16" s="568"/>
      <c r="F16" s="568"/>
      <c r="G16" s="568"/>
      <c r="H16" s="568"/>
      <c r="I16" s="568"/>
      <c r="J16" s="568"/>
      <c r="K16" s="568"/>
      <c r="L16" s="563">
        <v>0</v>
      </c>
      <c r="M16" s="564"/>
      <c r="N16" s="258">
        <v>18</v>
      </c>
      <c r="O16" s="584" t="s">
        <v>136</v>
      </c>
      <c r="P16" s="585"/>
      <c r="Q16" s="264">
        <v>0</v>
      </c>
      <c r="R16" s="581"/>
    </row>
    <row r="17" spans="1:18" s="24" customFormat="1" ht="17.25" customHeight="1">
      <c r="A17" s="259">
        <v>5</v>
      </c>
      <c r="B17" s="569" t="s">
        <v>124</v>
      </c>
      <c r="C17" s="569"/>
      <c r="D17" s="569"/>
      <c r="E17" s="569"/>
      <c r="F17" s="569"/>
      <c r="G17" s="569"/>
      <c r="H17" s="569"/>
      <c r="I17" s="569"/>
      <c r="J17" s="569"/>
      <c r="K17" s="569"/>
      <c r="L17" s="563">
        <v>0</v>
      </c>
      <c r="M17" s="564"/>
      <c r="N17" s="260">
        <v>19</v>
      </c>
      <c r="O17" s="555" t="s">
        <v>137</v>
      </c>
      <c r="P17" s="556"/>
      <c r="Q17" s="264">
        <v>0</v>
      </c>
      <c r="R17" s="581"/>
    </row>
    <row r="18" spans="1:18" s="24" customFormat="1" ht="17.25" customHeight="1">
      <c r="A18" s="257">
        <v>6</v>
      </c>
      <c r="B18" s="568" t="s">
        <v>125</v>
      </c>
      <c r="C18" s="568"/>
      <c r="D18" s="568"/>
      <c r="E18" s="568"/>
      <c r="F18" s="568"/>
      <c r="G18" s="568"/>
      <c r="H18" s="568"/>
      <c r="I18" s="568"/>
      <c r="J18" s="568"/>
      <c r="K18" s="568"/>
      <c r="L18" s="594">
        <v>0</v>
      </c>
      <c r="M18" s="595"/>
      <c r="N18" s="258">
        <v>20</v>
      </c>
      <c r="O18" s="582" t="s">
        <v>138</v>
      </c>
      <c r="P18" s="583"/>
      <c r="Q18" s="264">
        <v>0</v>
      </c>
      <c r="R18" s="581"/>
    </row>
    <row r="19" spans="1:18" s="24" customFormat="1" ht="17.25" customHeight="1">
      <c r="A19" s="259">
        <v>7</v>
      </c>
      <c r="B19" s="569" t="s">
        <v>126</v>
      </c>
      <c r="C19" s="569"/>
      <c r="D19" s="569"/>
      <c r="E19" s="569"/>
      <c r="F19" s="569"/>
      <c r="G19" s="569"/>
      <c r="H19" s="569"/>
      <c r="I19" s="569"/>
      <c r="J19" s="569"/>
      <c r="K19" s="569"/>
      <c r="L19" s="594">
        <v>0</v>
      </c>
      <c r="M19" s="595"/>
      <c r="N19" s="260">
        <v>21</v>
      </c>
      <c r="O19" s="557" t="s">
        <v>139</v>
      </c>
      <c r="P19" s="558"/>
      <c r="Q19" s="264">
        <v>0</v>
      </c>
      <c r="R19" s="581"/>
    </row>
    <row r="20" spans="1:18" s="24" customFormat="1" ht="17.25" customHeight="1">
      <c r="A20" s="257">
        <v>8</v>
      </c>
      <c r="B20" s="568" t="s">
        <v>127</v>
      </c>
      <c r="C20" s="568"/>
      <c r="D20" s="568"/>
      <c r="E20" s="568"/>
      <c r="F20" s="568"/>
      <c r="G20" s="568"/>
      <c r="H20" s="568"/>
      <c r="I20" s="568"/>
      <c r="J20" s="568"/>
      <c r="K20" s="568"/>
      <c r="L20" s="594">
        <v>0</v>
      </c>
      <c r="M20" s="595"/>
      <c r="N20" s="258">
        <v>22</v>
      </c>
      <c r="O20" s="572" t="s">
        <v>140</v>
      </c>
      <c r="P20" s="573"/>
      <c r="Q20" s="264">
        <v>0</v>
      </c>
      <c r="R20" s="581"/>
    </row>
    <row r="21" spans="1:18" s="24" customFormat="1" ht="17.25" customHeight="1">
      <c r="A21" s="259">
        <v>9</v>
      </c>
      <c r="B21" s="569" t="s">
        <v>128</v>
      </c>
      <c r="C21" s="569"/>
      <c r="D21" s="569"/>
      <c r="E21" s="569"/>
      <c r="F21" s="569"/>
      <c r="G21" s="569"/>
      <c r="H21" s="569"/>
      <c r="I21" s="569"/>
      <c r="J21" s="569"/>
      <c r="K21" s="569"/>
      <c r="L21" s="594">
        <v>0</v>
      </c>
      <c r="M21" s="595"/>
      <c r="N21" s="260">
        <v>23</v>
      </c>
      <c r="O21" s="555" t="s">
        <v>141</v>
      </c>
      <c r="P21" s="556"/>
      <c r="Q21" s="264">
        <v>0</v>
      </c>
      <c r="R21" s="581"/>
    </row>
    <row r="22" spans="1:18" s="24" customFormat="1" ht="17.25" customHeight="1">
      <c r="A22" s="257">
        <v>10</v>
      </c>
      <c r="B22" s="568" t="s">
        <v>129</v>
      </c>
      <c r="C22" s="568"/>
      <c r="D22" s="568"/>
      <c r="E22" s="568"/>
      <c r="F22" s="568"/>
      <c r="G22" s="568"/>
      <c r="H22" s="568"/>
      <c r="I22" s="568"/>
      <c r="J22" s="568"/>
      <c r="K22" s="568"/>
      <c r="L22" s="594">
        <v>0</v>
      </c>
      <c r="M22" s="595"/>
      <c r="N22" s="258">
        <v>24</v>
      </c>
      <c r="O22" s="572" t="s">
        <v>142</v>
      </c>
      <c r="P22" s="573"/>
      <c r="Q22" s="264">
        <v>0</v>
      </c>
      <c r="R22" s="581"/>
    </row>
    <row r="23" spans="1:18" s="24" customFormat="1" ht="17.25" customHeight="1">
      <c r="A23" s="259">
        <v>11</v>
      </c>
      <c r="B23" s="569" t="s">
        <v>130</v>
      </c>
      <c r="C23" s="569"/>
      <c r="D23" s="569"/>
      <c r="E23" s="569"/>
      <c r="F23" s="569"/>
      <c r="G23" s="569"/>
      <c r="H23" s="569"/>
      <c r="I23" s="569"/>
      <c r="J23" s="569"/>
      <c r="K23" s="569"/>
      <c r="L23" s="594">
        <v>0</v>
      </c>
      <c r="M23" s="595"/>
      <c r="N23" s="260">
        <v>25</v>
      </c>
      <c r="O23" s="555" t="s">
        <v>143</v>
      </c>
      <c r="P23" s="556"/>
      <c r="Q23" s="264">
        <v>0</v>
      </c>
      <c r="R23" s="581"/>
    </row>
    <row r="24" spans="1:18" s="24" customFormat="1" ht="17.25" customHeight="1">
      <c r="A24" s="257">
        <v>12</v>
      </c>
      <c r="B24" s="568" t="s">
        <v>131</v>
      </c>
      <c r="C24" s="568"/>
      <c r="D24" s="568"/>
      <c r="E24" s="568"/>
      <c r="F24" s="568"/>
      <c r="G24" s="568"/>
      <c r="H24" s="568"/>
      <c r="I24" s="568"/>
      <c r="J24" s="568"/>
      <c r="K24" s="568"/>
      <c r="L24" s="594">
        <v>0</v>
      </c>
      <c r="M24" s="595"/>
      <c r="N24" s="258">
        <v>26</v>
      </c>
      <c r="O24" s="572" t="s">
        <v>506</v>
      </c>
      <c r="P24" s="573"/>
      <c r="Q24" s="264">
        <v>0</v>
      </c>
      <c r="R24" s="581"/>
    </row>
    <row r="25" spans="1:18" s="24" customFormat="1" ht="17.25" customHeight="1">
      <c r="A25" s="259">
        <v>13</v>
      </c>
      <c r="B25" s="569" t="s">
        <v>132</v>
      </c>
      <c r="C25" s="570"/>
      <c r="D25" s="570"/>
      <c r="E25" s="570"/>
      <c r="F25" s="570"/>
      <c r="G25" s="570"/>
      <c r="H25" s="570"/>
      <c r="I25" s="570"/>
      <c r="J25" s="570"/>
      <c r="K25" s="570"/>
      <c r="L25" s="594">
        <v>0</v>
      </c>
      <c r="M25" s="595"/>
      <c r="N25" s="260">
        <v>27</v>
      </c>
      <c r="O25" s="555" t="s">
        <v>145</v>
      </c>
      <c r="P25" s="556"/>
      <c r="Q25" s="264">
        <v>0</v>
      </c>
      <c r="R25" s="581"/>
    </row>
    <row r="26" spans="1:18" s="24" customFormat="1" ht="17.25" customHeight="1" thickBot="1">
      <c r="A26" s="261">
        <v>14</v>
      </c>
      <c r="B26" s="571" t="s">
        <v>133</v>
      </c>
      <c r="C26" s="571"/>
      <c r="D26" s="571"/>
      <c r="E26" s="571"/>
      <c r="F26" s="571"/>
      <c r="G26" s="571"/>
      <c r="H26" s="571"/>
      <c r="I26" s="571"/>
      <c r="J26" s="571"/>
      <c r="K26" s="571"/>
      <c r="L26" s="589">
        <v>0</v>
      </c>
      <c r="M26" s="590"/>
      <c r="N26" s="262">
        <v>28</v>
      </c>
      <c r="O26" s="574" t="s">
        <v>146</v>
      </c>
      <c r="P26" s="575"/>
      <c r="Q26" s="265">
        <f>'10 E Us 89(1) '!AR26</f>
        <v>0</v>
      </c>
      <c r="R26" s="581"/>
    </row>
    <row r="27" spans="1:18">
      <c r="A27" s="514"/>
      <c r="B27" s="514"/>
      <c r="C27" s="514"/>
      <c r="D27" s="514"/>
      <c r="E27" s="514"/>
      <c r="F27" s="514"/>
      <c r="G27" s="514"/>
      <c r="H27" s="514"/>
      <c r="I27" s="514"/>
      <c r="J27" s="514"/>
      <c r="K27" s="514"/>
      <c r="L27" s="514"/>
      <c r="M27" s="514"/>
      <c r="N27" s="514"/>
      <c r="O27" s="514"/>
      <c r="P27" s="514"/>
      <c r="Q27" s="514"/>
      <c r="R27" s="581"/>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O21:P21"/>
    <mergeCell ref="B12:K12"/>
    <mergeCell ref="O12:P12"/>
    <mergeCell ref="L14:M14"/>
    <mergeCell ref="L15:M15"/>
    <mergeCell ref="L10:M10"/>
    <mergeCell ref="L12:M12"/>
    <mergeCell ref="L13:M13"/>
    <mergeCell ref="O17:P17"/>
    <mergeCell ref="O19:P19"/>
    <mergeCell ref="N5:Q5"/>
    <mergeCell ref="B7:K7"/>
    <mergeCell ref="B8:K8"/>
    <mergeCell ref="C9:K9"/>
    <mergeCell ref="L8:M8"/>
    <mergeCell ref="L9:M9"/>
  </mergeCells>
  <conditionalFormatting sqref="E4:Q4">
    <cfRule type="cellIs" dxfId="30"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AL1047"/>
  <sheetViews>
    <sheetView showGridLines="0" topLeftCell="B1" zoomScale="91" zoomScaleNormal="91" workbookViewId="0">
      <selection activeCell="I9" sqref="I9"/>
    </sheetView>
  </sheetViews>
  <sheetFormatPr defaultColWidth="0" defaultRowHeight="15" zeroHeight="1"/>
  <cols>
    <col min="1" max="1" width="0" style="302" hidden="1" customWidth="1"/>
    <col min="2" max="2" width="4.85546875" style="6" customWidth="1"/>
    <col min="3" max="3" width="10.28515625" style="6" customWidth="1"/>
    <col min="4" max="4" width="8.5703125" style="6" customWidth="1"/>
    <col min="5" max="5" width="9.42578125" style="6" customWidth="1"/>
    <col min="6" max="8" width="7.140625" style="29" customWidth="1"/>
    <col min="9" max="9" width="6.42578125" style="30" customWidth="1"/>
    <col min="10" max="14" width="6.42578125" style="29" customWidth="1"/>
    <col min="15" max="15" width="8.5703125" style="29" customWidth="1"/>
    <col min="16" max="17" width="7.140625" style="29" customWidth="1"/>
    <col min="18" max="19" width="7.140625" style="31" customWidth="1"/>
    <col min="20" max="20" width="5.42578125" style="31" customWidth="1"/>
    <col min="21" max="21" width="7.140625" style="31" customWidth="1"/>
    <col min="22" max="22" width="5.7109375" style="31" customWidth="1"/>
    <col min="23" max="25" width="7.140625" style="31" customWidth="1"/>
    <col min="26" max="26" width="5.85546875" style="31" customWidth="1"/>
    <col min="27" max="27" width="9.7109375" style="5" customWidth="1"/>
    <col min="28" max="28" width="10.42578125" style="5" customWidth="1"/>
    <col min="29" max="29" width="10.85546875" style="5" customWidth="1"/>
    <col min="30" max="30" width="2" style="5" customWidth="1"/>
    <col min="31" max="31" width="15.5703125" style="5" hidden="1" customWidth="1"/>
    <col min="32" max="38" width="15.5703125" style="1" hidden="1" customWidth="1"/>
    <col min="39" max="16384" width="4" style="1" hidden="1"/>
  </cols>
  <sheetData>
    <row r="1" spans="1:37" s="9" customFormat="1" ht="24" customHeight="1">
      <c r="A1" s="32"/>
      <c r="B1" s="631" t="str">
        <f>'Basic Deta'!E5</f>
        <v>District Education Officer, Education Department Primary Education of Bihar</v>
      </c>
      <c r="C1" s="632"/>
      <c r="D1" s="632"/>
      <c r="E1" s="632"/>
      <c r="F1" s="632"/>
      <c r="G1" s="632"/>
      <c r="H1" s="632"/>
      <c r="I1" s="632"/>
      <c r="J1" s="632"/>
      <c r="K1" s="632"/>
      <c r="L1" s="632"/>
      <c r="M1" s="632"/>
      <c r="N1" s="632"/>
      <c r="O1" s="632"/>
      <c r="P1" s="632"/>
      <c r="Q1" s="632"/>
      <c r="R1" s="632"/>
      <c r="S1" s="632"/>
      <c r="T1" s="632"/>
      <c r="U1" s="632"/>
      <c r="V1" s="632"/>
      <c r="W1" s="632"/>
      <c r="X1" s="632"/>
      <c r="Y1" s="632"/>
      <c r="Z1" s="632"/>
      <c r="AA1" s="632"/>
      <c r="AB1" s="632"/>
      <c r="AC1" s="633"/>
      <c r="AD1" s="650"/>
      <c r="AE1" s="16"/>
    </row>
    <row r="2" spans="1:37" s="9" customFormat="1" ht="20.45" customHeight="1" thickBot="1">
      <c r="A2" s="33"/>
      <c r="B2" s="639" t="str">
        <f>IF('Basic Deta'!D10=0,0,CONCATENATE('Basic Deta'!G9,"",":","-"," ",'Basic Deta'!G10))</f>
        <v>Posting Place Name:- M.S. BASUDHAR</v>
      </c>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1"/>
      <c r="AD2" s="650"/>
      <c r="AE2" s="16"/>
    </row>
    <row r="3" spans="1:37" s="9" customFormat="1" ht="20.25" customHeight="1" thickBot="1">
      <c r="A3" s="33"/>
      <c r="B3" s="13"/>
      <c r="C3" s="614" t="s">
        <v>512</v>
      </c>
      <c r="D3" s="614"/>
      <c r="E3" s="614"/>
      <c r="F3" s="614"/>
      <c r="G3" s="614"/>
      <c r="H3" s="614"/>
      <c r="I3" s="614"/>
      <c r="J3" s="614"/>
      <c r="K3" s="614"/>
      <c r="L3" s="614"/>
      <c r="M3" s="614"/>
      <c r="N3" s="614"/>
      <c r="O3" s="614"/>
      <c r="P3" s="614"/>
      <c r="Q3" s="614"/>
      <c r="R3" s="614"/>
      <c r="S3" s="614"/>
      <c r="T3" s="614"/>
      <c r="U3" s="619" t="s">
        <v>43</v>
      </c>
      <c r="V3" s="619"/>
      <c r="W3" s="619"/>
      <c r="X3" s="619"/>
      <c r="Y3" s="619"/>
      <c r="Z3" s="619"/>
      <c r="AA3" s="620" t="str">
        <f>'Basic Deta'!O6</f>
        <v>2022-23</v>
      </c>
      <c r="AB3" s="620"/>
      <c r="AC3" s="621"/>
      <c r="AD3" s="651"/>
      <c r="AE3" s="301"/>
    </row>
    <row r="4" spans="1:37" s="9" customFormat="1" ht="20.25" customHeight="1">
      <c r="A4" s="33"/>
      <c r="B4" s="637" t="s">
        <v>45</v>
      </c>
      <c r="C4" s="638"/>
      <c r="D4" s="638"/>
      <c r="E4" s="638"/>
      <c r="F4" s="636" t="str">
        <f>'Basic Deta'!B10</f>
        <v>SHAHID ALI</v>
      </c>
      <c r="G4" s="636"/>
      <c r="H4" s="636"/>
      <c r="I4" s="636"/>
      <c r="J4" s="634" t="s">
        <v>46</v>
      </c>
      <c r="K4" s="634"/>
      <c r="L4" s="634"/>
      <c r="M4" s="634"/>
      <c r="N4" s="634"/>
      <c r="O4" s="634"/>
      <c r="P4" s="635" t="str">
        <f>'Basic Deta'!F10</f>
        <v>Block Teacher</v>
      </c>
      <c r="Q4" s="635"/>
      <c r="R4" s="635"/>
      <c r="S4" s="27"/>
      <c r="T4" s="642" t="str">
        <f>IF('Basic Deta'!D10&gt;0,"Employee ID :-","Posting Place:-")</f>
        <v>Employee ID :-</v>
      </c>
      <c r="U4" s="642"/>
      <c r="V4" s="642"/>
      <c r="W4" s="642"/>
      <c r="X4" s="642"/>
      <c r="Y4" s="643">
        <f>IF('Basic Deta'!D10&gt;0,'Basic Deta'!D10,'Basic Deta'!G10)</f>
        <v>123</v>
      </c>
      <c r="Z4" s="643"/>
      <c r="AA4" s="643"/>
      <c r="AB4" s="643"/>
      <c r="AC4" s="644"/>
      <c r="AD4" s="651"/>
      <c r="AE4" s="12"/>
    </row>
    <row r="5" spans="1:37" s="9" customFormat="1" ht="9" customHeight="1">
      <c r="A5" s="33"/>
      <c r="B5" s="616"/>
      <c r="C5" s="617"/>
      <c r="D5" s="617"/>
      <c r="E5" s="617"/>
      <c r="F5" s="617"/>
      <c r="G5" s="617"/>
      <c r="H5" s="617"/>
      <c r="I5" s="617"/>
      <c r="J5" s="617"/>
      <c r="K5" s="617"/>
      <c r="L5" s="617"/>
      <c r="M5" s="617"/>
      <c r="N5" s="617"/>
      <c r="O5" s="617"/>
      <c r="P5" s="617"/>
      <c r="Q5" s="617"/>
      <c r="R5" s="617"/>
      <c r="S5" s="617"/>
      <c r="T5" s="617"/>
      <c r="U5" s="617"/>
      <c r="V5" s="617"/>
      <c r="W5" s="617"/>
      <c r="X5" s="617"/>
      <c r="Y5" s="617"/>
      <c r="Z5" s="617"/>
      <c r="AA5" s="617"/>
      <c r="AB5" s="617"/>
      <c r="AC5" s="618"/>
      <c r="AD5" s="651"/>
      <c r="AE5" s="300"/>
    </row>
    <row r="6" spans="1:37" s="9" customFormat="1" ht="19.899999999999999" customHeight="1">
      <c r="A6" s="33"/>
      <c r="B6" s="649" t="s">
        <v>501</v>
      </c>
      <c r="C6" s="645"/>
      <c r="D6" s="645"/>
      <c r="E6" s="645"/>
      <c r="F6" s="648" t="str">
        <f>CONCATENATE('Basic Deta'!L10," ","(",'Basic Deta'!E6,")")</f>
        <v>BFHPA0762G (BUXAR)</v>
      </c>
      <c r="G6" s="648"/>
      <c r="H6" s="648"/>
      <c r="I6" s="648"/>
      <c r="J6" s="626"/>
      <c r="K6" s="626"/>
      <c r="L6" s="626"/>
      <c r="M6" s="626"/>
      <c r="N6" s="626"/>
      <c r="O6" s="626"/>
      <c r="P6" s="615"/>
      <c r="Q6" s="615"/>
      <c r="R6" s="615"/>
      <c r="S6" s="28"/>
      <c r="T6" s="645" t="s">
        <v>47</v>
      </c>
      <c r="U6" s="645"/>
      <c r="V6" s="645"/>
      <c r="W6" s="645"/>
      <c r="X6" s="645"/>
      <c r="Y6" s="645"/>
      <c r="Z6" s="646">
        <f>'Basic Deta'!M10</f>
        <v>742781203</v>
      </c>
      <c r="AA6" s="646"/>
      <c r="AB6" s="646"/>
      <c r="AC6" s="647"/>
      <c r="AD6" s="651"/>
      <c r="AE6" s="12"/>
    </row>
    <row r="7" spans="1:37" s="8" customFormat="1" ht="14.25" customHeight="1" thickBot="1">
      <c r="A7" s="34"/>
      <c r="B7" s="652"/>
      <c r="C7" s="653"/>
      <c r="D7" s="653"/>
      <c r="E7" s="653"/>
      <c r="F7" s="653"/>
      <c r="G7" s="653"/>
      <c r="H7" s="653"/>
      <c r="I7" s="653"/>
      <c r="J7" s="653"/>
      <c r="K7" s="653"/>
      <c r="L7" s="653"/>
      <c r="M7" s="653"/>
      <c r="N7" s="653"/>
      <c r="O7" s="653"/>
      <c r="P7" s="653"/>
      <c r="Q7" s="653"/>
      <c r="R7" s="653"/>
      <c r="S7" s="653"/>
      <c r="T7" s="653"/>
      <c r="U7" s="653"/>
      <c r="V7" s="653"/>
      <c r="W7" s="653"/>
      <c r="X7" s="653"/>
      <c r="Y7" s="653"/>
      <c r="Z7" s="653"/>
      <c r="AA7" s="653"/>
      <c r="AB7" s="653"/>
      <c r="AC7" s="654"/>
      <c r="AD7" s="651"/>
      <c r="AE7" s="300"/>
    </row>
    <row r="8" spans="1:37" s="4" customFormat="1" ht="18" customHeight="1">
      <c r="A8" s="35"/>
      <c r="B8" s="662" t="s">
        <v>2</v>
      </c>
      <c r="C8" s="664" t="s">
        <v>4</v>
      </c>
      <c r="D8" s="666" t="s">
        <v>26</v>
      </c>
      <c r="E8" s="668" t="s">
        <v>27</v>
      </c>
      <c r="F8" s="670" t="s">
        <v>33</v>
      </c>
      <c r="G8" s="671"/>
      <c r="H8" s="671"/>
      <c r="I8" s="671"/>
      <c r="J8" s="671"/>
      <c r="K8" s="671"/>
      <c r="L8" s="671"/>
      <c r="M8" s="671"/>
      <c r="N8" s="671"/>
      <c r="O8" s="672"/>
      <c r="P8" s="657" t="s">
        <v>35</v>
      </c>
      <c r="Q8" s="658"/>
      <c r="R8" s="658"/>
      <c r="S8" s="658"/>
      <c r="T8" s="658"/>
      <c r="U8" s="658"/>
      <c r="V8" s="658"/>
      <c r="W8" s="658"/>
      <c r="X8" s="658"/>
      <c r="Y8" s="658"/>
      <c r="Z8" s="658"/>
      <c r="AA8" s="659"/>
      <c r="AB8" s="604" t="s">
        <v>38</v>
      </c>
      <c r="AC8" s="655" t="s">
        <v>36</v>
      </c>
      <c r="AD8" s="651"/>
      <c r="AE8" s="217"/>
      <c r="AF8" s="7"/>
      <c r="AG8" s="7"/>
      <c r="AH8" s="7"/>
      <c r="AI8" s="7"/>
      <c r="AJ8" s="7"/>
      <c r="AK8" s="7"/>
    </row>
    <row r="9" spans="1:37" s="4" customFormat="1" ht="69.75" customHeight="1">
      <c r="A9" s="35"/>
      <c r="B9" s="663"/>
      <c r="C9" s="665"/>
      <c r="D9" s="667"/>
      <c r="E9" s="669"/>
      <c r="F9" s="340" t="s">
        <v>28</v>
      </c>
      <c r="G9" s="341" t="s">
        <v>29</v>
      </c>
      <c r="H9" s="341" t="s">
        <v>30</v>
      </c>
      <c r="I9" s="342" t="s">
        <v>110</v>
      </c>
      <c r="J9" s="343" t="str">
        <f>'Basic Deta'!H13</f>
        <v>Medical All.</v>
      </c>
      <c r="K9" s="343" t="str">
        <f>'Basic Deta'!I13</f>
        <v>Extra</v>
      </c>
      <c r="L9" s="343" t="s">
        <v>31</v>
      </c>
      <c r="M9" s="342" t="s">
        <v>32</v>
      </c>
      <c r="N9" s="343" t="s">
        <v>480</v>
      </c>
      <c r="O9" s="344" t="s">
        <v>34</v>
      </c>
      <c r="P9" s="384" t="str">
        <f>'Basic Deta'!J13</f>
        <v xml:space="preserve">EPF/Montholy Invest in Future Plan </v>
      </c>
      <c r="Q9" s="341" t="str">
        <f>'Basic Deta'!K13</f>
        <v>GIS/Group Ins.</v>
      </c>
      <c r="R9" s="384" t="str">
        <f>'Basic Deta'!L13</f>
        <v>Contri. To Contributory Pension Scheme (80CCC)</v>
      </c>
      <c r="S9" s="341" t="str">
        <f>'Basic Deta'!M13</f>
        <v>LIC</v>
      </c>
      <c r="T9" s="341" t="str">
        <f>'Basic Deta'!N13</f>
        <v>GROUP L.I.C.</v>
      </c>
      <c r="U9" s="384" t="str">
        <f>'Basic Deta'!O13</f>
        <v>गृ.नि.अ. की किस्तों की वसूली/पेशाकर</v>
      </c>
      <c r="V9" s="342" t="s">
        <v>32</v>
      </c>
      <c r="W9" s="345" t="s">
        <v>31</v>
      </c>
      <c r="X9" s="345" t="s">
        <v>480</v>
      </c>
      <c r="Y9" s="345" t="s">
        <v>492</v>
      </c>
      <c r="Z9" s="345" t="s">
        <v>517</v>
      </c>
      <c r="AA9" s="372" t="s">
        <v>37</v>
      </c>
      <c r="AB9" s="605"/>
      <c r="AC9" s="656"/>
      <c r="AD9" s="651"/>
      <c r="AE9" s="217"/>
      <c r="AF9" s="7"/>
      <c r="AG9" s="7"/>
      <c r="AH9" s="7"/>
      <c r="AI9" s="7"/>
      <c r="AJ9" s="7"/>
      <c r="AK9" s="7"/>
    </row>
    <row r="10" spans="1:37" s="4" customFormat="1" ht="22.15" customHeight="1">
      <c r="A10" s="35"/>
      <c r="B10" s="14">
        <v>1</v>
      </c>
      <c r="C10" s="320">
        <v>44621</v>
      </c>
      <c r="D10" s="303"/>
      <c r="E10" s="304"/>
      <c r="F10" s="223">
        <f>'Basic Deta'!J10</f>
        <v>28660</v>
      </c>
      <c r="G10" s="224">
        <f>IF('Basic Deta'!$B$15="Regular",ROUND('Table (Income-Deduction)'!F10*31/100,0),0)</f>
        <v>8885</v>
      </c>
      <c r="H10" s="224">
        <f>IF('Basic Deta'!$B$15="Regular",ROUND('Table (Income-Deduction)'!F10*0.04,0))</f>
        <v>1146</v>
      </c>
      <c r="I10" s="224"/>
      <c r="J10" s="224">
        <f>'Basic Deta'!H15</f>
        <v>1000</v>
      </c>
      <c r="K10" s="224">
        <f>'Basic Deta'!I15</f>
        <v>0</v>
      </c>
      <c r="L10" s="224"/>
      <c r="M10" s="224"/>
      <c r="N10" s="224"/>
      <c r="O10" s="346">
        <f t="array" ref="O10">SUM(F10:N10)</f>
        <v>39691</v>
      </c>
      <c r="P10" s="307">
        <f>'Basic Deta'!J15</f>
        <v>1800</v>
      </c>
      <c r="Q10" s="224">
        <f>'Basic Deta'!K15</f>
        <v>0</v>
      </c>
      <c r="R10" s="308">
        <f>'Basic Deta'!L15</f>
        <v>0</v>
      </c>
      <c r="S10" s="308">
        <f>'Basic Deta'!M15</f>
        <v>0</v>
      </c>
      <c r="T10" s="308">
        <f>'Basic Deta'!N15</f>
        <v>0</v>
      </c>
      <c r="U10" s="308">
        <v>0</v>
      </c>
      <c r="V10" s="308">
        <f>'Basic Deta'!L15</f>
        <v>0</v>
      </c>
      <c r="W10" s="308">
        <f>'Basic Deta'!K15</f>
        <v>0</v>
      </c>
      <c r="X10" s="308"/>
      <c r="Y10" s="308"/>
      <c r="Z10" s="308"/>
      <c r="AA10" s="347">
        <f t="array" ref="AA10">SUM(P10:Z10)</f>
        <v>1800</v>
      </c>
      <c r="AB10" s="348">
        <f t="array" ref="AB10">O10-AA10</f>
        <v>37891</v>
      </c>
      <c r="AC10" s="348">
        <f>'Basic Deta'!B19</f>
        <v>0</v>
      </c>
      <c r="AD10" s="651"/>
      <c r="AE10" s="218"/>
      <c r="AF10" s="7" t="str">
        <f>IF(C10='Basic Deta'!$G$15,"Yes","No")</f>
        <v>No</v>
      </c>
      <c r="AG10" s="15">
        <f t="shared" ref="AG10:AG21" si="0">IF(AF10="Yes",ROUND(F10/2,0),0)</f>
        <v>0</v>
      </c>
      <c r="AH10" s="7">
        <f t="shared" ref="AH10:AH21" si="1">IF(AF10="Yes",ROUND(G10/2,0),0)</f>
        <v>0</v>
      </c>
      <c r="AI10" s="15">
        <f t="shared" ref="AI10:AI21" si="2">IF(AF10="Yes",(F10+G10)/2,0)</f>
        <v>0</v>
      </c>
      <c r="AJ10" s="15">
        <f>IF(AF10="yes",(AI10+(F10*0.03/2)),0)</f>
        <v>0</v>
      </c>
      <c r="AK10" s="7">
        <f>IF($AF10="Yes",ROUND(AH10*0.03,0),0)</f>
        <v>0</v>
      </c>
    </row>
    <row r="11" spans="1:37" s="4" customFormat="1" ht="22.15" customHeight="1">
      <c r="A11" s="35"/>
      <c r="B11" s="14">
        <v>2</v>
      </c>
      <c r="C11" s="320">
        <v>44652</v>
      </c>
      <c r="D11" s="303"/>
      <c r="E11" s="304"/>
      <c r="F11" s="223">
        <f>F10</f>
        <v>28660</v>
      </c>
      <c r="G11" s="224">
        <f>IF('Basic Deta'!$B$15="Regular",ROUND('Table (Income-Deduction)'!F11*34/100,0),0)</f>
        <v>9744</v>
      </c>
      <c r="H11" s="224">
        <f>IF('Basic Deta'!$B$15="Regular",ROUND('Table (Income-Deduction)'!F11*0.04,0))</f>
        <v>1146</v>
      </c>
      <c r="I11" s="224">
        <f>I10</f>
        <v>0</v>
      </c>
      <c r="J11" s="225">
        <f t="shared" ref="J11:K14" si="3">J10</f>
        <v>1000</v>
      </c>
      <c r="K11" s="225">
        <f>K10</f>
        <v>0</v>
      </c>
      <c r="L11" s="225"/>
      <c r="M11" s="225"/>
      <c r="N11" s="225">
        <f>N10</f>
        <v>0</v>
      </c>
      <c r="O11" s="346">
        <f t="array" ref="O11">SUM(F11:N11)</f>
        <v>40550</v>
      </c>
      <c r="P11" s="307">
        <f>P10</f>
        <v>1800</v>
      </c>
      <c r="Q11" s="308">
        <f>Q10</f>
        <v>0</v>
      </c>
      <c r="R11" s="308">
        <f t="shared" ref="Q11:Z21" si="4">R10</f>
        <v>0</v>
      </c>
      <c r="S11" s="309">
        <f t="shared" si="4"/>
        <v>0</v>
      </c>
      <c r="T11" s="309">
        <f t="shared" si="4"/>
        <v>0</v>
      </c>
      <c r="U11" s="309">
        <v>0</v>
      </c>
      <c r="V11" s="309">
        <f t="shared" si="4"/>
        <v>0</v>
      </c>
      <c r="W11" s="309">
        <f t="shared" si="4"/>
        <v>0</v>
      </c>
      <c r="X11" s="309">
        <f t="shared" si="4"/>
        <v>0</v>
      </c>
      <c r="Y11" s="309">
        <f t="shared" si="4"/>
        <v>0</v>
      </c>
      <c r="Z11" s="309">
        <f t="shared" si="4"/>
        <v>0</v>
      </c>
      <c r="AA11" s="347">
        <f t="array" ref="AA11">SUM(P11:Z11)</f>
        <v>1800</v>
      </c>
      <c r="AB11" s="348">
        <f t="array" ref="AB11">O11-AA11</f>
        <v>38750</v>
      </c>
      <c r="AC11" s="219">
        <f>'Basic Deta'!C19</f>
        <v>0</v>
      </c>
      <c r="AD11" s="651"/>
      <c r="AE11" s="218"/>
      <c r="AF11" s="7" t="str">
        <f>IF(C11='Basic Deta'!$G$15,"Yes","No")</f>
        <v>No</v>
      </c>
      <c r="AG11" s="15">
        <f t="shared" si="0"/>
        <v>0</v>
      </c>
      <c r="AH11" s="7">
        <f t="shared" si="1"/>
        <v>0</v>
      </c>
      <c r="AI11" s="15">
        <f t="shared" si="2"/>
        <v>0</v>
      </c>
      <c r="AJ11" s="7"/>
      <c r="AK11" s="7"/>
    </row>
    <row r="12" spans="1:37" s="4" customFormat="1" ht="22.15" customHeight="1">
      <c r="A12" s="35"/>
      <c r="B12" s="14">
        <v>3</v>
      </c>
      <c r="C12" s="320">
        <v>44682</v>
      </c>
      <c r="D12" s="303"/>
      <c r="E12" s="304"/>
      <c r="F12" s="223">
        <f t="shared" ref="F12:F19" si="5">F11</f>
        <v>28660</v>
      </c>
      <c r="G12" s="224">
        <f>IF('Basic Deta'!$B$15="Regular",ROUND('Table (Income-Deduction)'!F12*34/100,0),0)</f>
        <v>9744</v>
      </c>
      <c r="H12" s="224">
        <f>IF('Basic Deta'!$B$15="Regular",ROUND('Table (Income-Deduction)'!F12*0.04,0))</f>
        <v>1146</v>
      </c>
      <c r="I12" s="224">
        <f t="shared" ref="I12:I21" si="6">I11</f>
        <v>0</v>
      </c>
      <c r="J12" s="225">
        <f t="shared" si="3"/>
        <v>1000</v>
      </c>
      <c r="K12" s="225">
        <f t="shared" si="3"/>
        <v>0</v>
      </c>
      <c r="L12" s="225"/>
      <c r="M12" s="225">
        <f t="shared" ref="M12:M21" si="7">M11</f>
        <v>0</v>
      </c>
      <c r="N12" s="225">
        <f t="shared" ref="N12:N21" si="8">N11</f>
        <v>0</v>
      </c>
      <c r="O12" s="346">
        <f t="array" ref="O12">SUM(F12:N12)</f>
        <v>40550</v>
      </c>
      <c r="P12" s="307">
        <f t="shared" ref="P12:P21" si="9">P11</f>
        <v>1800</v>
      </c>
      <c r="Q12" s="308">
        <f t="shared" si="4"/>
        <v>0</v>
      </c>
      <c r="R12" s="308">
        <f t="shared" si="4"/>
        <v>0</v>
      </c>
      <c r="S12" s="309">
        <f t="shared" si="4"/>
        <v>0</v>
      </c>
      <c r="T12" s="309">
        <f t="shared" si="4"/>
        <v>0</v>
      </c>
      <c r="U12" s="309">
        <v>0</v>
      </c>
      <c r="V12" s="309">
        <f t="shared" si="4"/>
        <v>0</v>
      </c>
      <c r="W12" s="309">
        <f t="shared" si="4"/>
        <v>0</v>
      </c>
      <c r="X12" s="309">
        <f t="shared" si="4"/>
        <v>0</v>
      </c>
      <c r="Y12" s="309">
        <f t="shared" si="4"/>
        <v>0</v>
      </c>
      <c r="Z12" s="309">
        <f t="shared" si="4"/>
        <v>0</v>
      </c>
      <c r="AA12" s="347">
        <f t="array" ref="AA12">SUM(P12:Z12)</f>
        <v>1800</v>
      </c>
      <c r="AB12" s="348">
        <f t="array" ref="AB12">O12-AA12</f>
        <v>38750</v>
      </c>
      <c r="AC12" s="219">
        <f>'Basic Deta'!D19</f>
        <v>0</v>
      </c>
      <c r="AD12" s="651"/>
      <c r="AE12" s="218"/>
      <c r="AF12" s="7" t="str">
        <f>IF(C12='Basic Deta'!$G$15,"Yes","No")</f>
        <v>No</v>
      </c>
      <c r="AG12" s="15">
        <f t="shared" si="0"/>
        <v>0</v>
      </c>
      <c r="AH12" s="7">
        <f t="shared" si="1"/>
        <v>0</v>
      </c>
      <c r="AI12" s="15">
        <f t="shared" si="2"/>
        <v>0</v>
      </c>
      <c r="AJ12" s="7"/>
      <c r="AK12" s="7"/>
    </row>
    <row r="13" spans="1:37" s="4" customFormat="1" ht="22.15" customHeight="1">
      <c r="A13" s="35"/>
      <c r="B13" s="14">
        <v>4</v>
      </c>
      <c r="C13" s="320">
        <v>44713</v>
      </c>
      <c r="D13" s="303"/>
      <c r="E13" s="304"/>
      <c r="F13" s="223">
        <f t="shared" si="5"/>
        <v>28660</v>
      </c>
      <c r="G13" s="224">
        <f>IF('Basic Deta'!$B$15="Regular",ROUND('Table (Income-Deduction)'!F13*34/100,0),0)</f>
        <v>9744</v>
      </c>
      <c r="H13" s="224">
        <f>IF('Basic Deta'!$B$15="Regular",ROUND('Table (Income-Deduction)'!F13*0.04,0))</f>
        <v>1146</v>
      </c>
      <c r="I13" s="224">
        <f t="shared" si="6"/>
        <v>0</v>
      </c>
      <c r="J13" s="225">
        <f t="shared" si="3"/>
        <v>1000</v>
      </c>
      <c r="K13" s="225">
        <f t="shared" si="3"/>
        <v>0</v>
      </c>
      <c r="L13" s="225"/>
      <c r="M13" s="225">
        <f t="shared" si="7"/>
        <v>0</v>
      </c>
      <c r="N13" s="225">
        <f t="shared" si="8"/>
        <v>0</v>
      </c>
      <c r="O13" s="346">
        <f t="array" ref="O13">SUM(F13:N13)</f>
        <v>40550</v>
      </c>
      <c r="P13" s="307">
        <f t="shared" si="9"/>
        <v>1800</v>
      </c>
      <c r="Q13" s="308">
        <f t="shared" si="4"/>
        <v>0</v>
      </c>
      <c r="R13" s="308">
        <f t="shared" si="4"/>
        <v>0</v>
      </c>
      <c r="S13" s="309">
        <f t="shared" si="4"/>
        <v>0</v>
      </c>
      <c r="T13" s="309">
        <f t="shared" si="4"/>
        <v>0</v>
      </c>
      <c r="U13" s="309">
        <v>0</v>
      </c>
      <c r="V13" s="309">
        <f t="shared" si="4"/>
        <v>0</v>
      </c>
      <c r="W13" s="309">
        <f t="shared" si="4"/>
        <v>0</v>
      </c>
      <c r="X13" s="309">
        <f t="shared" si="4"/>
        <v>0</v>
      </c>
      <c r="Y13" s="309">
        <f t="shared" si="4"/>
        <v>0</v>
      </c>
      <c r="Z13" s="309">
        <f t="shared" si="4"/>
        <v>0</v>
      </c>
      <c r="AA13" s="347">
        <f t="array" ref="AA13">SUM(P13:Z13)</f>
        <v>1800</v>
      </c>
      <c r="AB13" s="348">
        <f t="array" ref="AB13">O13-AA13</f>
        <v>38750</v>
      </c>
      <c r="AC13" s="219">
        <f>'Basic Deta'!E19</f>
        <v>0</v>
      </c>
      <c r="AD13" s="651"/>
      <c r="AE13" s="218"/>
      <c r="AF13" s="7" t="str">
        <f>IF(C13='Basic Deta'!$G$15,"Yes","No")</f>
        <v>No</v>
      </c>
      <c r="AG13" s="15">
        <f t="shared" si="0"/>
        <v>0</v>
      </c>
      <c r="AH13" s="7">
        <f t="shared" si="1"/>
        <v>0</v>
      </c>
      <c r="AI13" s="15">
        <f t="shared" si="2"/>
        <v>0</v>
      </c>
      <c r="AJ13" s="7"/>
      <c r="AK13" s="7"/>
    </row>
    <row r="14" spans="1:37" s="4" customFormat="1" ht="22.15" customHeight="1">
      <c r="A14" s="35"/>
      <c r="B14" s="14">
        <v>5</v>
      </c>
      <c r="C14" s="320">
        <v>44743</v>
      </c>
      <c r="D14" s="303"/>
      <c r="E14" s="304"/>
      <c r="F14" s="223">
        <f t="shared" si="5"/>
        <v>28660</v>
      </c>
      <c r="G14" s="224">
        <f>IF('Basic Deta'!$B$15="Regular",ROUND('Table (Income-Deduction)'!F14*34/100,0),0)</f>
        <v>9744</v>
      </c>
      <c r="H14" s="224">
        <f>IF('Basic Deta'!$B$15="Regular",ROUND('Table (Income-Deduction)'!F14*0.04,0))</f>
        <v>1146</v>
      </c>
      <c r="I14" s="224">
        <f t="shared" si="6"/>
        <v>0</v>
      </c>
      <c r="J14" s="225">
        <f t="shared" si="3"/>
        <v>1000</v>
      </c>
      <c r="K14" s="225">
        <f t="shared" si="3"/>
        <v>0</v>
      </c>
      <c r="L14" s="225"/>
      <c r="M14" s="225">
        <f t="shared" si="7"/>
        <v>0</v>
      </c>
      <c r="N14" s="225">
        <f t="shared" si="8"/>
        <v>0</v>
      </c>
      <c r="O14" s="346">
        <f t="array" ref="O14">SUM(F14:N14)</f>
        <v>40550</v>
      </c>
      <c r="P14" s="307">
        <f t="shared" si="9"/>
        <v>1800</v>
      </c>
      <c r="Q14" s="308">
        <f t="shared" si="4"/>
        <v>0</v>
      </c>
      <c r="R14" s="308">
        <f t="shared" si="4"/>
        <v>0</v>
      </c>
      <c r="S14" s="309">
        <f t="shared" si="4"/>
        <v>0</v>
      </c>
      <c r="T14" s="309">
        <f t="shared" si="4"/>
        <v>0</v>
      </c>
      <c r="U14" s="309">
        <v>0</v>
      </c>
      <c r="V14" s="309">
        <f t="shared" si="4"/>
        <v>0</v>
      </c>
      <c r="W14" s="309">
        <f t="shared" si="4"/>
        <v>0</v>
      </c>
      <c r="X14" s="309">
        <f t="shared" si="4"/>
        <v>0</v>
      </c>
      <c r="Y14" s="309">
        <f t="shared" si="4"/>
        <v>0</v>
      </c>
      <c r="Z14" s="309">
        <f t="shared" si="4"/>
        <v>0</v>
      </c>
      <c r="AA14" s="347">
        <f t="array" ref="AA14">SUM(P14:Z14)</f>
        <v>1800</v>
      </c>
      <c r="AB14" s="348">
        <f t="array" ref="AB14">O14-AA14</f>
        <v>38750</v>
      </c>
      <c r="AC14" s="219">
        <f>'Basic Deta'!F19</f>
        <v>0</v>
      </c>
      <c r="AD14" s="651"/>
      <c r="AE14" s="218"/>
      <c r="AF14" s="7" t="str">
        <f>IF(C14='Basic Deta'!$G$15,"Yes","No")</f>
        <v>No</v>
      </c>
      <c r="AG14" s="15">
        <f t="shared" si="0"/>
        <v>0</v>
      </c>
      <c r="AH14" s="7">
        <f t="shared" si="1"/>
        <v>0</v>
      </c>
      <c r="AI14" s="15">
        <f t="shared" si="2"/>
        <v>0</v>
      </c>
      <c r="AJ14" s="15">
        <f>IF(AF14="yes",(F14*0.04/2),0)</f>
        <v>0</v>
      </c>
      <c r="AK14" s="7">
        <f>IF($AF14="Yes",ROUND(AH14*0.04,0),0)</f>
        <v>0</v>
      </c>
    </row>
    <row r="15" spans="1:37" s="4" customFormat="1" ht="22.15" customHeight="1">
      <c r="A15" s="35"/>
      <c r="B15" s="14">
        <v>6</v>
      </c>
      <c r="C15" s="320">
        <v>44774</v>
      </c>
      <c r="D15" s="303"/>
      <c r="E15" s="304"/>
      <c r="F15" s="223">
        <f t="shared" si="5"/>
        <v>28660</v>
      </c>
      <c r="G15" s="224">
        <f>IF('Basic Deta'!$B$15="Regular",ROUND('Table (Income-Deduction)'!F15*34/100,0),0)</f>
        <v>9744</v>
      </c>
      <c r="H15" s="224">
        <f>IF('Basic Deta'!$B$15="Regular",ROUND('Table (Income-Deduction)'!F15*0.04,0))</f>
        <v>1146</v>
      </c>
      <c r="I15" s="224">
        <f t="shared" si="6"/>
        <v>0</v>
      </c>
      <c r="J15" s="225">
        <f t="shared" ref="J15:K21" si="10">J14</f>
        <v>1000</v>
      </c>
      <c r="K15" s="225">
        <f t="shared" si="10"/>
        <v>0</v>
      </c>
      <c r="L15" s="225"/>
      <c r="M15" s="225">
        <f t="shared" si="7"/>
        <v>0</v>
      </c>
      <c r="N15" s="225">
        <f t="shared" si="8"/>
        <v>0</v>
      </c>
      <c r="O15" s="346">
        <f t="array" ref="O15">SUM(F15:N15)</f>
        <v>40550</v>
      </c>
      <c r="P15" s="307">
        <f t="shared" si="9"/>
        <v>1800</v>
      </c>
      <c r="Q15" s="308">
        <f t="shared" si="4"/>
        <v>0</v>
      </c>
      <c r="R15" s="308">
        <f t="shared" si="4"/>
        <v>0</v>
      </c>
      <c r="S15" s="309">
        <f t="shared" si="4"/>
        <v>0</v>
      </c>
      <c r="T15" s="309">
        <f t="shared" si="4"/>
        <v>0</v>
      </c>
      <c r="U15" s="309">
        <v>0</v>
      </c>
      <c r="V15" s="309">
        <f t="shared" si="4"/>
        <v>0</v>
      </c>
      <c r="W15" s="309">
        <f>W14</f>
        <v>0</v>
      </c>
      <c r="X15" s="309">
        <f t="shared" si="4"/>
        <v>0</v>
      </c>
      <c r="Y15" s="309">
        <f t="shared" si="4"/>
        <v>0</v>
      </c>
      <c r="Z15" s="309">
        <f t="shared" si="4"/>
        <v>0</v>
      </c>
      <c r="AA15" s="347">
        <f t="array" ref="AA15">SUM(P15:Z15)</f>
        <v>1800</v>
      </c>
      <c r="AB15" s="348">
        <f t="array" ref="AB15">O15-AA15</f>
        <v>38750</v>
      </c>
      <c r="AC15" s="219">
        <f>'Basic Deta'!G19</f>
        <v>0</v>
      </c>
      <c r="AD15" s="651"/>
      <c r="AE15" s="218"/>
      <c r="AF15" s="7" t="str">
        <f>IF(C15='Basic Deta'!$G$15,"Yes","No")</f>
        <v>No</v>
      </c>
      <c r="AG15" s="15">
        <f t="shared" si="0"/>
        <v>0</v>
      </c>
      <c r="AH15" s="7">
        <f t="shared" si="1"/>
        <v>0</v>
      </c>
      <c r="AI15" s="15">
        <f t="shared" si="2"/>
        <v>0</v>
      </c>
      <c r="AJ15" s="15">
        <f>IF(AF15="yes",(F15*0.04/2),0)</f>
        <v>0</v>
      </c>
      <c r="AK15" s="7">
        <f>IF($AF15="Yes",ROUND(AH15*0.04,0),0)</f>
        <v>0</v>
      </c>
    </row>
    <row r="16" spans="1:37" s="4" customFormat="1" ht="22.15" customHeight="1">
      <c r="A16" s="35"/>
      <c r="B16" s="14">
        <v>7</v>
      </c>
      <c r="C16" s="320">
        <v>44805</v>
      </c>
      <c r="D16" s="303"/>
      <c r="E16" s="304"/>
      <c r="F16" s="223">
        <f t="shared" si="5"/>
        <v>28660</v>
      </c>
      <c r="G16" s="224">
        <f>IF('Basic Deta'!$B$15="Regular",ROUND('Table (Income-Deduction)'!F16*34/100,0),0)</f>
        <v>9744</v>
      </c>
      <c r="H16" s="224">
        <f>IF('Basic Deta'!$B$15="Regular",ROUND('Table (Income-Deduction)'!F16*0.04,0))</f>
        <v>1146</v>
      </c>
      <c r="I16" s="224">
        <f t="shared" si="6"/>
        <v>0</v>
      </c>
      <c r="J16" s="225">
        <f t="shared" si="10"/>
        <v>1000</v>
      </c>
      <c r="K16" s="225">
        <f t="shared" si="10"/>
        <v>0</v>
      </c>
      <c r="L16" s="225"/>
      <c r="M16" s="225">
        <f t="shared" si="7"/>
        <v>0</v>
      </c>
      <c r="N16" s="225">
        <f t="shared" si="8"/>
        <v>0</v>
      </c>
      <c r="O16" s="346">
        <f t="array" ref="O16">SUM(F16:N16)</f>
        <v>40550</v>
      </c>
      <c r="P16" s="307">
        <f t="shared" si="9"/>
        <v>1800</v>
      </c>
      <c r="Q16" s="308">
        <f t="shared" si="4"/>
        <v>0</v>
      </c>
      <c r="R16" s="308">
        <f t="shared" si="4"/>
        <v>0</v>
      </c>
      <c r="S16" s="309">
        <f t="shared" si="4"/>
        <v>0</v>
      </c>
      <c r="T16" s="309">
        <f t="shared" si="4"/>
        <v>0</v>
      </c>
      <c r="U16" s="309">
        <f>'Basic Deta'!O15</f>
        <v>1000</v>
      </c>
      <c r="V16" s="309">
        <f t="shared" si="4"/>
        <v>0</v>
      </c>
      <c r="W16" s="309">
        <f t="shared" si="4"/>
        <v>0</v>
      </c>
      <c r="X16" s="309">
        <f t="shared" si="4"/>
        <v>0</v>
      </c>
      <c r="Y16" s="309">
        <f t="shared" si="4"/>
        <v>0</v>
      </c>
      <c r="Z16" s="309">
        <f t="shared" si="4"/>
        <v>0</v>
      </c>
      <c r="AA16" s="347">
        <f t="array" ref="AA16">SUM(P16:Z16)</f>
        <v>2800</v>
      </c>
      <c r="AB16" s="348">
        <f t="array" ref="AB16">O16-AA16</f>
        <v>37750</v>
      </c>
      <c r="AC16" s="219">
        <f>'Basic Deta'!H19</f>
        <v>0</v>
      </c>
      <c r="AD16" s="651"/>
      <c r="AE16" s="218"/>
      <c r="AF16" s="7" t="str">
        <f>IF(C16='Basic Deta'!$G$15,"Yes","No")</f>
        <v>No</v>
      </c>
      <c r="AG16" s="15">
        <f t="shared" si="0"/>
        <v>0</v>
      </c>
      <c r="AH16" s="7">
        <f t="shared" si="1"/>
        <v>0</v>
      </c>
      <c r="AI16" s="15">
        <f t="shared" si="2"/>
        <v>0</v>
      </c>
      <c r="AJ16" s="15">
        <f>IF(AF16="yes",(F16*0.04/2),0)</f>
        <v>0</v>
      </c>
      <c r="AK16" s="7">
        <f>IF($AF16="Yes",ROUND(AH16*0.04,0),0)</f>
        <v>0</v>
      </c>
    </row>
    <row r="17" spans="1:37" s="4" customFormat="1" ht="22.15" customHeight="1">
      <c r="A17" s="35"/>
      <c r="B17" s="14">
        <v>8</v>
      </c>
      <c r="C17" s="320">
        <v>44835</v>
      </c>
      <c r="D17" s="303"/>
      <c r="E17" s="304"/>
      <c r="F17" s="223">
        <f t="shared" si="5"/>
        <v>28660</v>
      </c>
      <c r="G17" s="224">
        <f>IF('Basic Deta'!$B$15="Regular",ROUND('Table (Income-Deduction)'!F17*38/100,0),0)</f>
        <v>10891</v>
      </c>
      <c r="H17" s="224">
        <f>IF('Basic Deta'!$B$15="Regular",ROUND('Table (Income-Deduction)'!F17*0.04,0))</f>
        <v>1146</v>
      </c>
      <c r="I17" s="224">
        <f t="shared" si="6"/>
        <v>0</v>
      </c>
      <c r="J17" s="225">
        <f t="shared" si="10"/>
        <v>1000</v>
      </c>
      <c r="K17" s="225">
        <f t="shared" si="10"/>
        <v>0</v>
      </c>
      <c r="L17" s="225"/>
      <c r="M17" s="225">
        <f t="shared" si="7"/>
        <v>0</v>
      </c>
      <c r="N17" s="225">
        <f t="shared" si="8"/>
        <v>0</v>
      </c>
      <c r="O17" s="346">
        <f t="array" ref="O17">SUM(F17:N17)</f>
        <v>41697</v>
      </c>
      <c r="P17" s="307">
        <f t="shared" si="9"/>
        <v>1800</v>
      </c>
      <c r="Q17" s="308">
        <f t="shared" si="4"/>
        <v>0</v>
      </c>
      <c r="R17" s="308">
        <f t="shared" si="4"/>
        <v>0</v>
      </c>
      <c r="S17" s="309">
        <f t="shared" si="4"/>
        <v>0</v>
      </c>
      <c r="T17" s="309">
        <f t="shared" si="4"/>
        <v>0</v>
      </c>
      <c r="U17" s="309">
        <v>0</v>
      </c>
      <c r="V17" s="309">
        <f t="shared" si="4"/>
        <v>0</v>
      </c>
      <c r="W17" s="309">
        <f t="shared" si="4"/>
        <v>0</v>
      </c>
      <c r="X17" s="309">
        <f t="shared" si="4"/>
        <v>0</v>
      </c>
      <c r="Y17" s="309">
        <f t="shared" si="4"/>
        <v>0</v>
      </c>
      <c r="Z17" s="309">
        <f t="shared" si="4"/>
        <v>0</v>
      </c>
      <c r="AA17" s="347">
        <f t="array" ref="AA17">SUM(P17:Z17)</f>
        <v>1800</v>
      </c>
      <c r="AB17" s="348">
        <f t="array" ref="AB17">O17-AA17</f>
        <v>39897</v>
      </c>
      <c r="AC17" s="219">
        <f>'Basic Deta'!I19</f>
        <v>0</v>
      </c>
      <c r="AD17" s="651"/>
      <c r="AE17" s="218"/>
      <c r="AF17" s="7" t="str">
        <f>IF(C17='Basic Deta'!$G$15,"Yes","No")</f>
        <v>No</v>
      </c>
      <c r="AG17" s="15">
        <f t="shared" si="0"/>
        <v>0</v>
      </c>
      <c r="AH17" s="7">
        <f t="shared" si="1"/>
        <v>0</v>
      </c>
      <c r="AI17" s="15">
        <f t="shared" si="2"/>
        <v>0</v>
      </c>
      <c r="AJ17" s="7"/>
      <c r="AK17" s="7"/>
    </row>
    <row r="18" spans="1:37" s="4" customFormat="1" ht="22.15" customHeight="1">
      <c r="A18" s="35"/>
      <c r="B18" s="14">
        <v>9</v>
      </c>
      <c r="C18" s="320">
        <v>44866</v>
      </c>
      <c r="D18" s="303"/>
      <c r="E18" s="304"/>
      <c r="F18" s="223">
        <f t="shared" si="5"/>
        <v>28660</v>
      </c>
      <c r="G18" s="224">
        <f>IF('Basic Deta'!$B$15="Regular",ROUND('Table (Income-Deduction)'!F18*38/100,0),0)</f>
        <v>10891</v>
      </c>
      <c r="H18" s="224">
        <f>IF('Basic Deta'!$B$15="Regular",ROUND('Table (Income-Deduction)'!F18*0.04,0))</f>
        <v>1146</v>
      </c>
      <c r="I18" s="224">
        <f t="shared" si="6"/>
        <v>0</v>
      </c>
      <c r="J18" s="225">
        <f t="shared" si="10"/>
        <v>1000</v>
      </c>
      <c r="K18" s="225">
        <f t="shared" si="10"/>
        <v>0</v>
      </c>
      <c r="L18" s="225"/>
      <c r="M18" s="225">
        <f t="shared" si="7"/>
        <v>0</v>
      </c>
      <c r="N18" s="225">
        <f t="shared" si="8"/>
        <v>0</v>
      </c>
      <c r="O18" s="346">
        <f t="array" ref="O18">SUM(F18:N18)</f>
        <v>41697</v>
      </c>
      <c r="P18" s="307">
        <f t="shared" si="9"/>
        <v>1800</v>
      </c>
      <c r="Q18" s="308">
        <f t="shared" si="4"/>
        <v>0</v>
      </c>
      <c r="R18" s="308">
        <f t="shared" si="4"/>
        <v>0</v>
      </c>
      <c r="S18" s="309">
        <f t="shared" si="4"/>
        <v>0</v>
      </c>
      <c r="T18" s="309">
        <f t="shared" si="4"/>
        <v>0</v>
      </c>
      <c r="U18" s="309">
        <v>0</v>
      </c>
      <c r="V18" s="309">
        <f t="shared" si="4"/>
        <v>0</v>
      </c>
      <c r="W18" s="309">
        <f t="shared" si="4"/>
        <v>0</v>
      </c>
      <c r="X18" s="309">
        <f t="shared" si="4"/>
        <v>0</v>
      </c>
      <c r="Y18" s="309">
        <f t="shared" si="4"/>
        <v>0</v>
      </c>
      <c r="Z18" s="309">
        <f t="shared" si="4"/>
        <v>0</v>
      </c>
      <c r="AA18" s="347">
        <f t="array" ref="AA18">SUM(P18:Z18)</f>
        <v>1800</v>
      </c>
      <c r="AB18" s="348">
        <f t="array" ref="AB18">O18-AA18</f>
        <v>39897</v>
      </c>
      <c r="AC18" s="219">
        <f>'Basic Deta'!J19</f>
        <v>0</v>
      </c>
      <c r="AD18" s="651"/>
      <c r="AE18" s="218"/>
      <c r="AF18" s="7" t="str">
        <f>IF(C18='Basic Deta'!$G$15,"Yes","No")</f>
        <v>No</v>
      </c>
      <c r="AG18" s="15">
        <f t="shared" si="0"/>
        <v>0</v>
      </c>
      <c r="AH18" s="7">
        <f t="shared" si="1"/>
        <v>0</v>
      </c>
      <c r="AI18" s="15">
        <f t="shared" si="2"/>
        <v>0</v>
      </c>
      <c r="AJ18" s="7"/>
      <c r="AK18" s="7"/>
    </row>
    <row r="19" spans="1:37" s="4" customFormat="1" ht="22.15" customHeight="1">
      <c r="A19" s="35"/>
      <c r="B19" s="14">
        <v>10</v>
      </c>
      <c r="C19" s="320">
        <v>44896</v>
      </c>
      <c r="D19" s="303"/>
      <c r="E19" s="304"/>
      <c r="F19" s="223">
        <f t="shared" si="5"/>
        <v>28660</v>
      </c>
      <c r="G19" s="224">
        <f>IF('Basic Deta'!$B$15="Regular",ROUND('Table (Income-Deduction)'!F19*38/100,0),0)</f>
        <v>10891</v>
      </c>
      <c r="H19" s="224">
        <f>IF('Basic Deta'!$B$15="Regular",ROUND('Table (Income-Deduction)'!F19*0.04,0))</f>
        <v>1146</v>
      </c>
      <c r="I19" s="224">
        <f t="shared" si="6"/>
        <v>0</v>
      </c>
      <c r="J19" s="225">
        <f t="shared" si="10"/>
        <v>1000</v>
      </c>
      <c r="K19" s="225">
        <f t="shared" si="10"/>
        <v>0</v>
      </c>
      <c r="L19" s="225"/>
      <c r="M19" s="225">
        <f t="shared" si="7"/>
        <v>0</v>
      </c>
      <c r="N19" s="225">
        <f t="shared" si="8"/>
        <v>0</v>
      </c>
      <c r="O19" s="346">
        <f t="array" ref="O19">SUM(F19:N19)</f>
        <v>41697</v>
      </c>
      <c r="P19" s="307">
        <f t="shared" si="9"/>
        <v>1800</v>
      </c>
      <c r="Q19" s="308">
        <f t="shared" si="4"/>
        <v>0</v>
      </c>
      <c r="R19" s="308">
        <f t="shared" si="4"/>
        <v>0</v>
      </c>
      <c r="S19" s="309">
        <f t="shared" si="4"/>
        <v>0</v>
      </c>
      <c r="T19" s="309">
        <f t="shared" si="4"/>
        <v>0</v>
      </c>
      <c r="U19" s="309">
        <v>0</v>
      </c>
      <c r="V19" s="309">
        <f t="shared" si="4"/>
        <v>0</v>
      </c>
      <c r="W19" s="309">
        <f t="shared" si="4"/>
        <v>0</v>
      </c>
      <c r="X19" s="310">
        <f t="shared" si="4"/>
        <v>0</v>
      </c>
      <c r="Y19" s="309">
        <f t="shared" si="4"/>
        <v>0</v>
      </c>
      <c r="Z19" s="309">
        <f t="shared" si="4"/>
        <v>0</v>
      </c>
      <c r="AA19" s="347">
        <f t="array" ref="AA19">SUM(P19:Z19)</f>
        <v>1800</v>
      </c>
      <c r="AB19" s="348">
        <f t="array" ref="AB19">O19-AA19</f>
        <v>39897</v>
      </c>
      <c r="AC19" s="219">
        <f>'Basic Deta'!K19</f>
        <v>0</v>
      </c>
      <c r="AD19" s="651"/>
      <c r="AE19" s="218"/>
      <c r="AF19" s="7" t="str">
        <f>IF(C19='Basic Deta'!$G$15,"Yes","No")</f>
        <v>Yes</v>
      </c>
      <c r="AG19" s="15">
        <f t="shared" si="0"/>
        <v>14330</v>
      </c>
      <c r="AH19" s="7">
        <f t="shared" si="1"/>
        <v>5446</v>
      </c>
      <c r="AI19" s="15">
        <f t="shared" si="2"/>
        <v>19775.5</v>
      </c>
      <c r="AJ19" s="7"/>
      <c r="AK19" s="7"/>
    </row>
    <row r="20" spans="1:37" s="4" customFormat="1" ht="22.15" customHeight="1">
      <c r="A20" s="35"/>
      <c r="B20" s="14">
        <v>11</v>
      </c>
      <c r="C20" s="320">
        <v>44927</v>
      </c>
      <c r="D20" s="303"/>
      <c r="E20" s="304"/>
      <c r="F20" s="223">
        <f>'Basic Deta'!K10</f>
        <v>29530</v>
      </c>
      <c r="G20" s="224">
        <f>IF('Basic Deta'!$B$15="Regular",ROUND('Table (Income-Deduction)'!F20*38/100,0),0)</f>
        <v>11221</v>
      </c>
      <c r="H20" s="224">
        <f>IF('Basic Deta'!$B$15="Regular",ROUND('Table (Income-Deduction)'!F20*0.04,0))</f>
        <v>1181</v>
      </c>
      <c r="I20" s="224">
        <f t="shared" si="6"/>
        <v>0</v>
      </c>
      <c r="J20" s="225">
        <f t="shared" si="10"/>
        <v>1000</v>
      </c>
      <c r="K20" s="225">
        <f t="shared" si="10"/>
        <v>0</v>
      </c>
      <c r="L20" s="225"/>
      <c r="M20" s="225">
        <f t="shared" si="7"/>
        <v>0</v>
      </c>
      <c r="N20" s="225">
        <f t="shared" si="8"/>
        <v>0</v>
      </c>
      <c r="O20" s="346">
        <f t="array" ref="O20">SUM(F20:N20)</f>
        <v>42932</v>
      </c>
      <c r="P20" s="307">
        <f t="shared" si="9"/>
        <v>1800</v>
      </c>
      <c r="Q20" s="308">
        <f t="shared" si="4"/>
        <v>0</v>
      </c>
      <c r="R20" s="308">
        <f t="shared" si="4"/>
        <v>0</v>
      </c>
      <c r="S20" s="309">
        <f t="shared" si="4"/>
        <v>0</v>
      </c>
      <c r="T20" s="309">
        <f t="shared" si="4"/>
        <v>0</v>
      </c>
      <c r="U20" s="309">
        <v>0</v>
      </c>
      <c r="V20" s="309">
        <f t="shared" si="4"/>
        <v>0</v>
      </c>
      <c r="W20" s="309">
        <f t="shared" si="4"/>
        <v>0</v>
      </c>
      <c r="X20" s="309">
        <f t="shared" si="4"/>
        <v>0</v>
      </c>
      <c r="Y20" s="309">
        <f t="shared" si="4"/>
        <v>0</v>
      </c>
      <c r="Z20" s="309">
        <f t="shared" si="4"/>
        <v>0</v>
      </c>
      <c r="AA20" s="347">
        <f t="array" ref="AA20">SUM(P20:Z20)</f>
        <v>1800</v>
      </c>
      <c r="AB20" s="348">
        <f t="array" ref="AB20">O20-AA20</f>
        <v>41132</v>
      </c>
      <c r="AC20" s="219">
        <f>'Basic Deta'!L19</f>
        <v>0</v>
      </c>
      <c r="AD20" s="651"/>
      <c r="AE20" s="218"/>
      <c r="AF20" s="7" t="str">
        <f>IF(C20='Basic Deta'!$G$15,"Yes","No")</f>
        <v>No</v>
      </c>
      <c r="AG20" s="15">
        <f t="shared" si="0"/>
        <v>0</v>
      </c>
      <c r="AH20" s="7">
        <f t="shared" si="1"/>
        <v>0</v>
      </c>
      <c r="AI20" s="15">
        <f t="shared" si="2"/>
        <v>0</v>
      </c>
      <c r="AJ20" s="7"/>
      <c r="AK20" s="7"/>
    </row>
    <row r="21" spans="1:37" s="4" customFormat="1" ht="22.15" customHeight="1">
      <c r="A21" s="35"/>
      <c r="B21" s="14">
        <v>12</v>
      </c>
      <c r="C21" s="320">
        <v>44958</v>
      </c>
      <c r="D21" s="303"/>
      <c r="E21" s="304"/>
      <c r="F21" s="223">
        <f t="shared" ref="F21" si="11">F20</f>
        <v>29530</v>
      </c>
      <c r="G21" s="224">
        <f>IF('Basic Deta'!$B$15="Regular",ROUND('Table (Income-Deduction)'!F21*38/100,0),0)</f>
        <v>11221</v>
      </c>
      <c r="H21" s="224">
        <f>IF('Basic Deta'!$B$15="Regular",ROUND('Table (Income-Deduction)'!F21*0.04,0))</f>
        <v>1181</v>
      </c>
      <c r="I21" s="224">
        <f t="shared" si="6"/>
        <v>0</v>
      </c>
      <c r="J21" s="225">
        <f t="shared" si="10"/>
        <v>1000</v>
      </c>
      <c r="K21" s="225">
        <f t="shared" si="10"/>
        <v>0</v>
      </c>
      <c r="L21" s="225"/>
      <c r="M21" s="225">
        <f t="shared" si="7"/>
        <v>0</v>
      </c>
      <c r="N21" s="225">
        <f t="shared" si="8"/>
        <v>0</v>
      </c>
      <c r="O21" s="346">
        <f t="array" ref="O21">SUM(F21:N21)</f>
        <v>42932</v>
      </c>
      <c r="P21" s="307">
        <f t="shared" si="9"/>
        <v>1800</v>
      </c>
      <c r="Q21" s="308">
        <f t="shared" si="4"/>
        <v>0</v>
      </c>
      <c r="R21" s="308">
        <f t="shared" si="4"/>
        <v>0</v>
      </c>
      <c r="S21" s="309">
        <f t="shared" si="4"/>
        <v>0</v>
      </c>
      <c r="T21" s="309">
        <f t="shared" si="4"/>
        <v>0</v>
      </c>
      <c r="U21" s="309">
        <v>0</v>
      </c>
      <c r="V21" s="309">
        <f t="shared" si="4"/>
        <v>0</v>
      </c>
      <c r="W21" s="309">
        <f t="shared" si="4"/>
        <v>0</v>
      </c>
      <c r="X21" s="309">
        <f t="shared" si="4"/>
        <v>0</v>
      </c>
      <c r="Y21" s="309">
        <f t="shared" si="4"/>
        <v>0</v>
      </c>
      <c r="Z21" s="309">
        <f t="shared" si="4"/>
        <v>0</v>
      </c>
      <c r="AA21" s="347">
        <f t="array" ref="AA21">SUM(P21:Z21)</f>
        <v>1800</v>
      </c>
      <c r="AB21" s="348">
        <f t="array" ref="AB21">O21-AA21</f>
        <v>41132</v>
      </c>
      <c r="AC21" s="219">
        <f>'Basic Deta'!M19</f>
        <v>0</v>
      </c>
      <c r="AD21" s="651"/>
      <c r="AE21" s="218"/>
      <c r="AF21" s="7" t="str">
        <f>IF(C21='Basic Deta'!$G$15,"Yes","No")</f>
        <v>No</v>
      </c>
      <c r="AG21" s="15">
        <f t="shared" si="0"/>
        <v>0</v>
      </c>
      <c r="AH21" s="7">
        <f t="shared" si="1"/>
        <v>0</v>
      </c>
      <c r="AI21" s="15">
        <f t="shared" si="2"/>
        <v>0</v>
      </c>
      <c r="AJ21" s="7"/>
      <c r="AK21" s="7"/>
    </row>
    <row r="22" spans="1:37" s="4" customFormat="1" ht="18.600000000000001" customHeight="1">
      <c r="A22" s="35"/>
      <c r="B22" s="627" t="s">
        <v>16</v>
      </c>
      <c r="C22" s="628"/>
      <c r="D22" s="303"/>
      <c r="E22" s="304"/>
      <c r="F22" s="223"/>
      <c r="G22" s="224"/>
      <c r="H22" s="224"/>
      <c r="I22" s="224"/>
      <c r="J22" s="225"/>
      <c r="K22" s="225"/>
      <c r="L22" s="225"/>
      <c r="M22" s="225"/>
      <c r="N22" s="225">
        <f>IF('Basic Deta'!J10&gt;=13,0,'Basic Deta'!C15)</f>
        <v>0</v>
      </c>
      <c r="O22" s="346">
        <f t="array" ref="O22">SUM(F22:N22)</f>
        <v>0</v>
      </c>
      <c r="P22" s="307">
        <f>ROUND(O22*25/100,0)</f>
        <v>0</v>
      </c>
      <c r="Q22" s="308"/>
      <c r="R22" s="308"/>
      <c r="S22" s="309"/>
      <c r="T22" s="309"/>
      <c r="U22" s="309"/>
      <c r="V22" s="309"/>
      <c r="W22" s="309"/>
      <c r="X22" s="309"/>
      <c r="Y22" s="309"/>
      <c r="Z22" s="309"/>
      <c r="AA22" s="347">
        <f t="array" ref="AA22">SUM(P22:Z22)</f>
        <v>0</v>
      </c>
      <c r="AB22" s="348">
        <f t="array" ref="AB22">O22-AA22</f>
        <v>0</v>
      </c>
      <c r="AC22" s="219">
        <v>0</v>
      </c>
      <c r="AD22" s="651"/>
      <c r="AE22" s="218"/>
      <c r="AF22" s="7"/>
      <c r="AG22" s="15">
        <f>SUM(AG10:AG21)</f>
        <v>14330</v>
      </c>
      <c r="AH22" s="15">
        <f t="shared" ref="AH22:AJ22" si="12">SUM(AH10:AH21)</f>
        <v>5446</v>
      </c>
      <c r="AI22" s="15">
        <f t="shared" si="12"/>
        <v>19775.5</v>
      </c>
      <c r="AJ22" s="15">
        <f t="shared" si="12"/>
        <v>0</v>
      </c>
      <c r="AK22" s="7">
        <f>SUM(AK10:AK21)</f>
        <v>0</v>
      </c>
    </row>
    <row r="23" spans="1:37" s="4" customFormat="1" ht="23.25" customHeight="1">
      <c r="A23" s="35"/>
      <c r="B23" s="660" t="s">
        <v>472</v>
      </c>
      <c r="C23" s="661"/>
      <c r="D23" s="303"/>
      <c r="E23" s="304"/>
      <c r="F23" s="223"/>
      <c r="G23" s="224">
        <f>IF('Basic Deta'!D15="yes",ROUND((G11-G10)*3,0),0)</f>
        <v>2577</v>
      </c>
      <c r="H23" s="224"/>
      <c r="I23" s="224"/>
      <c r="J23" s="225"/>
      <c r="K23" s="225"/>
      <c r="L23" s="225"/>
      <c r="M23" s="225"/>
      <c r="N23" s="225"/>
      <c r="O23" s="346">
        <f t="array" ref="O23">SUM(F23:N23)</f>
        <v>2577</v>
      </c>
      <c r="P23" s="307">
        <v>0</v>
      </c>
      <c r="Q23" s="308"/>
      <c r="R23" s="308"/>
      <c r="S23" s="309"/>
      <c r="T23" s="309"/>
      <c r="U23" s="309"/>
      <c r="V23" s="309"/>
      <c r="W23" s="309"/>
      <c r="X23" s="309"/>
      <c r="Y23" s="309"/>
      <c r="Z23" s="309"/>
      <c r="AA23" s="347">
        <f t="array" ref="AA23">SUM(P23:Z23)</f>
        <v>0</v>
      </c>
      <c r="AB23" s="348">
        <f t="array" ref="AB23">O23-AA23</f>
        <v>2577</v>
      </c>
      <c r="AC23" s="219">
        <v>0</v>
      </c>
      <c r="AD23" s="651"/>
      <c r="AE23" s="218"/>
      <c r="AF23" s="7"/>
      <c r="AG23" s="7"/>
      <c r="AH23" s="7"/>
      <c r="AI23" s="7"/>
      <c r="AJ23" s="7"/>
      <c r="AK23" s="7"/>
    </row>
    <row r="24" spans="1:37" s="4" customFormat="1" ht="23.25" customHeight="1">
      <c r="A24" s="35"/>
      <c r="B24" s="660" t="s">
        <v>39</v>
      </c>
      <c r="C24" s="661"/>
      <c r="D24" s="303"/>
      <c r="E24" s="304"/>
      <c r="F24" s="223"/>
      <c r="G24" s="224">
        <f>IF('Basic Deta'!E15="yes",ROUND((G17-G16)*3,0),0)</f>
        <v>3441</v>
      </c>
      <c r="H24" s="224"/>
      <c r="I24" s="224"/>
      <c r="J24" s="225"/>
      <c r="K24" s="225"/>
      <c r="L24" s="225"/>
      <c r="M24" s="225"/>
      <c r="N24" s="225"/>
      <c r="O24" s="346">
        <f t="array" ref="O24">SUM(F24:N24)</f>
        <v>3441</v>
      </c>
      <c r="P24" s="307">
        <v>0</v>
      </c>
      <c r="Q24" s="308"/>
      <c r="R24" s="308"/>
      <c r="S24" s="309"/>
      <c r="T24" s="309"/>
      <c r="U24" s="309"/>
      <c r="V24" s="309"/>
      <c r="W24" s="309"/>
      <c r="X24" s="309"/>
      <c r="Y24" s="309"/>
      <c r="Z24" s="309"/>
      <c r="AA24" s="347">
        <f t="array" ref="AA24">SUM(P24:Z24)</f>
        <v>0</v>
      </c>
      <c r="AB24" s="348">
        <f t="array" ref="AB24">O24-AA24</f>
        <v>3441</v>
      </c>
      <c r="AC24" s="219">
        <v>0</v>
      </c>
      <c r="AD24" s="651"/>
      <c r="AE24" s="218"/>
      <c r="AF24" s="7"/>
      <c r="AG24" s="7"/>
      <c r="AH24" s="7"/>
      <c r="AI24" s="7"/>
      <c r="AJ24" s="7"/>
      <c r="AK24" s="7"/>
    </row>
    <row r="25" spans="1:37" s="4" customFormat="1" ht="19.149999999999999" customHeight="1">
      <c r="A25" s="35"/>
      <c r="B25" s="627" t="s">
        <v>12</v>
      </c>
      <c r="C25" s="628"/>
      <c r="D25" s="303"/>
      <c r="E25" s="304"/>
      <c r="F25" s="223">
        <f>IF('Basic Deta'!F15="Yes",AG22,0)</f>
        <v>0</v>
      </c>
      <c r="G25" s="224">
        <f>IF('Basic Deta'!F15="Yes",AH22,0)</f>
        <v>0</v>
      </c>
      <c r="H25" s="224"/>
      <c r="I25" s="224"/>
      <c r="J25" s="225"/>
      <c r="K25" s="225"/>
      <c r="L25" s="225"/>
      <c r="M25" s="225"/>
      <c r="N25" s="225"/>
      <c r="O25" s="346">
        <f t="array" ref="O25">SUM(F25:N25)</f>
        <v>0</v>
      </c>
      <c r="P25" s="307"/>
      <c r="Q25" s="308"/>
      <c r="R25" s="308"/>
      <c r="S25" s="309"/>
      <c r="T25" s="309"/>
      <c r="U25" s="309"/>
      <c r="V25" s="309"/>
      <c r="W25" s="309"/>
      <c r="X25" s="309"/>
      <c r="Y25" s="309"/>
      <c r="Z25" s="309"/>
      <c r="AA25" s="347">
        <f t="array" ref="AA25">SUM(P25:Z25)</f>
        <v>0</v>
      </c>
      <c r="AB25" s="348">
        <f t="array" ref="AB25">O25-AA25</f>
        <v>0</v>
      </c>
      <c r="AC25" s="219">
        <v>0</v>
      </c>
      <c r="AD25" s="651"/>
      <c r="AE25" s="218"/>
      <c r="AF25" s="7"/>
      <c r="AG25" s="7"/>
      <c r="AH25" s="7"/>
      <c r="AI25" s="7"/>
      <c r="AJ25" s="7"/>
      <c r="AK25" s="7"/>
    </row>
    <row r="26" spans="1:37" s="4" customFormat="1" ht="18.600000000000001" customHeight="1">
      <c r="A26" s="35"/>
      <c r="B26" s="629" t="s">
        <v>471</v>
      </c>
      <c r="C26" s="630"/>
      <c r="D26" s="303"/>
      <c r="E26" s="304"/>
      <c r="F26" s="223"/>
      <c r="G26" s="224">
        <f>IF('Basic Deta'!F15="Yes",AK22,0)</f>
        <v>0</v>
      </c>
      <c r="H26" s="224"/>
      <c r="I26" s="224"/>
      <c r="J26" s="225"/>
      <c r="K26" s="225"/>
      <c r="L26" s="225"/>
      <c r="M26" s="225"/>
      <c r="N26" s="225"/>
      <c r="O26" s="346">
        <f t="array" ref="O26">SUM(F26:N26)</f>
        <v>0</v>
      </c>
      <c r="P26" s="307">
        <f>G26</f>
        <v>0</v>
      </c>
      <c r="Q26" s="308"/>
      <c r="R26" s="308"/>
      <c r="S26" s="309"/>
      <c r="T26" s="309"/>
      <c r="U26" s="309"/>
      <c r="V26" s="309"/>
      <c r="W26" s="309"/>
      <c r="X26" s="309"/>
      <c r="Y26" s="309"/>
      <c r="Z26" s="309"/>
      <c r="AA26" s="347">
        <f t="array" ref="AA26">SUM(P26:Z26)</f>
        <v>0</v>
      </c>
      <c r="AB26" s="348">
        <f t="array" ref="AB26">O26-AA26</f>
        <v>0</v>
      </c>
      <c r="AC26" s="219">
        <v>0</v>
      </c>
      <c r="AD26" s="651"/>
      <c r="AE26" s="218"/>
      <c r="AF26" s="7"/>
      <c r="AG26" s="7"/>
      <c r="AH26" s="7"/>
      <c r="AI26" s="7"/>
      <c r="AJ26" s="7"/>
      <c r="AK26" s="7"/>
    </row>
    <row r="27" spans="1:37" s="4" customFormat="1" ht="18" customHeight="1">
      <c r="A27" s="35"/>
      <c r="B27" s="622" t="s">
        <v>31</v>
      </c>
      <c r="C27" s="623"/>
      <c r="D27" s="303"/>
      <c r="E27" s="304"/>
      <c r="F27" s="223"/>
      <c r="G27" s="224"/>
      <c r="H27" s="224"/>
      <c r="I27" s="224"/>
      <c r="J27" s="225"/>
      <c r="K27" s="225"/>
      <c r="L27" s="225"/>
      <c r="M27" s="225"/>
      <c r="N27" s="225"/>
      <c r="O27" s="346">
        <f t="array" ref="O27">SUM(F27:N27)</f>
        <v>0</v>
      </c>
      <c r="P27" s="307"/>
      <c r="Q27" s="308"/>
      <c r="R27" s="308"/>
      <c r="S27" s="309"/>
      <c r="T27" s="309"/>
      <c r="U27" s="309"/>
      <c r="V27" s="309"/>
      <c r="W27" s="309"/>
      <c r="X27" s="309"/>
      <c r="Y27" s="309"/>
      <c r="Z27" s="309"/>
      <c r="AA27" s="347">
        <f t="array" ref="AA27">SUM(P27:Z27)</f>
        <v>0</v>
      </c>
      <c r="AB27" s="348">
        <f t="array" ref="AB27">O27-AA27</f>
        <v>0</v>
      </c>
      <c r="AC27" s="219">
        <v>0</v>
      </c>
      <c r="AD27" s="651"/>
      <c r="AE27" s="218"/>
      <c r="AF27" s="7"/>
      <c r="AG27" s="7"/>
      <c r="AH27" s="7"/>
      <c r="AI27" s="7"/>
      <c r="AJ27" s="7"/>
      <c r="AK27" s="7"/>
    </row>
    <row r="28" spans="1:37" s="4" customFormat="1" ht="18" customHeight="1">
      <c r="A28" s="35"/>
      <c r="B28" s="627" t="s">
        <v>49</v>
      </c>
      <c r="C28" s="628"/>
      <c r="D28" s="303"/>
      <c r="E28" s="304"/>
      <c r="F28" s="223"/>
      <c r="G28" s="224">
        <f>IF('Basic Deta'!G15="Yes",AJ22,0)</f>
        <v>0</v>
      </c>
      <c r="H28" s="224"/>
      <c r="I28" s="224"/>
      <c r="J28" s="225"/>
      <c r="K28" s="225"/>
      <c r="L28" s="225"/>
      <c r="M28" s="225"/>
      <c r="N28" s="225"/>
      <c r="O28" s="346">
        <f t="array" ref="O28">SUM(F28:N28)</f>
        <v>0</v>
      </c>
      <c r="P28" s="307">
        <f>O28</f>
        <v>0</v>
      </c>
      <c r="Q28" s="308"/>
      <c r="R28" s="308"/>
      <c r="S28" s="309"/>
      <c r="T28" s="309"/>
      <c r="U28" s="309"/>
      <c r="V28" s="309"/>
      <c r="W28" s="309"/>
      <c r="X28" s="309"/>
      <c r="Y28" s="309"/>
      <c r="Z28" s="309"/>
      <c r="AA28" s="347">
        <f t="array" ref="AA28">SUM(P28:Z28)</f>
        <v>0</v>
      </c>
      <c r="AB28" s="348">
        <f t="array" ref="AB28">O28-AA28</f>
        <v>0</v>
      </c>
      <c r="AC28" s="219">
        <v>0</v>
      </c>
      <c r="AD28" s="651"/>
      <c r="AE28" s="218"/>
      <c r="AF28" s="7"/>
      <c r="AG28" s="7"/>
      <c r="AH28" s="7"/>
      <c r="AI28" s="7"/>
      <c r="AJ28" s="7"/>
      <c r="AK28" s="7"/>
    </row>
    <row r="29" spans="1:37" s="4" customFormat="1" ht="18.600000000000001" customHeight="1">
      <c r="A29" s="35"/>
      <c r="B29" s="622" t="s">
        <v>40</v>
      </c>
      <c r="C29" s="623"/>
      <c r="D29" s="303"/>
      <c r="E29" s="304"/>
      <c r="F29" s="223"/>
      <c r="G29" s="224"/>
      <c r="H29" s="224"/>
      <c r="I29" s="224"/>
      <c r="J29" s="225"/>
      <c r="K29" s="225"/>
      <c r="L29" s="225"/>
      <c r="M29" s="225"/>
      <c r="N29" s="225"/>
      <c r="O29" s="346">
        <f t="array" ref="O29">SUM(F29:N29)</f>
        <v>0</v>
      </c>
      <c r="P29" s="307"/>
      <c r="Q29" s="308"/>
      <c r="R29" s="308"/>
      <c r="S29" s="309"/>
      <c r="T29" s="309"/>
      <c r="U29" s="309"/>
      <c r="V29" s="309"/>
      <c r="W29" s="309"/>
      <c r="X29" s="309"/>
      <c r="Y29" s="309"/>
      <c r="Z29" s="309"/>
      <c r="AA29" s="347">
        <f t="array" ref="AA29">SUM(P29:Z29)</f>
        <v>0</v>
      </c>
      <c r="AB29" s="348">
        <f t="array" ref="AB29">O29-AA29</f>
        <v>0</v>
      </c>
      <c r="AC29" s="219">
        <v>0</v>
      </c>
      <c r="AD29" s="651"/>
      <c r="AE29" s="218"/>
      <c r="AF29" s="7"/>
      <c r="AG29" s="7"/>
      <c r="AH29" s="7"/>
      <c r="AI29" s="7"/>
      <c r="AJ29" s="7"/>
      <c r="AK29" s="7"/>
    </row>
    <row r="30" spans="1:37" s="4" customFormat="1" ht="18.600000000000001" customHeight="1">
      <c r="A30" s="35"/>
      <c r="B30" s="622" t="s">
        <v>41</v>
      </c>
      <c r="C30" s="623"/>
      <c r="D30" s="303"/>
      <c r="E30" s="304"/>
      <c r="F30" s="223"/>
      <c r="G30" s="224"/>
      <c r="H30" s="224"/>
      <c r="I30" s="224"/>
      <c r="J30" s="225"/>
      <c r="K30" s="225"/>
      <c r="L30" s="225"/>
      <c r="M30" s="225"/>
      <c r="N30" s="225"/>
      <c r="O30" s="346">
        <f t="array" ref="O30">SUM(F30:N30)</f>
        <v>0</v>
      </c>
      <c r="P30" s="307"/>
      <c r="Q30" s="308"/>
      <c r="R30" s="308"/>
      <c r="S30" s="309"/>
      <c r="T30" s="309"/>
      <c r="U30" s="309"/>
      <c r="V30" s="309"/>
      <c r="W30" s="309"/>
      <c r="X30" s="309"/>
      <c r="Y30" s="309"/>
      <c r="Z30" s="309"/>
      <c r="AA30" s="347">
        <f t="array" ref="AA30">SUM(P30:Z30)</f>
        <v>0</v>
      </c>
      <c r="AB30" s="348">
        <f t="array" ref="AB30">O30-AA30</f>
        <v>0</v>
      </c>
      <c r="AC30" s="219">
        <v>0</v>
      </c>
      <c r="AD30" s="651"/>
      <c r="AE30" s="218"/>
      <c r="AF30" s="7"/>
      <c r="AG30" s="7"/>
      <c r="AH30" s="7"/>
      <c r="AI30" s="7"/>
      <c r="AJ30" s="7"/>
      <c r="AK30" s="7"/>
    </row>
    <row r="31" spans="1:37" s="4" customFormat="1" ht="23.25" customHeight="1" thickBot="1">
      <c r="A31" s="35"/>
      <c r="B31" s="624" t="s">
        <v>42</v>
      </c>
      <c r="C31" s="625"/>
      <c r="D31" s="305"/>
      <c r="E31" s="306"/>
      <c r="F31" s="226"/>
      <c r="G31" s="227"/>
      <c r="H31" s="227"/>
      <c r="I31" s="227"/>
      <c r="J31" s="228"/>
      <c r="K31" s="228"/>
      <c r="L31" s="228"/>
      <c r="M31" s="228"/>
      <c r="N31" s="228"/>
      <c r="O31" s="346">
        <f t="array" ref="O31">SUM(F31:N31)</f>
        <v>0</v>
      </c>
      <c r="P31" s="311"/>
      <c r="Q31" s="312"/>
      <c r="R31" s="312"/>
      <c r="S31" s="313"/>
      <c r="T31" s="313"/>
      <c r="U31" s="313"/>
      <c r="V31" s="313"/>
      <c r="W31" s="313"/>
      <c r="X31" s="313"/>
      <c r="Y31" s="313"/>
      <c r="Z31" s="313"/>
      <c r="AA31" s="347">
        <f t="array" ref="AA31">SUM(P31:Z31)</f>
        <v>0</v>
      </c>
      <c r="AB31" s="348">
        <f t="array" ref="AB31">O31-AA31</f>
        <v>0</v>
      </c>
      <c r="AC31" s="220">
        <v>0</v>
      </c>
      <c r="AD31" s="651"/>
      <c r="AE31" s="218"/>
      <c r="AF31" s="7"/>
      <c r="AG31" s="7"/>
      <c r="AH31" s="7"/>
      <c r="AI31" s="7"/>
      <c r="AJ31" s="7"/>
      <c r="AK31" s="7"/>
    </row>
    <row r="32" spans="1:37" s="4" customFormat="1" ht="69.599999999999994" customHeight="1" thickBot="1">
      <c r="A32" s="36"/>
      <c r="B32" s="611" t="s">
        <v>6</v>
      </c>
      <c r="C32" s="612"/>
      <c r="D32" s="612"/>
      <c r="E32" s="613"/>
      <c r="F32" s="373">
        <f t="array" ref="F32">SUM(F10:F31)</f>
        <v>345660</v>
      </c>
      <c r="G32" s="374">
        <f t="array" ref="G32">SUM(G10:G31)</f>
        <v>128482</v>
      </c>
      <c r="H32" s="374">
        <f t="array" ref="H32">SUM(H10:H31)</f>
        <v>13822</v>
      </c>
      <c r="I32" s="374">
        <f t="array" ref="I32">SUM(I10:I31)</f>
        <v>0</v>
      </c>
      <c r="J32" s="374">
        <f t="array" ref="J32">SUM(J10:J31)</f>
        <v>12000</v>
      </c>
      <c r="K32" s="374">
        <f t="array" ref="K32">SUM(K10:K31)</f>
        <v>0</v>
      </c>
      <c r="L32" s="374">
        <f t="array" ref="L32">SUM(L10:L31)</f>
        <v>0</v>
      </c>
      <c r="M32" s="374">
        <f t="array" ref="M32">SUM(M10:M31)</f>
        <v>0</v>
      </c>
      <c r="N32" s="374">
        <f t="array" ref="N32">SUM(N10:N31)</f>
        <v>0</v>
      </c>
      <c r="O32" s="375">
        <f t="array" ref="O32">SUM(O10:O31)</f>
        <v>499964</v>
      </c>
      <c r="P32" s="376">
        <f t="array" ref="P32">SUM(P10:P31)</f>
        <v>21600</v>
      </c>
      <c r="Q32" s="374">
        <f t="array" ref="Q32">SUM(Q10:Q31)</f>
        <v>0</v>
      </c>
      <c r="R32" s="374">
        <f t="array" ref="R32">SUM(R10:R31)</f>
        <v>0</v>
      </c>
      <c r="S32" s="374">
        <f t="array" ref="S32">SUM(S10:S31)</f>
        <v>0</v>
      </c>
      <c r="T32" s="374">
        <f t="array" ref="T32">SUM(T10:T31)</f>
        <v>0</v>
      </c>
      <c r="U32" s="374">
        <f t="array" ref="U32">SUM(U10:U31)</f>
        <v>1000</v>
      </c>
      <c r="V32" s="374">
        <f t="array" ref="V32">SUM(V10:V31)</f>
        <v>0</v>
      </c>
      <c r="W32" s="374">
        <f t="array" ref="W32">SUM(W10:W31)</f>
        <v>0</v>
      </c>
      <c r="X32" s="374">
        <f t="array" ref="X32">SUM(X10:X31)</f>
        <v>0</v>
      </c>
      <c r="Y32" s="374">
        <f t="array" ref="Y32">SUM(Y10:Y31)</f>
        <v>0</v>
      </c>
      <c r="Z32" s="373">
        <f t="array" ref="Z32">SUM(Z10:Z31)</f>
        <v>0</v>
      </c>
      <c r="AA32" s="377">
        <f t="array" ref="AA32">SUM(AA10:AA31)</f>
        <v>22600</v>
      </c>
      <c r="AB32" s="378">
        <f t="array" ref="AB32">SUM(AB10:AB31)</f>
        <v>477364</v>
      </c>
      <c r="AC32" s="378">
        <f t="array" ref="AC32">SUM(AC10:AC31)</f>
        <v>0</v>
      </c>
      <c r="AD32" s="651"/>
      <c r="AE32" s="221"/>
      <c r="AF32" s="7"/>
      <c r="AG32" s="7"/>
      <c r="AH32" s="7"/>
      <c r="AI32" s="7"/>
      <c r="AJ32" s="7"/>
      <c r="AK32" s="7"/>
    </row>
    <row r="33" spans="2:37" s="4" customFormat="1" ht="52.9" customHeight="1" thickBot="1">
      <c r="B33" s="606" t="s">
        <v>48</v>
      </c>
      <c r="C33" s="607"/>
      <c r="D33" s="607"/>
      <c r="E33" s="607"/>
      <c r="F33" s="607"/>
      <c r="G33" s="607"/>
      <c r="H33" s="607"/>
      <c r="I33" s="607"/>
      <c r="J33" s="607"/>
      <c r="K33" s="607"/>
      <c r="L33" s="607"/>
      <c r="M33" s="607"/>
      <c r="N33" s="607"/>
      <c r="O33" s="608"/>
      <c r="P33" s="609" t="str">
        <f>CONCATENATE("Signature of DPO"," ","(",'Basic Deta'!M6,")")</f>
        <v>Signature of DPO ()</v>
      </c>
      <c r="Q33" s="607"/>
      <c r="R33" s="607"/>
      <c r="S33" s="607"/>
      <c r="T33" s="607"/>
      <c r="U33" s="607"/>
      <c r="V33" s="607"/>
      <c r="W33" s="607"/>
      <c r="X33" s="607"/>
      <c r="Y33" s="607"/>
      <c r="Z33" s="607"/>
      <c r="AA33" s="607"/>
      <c r="AB33" s="607"/>
      <c r="AC33" s="610"/>
      <c r="AD33" s="651"/>
      <c r="AE33" s="222"/>
      <c r="AF33" s="7"/>
      <c r="AG33" s="7"/>
      <c r="AH33" s="7"/>
      <c r="AI33" s="7"/>
      <c r="AJ33" s="7"/>
      <c r="AK33" s="7"/>
    </row>
    <row r="34" spans="2:37" hidden="1"/>
    <row r="35" spans="2:37" hidden="1"/>
    <row r="36" spans="2:37" hidden="1"/>
    <row r="37" spans="2:37" hidden="1"/>
    <row r="38" spans="2:37" hidden="1"/>
    <row r="39" spans="2:37" hidden="1"/>
    <row r="40" spans="2:37" hidden="1"/>
    <row r="41" spans="2:37" hidden="1"/>
    <row r="42" spans="2:37" hidden="1"/>
    <row r="43" spans="2:37" hidden="1"/>
    <row r="44" spans="2:37" hidden="1"/>
    <row r="45" spans="2:37" hidden="1"/>
    <row r="46" spans="2:37" hidden="1"/>
    <row r="47" spans="2:37" hidden="1"/>
    <row r="48" spans="2:37"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sheetData>
  <sheetProtection password="E8FA" sheet="1" objects="1" scenarios="1" formatCells="0" formatColumns="0" formatRows="0" selectLockedCells="1"/>
  <mergeCells count="41">
    <mergeCell ref="AD1:AD33"/>
    <mergeCell ref="B7:AC7"/>
    <mergeCell ref="AC8:AC9"/>
    <mergeCell ref="P8:AA8"/>
    <mergeCell ref="B22:C22"/>
    <mergeCell ref="B23:C23"/>
    <mergeCell ref="B8:B9"/>
    <mergeCell ref="C8:C9"/>
    <mergeCell ref="D8:D9"/>
    <mergeCell ref="E8:E9"/>
    <mergeCell ref="F8:O8"/>
    <mergeCell ref="B24:C24"/>
    <mergeCell ref="B26:C26"/>
    <mergeCell ref="B1:AC1"/>
    <mergeCell ref="J4:O4"/>
    <mergeCell ref="P4:R4"/>
    <mergeCell ref="F4:I4"/>
    <mergeCell ref="B4:E4"/>
    <mergeCell ref="B2:AC2"/>
    <mergeCell ref="T4:X4"/>
    <mergeCell ref="Y4:AC4"/>
    <mergeCell ref="T6:Y6"/>
    <mergeCell ref="Z6:AC6"/>
    <mergeCell ref="F6:I6"/>
    <mergeCell ref="B6:E6"/>
    <mergeCell ref="AB8:AB9"/>
    <mergeCell ref="B33:O33"/>
    <mergeCell ref="P33:AC33"/>
    <mergeCell ref="B32:E32"/>
    <mergeCell ref="C3:T3"/>
    <mergeCell ref="P6:R6"/>
    <mergeCell ref="B5:AC5"/>
    <mergeCell ref="U3:Z3"/>
    <mergeCell ref="AA3:AC3"/>
    <mergeCell ref="B29:C29"/>
    <mergeCell ref="B30:C30"/>
    <mergeCell ref="B31:C31"/>
    <mergeCell ref="J6:O6"/>
    <mergeCell ref="B27:C27"/>
    <mergeCell ref="B28:C28"/>
    <mergeCell ref="B25:C25"/>
  </mergeCells>
  <conditionalFormatting sqref="AE10:AE31 J6:R6 B2:AC2 T4:AC4 B10:AC31">
    <cfRule type="cellIs" dxfId="29" priority="3"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AP70"/>
  <sheetViews>
    <sheetView showGridLines="0" topLeftCell="A13" workbookViewId="0">
      <selection activeCell="Z16" sqref="Z16:AB18"/>
    </sheetView>
  </sheetViews>
  <sheetFormatPr defaultColWidth="0" defaultRowHeight="22.5" zeroHeight="1"/>
  <cols>
    <col min="1" max="1" width="1.42578125" style="18" customWidth="1"/>
    <col min="2" max="2" width="4.42578125" style="18" bestFit="1" customWidth="1"/>
    <col min="3" max="3" width="4.85546875" style="18" customWidth="1"/>
    <col min="4" max="4" width="11.42578125" style="18" customWidth="1"/>
    <col min="5" max="6" width="6.140625" style="18" customWidth="1"/>
    <col min="7" max="7" width="3.42578125" style="18" customWidth="1"/>
    <col min="8" max="8" width="11.140625" style="18" customWidth="1"/>
    <col min="9" max="9" width="10.42578125" style="18" customWidth="1"/>
    <col min="10" max="10" width="11" style="18" customWidth="1"/>
    <col min="11" max="11" width="10.42578125" style="18" customWidth="1"/>
    <col min="12" max="12" width="4" style="18" customWidth="1"/>
    <col min="13" max="13" width="11.140625" style="18" customWidth="1"/>
    <col min="14" max="14" width="6.42578125" style="18" customWidth="1"/>
    <col min="15" max="15" width="16.42578125" style="18" customWidth="1"/>
    <col min="16" max="16" width="4.140625" style="18" customWidth="1"/>
    <col min="17" max="17" width="11.140625" style="18" customWidth="1"/>
    <col min="18" max="18" width="3" style="18" customWidth="1"/>
    <col min="19" max="19" width="13.42578125" style="18" customWidth="1"/>
    <col min="20" max="20" width="1" style="18" customWidth="1"/>
    <col min="21" max="21" width="3.28515625" style="18" hidden="1" customWidth="1"/>
    <col min="22" max="24" width="3.5703125" style="90" customWidth="1"/>
    <col min="25" max="25" width="5.28515625" style="90" customWidth="1"/>
    <col min="26" max="27" width="3.5703125" style="90" customWidth="1"/>
    <col min="28" max="28" width="9.5703125" style="90" customWidth="1"/>
    <col min="29" max="29" width="2.28515625" style="454" customWidth="1"/>
    <col min="30" max="30" width="5.28515625" style="129" hidden="1" customWidth="1"/>
    <col min="31" max="31" width="4" style="129" hidden="1" customWidth="1"/>
    <col min="32" max="32" width="1.7109375" style="129" hidden="1" customWidth="1"/>
    <col min="33" max="16384" width="1.7109375" style="1" hidden="1"/>
  </cols>
  <sheetData>
    <row r="1" spans="1:32" ht="25.5" customHeight="1" thickBot="1">
      <c r="A1" s="712"/>
      <c r="B1" s="781" t="str">
        <f>'Exemp.(HRA+Other) &amp; Other incom'!A1</f>
        <v>District Education Officer, Education Department Primary Education of Bihar</v>
      </c>
      <c r="C1" s="782"/>
      <c r="D1" s="782"/>
      <c r="E1" s="782"/>
      <c r="F1" s="782"/>
      <c r="G1" s="782"/>
      <c r="H1" s="782"/>
      <c r="I1" s="782"/>
      <c r="J1" s="782"/>
      <c r="K1" s="782"/>
      <c r="L1" s="782"/>
      <c r="M1" s="783" t="str">
        <f>'Table (Income-Deduction)'!B2</f>
        <v>Posting Place Name:- M.S. BASUDHAR</v>
      </c>
      <c r="N1" s="783"/>
      <c r="O1" s="783"/>
      <c r="P1" s="783"/>
      <c r="Q1" s="783"/>
      <c r="R1" s="783"/>
      <c r="S1" s="784"/>
      <c r="T1" s="711"/>
      <c r="U1" s="98"/>
      <c r="V1" s="690"/>
      <c r="W1" s="690"/>
      <c r="X1" s="690"/>
      <c r="Y1" s="690"/>
      <c r="Z1" s="690"/>
      <c r="AA1" s="690"/>
      <c r="AB1" s="690"/>
    </row>
    <row r="2" spans="1:32" ht="21" customHeight="1" thickBot="1">
      <c r="A2" s="712"/>
      <c r="B2" s="803" t="str">
        <f>CONCATENATE("Income Tax Calculation F.Y.",":-", 'Basic Deta'!O6)</f>
        <v>Income Tax Calculation F.Y.:-2022-23</v>
      </c>
      <c r="C2" s="804"/>
      <c r="D2" s="804"/>
      <c r="E2" s="804"/>
      <c r="F2" s="804"/>
      <c r="G2" s="804"/>
      <c r="H2" s="804"/>
      <c r="I2" s="804"/>
      <c r="J2" s="804"/>
      <c r="K2" s="805" t="str">
        <f>CONCATENATE("(","A.Y.",":-",AE4,")")</f>
        <v>(A.Y.:-2023-24)</v>
      </c>
      <c r="L2" s="805"/>
      <c r="M2" s="806"/>
      <c r="N2" s="379"/>
      <c r="O2" s="379"/>
      <c r="P2" s="800" t="str">
        <f>Z16</f>
        <v>Old Tax Regime</v>
      </c>
      <c r="Q2" s="801"/>
      <c r="R2" s="801"/>
      <c r="S2" s="802"/>
      <c r="T2" s="711"/>
      <c r="U2" s="98"/>
      <c r="V2" s="694" t="s">
        <v>236</v>
      </c>
      <c r="W2" s="695"/>
      <c r="X2" s="695"/>
      <c r="Y2" s="695"/>
      <c r="Z2" s="695"/>
      <c r="AA2" s="695"/>
      <c r="AB2" s="696"/>
      <c r="AE2" s="129">
        <f>YEAR('Table (Income-Deduction)'!C10)</f>
        <v>2022</v>
      </c>
      <c r="AF2" s="129">
        <f>AE2+1</f>
        <v>2023</v>
      </c>
    </row>
    <row r="3" spans="1:32" s="89" customFormat="1" ht="17.25" customHeight="1" thickBot="1">
      <c r="A3" s="712"/>
      <c r="B3" s="82">
        <v>1</v>
      </c>
      <c r="C3" s="763" t="s">
        <v>505</v>
      </c>
      <c r="D3" s="763"/>
      <c r="E3" s="793" t="str">
        <f>'Table (Income-Deduction)'!F4</f>
        <v>SHAHID ALI</v>
      </c>
      <c r="F3" s="794"/>
      <c r="G3" s="794"/>
      <c r="H3" s="794"/>
      <c r="I3" s="794"/>
      <c r="J3" s="83" t="s">
        <v>152</v>
      </c>
      <c r="K3" s="795" t="str">
        <f>'Basic Deta'!F10</f>
        <v>Block Teacher</v>
      </c>
      <c r="L3" s="796"/>
      <c r="M3" s="796"/>
      <c r="N3" s="796"/>
      <c r="O3" s="83" t="s">
        <v>535</v>
      </c>
      <c r="P3" s="797" t="str">
        <f>'Table (Income-Deduction)'!F6</f>
        <v>BFHPA0762G (BUXAR)</v>
      </c>
      <c r="Q3" s="798"/>
      <c r="R3" s="798"/>
      <c r="S3" s="799"/>
      <c r="T3" s="711"/>
      <c r="U3" s="98"/>
      <c r="V3" s="697"/>
      <c r="W3" s="698"/>
      <c r="X3" s="698"/>
      <c r="Y3" s="698"/>
      <c r="Z3" s="698"/>
      <c r="AA3" s="698"/>
      <c r="AB3" s="699"/>
      <c r="AC3" s="454"/>
      <c r="AD3" s="88"/>
      <c r="AE3" s="88">
        <f>YEAR('Table (Income-Deduction)'!C20)</f>
        <v>2023</v>
      </c>
      <c r="AF3" s="88">
        <f>AE3+1-2000</f>
        <v>24</v>
      </c>
    </row>
    <row r="4" spans="1:32" ht="17.25" customHeight="1">
      <c r="A4" s="712"/>
      <c r="B4" s="99">
        <v>2</v>
      </c>
      <c r="C4" s="792" t="s">
        <v>154</v>
      </c>
      <c r="D4" s="792"/>
      <c r="E4" s="792"/>
      <c r="F4" s="792"/>
      <c r="G4" s="792"/>
      <c r="H4" s="792"/>
      <c r="I4" s="792"/>
      <c r="J4" s="792"/>
      <c r="K4" s="792"/>
      <c r="L4" s="792"/>
      <c r="M4" s="792"/>
      <c r="N4" s="792"/>
      <c r="O4" s="792"/>
      <c r="P4" s="792"/>
      <c r="Q4" s="792"/>
      <c r="R4" s="57" t="s">
        <v>121</v>
      </c>
      <c r="S4" s="81">
        <f>IF(P2="old tax regime",'Table (Income-Deduction)'!O32,('Table (Income-Deduction)'!O32-'Table (Income-Deduction)'!K32))</f>
        <v>499964</v>
      </c>
      <c r="T4" s="711"/>
      <c r="U4" s="98"/>
      <c r="V4" s="697"/>
      <c r="W4" s="698"/>
      <c r="X4" s="698"/>
      <c r="Y4" s="698"/>
      <c r="Z4" s="698"/>
      <c r="AA4" s="698"/>
      <c r="AB4" s="699"/>
      <c r="AE4" s="129" t="str">
        <f>CONCATENATE(AF2,"-",AF3)</f>
        <v>2023-24</v>
      </c>
    </row>
    <row r="5" spans="1:32" ht="17.25" customHeight="1">
      <c r="A5" s="712"/>
      <c r="B5" s="100">
        <v>3</v>
      </c>
      <c r="C5" s="731" t="s">
        <v>161</v>
      </c>
      <c r="D5" s="731"/>
      <c r="E5" s="731"/>
      <c r="F5" s="731"/>
      <c r="G5" s="731"/>
      <c r="H5" s="731"/>
      <c r="I5" s="731"/>
      <c r="J5" s="731"/>
      <c r="K5" s="731"/>
      <c r="L5" s="731"/>
      <c r="M5" s="731"/>
      <c r="N5" s="731"/>
      <c r="O5" s="731"/>
      <c r="P5" s="731"/>
      <c r="Q5" s="731"/>
      <c r="R5" s="49" t="s">
        <v>121</v>
      </c>
      <c r="S5" s="69">
        <f>IF(P2="old tax regime",'Exemp.(HRA+Other) &amp; Other incom'!K4,0)</f>
        <v>13822</v>
      </c>
      <c r="T5" s="711"/>
      <c r="U5" s="98"/>
      <c r="V5" s="697"/>
      <c r="W5" s="698"/>
      <c r="X5" s="698"/>
      <c r="Y5" s="698"/>
      <c r="Z5" s="698"/>
      <c r="AA5" s="698"/>
      <c r="AB5" s="699"/>
    </row>
    <row r="6" spans="1:32" ht="17.25" customHeight="1">
      <c r="A6" s="712"/>
      <c r="B6" s="100">
        <v>4</v>
      </c>
      <c r="C6" s="790" t="s">
        <v>532</v>
      </c>
      <c r="D6" s="790"/>
      <c r="E6" s="790"/>
      <c r="F6" s="790"/>
      <c r="G6" s="790"/>
      <c r="H6" s="790"/>
      <c r="I6" s="790"/>
      <c r="J6" s="790"/>
      <c r="K6" s="790"/>
      <c r="L6" s="790"/>
      <c r="M6" s="790"/>
      <c r="N6" s="790"/>
      <c r="O6" s="790"/>
      <c r="P6" s="790"/>
      <c r="Q6" s="790"/>
      <c r="R6" s="49" t="s">
        <v>121</v>
      </c>
      <c r="S6" s="74">
        <f>S4-S5</f>
        <v>486142</v>
      </c>
      <c r="T6" s="711"/>
      <c r="U6" s="98"/>
      <c r="V6" s="697"/>
      <c r="W6" s="698"/>
      <c r="X6" s="698"/>
      <c r="Y6" s="698"/>
      <c r="Z6" s="698"/>
      <c r="AA6" s="698"/>
      <c r="AB6" s="699"/>
    </row>
    <row r="7" spans="1:32" ht="17.25" customHeight="1">
      <c r="A7" s="712"/>
      <c r="B7" s="734">
        <v>5</v>
      </c>
      <c r="C7" s="731" t="s">
        <v>157</v>
      </c>
      <c r="D7" s="731"/>
      <c r="E7" s="731"/>
      <c r="F7" s="731"/>
      <c r="G7" s="731"/>
      <c r="H7" s="731"/>
      <c r="I7" s="731"/>
      <c r="J7" s="731"/>
      <c r="K7" s="731"/>
      <c r="L7" s="731"/>
      <c r="M7" s="780">
        <f>'Exemp.(HRA+Other) &amp; Other incom'!L13</f>
        <v>0</v>
      </c>
      <c r="N7" s="780"/>
      <c r="O7" s="780"/>
      <c r="P7" s="780"/>
      <c r="Q7" s="780"/>
      <c r="R7" s="788"/>
      <c r="S7" s="789"/>
      <c r="T7" s="711"/>
      <c r="U7" s="98"/>
      <c r="V7" s="700"/>
      <c r="W7" s="701"/>
      <c r="X7" s="701"/>
      <c r="Y7" s="701"/>
      <c r="Z7" s="701"/>
      <c r="AA7" s="701"/>
      <c r="AB7" s="702"/>
    </row>
    <row r="8" spans="1:32" ht="17.25" customHeight="1">
      <c r="A8" s="712"/>
      <c r="B8" s="734"/>
      <c r="C8" s="731" t="s">
        <v>516</v>
      </c>
      <c r="D8" s="731"/>
      <c r="E8" s="731"/>
      <c r="F8" s="731"/>
      <c r="G8" s="731"/>
      <c r="H8" s="731"/>
      <c r="I8" s="731"/>
      <c r="J8" s="731"/>
      <c r="K8" s="731"/>
      <c r="L8" s="731"/>
      <c r="M8" s="780">
        <f>'Exemp.(HRA+Other) &amp; Other incom'!L14</f>
        <v>1000</v>
      </c>
      <c r="N8" s="780"/>
      <c r="O8" s="780"/>
      <c r="P8" s="780"/>
      <c r="Q8" s="780"/>
      <c r="R8" s="788"/>
      <c r="S8" s="789"/>
      <c r="T8" s="711"/>
      <c r="U8" s="707">
        <f>Z8-Z12</f>
        <v>0</v>
      </c>
      <c r="V8" s="683" t="s">
        <v>237</v>
      </c>
      <c r="W8" s="684"/>
      <c r="X8" s="684"/>
      <c r="Y8" s="684"/>
      <c r="Z8" s="685">
        <f>'OLD REGIME'!Q65</f>
        <v>0</v>
      </c>
      <c r="AA8" s="685"/>
      <c r="AB8" s="686"/>
    </row>
    <row r="9" spans="1:32" ht="17.25" customHeight="1">
      <c r="A9" s="712"/>
      <c r="B9" s="734"/>
      <c r="C9" s="731" t="s">
        <v>159</v>
      </c>
      <c r="D9" s="731"/>
      <c r="E9" s="731"/>
      <c r="F9" s="731"/>
      <c r="G9" s="731"/>
      <c r="H9" s="731"/>
      <c r="I9" s="731"/>
      <c r="J9" s="731"/>
      <c r="K9" s="731"/>
      <c r="L9" s="731"/>
      <c r="M9" s="780">
        <v>50000</v>
      </c>
      <c r="N9" s="780"/>
      <c r="O9" s="780"/>
      <c r="P9" s="780"/>
      <c r="Q9" s="780"/>
      <c r="R9" s="49" t="s">
        <v>121</v>
      </c>
      <c r="S9" s="69">
        <f>IF(P2="old tax regime",M7+M8+M9,0)</f>
        <v>51000</v>
      </c>
      <c r="T9" s="711"/>
      <c r="U9" s="708"/>
      <c r="V9" s="683"/>
      <c r="W9" s="684"/>
      <c r="X9" s="684"/>
      <c r="Y9" s="684"/>
      <c r="Z9" s="685"/>
      <c r="AA9" s="685"/>
      <c r="AB9" s="686"/>
    </row>
    <row r="10" spans="1:32" ht="17.25" customHeight="1">
      <c r="A10" s="712"/>
      <c r="B10" s="100">
        <v>6</v>
      </c>
      <c r="C10" s="790" t="s">
        <v>531</v>
      </c>
      <c r="D10" s="790"/>
      <c r="E10" s="790"/>
      <c r="F10" s="790"/>
      <c r="G10" s="790"/>
      <c r="H10" s="790"/>
      <c r="I10" s="790"/>
      <c r="J10" s="790"/>
      <c r="K10" s="790"/>
      <c r="L10" s="790"/>
      <c r="M10" s="790"/>
      <c r="N10" s="790"/>
      <c r="O10" s="790"/>
      <c r="P10" s="790"/>
      <c r="Q10" s="790"/>
      <c r="R10" s="49" t="s">
        <v>121</v>
      </c>
      <c r="S10" s="74">
        <f>S6-S9</f>
        <v>435142</v>
      </c>
      <c r="T10" s="711"/>
      <c r="U10" s="708"/>
      <c r="V10" s="683"/>
      <c r="W10" s="684"/>
      <c r="X10" s="684"/>
      <c r="Y10" s="684"/>
      <c r="Z10" s="685"/>
      <c r="AA10" s="685"/>
      <c r="AB10" s="686"/>
    </row>
    <row r="11" spans="1:32" ht="17.25" customHeight="1">
      <c r="A11" s="712"/>
      <c r="B11" s="734">
        <v>7</v>
      </c>
      <c r="C11" s="731" t="s">
        <v>162</v>
      </c>
      <c r="D11" s="731"/>
      <c r="E11" s="731"/>
      <c r="F11" s="731"/>
      <c r="G11" s="731"/>
      <c r="H11" s="731"/>
      <c r="I11" s="731"/>
      <c r="J11" s="731"/>
      <c r="K11" s="738" t="s">
        <v>163</v>
      </c>
      <c r="L11" s="738"/>
      <c r="M11" s="780">
        <f>'Exemp.(HRA+Other) &amp; Other incom'!L7</f>
        <v>0</v>
      </c>
      <c r="N11" s="780"/>
      <c r="O11" s="780"/>
      <c r="P11" s="780"/>
      <c r="Q11" s="780"/>
      <c r="R11" s="738"/>
      <c r="S11" s="785"/>
      <c r="T11" s="711"/>
      <c r="U11" s="98"/>
      <c r="V11" s="687"/>
      <c r="W11" s="688"/>
      <c r="X11" s="688"/>
      <c r="Y11" s="688"/>
      <c r="Z11" s="688"/>
      <c r="AA11" s="688"/>
      <c r="AB11" s="689"/>
    </row>
    <row r="12" spans="1:32" ht="17.25" customHeight="1">
      <c r="A12" s="712"/>
      <c r="B12" s="734"/>
      <c r="C12" s="786" t="s">
        <v>164</v>
      </c>
      <c r="D12" s="786"/>
      <c r="E12" s="738" t="s">
        <v>165</v>
      </c>
      <c r="F12" s="738"/>
      <c r="G12" s="738"/>
      <c r="H12" s="787" t="s">
        <v>166</v>
      </c>
      <c r="I12" s="787"/>
      <c r="J12" s="787"/>
      <c r="K12" s="738" t="s">
        <v>122</v>
      </c>
      <c r="L12" s="738"/>
      <c r="M12" s="737" t="s">
        <v>167</v>
      </c>
      <c r="N12" s="737"/>
      <c r="O12" s="737"/>
      <c r="P12" s="737"/>
      <c r="Q12" s="737"/>
      <c r="R12" s="738"/>
      <c r="S12" s="785"/>
      <c r="T12" s="711"/>
      <c r="U12" s="707">
        <f>Z12-Z8</f>
        <v>0</v>
      </c>
      <c r="V12" s="683" t="s">
        <v>238</v>
      </c>
      <c r="W12" s="684"/>
      <c r="X12" s="684"/>
      <c r="Y12" s="684"/>
      <c r="Z12" s="685">
        <f>'NEW REGIME'!Q65</f>
        <v>0</v>
      </c>
      <c r="AA12" s="685"/>
      <c r="AB12" s="686"/>
    </row>
    <row r="13" spans="1:32" ht="17.25" customHeight="1">
      <c r="A13" s="712"/>
      <c r="B13" s="734"/>
      <c r="C13" s="786"/>
      <c r="D13" s="786"/>
      <c r="E13" s="780">
        <f>IF(P2="old tax regime",ROUND(M11*0.3,0),0)</f>
        <v>0</v>
      </c>
      <c r="F13" s="780"/>
      <c r="G13" s="780"/>
      <c r="H13" s="780">
        <f>IF(P2="old tax regime",'Exemp.(HRA+Other) &amp; Other incom'!L17,0)</f>
        <v>0</v>
      </c>
      <c r="I13" s="780"/>
      <c r="J13" s="780"/>
      <c r="K13" s="780">
        <f>IF(P2="old tax regime",'Exemp.(HRA+Other) &amp; Other incom'!L15,0)</f>
        <v>0</v>
      </c>
      <c r="L13" s="780"/>
      <c r="M13" s="791">
        <f>E13+H13+K13</f>
        <v>0</v>
      </c>
      <c r="N13" s="791"/>
      <c r="O13" s="791"/>
      <c r="P13" s="791"/>
      <c r="Q13" s="791"/>
      <c r="R13" s="738"/>
      <c r="S13" s="785"/>
      <c r="T13" s="711"/>
      <c r="U13" s="708"/>
      <c r="V13" s="683"/>
      <c r="W13" s="684"/>
      <c r="X13" s="684"/>
      <c r="Y13" s="684"/>
      <c r="Z13" s="685"/>
      <c r="AA13" s="685"/>
      <c r="AB13" s="686"/>
    </row>
    <row r="14" spans="1:32" ht="17.25" customHeight="1">
      <c r="A14" s="712"/>
      <c r="B14" s="100"/>
      <c r="C14" s="774" t="s">
        <v>169</v>
      </c>
      <c r="D14" s="775"/>
      <c r="E14" s="775"/>
      <c r="F14" s="775"/>
      <c r="G14" s="775"/>
      <c r="H14" s="775"/>
      <c r="I14" s="775"/>
      <c r="J14" s="775"/>
      <c r="K14" s="775"/>
      <c r="L14" s="775"/>
      <c r="M14" s="775"/>
      <c r="N14" s="775"/>
      <c r="O14" s="775"/>
      <c r="P14" s="775"/>
      <c r="Q14" s="776"/>
      <c r="R14" s="49" t="s">
        <v>121</v>
      </c>
      <c r="S14" s="69">
        <f>M11-M13</f>
        <v>0</v>
      </c>
      <c r="T14" s="711"/>
      <c r="U14" s="708"/>
      <c r="V14" s="683"/>
      <c r="W14" s="684"/>
      <c r="X14" s="684"/>
      <c r="Y14" s="684"/>
      <c r="Z14" s="685"/>
      <c r="AA14" s="685"/>
      <c r="AB14" s="686"/>
    </row>
    <row r="15" spans="1:32" ht="17.25" customHeight="1" thickBot="1">
      <c r="A15" s="712"/>
      <c r="B15" s="100">
        <v>8</v>
      </c>
      <c r="C15" s="777" t="s">
        <v>533</v>
      </c>
      <c r="D15" s="778"/>
      <c r="E15" s="778"/>
      <c r="F15" s="778"/>
      <c r="G15" s="778"/>
      <c r="H15" s="778"/>
      <c r="I15" s="778"/>
      <c r="J15" s="778"/>
      <c r="K15" s="778"/>
      <c r="L15" s="778"/>
      <c r="M15" s="778"/>
      <c r="N15" s="778"/>
      <c r="O15" s="778"/>
      <c r="P15" s="778"/>
      <c r="Q15" s="779"/>
      <c r="R15" s="49" t="s">
        <v>121</v>
      </c>
      <c r="S15" s="74">
        <f>S10+S14</f>
        <v>435142</v>
      </c>
      <c r="T15" s="711"/>
      <c r="U15" s="98"/>
      <c r="V15" s="691"/>
      <c r="W15" s="692"/>
      <c r="X15" s="692"/>
      <c r="Y15" s="692"/>
      <c r="Z15" s="692"/>
      <c r="AA15" s="692"/>
      <c r="AB15" s="693"/>
    </row>
    <row r="16" spans="1:32" ht="17.25" customHeight="1">
      <c r="A16" s="712"/>
      <c r="B16" s="718">
        <v>9</v>
      </c>
      <c r="C16" s="771" t="s">
        <v>149</v>
      </c>
      <c r="D16" s="107" t="s">
        <v>112</v>
      </c>
      <c r="E16" s="772" t="str">
        <f>'Exemp.(HRA+Other) &amp; Other incom'!B8</f>
        <v>अन्य आय (बैंक/एफडी में जमा ब्याज/अन्य ब्याज आदि का योग</v>
      </c>
      <c r="F16" s="731"/>
      <c r="G16" s="731"/>
      <c r="H16" s="731"/>
      <c r="I16" s="731"/>
      <c r="J16" s="731"/>
      <c r="K16" s="731"/>
      <c r="L16" s="731"/>
      <c r="M16" s="731"/>
      <c r="N16" s="731"/>
      <c r="O16" s="731"/>
      <c r="P16" s="731"/>
      <c r="Q16" s="731"/>
      <c r="R16" s="49" t="s">
        <v>121</v>
      </c>
      <c r="S16" s="69">
        <f>'Exemp.(HRA+Other) &amp; Other incom'!L8</f>
        <v>0</v>
      </c>
      <c r="T16" s="711"/>
      <c r="U16" s="98"/>
      <c r="V16" s="703" t="s">
        <v>239</v>
      </c>
      <c r="W16" s="703"/>
      <c r="X16" s="703"/>
      <c r="Y16" s="703"/>
      <c r="Z16" s="705" t="s">
        <v>227</v>
      </c>
      <c r="AA16" s="705"/>
      <c r="AB16" s="705"/>
    </row>
    <row r="17" spans="1:28" ht="17.25" customHeight="1">
      <c r="A17" s="712"/>
      <c r="B17" s="718"/>
      <c r="C17" s="771"/>
      <c r="D17" s="107" t="s">
        <v>113</v>
      </c>
      <c r="E17" s="772" t="str">
        <f>'Exemp.(HRA+Other) &amp; Other incom'!C9</f>
        <v>(-----------------------------------------------------)</v>
      </c>
      <c r="F17" s="731"/>
      <c r="G17" s="731"/>
      <c r="H17" s="731"/>
      <c r="I17" s="731"/>
      <c r="J17" s="731"/>
      <c r="K17" s="731"/>
      <c r="L17" s="731"/>
      <c r="M17" s="731"/>
      <c r="N17" s="731"/>
      <c r="O17" s="731"/>
      <c r="P17" s="731"/>
      <c r="Q17" s="731"/>
      <c r="R17" s="62"/>
      <c r="S17" s="69">
        <f>'Exemp.(HRA+Other) &amp; Other incom'!L9</f>
        <v>0</v>
      </c>
      <c r="T17" s="711"/>
      <c r="U17" s="98"/>
      <c r="V17" s="704"/>
      <c r="W17" s="704"/>
      <c r="X17" s="704"/>
      <c r="Y17" s="704"/>
      <c r="Z17" s="706"/>
      <c r="AA17" s="706"/>
      <c r="AB17" s="706"/>
    </row>
    <row r="18" spans="1:28" ht="17.25" customHeight="1">
      <c r="A18" s="712"/>
      <c r="B18" s="718"/>
      <c r="C18" s="771"/>
      <c r="D18" s="107" t="s">
        <v>114</v>
      </c>
      <c r="E18" s="772" t="str">
        <f>'Exemp.(HRA+Other) &amp; Other incom'!C10</f>
        <v>(-----------------------------------------------------)</v>
      </c>
      <c r="F18" s="731"/>
      <c r="G18" s="731"/>
      <c r="H18" s="731"/>
      <c r="I18" s="731"/>
      <c r="J18" s="731"/>
      <c r="K18" s="731"/>
      <c r="L18" s="731"/>
      <c r="M18" s="731"/>
      <c r="N18" s="731"/>
      <c r="O18" s="731"/>
      <c r="P18" s="731"/>
      <c r="Q18" s="731"/>
      <c r="R18" s="62"/>
      <c r="S18" s="69">
        <f>'Exemp.(HRA+Other) &amp; Other incom'!L10</f>
        <v>0</v>
      </c>
      <c r="T18" s="711"/>
      <c r="U18" s="98"/>
      <c r="V18" s="704"/>
      <c r="W18" s="704"/>
      <c r="X18" s="704"/>
      <c r="Y18" s="704"/>
      <c r="Z18" s="706"/>
      <c r="AA18" s="706"/>
      <c r="AB18" s="706"/>
    </row>
    <row r="19" spans="1:28" ht="15" customHeight="1" thickBot="1">
      <c r="A19" s="712"/>
      <c r="B19" s="101"/>
      <c r="C19" s="773" t="s">
        <v>170</v>
      </c>
      <c r="D19" s="773"/>
      <c r="E19" s="773"/>
      <c r="F19" s="773"/>
      <c r="G19" s="773"/>
      <c r="H19" s="773"/>
      <c r="I19" s="773"/>
      <c r="J19" s="773"/>
      <c r="K19" s="773"/>
      <c r="L19" s="773"/>
      <c r="M19" s="773"/>
      <c r="N19" s="773"/>
      <c r="O19" s="773"/>
      <c r="P19" s="773"/>
      <c r="Q19" s="773"/>
      <c r="R19" s="63"/>
      <c r="S19" s="79">
        <f>S16+S17+S18</f>
        <v>0</v>
      </c>
      <c r="T19" s="711"/>
      <c r="U19" s="98"/>
      <c r="V19" s="448"/>
      <c r="W19" s="448"/>
      <c r="X19" s="448"/>
      <c r="Y19" s="448"/>
      <c r="Z19" s="448"/>
      <c r="AA19" s="448"/>
      <c r="AB19" s="448"/>
    </row>
    <row r="20" spans="1:28" ht="15" customHeight="1" thickBot="1">
      <c r="A20" s="712"/>
      <c r="B20" s="59">
        <v>10</v>
      </c>
      <c r="C20" s="763" t="s">
        <v>534</v>
      </c>
      <c r="D20" s="763"/>
      <c r="E20" s="763"/>
      <c r="F20" s="763"/>
      <c r="G20" s="763"/>
      <c r="H20" s="763"/>
      <c r="I20" s="763"/>
      <c r="J20" s="763"/>
      <c r="K20" s="763"/>
      <c r="L20" s="763"/>
      <c r="M20" s="763"/>
      <c r="N20" s="763"/>
      <c r="O20" s="763"/>
      <c r="P20" s="763"/>
      <c r="Q20" s="763"/>
      <c r="R20" s="56" t="s">
        <v>121</v>
      </c>
      <c r="S20" s="80">
        <f>S15+S19</f>
        <v>435142</v>
      </c>
      <c r="T20" s="711"/>
      <c r="U20" s="98"/>
      <c r="V20" s="448"/>
      <c r="W20" s="448"/>
      <c r="X20" s="448"/>
      <c r="Y20" s="448"/>
      <c r="Z20" s="448"/>
      <c r="AA20" s="448"/>
      <c r="AB20" s="448"/>
    </row>
    <row r="21" spans="1:28" ht="15" customHeight="1">
      <c r="A21" s="712"/>
      <c r="B21" s="748">
        <v>11</v>
      </c>
      <c r="C21" s="744" t="s">
        <v>172</v>
      </c>
      <c r="D21" s="744"/>
      <c r="E21" s="744"/>
      <c r="F21" s="744"/>
      <c r="G21" s="744"/>
      <c r="H21" s="744"/>
      <c r="I21" s="744"/>
      <c r="J21" s="744"/>
      <c r="K21" s="744"/>
      <c r="L21" s="744"/>
      <c r="M21" s="744"/>
      <c r="N21" s="744"/>
      <c r="O21" s="744"/>
      <c r="P21" s="744"/>
      <c r="Q21" s="744"/>
      <c r="R21" s="744"/>
      <c r="S21" s="764"/>
      <c r="T21" s="711"/>
      <c r="U21" s="98"/>
      <c r="V21" s="448"/>
      <c r="W21" s="448"/>
      <c r="X21" s="448"/>
      <c r="Y21" s="448"/>
      <c r="Z21" s="448"/>
      <c r="AA21" s="448"/>
      <c r="AB21" s="448"/>
    </row>
    <row r="22" spans="1:28" ht="14.25" customHeight="1">
      <c r="A22" s="712"/>
      <c r="B22" s="749"/>
      <c r="C22" s="753" t="s">
        <v>173</v>
      </c>
      <c r="D22" s="753"/>
      <c r="E22" s="753"/>
      <c r="F22" s="753"/>
      <c r="G22" s="753"/>
      <c r="H22" s="753"/>
      <c r="I22" s="753"/>
      <c r="J22" s="753"/>
      <c r="K22" s="753"/>
      <c r="L22" s="753"/>
      <c r="M22" s="753"/>
      <c r="N22" s="753"/>
      <c r="O22" s="753"/>
      <c r="P22" s="753"/>
      <c r="Q22" s="753"/>
      <c r="R22" s="753"/>
      <c r="S22" s="765"/>
      <c r="T22" s="711"/>
      <c r="U22" s="98"/>
      <c r="V22" s="448"/>
      <c r="W22" s="448"/>
      <c r="X22" s="448"/>
      <c r="Y22" s="448"/>
      <c r="Z22" s="448"/>
      <c r="AA22" s="448"/>
      <c r="AB22" s="448"/>
    </row>
    <row r="23" spans="1:28" ht="20.25" customHeight="1">
      <c r="A23" s="712"/>
      <c r="B23" s="749"/>
      <c r="C23" s="107" t="s">
        <v>88</v>
      </c>
      <c r="D23" s="754" t="str">
        <f>'Table (Income-Deduction)'!P9</f>
        <v xml:space="preserve">EPF/Montholy Invest in Future Plan </v>
      </c>
      <c r="E23" s="755"/>
      <c r="F23" s="756"/>
      <c r="G23" s="51" t="s">
        <v>121</v>
      </c>
      <c r="H23" s="380">
        <f>IF(Z16="old tax regime",'Table (Income-Deduction)'!P32,0)</f>
        <v>21600</v>
      </c>
      <c r="I23" s="351" t="s">
        <v>89</v>
      </c>
      <c r="J23" s="769" t="str">
        <f>'Exemp.(HRA+Other) &amp; Other incom'!B16</f>
        <v>गृह ऋण किश्त मूल (जो वेतन से नहीं काटा गया)</v>
      </c>
      <c r="K23" s="770"/>
      <c r="L23" s="51" t="s">
        <v>121</v>
      </c>
      <c r="M23" s="76">
        <f>IF(Z16="old tax regime",'Exemp.(HRA+Other) &amp; Other incom'!L16,0)</f>
        <v>0</v>
      </c>
      <c r="N23" s="351" t="s">
        <v>518</v>
      </c>
      <c r="O23" s="382" t="str">
        <f>'Exemp.(HRA+Other) &amp; Other incom'!O24</f>
        <v>इक्विटी लिंक सेविंग स्कीम/Mutual Fund</v>
      </c>
      <c r="P23" s="51" t="s">
        <v>121</v>
      </c>
      <c r="Q23" s="76">
        <f>IF(Z16="old tax regime",'Exemp.(HRA+Other) &amp; Other incom'!Q24,0)</f>
        <v>0</v>
      </c>
      <c r="R23" s="766"/>
      <c r="S23" s="767"/>
      <c r="T23" s="711"/>
      <c r="U23" s="98"/>
      <c r="V23" s="448"/>
      <c r="W23" s="448"/>
      <c r="X23" s="448"/>
      <c r="Y23" s="448"/>
      <c r="Z23" s="448"/>
      <c r="AA23" s="448"/>
      <c r="AB23" s="448"/>
    </row>
    <row r="24" spans="1:28" ht="15.75" customHeight="1">
      <c r="A24" s="712"/>
      <c r="B24" s="749"/>
      <c r="C24" s="107" t="s">
        <v>90</v>
      </c>
      <c r="D24" s="757" t="str">
        <f>'Table (Income-Deduction)'!Q9</f>
        <v>GIS/Group Ins.</v>
      </c>
      <c r="E24" s="758"/>
      <c r="F24" s="758"/>
      <c r="G24" s="51" t="s">
        <v>121</v>
      </c>
      <c r="H24" s="76">
        <f>IF(Z16="old tax regime",'Table (Income-Deduction)'!Q32,0)</f>
        <v>0</v>
      </c>
      <c r="I24" s="351" t="s">
        <v>91</v>
      </c>
      <c r="J24" s="673" t="str">
        <f>'Exemp.(HRA+Other) &amp; Other incom'!B19</f>
        <v>पी.एल.आई. PLI</v>
      </c>
      <c r="K24" s="674"/>
      <c r="L24" s="51" t="s">
        <v>121</v>
      </c>
      <c r="M24" s="77">
        <f>IF($Z$16="old tax regime",'Exemp.(HRA+Other) &amp; Other incom'!L19,0)</f>
        <v>0</v>
      </c>
      <c r="N24" s="351" t="s">
        <v>519</v>
      </c>
      <c r="O24" s="383" t="str">
        <f>'Exemp.(HRA+Other) &amp; Other incom'!O25</f>
        <v>स्थिगित वार्षिकी</v>
      </c>
      <c r="P24" s="51" t="s">
        <v>121</v>
      </c>
      <c r="Q24" s="77">
        <f>IF(P2="old tax regime",'Exemp.(HRA+Other) &amp; Other incom'!Q25,0)</f>
        <v>0</v>
      </c>
      <c r="R24" s="766"/>
      <c r="S24" s="767"/>
      <c r="T24" s="711"/>
      <c r="U24" s="98"/>
      <c r="V24" s="448"/>
      <c r="W24" s="448"/>
      <c r="X24" s="448"/>
      <c r="Y24" s="448"/>
      <c r="Z24" s="448"/>
      <c r="AA24" s="448"/>
      <c r="AB24" s="448"/>
    </row>
    <row r="25" spans="1:28" ht="15.75" customHeight="1">
      <c r="A25" s="712"/>
      <c r="B25" s="749"/>
      <c r="C25" s="107" t="s">
        <v>92</v>
      </c>
      <c r="D25" s="759" t="str">
        <f>'Table (Income-Deduction)'!R9</f>
        <v>Contri. To Contributory Pension Scheme (80CCC)</v>
      </c>
      <c r="E25" s="760"/>
      <c r="F25" s="760"/>
      <c r="G25" s="51" t="s">
        <v>121</v>
      </c>
      <c r="H25" s="76">
        <f>IF(Z16="old tax regime",'Table (Income-Deduction)'!R32,0)</f>
        <v>0</v>
      </c>
      <c r="I25" s="351" t="s">
        <v>93</v>
      </c>
      <c r="J25" s="673" t="str">
        <f>'Exemp.(HRA+Other) &amp; Other incom'!B20</f>
        <v>ट्यूशन फी</v>
      </c>
      <c r="K25" s="674"/>
      <c r="L25" s="51" t="s">
        <v>121</v>
      </c>
      <c r="M25" s="77">
        <f>IF($Z$16="old tax regime",'Exemp.(HRA+Other) &amp; Other incom'!L20,0)</f>
        <v>0</v>
      </c>
      <c r="N25" s="351" t="s">
        <v>520</v>
      </c>
      <c r="O25" s="381"/>
      <c r="P25" s="51" t="s">
        <v>121</v>
      </c>
      <c r="Q25" s="381">
        <v>0</v>
      </c>
      <c r="R25" s="766"/>
      <c r="S25" s="767"/>
      <c r="T25" s="711"/>
      <c r="U25" s="98"/>
      <c r="V25" s="448"/>
      <c r="W25" s="448"/>
      <c r="X25" s="448"/>
      <c r="Y25" s="448"/>
      <c r="Z25" s="448"/>
      <c r="AA25" s="448"/>
      <c r="AB25" s="448"/>
    </row>
    <row r="26" spans="1:28" ht="15.75" customHeight="1">
      <c r="A26" s="712"/>
      <c r="B26" s="749"/>
      <c r="C26" s="107" t="s">
        <v>94</v>
      </c>
      <c r="D26" s="757" t="str">
        <f>'Table (Income-Deduction)'!S9</f>
        <v>LIC</v>
      </c>
      <c r="E26" s="758"/>
      <c r="F26" s="758"/>
      <c r="G26" s="51" t="s">
        <v>121</v>
      </c>
      <c r="H26" s="76">
        <f>IF(Z16="old tax regime",'Table (Income-Deduction)'!S32+'Exemp.(HRA+Other) &amp; Other incom'!L18,0)</f>
        <v>0</v>
      </c>
      <c r="I26" s="351" t="s">
        <v>95</v>
      </c>
      <c r="J26" s="673" t="str">
        <f>'Exemp.(HRA+Other) &amp; Other incom'!B21</f>
        <v>UPLI/वार्षिक प्लान</v>
      </c>
      <c r="K26" s="674"/>
      <c r="L26" s="51" t="s">
        <v>121</v>
      </c>
      <c r="M26" s="77">
        <f>IF($Z$16="old tax regime",'Exemp.(HRA+Other) &amp; Other incom'!L21,0)</f>
        <v>0</v>
      </c>
      <c r="N26" s="351" t="s">
        <v>521</v>
      </c>
      <c r="O26" s="381"/>
      <c r="P26" s="51" t="s">
        <v>121</v>
      </c>
      <c r="Q26" s="381">
        <v>0</v>
      </c>
      <c r="R26" s="766"/>
      <c r="S26" s="767"/>
      <c r="T26" s="711"/>
      <c r="U26" s="98"/>
      <c r="V26" s="448"/>
      <c r="W26" s="448"/>
      <c r="X26" s="448"/>
      <c r="Y26" s="448"/>
      <c r="Z26" s="448"/>
      <c r="AA26" s="448"/>
      <c r="AB26" s="448"/>
    </row>
    <row r="27" spans="1:28" ht="15.75" customHeight="1">
      <c r="A27" s="712"/>
      <c r="B27" s="749"/>
      <c r="C27" s="107" t="s">
        <v>96</v>
      </c>
      <c r="D27" s="757" t="str">
        <f>'Table (Income-Deduction)'!T9</f>
        <v>GROUP L.I.C.</v>
      </c>
      <c r="E27" s="758"/>
      <c r="F27" s="758"/>
      <c r="G27" s="51" t="s">
        <v>121</v>
      </c>
      <c r="H27" s="76">
        <f>IF(Z16="old tax regime",'Table (Income-Deduction)'!T32,0)</f>
        <v>0</v>
      </c>
      <c r="I27" s="351" t="s">
        <v>97</v>
      </c>
      <c r="J27" s="673" t="str">
        <f>'Exemp.(HRA+Other) &amp; Other incom'!B22</f>
        <v>राष्ट्रीय बचत पत्र (NSC)</v>
      </c>
      <c r="K27" s="674"/>
      <c r="L27" s="51" t="s">
        <v>121</v>
      </c>
      <c r="M27" s="77">
        <f>IF($Z$16="old tax regime",'Exemp.(HRA+Other) &amp; Other incom'!L22,0)</f>
        <v>0</v>
      </c>
      <c r="N27" s="351" t="s">
        <v>522</v>
      </c>
      <c r="O27" s="381"/>
      <c r="P27" s="51" t="s">
        <v>121</v>
      </c>
      <c r="Q27" s="381">
        <v>0</v>
      </c>
      <c r="R27" s="766"/>
      <c r="S27" s="767"/>
      <c r="T27" s="711"/>
      <c r="U27" s="98"/>
      <c r="V27" s="448"/>
      <c r="W27" s="448"/>
      <c r="X27" s="448"/>
      <c r="Y27" s="448"/>
      <c r="Z27" s="448"/>
      <c r="AA27" s="448"/>
      <c r="AB27" s="448"/>
    </row>
    <row r="28" spans="1:28" ht="15.75" customHeight="1">
      <c r="A28" s="712"/>
      <c r="B28" s="749"/>
      <c r="C28" s="107" t="s">
        <v>98</v>
      </c>
      <c r="D28" s="761" t="str">
        <f>'Table (Income-Deduction)'!U9</f>
        <v>गृ.नि.अ. की किस्तों की वसूली/पेशाकर</v>
      </c>
      <c r="E28" s="762"/>
      <c r="F28" s="762"/>
      <c r="G28" s="51" t="s">
        <v>121</v>
      </c>
      <c r="H28" s="381">
        <f>IF('Table (Income-Deduction)'!U32='Exemp.(HRA+Other) &amp; Other incom'!L14,0,IF(Z16="old tax regime",'Table (Income-Deduction)'!U32,0))</f>
        <v>0</v>
      </c>
      <c r="I28" s="351" t="s">
        <v>99</v>
      </c>
      <c r="J28" s="673" t="str">
        <f>'Exemp.(HRA+Other) &amp; Other incom'!B23</f>
        <v>राष्ट्रीय बचत पत्र पर अदत ब्याज</v>
      </c>
      <c r="K28" s="674"/>
      <c r="L28" s="51" t="s">
        <v>121</v>
      </c>
      <c r="M28" s="77">
        <f>IF($Z$16="old tax regime",'Exemp.(HRA+Other) &amp; Other incom'!L23,0)</f>
        <v>0</v>
      </c>
      <c r="N28" s="351" t="s">
        <v>523</v>
      </c>
      <c r="O28" s="381"/>
      <c r="P28" s="51" t="s">
        <v>121</v>
      </c>
      <c r="Q28" s="381">
        <v>0</v>
      </c>
      <c r="R28" s="766"/>
      <c r="S28" s="767"/>
      <c r="T28" s="711"/>
      <c r="U28" s="98"/>
      <c r="V28" s="448"/>
      <c r="W28" s="448"/>
      <c r="X28" s="448"/>
      <c r="Y28" s="448"/>
      <c r="Z28" s="448"/>
      <c r="AA28" s="448"/>
      <c r="AB28" s="448"/>
    </row>
    <row r="29" spans="1:28" ht="15.75" customHeight="1">
      <c r="A29" s="712"/>
      <c r="B29" s="749"/>
      <c r="C29" s="107" t="s">
        <v>100</v>
      </c>
      <c r="D29" s="768" t="str">
        <f>'Table (Income-Deduction)'!V9</f>
        <v>Other-1</v>
      </c>
      <c r="E29" s="758"/>
      <c r="F29" s="758"/>
      <c r="G29" s="51" t="s">
        <v>121</v>
      </c>
      <c r="H29" s="77">
        <f>IF(Z16="old tax regime",'Table (Income-Deduction)'!V32,0)</f>
        <v>0</v>
      </c>
      <c r="I29" s="351" t="s">
        <v>101</v>
      </c>
      <c r="J29" s="673" t="str">
        <f>'Exemp.(HRA+Other) &amp; Other incom'!B24</f>
        <v>लोक भविष्य निधि (PPF)</v>
      </c>
      <c r="K29" s="674"/>
      <c r="L29" s="51" t="s">
        <v>121</v>
      </c>
      <c r="M29" s="77">
        <f>IF($Z$16="old tax regime",'Exemp.(HRA+Other) &amp; Other incom'!L24,0)</f>
        <v>0</v>
      </c>
      <c r="N29" s="351" t="s">
        <v>524</v>
      </c>
      <c r="O29" s="381"/>
      <c r="P29" s="51" t="s">
        <v>121</v>
      </c>
      <c r="Q29" s="381">
        <v>0</v>
      </c>
      <c r="R29" s="766"/>
      <c r="S29" s="767"/>
      <c r="T29" s="711"/>
      <c r="U29" s="98"/>
      <c r="V29" s="448"/>
      <c r="W29" s="448"/>
      <c r="X29" s="448"/>
      <c r="Y29" s="448"/>
      <c r="Z29" s="448"/>
      <c r="AA29" s="448"/>
      <c r="AB29" s="448"/>
    </row>
    <row r="30" spans="1:28" ht="15.75" customHeight="1">
      <c r="A30" s="712"/>
      <c r="B30" s="749"/>
      <c r="C30" s="107" t="s">
        <v>102</v>
      </c>
      <c r="D30" s="757" t="str">
        <f>'Table (Income-Deduction)'!W9</f>
        <v>Other-2</v>
      </c>
      <c r="E30" s="758"/>
      <c r="F30" s="758"/>
      <c r="G30" s="51" t="s">
        <v>121</v>
      </c>
      <c r="H30" s="77">
        <f>IF(Z16="old tax regime",'Table (Income-Deduction)'!W32,0)</f>
        <v>0</v>
      </c>
      <c r="I30" s="351" t="s">
        <v>103</v>
      </c>
      <c r="J30" s="673" t="str">
        <f>'Exemp.(HRA+Other) &amp; Other incom'!B25</f>
        <v>राष्ट्रीय बचत स्कीम (NSS)</v>
      </c>
      <c r="K30" s="674"/>
      <c r="L30" s="51" t="s">
        <v>121</v>
      </c>
      <c r="M30" s="77">
        <f>IF($Z$16="old tax regime",'Exemp.(HRA+Other) &amp; Other incom'!L25,0)</f>
        <v>0</v>
      </c>
      <c r="N30" s="351" t="s">
        <v>525</v>
      </c>
      <c r="O30" s="381"/>
      <c r="P30" s="51" t="s">
        <v>121</v>
      </c>
      <c r="Q30" s="381">
        <v>0</v>
      </c>
      <c r="R30" s="766"/>
      <c r="S30" s="767"/>
      <c r="T30" s="711"/>
      <c r="U30" s="98"/>
      <c r="V30" s="448"/>
      <c r="W30" s="448"/>
      <c r="X30" s="448"/>
      <c r="Y30" s="448"/>
      <c r="Z30" s="448"/>
      <c r="AA30" s="448"/>
      <c r="AB30" s="448"/>
    </row>
    <row r="31" spans="1:28" ht="15.75" customHeight="1">
      <c r="A31" s="712"/>
      <c r="B31" s="749"/>
      <c r="C31" s="107" t="s">
        <v>104</v>
      </c>
      <c r="D31" s="757" t="str">
        <f>'Table (Income-Deduction)'!X9</f>
        <v>Other-3</v>
      </c>
      <c r="E31" s="758"/>
      <c r="F31" s="758"/>
      <c r="G31" s="51" t="s">
        <v>121</v>
      </c>
      <c r="H31" s="76">
        <f>IF(Z16="old tax regime",'Table (Income-Deduction)'!X32,0)</f>
        <v>0</v>
      </c>
      <c r="I31" s="351" t="s">
        <v>105</v>
      </c>
      <c r="J31" s="673" t="str">
        <f>'Exemp.(HRA+Other) &amp; Other incom'!B26</f>
        <v>सुकन्या समृद्धि योजना</v>
      </c>
      <c r="K31" s="674"/>
      <c r="L31" s="51" t="s">
        <v>121</v>
      </c>
      <c r="M31" s="77">
        <f>IF($Z$16="old tax regime",'Exemp.(HRA+Other) &amp; Other incom'!L26,0)</f>
        <v>0</v>
      </c>
      <c r="N31" s="351" t="s">
        <v>526</v>
      </c>
      <c r="O31" s="381"/>
      <c r="P31" s="51" t="s">
        <v>121</v>
      </c>
      <c r="Q31" s="381">
        <v>0</v>
      </c>
      <c r="R31" s="766"/>
      <c r="S31" s="767"/>
      <c r="T31" s="711"/>
      <c r="U31" s="98"/>
      <c r="V31" s="448"/>
      <c r="W31" s="448"/>
      <c r="X31" s="448"/>
      <c r="Y31" s="448"/>
      <c r="Z31" s="448"/>
      <c r="AA31" s="448"/>
      <c r="AB31" s="448"/>
    </row>
    <row r="32" spans="1:28" ht="15.75" customHeight="1">
      <c r="A32" s="712"/>
      <c r="B32" s="749"/>
      <c r="C32" s="752" t="s">
        <v>183</v>
      </c>
      <c r="D32" s="752"/>
      <c r="E32" s="752"/>
      <c r="F32" s="752"/>
      <c r="G32" s="752"/>
      <c r="H32" s="752"/>
      <c r="I32" s="752"/>
      <c r="J32" s="752"/>
      <c r="K32" s="752"/>
      <c r="L32" s="752"/>
      <c r="M32" s="752"/>
      <c r="N32" s="350"/>
      <c r="O32" s="350"/>
      <c r="P32" s="51" t="s">
        <v>121</v>
      </c>
      <c r="Q32" s="78">
        <f>SUM(H23:H31,M23:M31,Q23:Q31)</f>
        <v>21600</v>
      </c>
      <c r="R32" s="766"/>
      <c r="S32" s="767"/>
      <c r="T32" s="711"/>
      <c r="U32" s="98"/>
      <c r="V32" s="448"/>
      <c r="W32" s="448"/>
      <c r="X32" s="448"/>
      <c r="Y32" s="448"/>
      <c r="Z32" s="448"/>
      <c r="AA32" s="448"/>
      <c r="AB32" s="448"/>
    </row>
    <row r="33" spans="1:42" ht="15.75" customHeight="1">
      <c r="A33" s="712"/>
      <c r="B33" s="749"/>
      <c r="C33" s="752" t="s">
        <v>184</v>
      </c>
      <c r="D33" s="752"/>
      <c r="E33" s="752"/>
      <c r="F33" s="752"/>
      <c r="G33" s="752"/>
      <c r="H33" s="752"/>
      <c r="I33" s="752"/>
      <c r="J33" s="752"/>
      <c r="K33" s="752"/>
      <c r="L33" s="752"/>
      <c r="M33" s="752"/>
      <c r="N33" s="752"/>
      <c r="O33" s="752"/>
      <c r="P33" s="752"/>
      <c r="Q33" s="752"/>
      <c r="R33" s="61" t="s">
        <v>121</v>
      </c>
      <c r="S33" s="74">
        <f>IF(P2="new tax regime",0,IF(Q32&gt;=150000,150000,Q32))</f>
        <v>21600</v>
      </c>
      <c r="T33" s="711"/>
      <c r="U33" s="98"/>
      <c r="V33" s="448"/>
      <c r="W33" s="448"/>
      <c r="X33" s="448"/>
      <c r="Y33" s="448"/>
      <c r="Z33" s="448"/>
      <c r="AA33" s="448"/>
      <c r="AB33" s="448"/>
    </row>
    <row r="34" spans="1:42" ht="18.75" customHeight="1">
      <c r="A34" s="712"/>
      <c r="B34" s="749"/>
      <c r="C34" s="753" t="s">
        <v>483</v>
      </c>
      <c r="D34" s="753"/>
      <c r="E34" s="753"/>
      <c r="F34" s="753"/>
      <c r="G34" s="753"/>
      <c r="H34" s="753"/>
      <c r="I34" s="753"/>
      <c r="J34" s="753"/>
      <c r="K34" s="753"/>
      <c r="L34" s="753"/>
      <c r="M34" s="753"/>
      <c r="N34" s="753"/>
      <c r="O34" s="753"/>
      <c r="P34" s="753"/>
      <c r="Q34" s="753"/>
      <c r="R34" s="49" t="s">
        <v>121</v>
      </c>
      <c r="S34" s="387">
        <v>0</v>
      </c>
      <c r="T34" s="711"/>
      <c r="U34" s="98"/>
      <c r="V34" s="448"/>
      <c r="W34" s="448"/>
      <c r="X34" s="448"/>
      <c r="Y34" s="448"/>
      <c r="Z34" s="448"/>
      <c r="AA34" s="448"/>
      <c r="AB34" s="448"/>
    </row>
    <row r="35" spans="1:42" ht="18.75" customHeight="1">
      <c r="A35" s="712"/>
      <c r="B35" s="749"/>
      <c r="C35" s="753" t="s">
        <v>484</v>
      </c>
      <c r="D35" s="753"/>
      <c r="E35" s="753"/>
      <c r="F35" s="753"/>
      <c r="G35" s="753"/>
      <c r="H35" s="753"/>
      <c r="I35" s="753"/>
      <c r="J35" s="753"/>
      <c r="K35" s="753"/>
      <c r="L35" s="753"/>
      <c r="M35" s="753"/>
      <c r="N35" s="753"/>
      <c r="O35" s="753"/>
      <c r="P35" s="753"/>
      <c r="Q35" s="753"/>
      <c r="R35" s="49" t="s">
        <v>121</v>
      </c>
      <c r="S35" s="324">
        <f>IF(P2="old tax regime",'Exemp.(HRA+Other) &amp; Other incom'!Q16,0)</f>
        <v>0</v>
      </c>
      <c r="T35" s="711"/>
      <c r="U35" s="98"/>
      <c r="V35" s="448"/>
      <c r="W35" s="448"/>
      <c r="X35" s="448"/>
      <c r="Y35" s="448"/>
      <c r="Z35" s="448"/>
      <c r="AA35" s="448"/>
      <c r="AB35" s="448"/>
    </row>
    <row r="36" spans="1:42" ht="18.75" customHeight="1">
      <c r="A36" s="712"/>
      <c r="B36" s="750"/>
      <c r="C36" s="751" t="s">
        <v>494</v>
      </c>
      <c r="D36" s="751"/>
      <c r="E36" s="751"/>
      <c r="F36" s="751"/>
      <c r="G36" s="751"/>
      <c r="H36" s="751"/>
      <c r="I36" s="751"/>
      <c r="J36" s="751"/>
      <c r="K36" s="751"/>
      <c r="L36" s="751"/>
      <c r="M36" s="751"/>
      <c r="N36" s="751"/>
      <c r="O36" s="751"/>
      <c r="P36" s="751"/>
      <c r="Q36" s="751"/>
      <c r="R36" s="51" t="s">
        <v>121</v>
      </c>
      <c r="S36" s="333">
        <f>SUM(S33:S35)</f>
        <v>21600</v>
      </c>
      <c r="T36" s="711"/>
      <c r="U36" s="98"/>
      <c r="V36" s="448"/>
      <c r="W36" s="448"/>
      <c r="X36" s="448"/>
      <c r="Y36" s="448"/>
      <c r="Z36" s="448"/>
      <c r="AA36" s="448"/>
      <c r="AB36" s="448"/>
    </row>
    <row r="37" spans="1:42" ht="15" customHeight="1">
      <c r="A37" s="712"/>
      <c r="B37" s="323">
        <v>12</v>
      </c>
      <c r="C37" s="745" t="s">
        <v>220</v>
      </c>
      <c r="D37" s="745"/>
      <c r="E37" s="745"/>
      <c r="F37" s="745"/>
      <c r="G37" s="745"/>
      <c r="H37" s="745"/>
      <c r="I37" s="745"/>
      <c r="J37" s="745"/>
      <c r="K37" s="745"/>
      <c r="L37" s="745"/>
      <c r="M37" s="745"/>
      <c r="N37" s="745"/>
      <c r="O37" s="745"/>
      <c r="P37" s="745"/>
      <c r="Q37" s="745"/>
      <c r="R37" s="49" t="s">
        <v>121</v>
      </c>
      <c r="S37" s="69">
        <f>IF(P2="old tax regime",'Exemp.(HRA+Other) &amp; Other incom'!Q17,0)</f>
        <v>0</v>
      </c>
      <c r="T37" s="711"/>
      <c r="U37" s="98"/>
      <c r="V37" s="448"/>
      <c r="W37" s="448"/>
      <c r="X37" s="448"/>
      <c r="Y37" s="448"/>
      <c r="Z37" s="448"/>
      <c r="AA37" s="448"/>
      <c r="AB37" s="448"/>
    </row>
    <row r="38" spans="1:42" ht="15" customHeight="1">
      <c r="A38" s="712"/>
      <c r="B38" s="746" t="s">
        <v>186</v>
      </c>
      <c r="C38" s="731" t="s">
        <v>191</v>
      </c>
      <c r="D38" s="731"/>
      <c r="E38" s="731"/>
      <c r="F38" s="731"/>
      <c r="G38" s="731"/>
      <c r="H38" s="731"/>
      <c r="I38" s="731"/>
      <c r="J38" s="731"/>
      <c r="K38" s="731"/>
      <c r="L38" s="731"/>
      <c r="M38" s="731"/>
      <c r="N38" s="731"/>
      <c r="O38" s="731"/>
      <c r="P38" s="731"/>
      <c r="Q38" s="731"/>
      <c r="R38" s="49" t="s">
        <v>121</v>
      </c>
      <c r="S38" s="69">
        <f>IF(P2="old tax regime",'Exemp.(HRA+Other) &amp; Other incom'!Q18,0)</f>
        <v>0</v>
      </c>
      <c r="T38" s="711"/>
      <c r="U38" s="98"/>
      <c r="V38" s="448"/>
      <c r="W38" s="448"/>
      <c r="X38" s="448"/>
      <c r="Y38" s="448"/>
      <c r="Z38" s="448"/>
      <c r="AA38" s="448"/>
      <c r="AB38" s="448"/>
    </row>
    <row r="39" spans="1:42" ht="15" customHeight="1">
      <c r="A39" s="712"/>
      <c r="B39" s="746"/>
      <c r="C39" s="731" t="s">
        <v>188</v>
      </c>
      <c r="D39" s="731"/>
      <c r="E39" s="731"/>
      <c r="F39" s="731"/>
      <c r="G39" s="731"/>
      <c r="H39" s="731"/>
      <c r="I39" s="731"/>
      <c r="J39" s="731"/>
      <c r="K39" s="731"/>
      <c r="L39" s="731"/>
      <c r="M39" s="731"/>
      <c r="N39" s="731"/>
      <c r="O39" s="731"/>
      <c r="P39" s="731"/>
      <c r="Q39" s="731"/>
      <c r="R39" s="49" t="s">
        <v>121</v>
      </c>
      <c r="S39" s="69">
        <f>IF(P2="old tax regime",'Exemp.(HRA+Other) &amp; Other incom'!Q19,0)</f>
        <v>0</v>
      </c>
      <c r="T39" s="711"/>
      <c r="U39" s="98"/>
      <c r="V39" s="448"/>
      <c r="W39" s="448"/>
      <c r="X39" s="448"/>
      <c r="Y39" s="448"/>
      <c r="Z39" s="448"/>
      <c r="AA39" s="448"/>
      <c r="AB39" s="448"/>
    </row>
    <row r="40" spans="1:42" ht="15" customHeight="1">
      <c r="A40" s="712"/>
      <c r="B40" s="746"/>
      <c r="C40" s="731" t="s">
        <v>189</v>
      </c>
      <c r="D40" s="731"/>
      <c r="E40" s="731"/>
      <c r="F40" s="731"/>
      <c r="G40" s="731"/>
      <c r="H40" s="731"/>
      <c r="I40" s="731"/>
      <c r="J40" s="731"/>
      <c r="K40" s="731"/>
      <c r="L40" s="731"/>
      <c r="M40" s="731"/>
      <c r="N40" s="731"/>
      <c r="O40" s="731"/>
      <c r="P40" s="731"/>
      <c r="Q40" s="731"/>
      <c r="R40" s="49" t="s">
        <v>121</v>
      </c>
      <c r="S40" s="69">
        <f>IF(P2="old tax regime",'Exemp.(HRA+Other) &amp; Other incom'!Q20,0)</f>
        <v>0</v>
      </c>
      <c r="T40" s="711"/>
      <c r="U40" s="98"/>
      <c r="V40" s="448"/>
      <c r="W40" s="448"/>
      <c r="X40" s="448"/>
      <c r="Y40" s="448"/>
      <c r="Z40" s="448"/>
      <c r="AA40" s="448"/>
      <c r="AB40" s="448"/>
      <c r="AG40" s="90"/>
      <c r="AH40" s="90"/>
      <c r="AI40" s="90"/>
      <c r="AJ40" s="90"/>
      <c r="AK40" s="90"/>
      <c r="AL40" s="90"/>
      <c r="AM40" s="129"/>
      <c r="AN40" s="129"/>
      <c r="AO40" s="129"/>
      <c r="AP40" s="129"/>
    </row>
    <row r="41" spans="1:42" ht="15" customHeight="1">
      <c r="A41" s="712"/>
      <c r="B41" s="746"/>
      <c r="C41" s="731" t="s">
        <v>190</v>
      </c>
      <c r="D41" s="731"/>
      <c r="E41" s="731"/>
      <c r="F41" s="731"/>
      <c r="G41" s="731"/>
      <c r="H41" s="731"/>
      <c r="I41" s="731"/>
      <c r="J41" s="731"/>
      <c r="K41" s="731"/>
      <c r="L41" s="731"/>
      <c r="M41" s="731"/>
      <c r="N41" s="731"/>
      <c r="O41" s="731"/>
      <c r="P41" s="731"/>
      <c r="Q41" s="731"/>
      <c r="R41" s="49" t="s">
        <v>121</v>
      </c>
      <c r="S41" s="69">
        <f>IF(P2="old tax regime",'Exemp.(HRA+Other) &amp; Other incom'!Q21,0)</f>
        <v>0</v>
      </c>
      <c r="T41" s="711"/>
      <c r="U41" s="98"/>
      <c r="V41" s="448"/>
      <c r="W41" s="448"/>
      <c r="X41" s="448"/>
      <c r="Y41" s="448"/>
      <c r="Z41" s="448"/>
      <c r="AA41" s="448"/>
      <c r="AB41" s="448"/>
      <c r="AG41" s="90"/>
      <c r="AH41" s="90"/>
      <c r="AI41" s="90"/>
      <c r="AJ41" s="90" t="s">
        <v>228</v>
      </c>
      <c r="AK41" s="90" t="s">
        <v>229</v>
      </c>
      <c r="AL41" s="91" t="s">
        <v>230</v>
      </c>
      <c r="AM41" s="129" t="s">
        <v>232</v>
      </c>
      <c r="AN41" s="129"/>
      <c r="AO41" s="129"/>
      <c r="AP41" s="129"/>
    </row>
    <row r="42" spans="1:42" ht="15" customHeight="1">
      <c r="A42" s="712"/>
      <c r="B42" s="746"/>
      <c r="C42" s="745" t="s">
        <v>192</v>
      </c>
      <c r="D42" s="745"/>
      <c r="E42" s="745"/>
      <c r="F42" s="745"/>
      <c r="G42" s="745"/>
      <c r="H42" s="745"/>
      <c r="I42" s="745"/>
      <c r="J42" s="745"/>
      <c r="K42" s="745"/>
      <c r="L42" s="745"/>
      <c r="M42" s="745"/>
      <c r="N42" s="745"/>
      <c r="O42" s="745"/>
      <c r="P42" s="745"/>
      <c r="Q42" s="745"/>
      <c r="R42" s="49" t="s">
        <v>121</v>
      </c>
      <c r="S42" s="69">
        <f>IF(P2="old tax regime",'Exemp.(HRA+Other) &amp; Other incom'!Q22,0)</f>
        <v>0</v>
      </c>
      <c r="T42" s="711"/>
      <c r="U42" s="98"/>
      <c r="V42" s="448"/>
      <c r="W42" s="448"/>
      <c r="X42" s="448"/>
      <c r="Y42" s="448"/>
      <c r="Z42" s="448"/>
      <c r="AA42" s="448"/>
      <c r="AB42" s="448"/>
      <c r="AG42" s="90"/>
      <c r="AH42" s="90"/>
      <c r="AI42" s="90"/>
      <c r="AJ42" s="90">
        <f>IF($S$48&gt;1000000,1,IF($S$48&gt;500000,2,IF($S$48&gt;300000,3,IF($S$48&gt;250000,4,0))))</f>
        <v>3</v>
      </c>
      <c r="AK42" s="90">
        <f>IF($S$48&gt;1000000,1,IF($S$48&gt;500000,2,IF($S$48&gt;300000,3,0)))</f>
        <v>3</v>
      </c>
      <c r="AL42" s="90">
        <f>IF($S$48&gt;1000000,1,IF($S$48&gt;500000,2,0))</f>
        <v>0</v>
      </c>
      <c r="AM42" s="129">
        <f>IF($S$48&gt;1000000,1,0)</f>
        <v>0</v>
      </c>
      <c r="AN42" s="129"/>
      <c r="AO42" s="129"/>
      <c r="AP42" s="129"/>
    </row>
    <row r="43" spans="1:42" ht="15" customHeight="1">
      <c r="A43" s="712"/>
      <c r="B43" s="746"/>
      <c r="C43" s="741" t="s">
        <v>193</v>
      </c>
      <c r="D43" s="741"/>
      <c r="E43" s="741"/>
      <c r="F43" s="741"/>
      <c r="G43" s="741"/>
      <c r="H43" s="741"/>
      <c r="I43" s="741"/>
      <c r="J43" s="741"/>
      <c r="K43" s="741"/>
      <c r="L43" s="741"/>
      <c r="M43" s="741"/>
      <c r="N43" s="741"/>
      <c r="O43" s="741"/>
      <c r="P43" s="741"/>
      <c r="Q43" s="741"/>
      <c r="R43" s="49" t="s">
        <v>121</v>
      </c>
      <c r="S43" s="69">
        <f>IF(P2="old tax regime",MAX('Exemp.(HRA+Other) &amp; Other incom'!Q13:'Exemp.(HRA+Other) &amp; Other incom'!Q14),0)</f>
        <v>0</v>
      </c>
      <c r="T43" s="711"/>
      <c r="U43" s="98"/>
      <c r="V43" s="448"/>
      <c r="W43" s="448"/>
      <c r="X43" s="448"/>
      <c r="Y43" s="448"/>
      <c r="Z43" s="448"/>
      <c r="AA43" s="448"/>
      <c r="AB43" s="448"/>
      <c r="AG43" s="90"/>
      <c r="AH43" s="90"/>
      <c r="AI43" s="90" t="s">
        <v>225</v>
      </c>
      <c r="AJ43" s="90">
        <f>IF(AJ42&gt;=3,ROUND((S48-250000)*0.05,0),IF(AJ42=0,0,12500))</f>
        <v>8177</v>
      </c>
      <c r="AK43" s="90">
        <v>0</v>
      </c>
      <c r="AL43" s="90">
        <f>IF($AL$42=2,($S$48-500000)*0.2,IF($AL$42=1,100000,0))</f>
        <v>0</v>
      </c>
      <c r="AM43" s="129">
        <f>IF($AM$42&gt;0,($S$48-1000000)*0.3,0)</f>
        <v>0</v>
      </c>
      <c r="AN43" s="129"/>
      <c r="AO43" s="129"/>
      <c r="AP43" s="129"/>
    </row>
    <row r="44" spans="1:42" ht="15" customHeight="1">
      <c r="A44" s="712"/>
      <c r="B44" s="746"/>
      <c r="C44" s="731" t="s">
        <v>194</v>
      </c>
      <c r="D44" s="731"/>
      <c r="E44" s="731"/>
      <c r="F44" s="731"/>
      <c r="G44" s="731"/>
      <c r="H44" s="731"/>
      <c r="I44" s="731"/>
      <c r="J44" s="731"/>
      <c r="K44" s="731"/>
      <c r="L44" s="731"/>
      <c r="M44" s="731"/>
      <c r="N44" s="731"/>
      <c r="O44" s="731"/>
      <c r="P44" s="731"/>
      <c r="Q44" s="731"/>
      <c r="R44" s="49" t="s">
        <v>121</v>
      </c>
      <c r="S44" s="69">
        <f>IF(P2="old tax regime",'Exemp.(HRA+Other) &amp; Other incom'!Q23,0)</f>
        <v>0</v>
      </c>
      <c r="T44" s="711"/>
      <c r="U44" s="98"/>
      <c r="V44" s="448"/>
      <c r="W44" s="448"/>
      <c r="X44" s="448"/>
      <c r="Y44" s="448"/>
      <c r="Z44" s="448"/>
      <c r="AA44" s="448"/>
      <c r="AB44" s="448"/>
      <c r="AG44" s="90"/>
      <c r="AH44" s="90"/>
      <c r="AI44" s="90" t="s">
        <v>117</v>
      </c>
      <c r="AJ44" s="91">
        <v>0</v>
      </c>
      <c r="AK44" s="90">
        <f>IF(AK42=3,ROUND((S48-300000)*0.05,0),IF(AK42=0,0,10000))</f>
        <v>5677</v>
      </c>
      <c r="AL44" s="90">
        <f>IF($AL$42=2,($S$48-500000)*0.2,IF($AL$42=1,100000,0))</f>
        <v>0</v>
      </c>
      <c r="AM44" s="129">
        <f>IF($AM$42&gt;0,($S$48-1000000)*0.3,0)</f>
        <v>0</v>
      </c>
      <c r="AN44" s="129"/>
      <c r="AO44" s="129"/>
      <c r="AP44" s="129"/>
    </row>
    <row r="45" spans="1:42" ht="18" customHeight="1" thickBot="1">
      <c r="A45" s="712"/>
      <c r="B45" s="747"/>
      <c r="C45" s="742" t="s">
        <v>195</v>
      </c>
      <c r="D45" s="742"/>
      <c r="E45" s="742"/>
      <c r="F45" s="742"/>
      <c r="G45" s="742"/>
      <c r="H45" s="742"/>
      <c r="I45" s="742"/>
      <c r="J45" s="742"/>
      <c r="K45" s="742"/>
      <c r="L45" s="742"/>
      <c r="M45" s="742"/>
      <c r="N45" s="742"/>
      <c r="O45" s="742"/>
      <c r="P45" s="742"/>
      <c r="Q45" s="742"/>
      <c r="R45" s="52" t="s">
        <v>121</v>
      </c>
      <c r="S45" s="70">
        <f>SUM(S37:S44)</f>
        <v>0</v>
      </c>
      <c r="T45" s="711"/>
      <c r="U45" s="98"/>
      <c r="V45" s="448"/>
      <c r="W45" s="448"/>
      <c r="X45" s="448"/>
      <c r="Y45" s="448"/>
      <c r="Z45" s="448"/>
      <c r="AA45" s="448"/>
      <c r="AB45" s="448"/>
      <c r="AG45" s="90"/>
      <c r="AH45" s="90"/>
      <c r="AI45" s="90" t="s">
        <v>224</v>
      </c>
      <c r="AJ45" s="91">
        <v>0</v>
      </c>
      <c r="AK45" s="91">
        <v>0</v>
      </c>
      <c r="AL45" s="90">
        <f>IF($AL$42=2,($S$48-500000)*0.2,IF($AL$42=1,100000,0))</f>
        <v>0</v>
      </c>
      <c r="AM45" s="129">
        <f>IF($AM$42&gt;0,($S$48-1000000)*0.3,0)</f>
        <v>0</v>
      </c>
      <c r="AN45" s="129"/>
      <c r="AO45" s="129"/>
      <c r="AP45" s="129"/>
    </row>
    <row r="46" spans="1:42" ht="19.5" customHeight="1" thickBot="1">
      <c r="A46" s="712"/>
      <c r="B46" s="60">
        <v>13</v>
      </c>
      <c r="C46" s="743" t="s">
        <v>196</v>
      </c>
      <c r="D46" s="743"/>
      <c r="E46" s="743"/>
      <c r="F46" s="743"/>
      <c r="G46" s="743"/>
      <c r="H46" s="743"/>
      <c r="I46" s="743"/>
      <c r="J46" s="743"/>
      <c r="K46" s="743"/>
      <c r="L46" s="743"/>
      <c r="M46" s="743"/>
      <c r="N46" s="743"/>
      <c r="O46" s="743"/>
      <c r="P46" s="743"/>
      <c r="Q46" s="743"/>
      <c r="R46" s="334" t="s">
        <v>121</v>
      </c>
      <c r="S46" s="335">
        <f>S36+S45</f>
        <v>21600</v>
      </c>
      <c r="T46" s="711"/>
      <c r="U46" s="98"/>
      <c r="V46" s="448"/>
      <c r="W46" s="448"/>
      <c r="X46" s="448"/>
      <c r="Y46" s="448"/>
      <c r="Z46" s="448"/>
      <c r="AA46" s="448"/>
      <c r="AB46" s="448"/>
      <c r="AG46" s="90"/>
      <c r="AH46" s="90"/>
      <c r="AI46" s="90"/>
      <c r="AJ46" s="90"/>
      <c r="AK46" s="90"/>
      <c r="AL46" s="90"/>
      <c r="AM46" s="129"/>
      <c r="AN46" s="129"/>
      <c r="AO46" s="129"/>
      <c r="AP46" s="129"/>
    </row>
    <row r="47" spans="1:42" ht="15.75" customHeight="1">
      <c r="A47" s="712"/>
      <c r="B47" s="99">
        <v>14</v>
      </c>
      <c r="C47" s="744" t="s">
        <v>197</v>
      </c>
      <c r="D47" s="744"/>
      <c r="E47" s="744"/>
      <c r="F47" s="744"/>
      <c r="G47" s="744"/>
      <c r="H47" s="744"/>
      <c r="I47" s="744"/>
      <c r="J47" s="744"/>
      <c r="K47" s="744"/>
      <c r="L47" s="744"/>
      <c r="M47" s="744"/>
      <c r="N47" s="744"/>
      <c r="O47" s="744"/>
      <c r="P47" s="744"/>
      <c r="Q47" s="744"/>
      <c r="R47" s="54" t="s">
        <v>121</v>
      </c>
      <c r="S47" s="72">
        <f>S20-S46</f>
        <v>413542</v>
      </c>
      <c r="T47" s="711"/>
      <c r="U47" s="98"/>
      <c r="V47" s="448"/>
      <c r="W47" s="448"/>
      <c r="X47" s="448"/>
      <c r="Y47" s="448"/>
      <c r="Z47" s="448"/>
      <c r="AA47" s="448"/>
      <c r="AB47" s="448"/>
      <c r="AG47" s="90"/>
      <c r="AH47" s="90"/>
      <c r="AI47" s="90"/>
      <c r="AJ47" s="90"/>
      <c r="AK47" s="90"/>
      <c r="AL47" s="90"/>
      <c r="AM47" s="129"/>
      <c r="AN47" s="129"/>
      <c r="AO47" s="129"/>
      <c r="AP47" s="129"/>
    </row>
    <row r="48" spans="1:42" ht="15.75" customHeight="1" thickBot="1">
      <c r="A48" s="712"/>
      <c r="B48" s="101">
        <v>15</v>
      </c>
      <c r="C48" s="713" t="s">
        <v>198</v>
      </c>
      <c r="D48" s="713"/>
      <c r="E48" s="713"/>
      <c r="F48" s="713"/>
      <c r="G48" s="713"/>
      <c r="H48" s="713"/>
      <c r="I48" s="713"/>
      <c r="J48" s="713"/>
      <c r="K48" s="713"/>
      <c r="L48" s="713"/>
      <c r="M48" s="713"/>
      <c r="N48" s="713"/>
      <c r="O48" s="713"/>
      <c r="P48" s="713"/>
      <c r="Q48" s="713"/>
      <c r="R48" s="55" t="s">
        <v>121</v>
      </c>
      <c r="S48" s="73">
        <f>ROUND(S47,-1)</f>
        <v>413540</v>
      </c>
      <c r="T48" s="711"/>
      <c r="U48" s="98"/>
      <c r="V48" s="448"/>
      <c r="W48" s="448"/>
      <c r="X48" s="448"/>
      <c r="Y48" s="448"/>
      <c r="Z48" s="448"/>
      <c r="AA48" s="448"/>
      <c r="AB48" s="448"/>
      <c r="AG48" s="90" t="str">
        <f>IF(P2="Old tax regime","A","B")</f>
        <v>A</v>
      </c>
      <c r="AH48" s="90" t="str">
        <f>'Basic Deta'!O10</f>
        <v>A</v>
      </c>
      <c r="AI48" s="90" t="str">
        <f>CONCATENATE(AG48,AH48)</f>
        <v>AA</v>
      </c>
      <c r="AJ48" s="91"/>
      <c r="AK48" s="91"/>
      <c r="AL48" s="91"/>
      <c r="AM48" s="129"/>
      <c r="AN48" s="129"/>
      <c r="AO48" s="129"/>
      <c r="AP48" s="129"/>
    </row>
    <row r="49" spans="1:42" ht="15.75" customHeight="1">
      <c r="A49" s="712"/>
      <c r="B49" s="733">
        <v>16</v>
      </c>
      <c r="C49" s="735" t="s">
        <v>199</v>
      </c>
      <c r="D49" s="735"/>
      <c r="E49" s="735"/>
      <c r="F49" s="735"/>
      <c r="G49" s="735"/>
      <c r="H49" s="735"/>
      <c r="I49" s="735"/>
      <c r="J49" s="735"/>
      <c r="K49" s="735"/>
      <c r="L49" s="735"/>
      <c r="M49" s="735"/>
      <c r="N49" s="735"/>
      <c r="O49" s="735"/>
      <c r="P49" s="735"/>
      <c r="Q49" s="735"/>
      <c r="R49" s="735"/>
      <c r="S49" s="736"/>
      <c r="T49" s="711"/>
      <c r="U49" s="98"/>
      <c r="V49" s="448"/>
      <c r="W49" s="448"/>
      <c r="X49" s="448"/>
      <c r="Y49" s="448"/>
      <c r="Z49" s="448"/>
      <c r="AA49" s="448"/>
      <c r="AB49" s="448"/>
      <c r="AG49" s="90"/>
      <c r="AH49" s="90"/>
      <c r="AI49" s="90"/>
      <c r="AJ49" s="90"/>
      <c r="AK49" s="90"/>
      <c r="AL49" s="90"/>
      <c r="AM49" s="129"/>
      <c r="AN49" s="129"/>
      <c r="AO49" s="129"/>
      <c r="AP49" s="129"/>
    </row>
    <row r="50" spans="1:42" ht="15.75" customHeight="1">
      <c r="A50" s="712"/>
      <c r="B50" s="734"/>
      <c r="C50" s="737" t="s">
        <v>200</v>
      </c>
      <c r="D50" s="737"/>
      <c r="E50" s="737"/>
      <c r="F50" s="737"/>
      <c r="G50" s="737"/>
      <c r="H50" s="737" t="s">
        <v>201</v>
      </c>
      <c r="I50" s="737"/>
      <c r="J50" s="737"/>
      <c r="K50" s="737"/>
      <c r="L50" s="737" t="s">
        <v>202</v>
      </c>
      <c r="M50" s="737"/>
      <c r="N50" s="737"/>
      <c r="O50" s="737"/>
      <c r="P50" s="737"/>
      <c r="Q50" s="737"/>
      <c r="R50" s="106"/>
      <c r="S50" s="64"/>
      <c r="T50" s="711"/>
      <c r="U50" s="98"/>
      <c r="V50" s="448"/>
      <c r="W50" s="448"/>
      <c r="X50" s="448"/>
      <c r="Y50" s="448"/>
      <c r="Z50" s="448"/>
      <c r="AA50" s="448"/>
      <c r="AB50" s="448"/>
      <c r="AG50" s="90"/>
      <c r="AH50" s="90"/>
      <c r="AI50" s="90"/>
      <c r="AJ50" s="90"/>
      <c r="AK50" s="90"/>
      <c r="AL50" s="90"/>
      <c r="AM50" s="129"/>
      <c r="AN50" s="129"/>
      <c r="AO50" s="129"/>
      <c r="AP50" s="129"/>
    </row>
    <row r="51" spans="1:42" ht="15.75" customHeight="1">
      <c r="A51" s="712"/>
      <c r="B51" s="734"/>
      <c r="C51" s="738" t="str">
        <f>IF($P$2="old tax regime","2,50,000 तक","2,50,000 तक")</f>
        <v>2,50,000 तक</v>
      </c>
      <c r="D51" s="738"/>
      <c r="E51" s="738"/>
      <c r="F51" s="738" t="s">
        <v>106</v>
      </c>
      <c r="G51" s="738"/>
      <c r="H51" s="738" t="str">
        <f>IF($P$2="old tax regime","3,00,000 तक","3,00,000 तक")</f>
        <v>3,00,000 तक</v>
      </c>
      <c r="I51" s="738"/>
      <c r="J51" s="738"/>
      <c r="K51" s="104" t="s">
        <v>106</v>
      </c>
      <c r="L51" s="738" t="str">
        <f>IF($P$2="old tax regime","----","3,00,000 तक")</f>
        <v>----</v>
      </c>
      <c r="M51" s="738"/>
      <c r="N51" s="738"/>
      <c r="O51" s="738"/>
      <c r="P51" s="738"/>
      <c r="Q51" s="104" t="str">
        <f>IF($P$2="Old tax regime","----","Nil")</f>
        <v>----</v>
      </c>
      <c r="R51" s="49" t="s">
        <v>121</v>
      </c>
      <c r="S51" s="66">
        <v>0</v>
      </c>
      <c r="T51" s="711"/>
      <c r="U51" s="98"/>
      <c r="V51" s="448"/>
      <c r="W51" s="448"/>
      <c r="X51" s="448"/>
      <c r="Y51" s="448"/>
      <c r="Z51" s="448"/>
      <c r="AA51" s="448"/>
      <c r="AB51" s="448"/>
      <c r="AG51" s="90"/>
      <c r="AH51" s="90"/>
      <c r="AI51" s="90"/>
      <c r="AJ51" s="90"/>
      <c r="AK51" s="90"/>
      <c r="AL51" s="90"/>
      <c r="AM51" s="129"/>
      <c r="AN51" s="129"/>
      <c r="AO51" s="129"/>
      <c r="AP51" s="129"/>
    </row>
    <row r="52" spans="1:42" ht="15.75" customHeight="1">
      <c r="A52" s="712"/>
      <c r="B52" s="734"/>
      <c r="C52" s="738" t="s">
        <v>107</v>
      </c>
      <c r="D52" s="738"/>
      <c r="E52" s="738"/>
      <c r="F52" s="739">
        <v>0.05</v>
      </c>
      <c r="G52" s="738"/>
      <c r="H52" s="738" t="s">
        <v>108</v>
      </c>
      <c r="I52" s="738"/>
      <c r="J52" s="738"/>
      <c r="K52" s="105">
        <v>0.05</v>
      </c>
      <c r="L52" s="738" t="str">
        <f>IF($P$2="old tax regime","5,00,000 तक","3,00,001-5,00,000")</f>
        <v>5,00,000 तक</v>
      </c>
      <c r="M52" s="738"/>
      <c r="N52" s="738"/>
      <c r="O52" s="738"/>
      <c r="P52" s="738"/>
      <c r="Q52" s="104" t="str">
        <f>IF(P2="Old tax regime","Nil","5%")</f>
        <v>Nil</v>
      </c>
      <c r="R52" s="49" t="s">
        <v>121</v>
      </c>
      <c r="S52" s="67">
        <f>IF($AI$48="AA",AJ43,IF($AI$48="AB",AK44,IF($AI$48="BA",AJ55,IF($AI$48="BB",AK56,IF($AI$48="BC",AK57,0)))))</f>
        <v>8177</v>
      </c>
      <c r="T52" s="711"/>
      <c r="U52" s="98"/>
      <c r="V52" s="448"/>
      <c r="W52" s="448"/>
      <c r="X52" s="448"/>
      <c r="Y52" s="448"/>
      <c r="Z52" s="448"/>
      <c r="AA52" s="448"/>
      <c r="AB52" s="448"/>
      <c r="AG52" s="90"/>
      <c r="AH52" s="90"/>
      <c r="AI52" s="90"/>
      <c r="AJ52" s="90"/>
      <c r="AK52" s="90"/>
      <c r="AL52" s="90"/>
      <c r="AM52" s="129"/>
      <c r="AN52" s="129"/>
      <c r="AO52" s="129"/>
      <c r="AP52" s="129"/>
    </row>
    <row r="53" spans="1:42" ht="15.75" customHeight="1">
      <c r="A53" s="712"/>
      <c r="B53" s="734"/>
      <c r="C53" s="738" t="str">
        <f>IF($P$2="old tax regime","5,00,001-10,00,000","5,00,001-7,50,000")</f>
        <v>5,00,001-10,00,000</v>
      </c>
      <c r="D53" s="738"/>
      <c r="E53" s="738"/>
      <c r="F53" s="739" t="str">
        <f>IF(P2="Old tax regime","20%","10%")</f>
        <v>20%</v>
      </c>
      <c r="G53" s="738"/>
      <c r="H53" s="738" t="str">
        <f>IF($P$2="old tax regime","5,00,001-10,00,000","5,00,001-7,50,000")</f>
        <v>5,00,001-10,00,000</v>
      </c>
      <c r="I53" s="738"/>
      <c r="J53" s="738"/>
      <c r="K53" s="105" t="str">
        <f>IF(P2="Old tax regime","20%","10%")</f>
        <v>20%</v>
      </c>
      <c r="L53" s="738" t="str">
        <f>IF($P$2="old tax regime","5,00,001-10,00,000","5,00,001-7,50,000")</f>
        <v>5,00,001-10,00,000</v>
      </c>
      <c r="M53" s="738"/>
      <c r="N53" s="738"/>
      <c r="O53" s="738"/>
      <c r="P53" s="738"/>
      <c r="Q53" s="105" t="str">
        <f>IF(P2="Old tax regime","20%","10%")</f>
        <v>20%</v>
      </c>
      <c r="R53" s="49" t="s">
        <v>121</v>
      </c>
      <c r="S53" s="67">
        <f>IF($AI$48="AA",AL43,IF($AI$48="AB",AL44,IF($AI$48="AC",AL45,IF($AI$48="BA",AL55,IF($AI$48="BB",AL56,IF($AI$48="BC",AL57,0))))))</f>
        <v>0</v>
      </c>
      <c r="T53" s="711"/>
      <c r="U53" s="98"/>
      <c r="V53" s="448"/>
      <c r="W53" s="448"/>
      <c r="X53" s="448"/>
      <c r="Y53" s="448"/>
      <c r="Z53" s="448"/>
      <c r="AA53" s="448"/>
      <c r="AB53" s="448"/>
      <c r="AG53" s="90"/>
      <c r="AH53" s="90"/>
      <c r="AI53" s="90"/>
      <c r="AJ53" s="90" t="s">
        <v>228</v>
      </c>
      <c r="AK53" s="90" t="s">
        <v>229</v>
      </c>
      <c r="AL53" s="91" t="s">
        <v>230</v>
      </c>
      <c r="AM53" s="129" t="s">
        <v>231</v>
      </c>
      <c r="AN53" s="129" t="s">
        <v>232</v>
      </c>
      <c r="AO53" s="129" t="s">
        <v>233</v>
      </c>
      <c r="AP53" s="129" t="s">
        <v>234</v>
      </c>
    </row>
    <row r="54" spans="1:42" ht="15.75" customHeight="1">
      <c r="A54" s="712"/>
      <c r="B54" s="734"/>
      <c r="C54" s="738" t="str">
        <f>IF($P$2="old tax regime","10,00,000 से अधिक","7,50,001-10,00,000")</f>
        <v>10,00,000 से अधिक</v>
      </c>
      <c r="D54" s="738"/>
      <c r="E54" s="738"/>
      <c r="F54" s="739" t="str">
        <f>IF(P2="Old tax regime","30%","15%")</f>
        <v>30%</v>
      </c>
      <c r="G54" s="738"/>
      <c r="H54" s="738" t="str">
        <f>IF($P$2="old tax regime","10,00,000 से अधिक","7,50,001-10,00,000")</f>
        <v>10,00,000 से अधिक</v>
      </c>
      <c r="I54" s="738"/>
      <c r="J54" s="738"/>
      <c r="K54" s="105" t="str">
        <f>IF(P2="Old tax regime","30%","15%")</f>
        <v>30%</v>
      </c>
      <c r="L54" s="738" t="str">
        <f>IF($P$2="old tax regime","10,00,000 से अधिक","7,50,001-10,00,000")</f>
        <v>10,00,000 से अधिक</v>
      </c>
      <c r="M54" s="738"/>
      <c r="N54" s="738"/>
      <c r="O54" s="738"/>
      <c r="P54" s="738"/>
      <c r="Q54" s="105" t="str">
        <f>IF(P2="Old tax regime","30%","15%")</f>
        <v>30%</v>
      </c>
      <c r="R54" s="49" t="s">
        <v>121</v>
      </c>
      <c r="S54" s="67">
        <f>IF($AI$48="AA",AM43,IF($AI$48="AB",AM44,IF($AI$48="AC",AM45,IF($AI$48="BA",AM55,IF($AI$48="BB",AM56,IF($AI$48="BC",AM57,0))))))</f>
        <v>0</v>
      </c>
      <c r="T54" s="711"/>
      <c r="U54" s="98"/>
      <c r="V54" s="448"/>
      <c r="W54" s="448"/>
      <c r="X54" s="448"/>
      <c r="Y54" s="448"/>
      <c r="Z54" s="448"/>
      <c r="AA54" s="448"/>
      <c r="AB54" s="448"/>
      <c r="AG54" s="90"/>
      <c r="AH54" s="90"/>
      <c r="AI54" s="90"/>
      <c r="AJ54" s="90">
        <f>IF($S$48&gt;1500000,1,IF($S$48&gt;1250000,2,IF($S$48&gt;1000000,3,IF($S$48&gt;750000,4,IF($S$48&gt;500000,5,IF($S$48&gt;300000,6,IF($S$48&gt;250000,7,0)))))))</f>
        <v>6</v>
      </c>
      <c r="AK54" s="90">
        <f>IF($S$48&gt;1500000,1,IF($S$48&gt;1250000,2,IF($S$48&gt;1000000,3,IF($S$48&gt;750000,4,IF($S$48&gt;500000,5,IF($S$48&gt;300000,6,0))))))</f>
        <v>6</v>
      </c>
      <c r="AL54" s="90">
        <f>IF($S$48&gt;1500000,1,IF($S$48&gt;1250000,2,IF($S$48&gt;1000000,3,IF($S$48&gt;750000,4,IF($S$48&gt;500000,5,0)))))</f>
        <v>0</v>
      </c>
      <c r="AM54" s="129">
        <f>IF($S$48&gt;1500000,1,IF($S$48&gt;1250000,2,IF($S$48&gt;1000000,3,IF($S$48&gt;750000,4,0))))</f>
        <v>0</v>
      </c>
      <c r="AN54" s="129">
        <f>IF($S$48&gt;1500000,1,IF($S$48&gt;1250000,2,IF($S$48&gt;1000000,3,0)))</f>
        <v>0</v>
      </c>
      <c r="AO54" s="129">
        <f>IF($S$48&gt;1500000,1,IF($S$48&gt;1250000,2,0))</f>
        <v>0</v>
      </c>
      <c r="AP54" s="129">
        <f>IF($S$48&gt;1500000,1,0)</f>
        <v>0</v>
      </c>
    </row>
    <row r="55" spans="1:42" ht="15.75" customHeight="1">
      <c r="A55" s="712"/>
      <c r="B55" s="734"/>
      <c r="C55" s="738" t="str">
        <f>IF($P$2="old tax regime","----","10,00,001-12,50,000")</f>
        <v>----</v>
      </c>
      <c r="D55" s="738"/>
      <c r="E55" s="738"/>
      <c r="F55" s="739" t="str">
        <f>IF(P2="Old tax regime","----","20%")</f>
        <v>----</v>
      </c>
      <c r="G55" s="738"/>
      <c r="H55" s="738" t="str">
        <f>IF($P$2="old tax regime","----","10,00,001-12,50,000")</f>
        <v>----</v>
      </c>
      <c r="I55" s="738"/>
      <c r="J55" s="738"/>
      <c r="K55" s="105" t="str">
        <f>IF(P2="Old tax regime","----","20%")</f>
        <v>----</v>
      </c>
      <c r="L55" s="738" t="str">
        <f>IF($P$2="old tax regime","----","10,00,001-12,50,000")</f>
        <v>----</v>
      </c>
      <c r="M55" s="738"/>
      <c r="N55" s="738"/>
      <c r="O55" s="738"/>
      <c r="P55" s="738"/>
      <c r="Q55" s="105" t="str">
        <f>IF(P2="Old tax regime","----","20%")</f>
        <v>----</v>
      </c>
      <c r="R55" s="49" t="s">
        <v>121</v>
      </c>
      <c r="S55" s="66">
        <f>IF($AG$48="a",0,AN55)</f>
        <v>0</v>
      </c>
      <c r="T55" s="711"/>
      <c r="U55" s="98"/>
      <c r="V55" s="448"/>
      <c r="W55" s="448"/>
      <c r="X55" s="448"/>
      <c r="Y55" s="448"/>
      <c r="Z55" s="448"/>
      <c r="AA55" s="448"/>
      <c r="AB55" s="448"/>
      <c r="AG55" s="90"/>
      <c r="AH55" s="90"/>
      <c r="AI55" s="90" t="s">
        <v>225</v>
      </c>
      <c r="AJ55" s="90">
        <f>IF(AJ54&gt;=6,ROUND(($S$48-250000)*0.05,0),IF(AJ54=0,0,12500))</f>
        <v>8177</v>
      </c>
      <c r="AK55" s="90">
        <v>0</v>
      </c>
      <c r="AL55" s="90">
        <f>IF($AL$54=5,ROUND(($S$48-500000)*0.1,0),IF($AL$54&lt;=4,IF($AL$54=0,0,25000)))</f>
        <v>0</v>
      </c>
      <c r="AM55" s="129">
        <f>IF($AM$54=4,ROUND(($S$48-750000)*0.15,0),IF($AM$54&lt;=3,IF($AM$54=0,0,37500)))</f>
        <v>0</v>
      </c>
      <c r="AN55" s="129">
        <f>IF($AN$54=3,ROUND(($S$48-1000000)*0.2,0),IF($AN$54&lt;=2,IF($AN$54=0,0,50000)))</f>
        <v>0</v>
      </c>
      <c r="AO55" s="129">
        <f>IF($AO$54=2,ROUND(($S$48-1250000)*0.25,0),IF($AO$54&lt;=1,IF($AO$54=0,0,62500)))</f>
        <v>0</v>
      </c>
      <c r="AP55" s="129">
        <f>IF($AP$54&gt;0,ROUND(($S$48-1500000)*0.3,0),0)</f>
        <v>0</v>
      </c>
    </row>
    <row r="56" spans="1:42" ht="15.75" customHeight="1">
      <c r="A56" s="712"/>
      <c r="B56" s="734"/>
      <c r="C56" s="738" t="str">
        <f>IF($P$2="old tax regime","----","12,50,001-15,00,000")</f>
        <v>----</v>
      </c>
      <c r="D56" s="738"/>
      <c r="E56" s="738"/>
      <c r="F56" s="739" t="str">
        <f>IF(P2="Old tax regime","----","25%")</f>
        <v>----</v>
      </c>
      <c r="G56" s="738"/>
      <c r="H56" s="738" t="str">
        <f>IF($P$2="old tax regime","----","12,50,001-15,00,000")</f>
        <v>----</v>
      </c>
      <c r="I56" s="738"/>
      <c r="J56" s="738"/>
      <c r="K56" s="105" t="str">
        <f>IF(P2="Old tax regime","----","25%")</f>
        <v>----</v>
      </c>
      <c r="L56" s="738" t="str">
        <f>IF($P$2="old tax regime","----","12,50,001-15,00,000")</f>
        <v>----</v>
      </c>
      <c r="M56" s="738"/>
      <c r="N56" s="738"/>
      <c r="O56" s="738"/>
      <c r="P56" s="738"/>
      <c r="Q56" s="105" t="str">
        <f>IF(P2="Old tax regime","----","25%")</f>
        <v>----</v>
      </c>
      <c r="R56" s="49" t="s">
        <v>121</v>
      </c>
      <c r="S56" s="66">
        <f>IF($AG$48="a",0,AO55)</f>
        <v>0</v>
      </c>
      <c r="T56" s="711"/>
      <c r="U56" s="98"/>
      <c r="V56" s="448"/>
      <c r="W56" s="448"/>
      <c r="X56" s="448"/>
      <c r="Y56" s="448"/>
      <c r="Z56" s="448"/>
      <c r="AA56" s="448"/>
      <c r="AB56" s="448"/>
      <c r="AG56" s="90"/>
      <c r="AH56" s="90"/>
      <c r="AI56" s="90" t="s">
        <v>117</v>
      </c>
      <c r="AJ56" s="90">
        <v>0</v>
      </c>
      <c r="AK56" s="90">
        <f>IF(AK54=6,ROUND(($S$48-300000)*0.05,0),IF(AK54=0,0,10000))</f>
        <v>5677</v>
      </c>
      <c r="AL56" s="90">
        <f>IF($AL$54=5,ROUND(($S$48-500000)*0.1,0),IF($AL$54&lt;=4,IF($AL$54=0,0,25000)))</f>
        <v>0</v>
      </c>
      <c r="AM56" s="129">
        <f>IF($AM$54=4,ROUND(($S$48-750000)*0.15,0),IF($AM$54&lt;=3,IF($AM$54=0,0,37500)))</f>
        <v>0</v>
      </c>
      <c r="AN56" s="129">
        <f>IF($AN$54=3,ROUND(($S$48-1000000)*0.2,0),IF($AN$54&lt;=2,IF($AN$54=0,0,50000)))</f>
        <v>0</v>
      </c>
      <c r="AO56" s="129">
        <f>IF($AO$54=2,ROUND(($S$48-1250000)*0.25,0),IF($AO$54&lt;=1,IF($AO$54=0,0,62500)))</f>
        <v>0</v>
      </c>
      <c r="AP56" s="129">
        <f>IF($AP$54&gt;0,ROUND(($S$48-1500000)*0.3,0),0)</f>
        <v>0</v>
      </c>
    </row>
    <row r="57" spans="1:42" ht="15.75" customHeight="1">
      <c r="A57" s="712"/>
      <c r="B57" s="734"/>
      <c r="C57" s="738" t="str">
        <f>IF($P$2="old tax regime","----","15,00,000 से अधिक")</f>
        <v>----</v>
      </c>
      <c r="D57" s="738"/>
      <c r="E57" s="738"/>
      <c r="F57" s="739" t="str">
        <f>IF(P2="Old tax regime","----","30%")</f>
        <v>----</v>
      </c>
      <c r="G57" s="738"/>
      <c r="H57" s="738" t="str">
        <f>IF($P$2="old tax regime","----","15,00,000 से अधिक")</f>
        <v>----</v>
      </c>
      <c r="I57" s="738"/>
      <c r="J57" s="738"/>
      <c r="K57" s="105" t="str">
        <f>IF(P2="Old tax regime","----","30%")</f>
        <v>----</v>
      </c>
      <c r="L57" s="738" t="str">
        <f>IF($P$2="old tax regime","----","15,00,000 से अधिक")</f>
        <v>----</v>
      </c>
      <c r="M57" s="738"/>
      <c r="N57" s="738"/>
      <c r="O57" s="738"/>
      <c r="P57" s="738"/>
      <c r="Q57" s="105" t="str">
        <f>IF(P2="Old tax regime","----","30%")</f>
        <v>----</v>
      </c>
      <c r="R57" s="49" t="s">
        <v>121</v>
      </c>
      <c r="S57" s="66">
        <f>IF($AG$48="a",0,AP55)</f>
        <v>0</v>
      </c>
      <c r="T57" s="711"/>
      <c r="U57" s="98"/>
      <c r="V57" s="448"/>
      <c r="W57" s="448"/>
      <c r="X57" s="448"/>
      <c r="Y57" s="448"/>
      <c r="Z57" s="448"/>
      <c r="AA57" s="448"/>
      <c r="AB57" s="448"/>
      <c r="AG57" s="90"/>
      <c r="AH57" s="90"/>
      <c r="AI57" s="90" t="s">
        <v>224</v>
      </c>
      <c r="AJ57" s="90">
        <v>0</v>
      </c>
      <c r="AK57" s="90">
        <f>IF(AK54=6,ROUND(($S$48-300000)*0.05,0),IF(AK54=0,0,10000))</f>
        <v>5677</v>
      </c>
      <c r="AL57" s="90">
        <f>IF($AL$54=5,ROUND(($S$48-500000)*0.1,0),IF($AL$54&lt;=4,IF($AL$54=0,0,25000)))</f>
        <v>0</v>
      </c>
      <c r="AM57" s="129">
        <f>IF($AM$54=4,ROUND(($S$48-750000)*0.15,0),IF($AM$54&lt;=3,IF($AM$54=0,0,37500)))</f>
        <v>0</v>
      </c>
      <c r="AN57" s="129">
        <f>IF($AN$54=3,ROUND(($S$48-1000000)*0.2,0),IF($AN$54&lt;=2,IF($AN$54=0,0,50000)))</f>
        <v>0</v>
      </c>
      <c r="AO57" s="129">
        <f>IF($AO$54=2,ROUND(($S$48-1250000)*0.25,0),IF($AO$54&lt;=1,IF($AO$54=0,0,62500)))</f>
        <v>0</v>
      </c>
      <c r="AP57" s="129">
        <f>IF($AP$54&gt;0,ROUND(($S$48-1500000)*0.3,0),0)</f>
        <v>0</v>
      </c>
    </row>
    <row r="58" spans="1:42" ht="15.75" customHeight="1">
      <c r="A58" s="712"/>
      <c r="B58" s="734"/>
      <c r="C58" s="726" t="s">
        <v>203</v>
      </c>
      <c r="D58" s="726"/>
      <c r="E58" s="726"/>
      <c r="F58" s="726"/>
      <c r="G58" s="726"/>
      <c r="H58" s="726"/>
      <c r="I58" s="726"/>
      <c r="J58" s="726"/>
      <c r="K58" s="726"/>
      <c r="L58" s="726"/>
      <c r="M58" s="726"/>
      <c r="N58" s="726"/>
      <c r="O58" s="726"/>
      <c r="P58" s="726"/>
      <c r="Q58" s="726"/>
      <c r="R58" s="49" t="s">
        <v>121</v>
      </c>
      <c r="S58" s="68">
        <f>SUM(S51:S57)</f>
        <v>8177</v>
      </c>
      <c r="T58" s="711"/>
      <c r="U58" s="98"/>
      <c r="V58" s="448"/>
      <c r="W58" s="448"/>
      <c r="X58" s="448"/>
      <c r="Y58" s="448"/>
      <c r="Z58" s="448"/>
      <c r="AA58" s="448"/>
      <c r="AB58" s="448"/>
    </row>
    <row r="59" spans="1:42" ht="15.75" customHeight="1">
      <c r="A59" s="712"/>
      <c r="B59" s="734"/>
      <c r="C59" s="740" t="s">
        <v>204</v>
      </c>
      <c r="D59" s="740"/>
      <c r="E59" s="740"/>
      <c r="F59" s="740"/>
      <c r="G59" s="740"/>
      <c r="H59" s="740"/>
      <c r="I59" s="740"/>
      <c r="J59" s="740"/>
      <c r="K59" s="740"/>
      <c r="L59" s="740"/>
      <c r="M59" s="740"/>
      <c r="N59" s="740"/>
      <c r="O59" s="740"/>
      <c r="P59" s="740"/>
      <c r="Q59" s="740"/>
      <c r="R59" s="49" t="s">
        <v>121</v>
      </c>
      <c r="S59" s="67">
        <f>IF(S48&lt;=500000,S52,0)</f>
        <v>8177</v>
      </c>
      <c r="T59" s="711"/>
      <c r="U59" s="98"/>
      <c r="V59" s="448"/>
      <c r="W59" s="448"/>
      <c r="X59" s="448"/>
      <c r="Y59" s="448"/>
      <c r="Z59" s="448"/>
      <c r="AA59" s="448"/>
      <c r="AB59" s="448"/>
    </row>
    <row r="60" spans="1:42" ht="15.75" customHeight="1">
      <c r="A60" s="712"/>
      <c r="B60" s="734"/>
      <c r="C60" s="726" t="s">
        <v>205</v>
      </c>
      <c r="D60" s="726"/>
      <c r="E60" s="726"/>
      <c r="F60" s="726"/>
      <c r="G60" s="726"/>
      <c r="H60" s="726"/>
      <c r="I60" s="726"/>
      <c r="J60" s="726"/>
      <c r="K60" s="726"/>
      <c r="L60" s="726"/>
      <c r="M60" s="726"/>
      <c r="N60" s="726"/>
      <c r="O60" s="726"/>
      <c r="P60" s="726"/>
      <c r="Q60" s="726"/>
      <c r="R60" s="49" t="s">
        <v>121</v>
      </c>
      <c r="S60" s="68">
        <f>S58-S59</f>
        <v>0</v>
      </c>
      <c r="T60" s="711"/>
      <c r="U60" s="98"/>
      <c r="V60" s="448"/>
      <c r="W60" s="448"/>
      <c r="X60" s="448"/>
      <c r="Y60" s="448"/>
      <c r="Z60" s="448"/>
      <c r="AA60" s="448"/>
      <c r="AB60" s="448"/>
    </row>
    <row r="61" spans="1:42" ht="15.75" customHeight="1">
      <c r="A61" s="712"/>
      <c r="B61" s="734"/>
      <c r="C61" s="727" t="s">
        <v>206</v>
      </c>
      <c r="D61" s="727"/>
      <c r="E61" s="727"/>
      <c r="F61" s="727"/>
      <c r="G61" s="727"/>
      <c r="H61" s="727"/>
      <c r="I61" s="727"/>
      <c r="J61" s="727"/>
      <c r="K61" s="727"/>
      <c r="L61" s="727"/>
      <c r="M61" s="727"/>
      <c r="N61" s="727"/>
      <c r="O61" s="727"/>
      <c r="P61" s="727"/>
      <c r="Q61" s="727"/>
      <c r="R61" s="49" t="s">
        <v>121</v>
      </c>
      <c r="S61" s="67">
        <f>ROUND(S60*0.04,0)</f>
        <v>0</v>
      </c>
      <c r="T61" s="711"/>
      <c r="U61" s="98"/>
      <c r="V61" s="448"/>
      <c r="W61" s="448"/>
      <c r="X61" s="448"/>
      <c r="Y61" s="448"/>
      <c r="Z61" s="448"/>
      <c r="AA61" s="448"/>
      <c r="AB61" s="448"/>
    </row>
    <row r="62" spans="1:42" ht="15.75" customHeight="1">
      <c r="A62" s="712"/>
      <c r="B62" s="734"/>
      <c r="C62" s="728" t="s">
        <v>207</v>
      </c>
      <c r="D62" s="729"/>
      <c r="E62" s="729"/>
      <c r="F62" s="729"/>
      <c r="G62" s="729"/>
      <c r="H62" s="729"/>
      <c r="I62" s="729"/>
      <c r="J62" s="729"/>
      <c r="K62" s="729"/>
      <c r="L62" s="729"/>
      <c r="M62" s="729"/>
      <c r="N62" s="729"/>
      <c r="O62" s="729"/>
      <c r="P62" s="729"/>
      <c r="Q62" s="730"/>
      <c r="R62" s="49" t="s">
        <v>121</v>
      </c>
      <c r="S62" s="68">
        <f>S60+S61</f>
        <v>0</v>
      </c>
      <c r="T62" s="711"/>
      <c r="U62" s="98"/>
      <c r="V62" s="448"/>
      <c r="W62" s="448"/>
      <c r="X62" s="448"/>
      <c r="Y62" s="448"/>
      <c r="Z62" s="448"/>
      <c r="AA62" s="448"/>
      <c r="AB62" s="448"/>
    </row>
    <row r="63" spans="1:42" ht="15.75" customHeight="1">
      <c r="A63" s="712"/>
      <c r="B63" s="100">
        <v>17</v>
      </c>
      <c r="C63" s="731" t="s">
        <v>208</v>
      </c>
      <c r="D63" s="731"/>
      <c r="E63" s="731"/>
      <c r="F63" s="731"/>
      <c r="G63" s="731"/>
      <c r="H63" s="731"/>
      <c r="I63" s="731"/>
      <c r="J63" s="731"/>
      <c r="K63" s="731"/>
      <c r="L63" s="731"/>
      <c r="M63" s="731"/>
      <c r="N63" s="731"/>
      <c r="O63" s="731"/>
      <c r="P63" s="731"/>
      <c r="Q63" s="731"/>
      <c r="R63" s="49" t="s">
        <v>121</v>
      </c>
      <c r="S63" s="67">
        <f>'Exemp.(HRA+Other) &amp; Other incom'!Q26</f>
        <v>0</v>
      </c>
      <c r="T63" s="711"/>
      <c r="U63" s="98"/>
      <c r="V63" s="448"/>
      <c r="W63" s="448"/>
      <c r="X63" s="448"/>
      <c r="Y63" s="448"/>
      <c r="Z63" s="448"/>
      <c r="AA63" s="448"/>
      <c r="AB63" s="448"/>
    </row>
    <row r="64" spans="1:42" ht="15.75" customHeight="1">
      <c r="A64" s="712"/>
      <c r="B64" s="718">
        <v>18</v>
      </c>
      <c r="C64" s="732" t="s">
        <v>209</v>
      </c>
      <c r="D64" s="732"/>
      <c r="E64" s="732"/>
      <c r="F64" s="732"/>
      <c r="G64" s="732"/>
      <c r="H64" s="732"/>
      <c r="I64" s="732"/>
      <c r="J64" s="732"/>
      <c r="K64" s="732"/>
      <c r="L64" s="732"/>
      <c r="M64" s="732"/>
      <c r="N64" s="732"/>
      <c r="O64" s="732"/>
      <c r="P64" s="732"/>
      <c r="Q64" s="732"/>
      <c r="R64" s="49" t="s">
        <v>121</v>
      </c>
      <c r="S64" s="68">
        <f>S62-S63</f>
        <v>0</v>
      </c>
      <c r="T64" s="711"/>
      <c r="U64" s="98"/>
      <c r="V64" s="448"/>
      <c r="W64" s="448"/>
      <c r="X64" s="448"/>
      <c r="Y64" s="448"/>
      <c r="Z64" s="448"/>
      <c r="AA64" s="448"/>
      <c r="AB64" s="448"/>
    </row>
    <row r="65" spans="1:32" ht="15.75" customHeight="1" thickBot="1">
      <c r="A65" s="712"/>
      <c r="B65" s="719"/>
      <c r="C65" s="713" t="s">
        <v>210</v>
      </c>
      <c r="D65" s="713"/>
      <c r="E65" s="713"/>
      <c r="F65" s="713"/>
      <c r="G65" s="713"/>
      <c r="H65" s="713"/>
      <c r="I65" s="713"/>
      <c r="J65" s="713"/>
      <c r="K65" s="713"/>
      <c r="L65" s="713"/>
      <c r="M65" s="713"/>
      <c r="N65" s="713"/>
      <c r="O65" s="713"/>
      <c r="P65" s="713"/>
      <c r="Q65" s="713"/>
      <c r="R65" s="53" t="s">
        <v>121</v>
      </c>
      <c r="S65" s="65">
        <f>ROUND(S64,-1)</f>
        <v>0</v>
      </c>
      <c r="T65" s="711"/>
      <c r="U65" s="98"/>
      <c r="V65" s="448"/>
      <c r="W65" s="448"/>
      <c r="X65" s="448"/>
      <c r="Y65" s="448"/>
      <c r="Z65" s="448"/>
      <c r="AA65" s="448"/>
      <c r="AB65" s="448"/>
    </row>
    <row r="66" spans="1:32" ht="93.75" customHeight="1">
      <c r="A66" s="712"/>
      <c r="B66" s="717">
        <v>19</v>
      </c>
      <c r="C66" s="714" t="s">
        <v>153</v>
      </c>
      <c r="D66" s="720" t="s">
        <v>211</v>
      </c>
      <c r="E66" s="720"/>
      <c r="F66" s="720" t="s">
        <v>212</v>
      </c>
      <c r="G66" s="720"/>
      <c r="H66" s="720"/>
      <c r="I66" s="102" t="s">
        <v>213</v>
      </c>
      <c r="J66" s="349" t="s">
        <v>529</v>
      </c>
      <c r="K66" s="682" t="s">
        <v>530</v>
      </c>
      <c r="L66" s="676"/>
      <c r="M66" s="679" t="s">
        <v>528</v>
      </c>
      <c r="N66" s="680"/>
      <c r="O66" s="385" t="s">
        <v>217</v>
      </c>
      <c r="P66" s="675" t="s">
        <v>218</v>
      </c>
      <c r="Q66" s="676"/>
      <c r="R66" s="724" t="s">
        <v>219</v>
      </c>
      <c r="S66" s="725"/>
      <c r="T66" s="711"/>
      <c r="U66" s="98"/>
      <c r="V66" s="448"/>
      <c r="W66" s="448"/>
      <c r="X66" s="448"/>
      <c r="Y66" s="448"/>
      <c r="Z66" s="448"/>
      <c r="AA66" s="448"/>
      <c r="AB66" s="448"/>
    </row>
    <row r="67" spans="1:32" s="10" customFormat="1" ht="15" customHeight="1">
      <c r="A67" s="712"/>
      <c r="B67" s="718"/>
      <c r="C67" s="715"/>
      <c r="D67" s="721">
        <f>SUM('Table (Income-Deduction)'!AC10:AC12)</f>
        <v>0</v>
      </c>
      <c r="E67" s="721"/>
      <c r="F67" s="721">
        <f>SUM('Table (Income-Deduction)'!AC13:AC15)</f>
        <v>0</v>
      </c>
      <c r="G67" s="721"/>
      <c r="H67" s="721"/>
      <c r="I67" s="103">
        <f>SUM('Table (Income-Deduction)'!AC16:AC18)</f>
        <v>0</v>
      </c>
      <c r="J67" s="103">
        <f>'Table (Income-Deduction)'!AC19</f>
        <v>0</v>
      </c>
      <c r="K67" s="681">
        <f>'Table (Income-Deduction)'!AC20</f>
        <v>0</v>
      </c>
      <c r="L67" s="678"/>
      <c r="M67" s="681">
        <f>'Table (Income-Deduction)'!AC21</f>
        <v>0</v>
      </c>
      <c r="N67" s="678"/>
      <c r="O67" s="386">
        <f>SUM('Table (Income-Deduction)'!AC22:AC31)</f>
        <v>0</v>
      </c>
      <c r="P67" s="677">
        <f>'Basic Deta'!N19</f>
        <v>0</v>
      </c>
      <c r="Q67" s="678"/>
      <c r="R67" s="85" t="s">
        <v>121</v>
      </c>
      <c r="S67" s="86">
        <f>SUM(D67:P67)</f>
        <v>0</v>
      </c>
      <c r="T67" s="711"/>
      <c r="U67" s="98"/>
      <c r="V67" s="448"/>
      <c r="W67" s="448"/>
      <c r="X67" s="448"/>
      <c r="Y67" s="448"/>
      <c r="Z67" s="448"/>
      <c r="AA67" s="448"/>
      <c r="AB67" s="448"/>
      <c r="AC67" s="454"/>
      <c r="AD67" s="129"/>
      <c r="AE67" s="129"/>
      <c r="AF67" s="129"/>
    </row>
    <row r="68" spans="1:32" ht="20.25" customHeight="1" thickBot="1">
      <c r="A68" s="712"/>
      <c r="B68" s="719"/>
      <c r="C68" s="716"/>
      <c r="D68" s="722" t="s">
        <v>120</v>
      </c>
      <c r="E68" s="722"/>
      <c r="F68" s="722"/>
      <c r="G68" s="722"/>
      <c r="H68" s="722"/>
      <c r="I68" s="722"/>
      <c r="J68" s="722"/>
      <c r="K68" s="722"/>
      <c r="L68" s="723" t="str">
        <f>IF(S67&gt;S65,"(Refundable)","(Payble)")</f>
        <v>(Payble)</v>
      </c>
      <c r="M68" s="723"/>
      <c r="N68" s="723"/>
      <c r="O68" s="723"/>
      <c r="P68" s="723"/>
      <c r="Q68" s="723"/>
      <c r="R68" s="53" t="s">
        <v>121</v>
      </c>
      <c r="S68" s="65">
        <f>S67-S65</f>
        <v>0</v>
      </c>
      <c r="T68" s="711"/>
      <c r="U68" s="98"/>
      <c r="V68" s="448"/>
      <c r="W68" s="448"/>
      <c r="X68" s="448"/>
      <c r="Y68" s="448"/>
      <c r="Z68" s="448"/>
      <c r="AA68" s="448"/>
      <c r="AB68" s="448"/>
    </row>
    <row r="69" spans="1:32" ht="9.75" customHeight="1">
      <c r="A69" s="712"/>
      <c r="B69" s="709" t="str">
        <f>'Table (Income-Deduction)'!B33</f>
        <v>Siganture of Employee</v>
      </c>
      <c r="C69" s="709"/>
      <c r="D69" s="709"/>
      <c r="E69" s="709"/>
      <c r="F69" s="709"/>
      <c r="G69" s="709"/>
      <c r="H69" s="709"/>
      <c r="I69" s="709"/>
      <c r="J69" s="709"/>
      <c r="K69" s="709" t="str">
        <f>'Table (Income-Deduction)'!P33</f>
        <v>Signature of DPO ()</v>
      </c>
      <c r="L69" s="709"/>
      <c r="M69" s="709"/>
      <c r="N69" s="709"/>
      <c r="O69" s="709"/>
      <c r="P69" s="709"/>
      <c r="Q69" s="709"/>
      <c r="R69" s="709"/>
      <c r="S69" s="709"/>
      <c r="T69" s="711"/>
      <c r="U69" s="98"/>
      <c r="V69" s="448"/>
      <c r="W69" s="448"/>
      <c r="X69" s="448"/>
      <c r="Y69" s="448"/>
      <c r="Z69" s="448"/>
      <c r="AA69" s="448"/>
      <c r="AB69" s="448"/>
    </row>
    <row r="70" spans="1:32" ht="27.75" customHeight="1">
      <c r="A70" s="712"/>
      <c r="B70" s="710"/>
      <c r="C70" s="710"/>
      <c r="D70" s="710"/>
      <c r="E70" s="710"/>
      <c r="F70" s="710"/>
      <c r="G70" s="710"/>
      <c r="H70" s="710"/>
      <c r="I70" s="710"/>
      <c r="J70" s="710"/>
      <c r="K70" s="710"/>
      <c r="L70" s="710"/>
      <c r="M70" s="710"/>
      <c r="N70" s="710"/>
      <c r="O70" s="710"/>
      <c r="P70" s="710"/>
      <c r="Q70" s="710"/>
      <c r="R70" s="710"/>
      <c r="S70" s="710"/>
      <c r="T70" s="711"/>
      <c r="U70" s="98"/>
      <c r="V70" s="448"/>
      <c r="W70" s="448"/>
      <c r="X70" s="448"/>
      <c r="Y70" s="448"/>
      <c r="Z70" s="448"/>
      <c r="AA70" s="448"/>
      <c r="AB70" s="448"/>
    </row>
  </sheetData>
  <sheetProtection password="E8FA" sheet="1" objects="1" scenarios="1" formatCells="0" formatColumns="0" formatRows="0" selectLockedCells="1"/>
  <mergeCells count="158">
    <mergeCell ref="B7:B9"/>
    <mergeCell ref="C7:L7"/>
    <mergeCell ref="M7:Q7"/>
    <mergeCell ref="C3:D3"/>
    <mergeCell ref="P2:S2"/>
    <mergeCell ref="B2:J2"/>
    <mergeCell ref="K2:M2"/>
    <mergeCell ref="B1:L1"/>
    <mergeCell ref="M1:S1"/>
    <mergeCell ref="R11:S13"/>
    <mergeCell ref="C12:D13"/>
    <mergeCell ref="E12:G12"/>
    <mergeCell ref="H12:J12"/>
    <mergeCell ref="K12:L12"/>
    <mergeCell ref="M12:Q12"/>
    <mergeCell ref="R7:S8"/>
    <mergeCell ref="C8:L8"/>
    <mergeCell ref="M8:Q8"/>
    <mergeCell ref="C9:L9"/>
    <mergeCell ref="M9:Q9"/>
    <mergeCell ref="C10:Q10"/>
    <mergeCell ref="E13:G13"/>
    <mergeCell ref="H13:J13"/>
    <mergeCell ref="K13:L13"/>
    <mergeCell ref="M13:Q13"/>
    <mergeCell ref="C4:Q4"/>
    <mergeCell ref="C5:Q5"/>
    <mergeCell ref="E3:I3"/>
    <mergeCell ref="K3:N3"/>
    <mergeCell ref="P3:S3"/>
    <mergeCell ref="C6:Q6"/>
    <mergeCell ref="B16:B18"/>
    <mergeCell ref="C16:C18"/>
    <mergeCell ref="E16:Q16"/>
    <mergeCell ref="E17:Q17"/>
    <mergeCell ref="E18:Q18"/>
    <mergeCell ref="C19:Q19"/>
    <mergeCell ref="C14:Q14"/>
    <mergeCell ref="C15:Q15"/>
    <mergeCell ref="B11:B13"/>
    <mergeCell ref="C11:J11"/>
    <mergeCell ref="K11:L11"/>
    <mergeCell ref="M11:Q11"/>
    <mergeCell ref="C20:Q20"/>
    <mergeCell ref="C21:S21"/>
    <mergeCell ref="C22:S22"/>
    <mergeCell ref="R23:S32"/>
    <mergeCell ref="C32:M32"/>
    <mergeCell ref="D29:F29"/>
    <mergeCell ref="D30:F30"/>
    <mergeCell ref="D31:F31"/>
    <mergeCell ref="J23:K23"/>
    <mergeCell ref="J24:K24"/>
    <mergeCell ref="J25:K25"/>
    <mergeCell ref="J26:K26"/>
    <mergeCell ref="J27:K27"/>
    <mergeCell ref="B38:B45"/>
    <mergeCell ref="B21:B36"/>
    <mergeCell ref="C36:Q36"/>
    <mergeCell ref="C33:Q33"/>
    <mergeCell ref="C34:Q34"/>
    <mergeCell ref="C35:Q35"/>
    <mergeCell ref="D23:F23"/>
    <mergeCell ref="D24:F24"/>
    <mergeCell ref="D25:F25"/>
    <mergeCell ref="D26:F26"/>
    <mergeCell ref="D27:F27"/>
    <mergeCell ref="D28:F28"/>
    <mergeCell ref="F55:G55"/>
    <mergeCell ref="F56:G56"/>
    <mergeCell ref="F57:G57"/>
    <mergeCell ref="H55:J55"/>
    <mergeCell ref="H56:J56"/>
    <mergeCell ref="H57:J57"/>
    <mergeCell ref="C37:Q37"/>
    <mergeCell ref="C38:Q38"/>
    <mergeCell ref="C39:Q39"/>
    <mergeCell ref="C40:Q40"/>
    <mergeCell ref="C41:Q41"/>
    <mergeCell ref="C42:Q42"/>
    <mergeCell ref="C50:G50"/>
    <mergeCell ref="H50:K50"/>
    <mergeCell ref="L50:Q50"/>
    <mergeCell ref="C51:E51"/>
    <mergeCell ref="F51:G51"/>
    <mergeCell ref="H51:J51"/>
    <mergeCell ref="C54:E54"/>
    <mergeCell ref="F54:G54"/>
    <mergeCell ref="H54:J54"/>
    <mergeCell ref="L54:P54"/>
    <mergeCell ref="L51:P51"/>
    <mergeCell ref="F52:G52"/>
    <mergeCell ref="H52:J52"/>
    <mergeCell ref="L52:P52"/>
    <mergeCell ref="C53:E53"/>
    <mergeCell ref="F53:G53"/>
    <mergeCell ref="H53:J53"/>
    <mergeCell ref="L53:P53"/>
    <mergeCell ref="C52:E52"/>
    <mergeCell ref="U8:U10"/>
    <mergeCell ref="U12:U14"/>
    <mergeCell ref="B69:J70"/>
    <mergeCell ref="K69:S70"/>
    <mergeCell ref="T1:T70"/>
    <mergeCell ref="A1:A70"/>
    <mergeCell ref="C65:Q65"/>
    <mergeCell ref="C66:C68"/>
    <mergeCell ref="B66:B68"/>
    <mergeCell ref="B64:B65"/>
    <mergeCell ref="D66:E66"/>
    <mergeCell ref="F66:H66"/>
    <mergeCell ref="D67:E67"/>
    <mergeCell ref="F67:H67"/>
    <mergeCell ref="D68:K68"/>
    <mergeCell ref="L68:Q68"/>
    <mergeCell ref="R66:S66"/>
    <mergeCell ref="C60:Q60"/>
    <mergeCell ref="C61:Q61"/>
    <mergeCell ref="C62:Q62"/>
    <mergeCell ref="C63:Q63"/>
    <mergeCell ref="C64:Q64"/>
    <mergeCell ref="B49:B62"/>
    <mergeCell ref="C49:S49"/>
    <mergeCell ref="AC1:AC1048576"/>
    <mergeCell ref="V8:Y10"/>
    <mergeCell ref="Z8:AB10"/>
    <mergeCell ref="V11:AB11"/>
    <mergeCell ref="V12:Y14"/>
    <mergeCell ref="V1:AB1"/>
    <mergeCell ref="Z12:AB14"/>
    <mergeCell ref="V15:AB15"/>
    <mergeCell ref="V2:AB7"/>
    <mergeCell ref="V16:Y18"/>
    <mergeCell ref="Z16:AB18"/>
    <mergeCell ref="J28:K28"/>
    <mergeCell ref="J29:K29"/>
    <mergeCell ref="J30:K30"/>
    <mergeCell ref="J31:K31"/>
    <mergeCell ref="P66:Q66"/>
    <mergeCell ref="P67:Q67"/>
    <mergeCell ref="M66:N66"/>
    <mergeCell ref="M67:N67"/>
    <mergeCell ref="K66:L66"/>
    <mergeCell ref="K67:L67"/>
    <mergeCell ref="C58:Q58"/>
    <mergeCell ref="C59:Q59"/>
    <mergeCell ref="L55:P55"/>
    <mergeCell ref="L56:P56"/>
    <mergeCell ref="L57:P57"/>
    <mergeCell ref="C43:Q43"/>
    <mergeCell ref="C44:Q44"/>
    <mergeCell ref="C45:Q45"/>
    <mergeCell ref="C46:Q46"/>
    <mergeCell ref="C47:Q47"/>
    <mergeCell ref="C48:Q48"/>
    <mergeCell ref="C55:E55"/>
    <mergeCell ref="C56:E56"/>
    <mergeCell ref="C57:E57"/>
  </mergeCells>
  <conditionalFormatting sqref="L68:Q68">
    <cfRule type="cellIs" dxfId="28" priority="11" operator="equal">
      <formula>"(Payble)"</formula>
    </cfRule>
    <cfRule type="cellIs" dxfId="27" priority="12" operator="equal">
      <formula>"(Refundable)"</formula>
    </cfRule>
  </conditionalFormatting>
  <conditionalFormatting sqref="S68">
    <cfRule type="cellIs" dxfId="26" priority="9" operator="lessThan">
      <formula>0</formula>
    </cfRule>
    <cfRule type="cellIs" dxfId="25" priority="10" operator="greaterThan">
      <formula>0</formula>
    </cfRule>
  </conditionalFormatting>
  <conditionalFormatting sqref="C55:S57">
    <cfRule type="expression" dxfId="24" priority="8">
      <formula>$C55="----"</formula>
    </cfRule>
  </conditionalFormatting>
  <conditionalFormatting sqref="U8:AB10">
    <cfRule type="expression" dxfId="23" priority="5">
      <formula>$U8=0</formula>
    </cfRule>
    <cfRule type="expression" dxfId="22" priority="6">
      <formula>$U8&gt;0</formula>
    </cfRule>
    <cfRule type="expression" dxfId="21" priority="7">
      <formula>$U8&lt;0</formula>
    </cfRule>
  </conditionalFormatting>
  <conditionalFormatting sqref="U12:AB14">
    <cfRule type="expression" dxfId="20" priority="2">
      <formula>$U12=0</formula>
    </cfRule>
    <cfRule type="expression" dxfId="19" priority="3">
      <formula>$U12&gt;0</formula>
    </cfRule>
    <cfRule type="expression" dxfId="18" priority="4">
      <formula>$U12&lt;0</formula>
    </cfRule>
  </conditionalFormatting>
  <conditionalFormatting sqref="M1:S1">
    <cfRule type="cellIs" dxfId="17" priority="1" operator="equal">
      <formula>0</formula>
    </cfRule>
  </conditionalFormatting>
  <dataValidations count="1">
    <dataValidation type="list" allowBlank="1" showInputMessage="1" showErrorMessage="1" sqref="P2:S2 Z16">
      <formula1>"Old Tax Regime,New Tax Regime"</formula1>
    </dataValidation>
  </dataValidations>
  <pageMargins left="0.19" right="0.24" top="0.24" bottom="0.22" header="0.19" footer="0.2"/>
  <pageSetup paperSize="9" scale="68" orientation="portrait" r:id="rId1"/>
</worksheet>
</file>

<file path=xl/worksheets/sheet6.xml><?xml version="1.0" encoding="utf-8"?>
<worksheet xmlns="http://schemas.openxmlformats.org/spreadsheetml/2006/main" xmlns:r="http://schemas.openxmlformats.org/officeDocument/2006/relationships">
  <sheetPr>
    <tabColor rgb="FFFFFF00"/>
  </sheetPr>
  <dimension ref="A1:XFC164"/>
  <sheetViews>
    <sheetView showGridLines="0" workbookViewId="0">
      <selection activeCell="B75" sqref="B75:M157"/>
    </sheetView>
  </sheetViews>
  <sheetFormatPr defaultColWidth="0" defaultRowHeight="15" zeroHeight="1"/>
  <cols>
    <col min="1" max="1" width="2" style="1" customWidth="1"/>
    <col min="2" max="2" width="10.85546875" style="216" customWidth="1"/>
    <col min="3" max="3" width="3.85546875" style="216" customWidth="1"/>
    <col min="4" max="9" width="11.140625" style="216" customWidth="1"/>
    <col min="10" max="10" width="14.42578125" style="216" customWidth="1"/>
    <col min="11" max="11" width="14.28515625" style="216" customWidth="1"/>
    <col min="12" max="12" width="18.140625" style="216" hidden="1" customWidth="1"/>
    <col min="13" max="13" width="18.28515625" style="216" customWidth="1"/>
    <col min="14" max="14" width="2.140625" style="1" customWidth="1"/>
    <col min="15" max="21" width="8.5703125" style="1" hidden="1"/>
    <col min="22" max="29" width="8.5703125" style="370" hidden="1"/>
    <col min="30" max="16383" width="8.5703125" style="1" hidden="1"/>
    <col min="16384" max="16384" width="6.85546875" style="1" hidden="1"/>
  </cols>
  <sheetData>
    <row r="1" spans="1:29" ht="9.75" customHeight="1" thickBot="1">
      <c r="A1" s="847"/>
      <c r="B1" s="847"/>
      <c r="C1" s="847"/>
      <c r="D1" s="847"/>
      <c r="E1" s="847"/>
      <c r="F1" s="847"/>
      <c r="G1" s="847"/>
      <c r="H1" s="847"/>
      <c r="I1" s="847"/>
      <c r="J1" s="847"/>
      <c r="K1" s="847"/>
      <c r="L1" s="847"/>
      <c r="M1" s="847"/>
      <c r="N1" s="847"/>
    </row>
    <row r="2" spans="1:29" ht="17.45" customHeight="1">
      <c r="A2" s="847"/>
      <c r="B2" s="1018" t="s">
        <v>240</v>
      </c>
      <c r="C2" s="1019"/>
      <c r="D2" s="1019"/>
      <c r="E2" s="1019"/>
      <c r="F2" s="1019"/>
      <c r="G2" s="1020"/>
      <c r="H2" s="1024" t="s">
        <v>503</v>
      </c>
      <c r="I2" s="1025"/>
      <c r="J2" s="1025"/>
      <c r="K2" s="1025"/>
      <c r="L2" s="1025"/>
      <c r="M2" s="1026"/>
      <c r="N2" s="847"/>
    </row>
    <row r="3" spans="1:29" ht="15.75">
      <c r="A3" s="847"/>
      <c r="B3" s="1021"/>
      <c r="C3" s="1022"/>
      <c r="D3" s="1022"/>
      <c r="E3" s="1022"/>
      <c r="F3" s="1022"/>
      <c r="G3" s="1023"/>
      <c r="H3" s="1027"/>
      <c r="I3" s="1028"/>
      <c r="J3" s="1028"/>
      <c r="K3" s="1028"/>
      <c r="L3" s="1028"/>
      <c r="M3" s="1029"/>
      <c r="N3" s="847"/>
      <c r="V3" s="351" t="s">
        <v>88</v>
      </c>
      <c r="W3" s="94">
        <f>AC3</f>
        <v>1</v>
      </c>
      <c r="X3" s="370" t="str">
        <f>VLOOKUP($V3,'Income Tax Cal. Report'!$C$23:$H$31,2,0)</f>
        <v xml:space="preserve">EPF/Montholy Invest in Future Plan </v>
      </c>
      <c r="Y3" s="370">
        <f>VLOOKUP($V3,'Income Tax Cal. Report'!$C$23:$H$31,6,0)</f>
        <v>21600</v>
      </c>
      <c r="AA3" s="370">
        <f>IF(Y3&gt;0,1,0)</f>
        <v>1</v>
      </c>
      <c r="AB3" s="370">
        <f>AA3</f>
        <v>1</v>
      </c>
      <c r="AC3" s="370">
        <f>IF(AB3&gt;0,1,0)</f>
        <v>1</v>
      </c>
    </row>
    <row r="4" spans="1:29" ht="15.75">
      <c r="A4" s="847"/>
      <c r="B4" s="967" t="s">
        <v>241</v>
      </c>
      <c r="C4" s="968"/>
      <c r="D4" s="968"/>
      <c r="E4" s="968"/>
      <c r="F4" s="968"/>
      <c r="G4" s="969"/>
      <c r="H4" s="970" t="s">
        <v>242</v>
      </c>
      <c r="I4" s="968"/>
      <c r="J4" s="968"/>
      <c r="K4" s="968"/>
      <c r="L4" s="968"/>
      <c r="M4" s="971"/>
      <c r="N4" s="847"/>
      <c r="V4" s="351" t="s">
        <v>90</v>
      </c>
      <c r="W4" s="94">
        <f t="shared" ref="W4:W8" si="0">AC4</f>
        <v>0</v>
      </c>
      <c r="X4" s="370" t="str">
        <f>VLOOKUP($V4,'Income Tax Cal. Report'!$C$23:$H$31,2,0)</f>
        <v>GIS/Group Ins.</v>
      </c>
      <c r="Y4" s="370">
        <f>VLOOKUP($V4,'Income Tax Cal. Report'!$C$23:$H$31,6,0)</f>
        <v>0</v>
      </c>
      <c r="AA4" s="370">
        <f t="shared" ref="AA4:AA20" si="1">IF(Y4&gt;0,1,0)</f>
        <v>0</v>
      </c>
      <c r="AB4" s="370">
        <f>AA4+AB3</f>
        <v>1</v>
      </c>
      <c r="AC4" s="370">
        <f>IF(AB4&gt;AB3,1+AB3,0)</f>
        <v>0</v>
      </c>
    </row>
    <row r="5" spans="1:29" ht="15.75">
      <c r="A5" s="847"/>
      <c r="B5" s="388"/>
      <c r="C5" s="336"/>
      <c r="D5" s="336"/>
      <c r="E5" s="336"/>
      <c r="F5" s="336"/>
      <c r="G5" s="338"/>
      <c r="H5" s="1030" t="s">
        <v>504</v>
      </c>
      <c r="I5" s="1031"/>
      <c r="J5" s="1031"/>
      <c r="K5" s="1031"/>
      <c r="L5" s="1031"/>
      <c r="M5" s="1032"/>
      <c r="N5" s="847"/>
      <c r="V5" s="351" t="s">
        <v>92</v>
      </c>
      <c r="W5" s="94">
        <f t="shared" si="0"/>
        <v>0</v>
      </c>
      <c r="X5" s="370" t="str">
        <f>VLOOKUP($V5,'Income Tax Cal. Report'!$C$23:$H$31,2,0)</f>
        <v>Contri. To Contributory Pension Scheme (80CCC)</v>
      </c>
      <c r="Y5" s="370">
        <f>VLOOKUP($V5,'Income Tax Cal. Report'!$C$23:$H$31,6,0)</f>
        <v>0</v>
      </c>
      <c r="AA5" s="370">
        <f t="shared" si="1"/>
        <v>0</v>
      </c>
      <c r="AB5" s="370">
        <f>AA5+AB4</f>
        <v>1</v>
      </c>
      <c r="AC5" s="370">
        <f t="shared" ref="AC5:AC6" si="2">IF(AB5&gt;AB4,1+AB4,0)</f>
        <v>0</v>
      </c>
    </row>
    <row r="6" spans="1:29" ht="16.5" thickBot="1">
      <c r="A6" s="847"/>
      <c r="B6" s="399"/>
      <c r="C6" s="337"/>
      <c r="D6" s="337"/>
      <c r="E6" s="337"/>
      <c r="F6" s="337"/>
      <c r="G6" s="339"/>
      <c r="H6" s="1033"/>
      <c r="I6" s="1034"/>
      <c r="J6" s="1034"/>
      <c r="K6" s="1034"/>
      <c r="L6" s="1034"/>
      <c r="M6" s="1035"/>
      <c r="N6" s="847"/>
      <c r="V6" s="351" t="s">
        <v>94</v>
      </c>
      <c r="W6" s="94">
        <f t="shared" si="0"/>
        <v>0</v>
      </c>
      <c r="X6" s="370" t="str">
        <f>VLOOKUP($V6,'Income Tax Cal. Report'!$C$23:$H$31,2,0)</f>
        <v>LIC</v>
      </c>
      <c r="Y6" s="370">
        <f>VLOOKUP($V6,'Income Tax Cal. Report'!$C$23:$H$31,6,0)</f>
        <v>0</v>
      </c>
      <c r="AA6" s="370">
        <f t="shared" si="1"/>
        <v>0</v>
      </c>
      <c r="AB6" s="370">
        <f>AA6+AB5</f>
        <v>1</v>
      </c>
      <c r="AC6" s="370">
        <f t="shared" si="2"/>
        <v>0</v>
      </c>
    </row>
    <row r="7" spans="1:29" ht="18" customHeight="1" thickBot="1">
      <c r="A7" s="847"/>
      <c r="B7" s="810" t="str">
        <f>CONCATENATE("Calculation as per","  ",'Income Tax Cal. Report'!Z16)</f>
        <v>Calculation as per  Old Tax Regime</v>
      </c>
      <c r="C7" s="811"/>
      <c r="D7" s="811"/>
      <c r="E7" s="811"/>
      <c r="F7" s="811"/>
      <c r="G7" s="811"/>
      <c r="H7" s="812"/>
      <c r="I7" s="812"/>
      <c r="J7" s="813"/>
      <c r="K7" s="813"/>
      <c r="L7" s="813"/>
      <c r="M7" s="814"/>
      <c r="N7" s="847"/>
      <c r="V7" s="351" t="s">
        <v>96</v>
      </c>
      <c r="W7" s="94">
        <f t="shared" si="0"/>
        <v>0</v>
      </c>
      <c r="X7" s="370" t="str">
        <f>VLOOKUP($V7,'Income Tax Cal. Report'!$C$23:$H$31,2,0)</f>
        <v>GROUP L.I.C.</v>
      </c>
      <c r="Y7" s="370">
        <f>VLOOKUP($V7,'Income Tax Cal. Report'!$C$23:$H$31,6,0)</f>
        <v>0</v>
      </c>
      <c r="AA7" s="370">
        <f t="shared" si="1"/>
        <v>0</v>
      </c>
      <c r="AB7" s="370">
        <f>AA7+AB6</f>
        <v>1</v>
      </c>
      <c r="AC7" s="370">
        <f>IF(AB7&gt;AB6,1+AB6,0)</f>
        <v>0</v>
      </c>
    </row>
    <row r="8" spans="1:29" ht="17.25" customHeight="1" thickBot="1">
      <c r="A8" s="847"/>
      <c r="B8" s="815"/>
      <c r="C8" s="816"/>
      <c r="D8" s="816"/>
      <c r="E8" s="816"/>
      <c r="F8" s="816"/>
      <c r="G8" s="816"/>
      <c r="H8" s="816"/>
      <c r="I8" s="816"/>
      <c r="J8" s="817" t="s">
        <v>374</v>
      </c>
      <c r="K8" s="818"/>
      <c r="L8" s="163"/>
      <c r="M8" s="400" t="str">
        <f>IF('Basic Deta'!O10="A","Under 60 Yrs.",IF('Basic Deta'!O10="B","Between 60&amp;80 Yrs.","Above 80 Yrs."))</f>
        <v>Under 60 Yrs.</v>
      </c>
      <c r="N8" s="847"/>
      <c r="V8" s="351" t="s">
        <v>98</v>
      </c>
      <c r="W8" s="94">
        <f t="shared" si="0"/>
        <v>0</v>
      </c>
      <c r="X8" s="370" t="str">
        <f>VLOOKUP($V8,'Income Tax Cal. Report'!$C$23:$H$31,2,0)</f>
        <v>गृ.नि.अ. की किस्तों की वसूली/पेशाकर</v>
      </c>
      <c r="Y8" s="370">
        <f>VLOOKUP($V8,'Income Tax Cal. Report'!$C$23:$H$31,6,0)</f>
        <v>0</v>
      </c>
      <c r="AA8" s="370">
        <f t="shared" si="1"/>
        <v>0</v>
      </c>
      <c r="AB8" s="370">
        <f>AA8+AB7</f>
        <v>1</v>
      </c>
      <c r="AC8" s="370">
        <f t="shared" ref="AC8" si="3">IF(AB8&gt;AB7,1+AB7,0)</f>
        <v>0</v>
      </c>
    </row>
    <row r="9" spans="1:29" ht="15.75">
      <c r="A9" s="847"/>
      <c r="B9" s="965" t="s">
        <v>243</v>
      </c>
      <c r="C9" s="966"/>
      <c r="D9" s="966"/>
      <c r="E9" s="966"/>
      <c r="F9" s="966"/>
      <c r="G9" s="966"/>
      <c r="H9" s="1012" t="s">
        <v>244</v>
      </c>
      <c r="I9" s="1012"/>
      <c r="J9" s="1013"/>
      <c r="K9" s="1013"/>
      <c r="L9" s="1013"/>
      <c r="M9" s="1014"/>
      <c r="N9" s="847"/>
      <c r="V9" s="351" t="s">
        <v>100</v>
      </c>
      <c r="W9" s="94">
        <f t="shared" ref="W9:W29" si="4">AC9</f>
        <v>0</v>
      </c>
      <c r="X9" s="370" t="str">
        <f>VLOOKUP($V9,'Income Tax Cal. Report'!$C$23:$H$31,2,0)</f>
        <v>Other-1</v>
      </c>
      <c r="Y9" s="370">
        <f>VLOOKUP($V9,'Income Tax Cal. Report'!$C$23:$H$31,6,0)</f>
        <v>0</v>
      </c>
      <c r="AA9" s="370">
        <f t="shared" si="1"/>
        <v>0</v>
      </c>
      <c r="AB9" s="370">
        <f>AA9+AB7</f>
        <v>1</v>
      </c>
      <c r="AC9" s="370">
        <f>IF(AB9&gt;AB7,1+AB7,0)</f>
        <v>0</v>
      </c>
    </row>
    <row r="10" spans="1:29" ht="15" customHeight="1">
      <c r="A10" s="847"/>
      <c r="B10" s="980" t="str">
        <f>CONCATENATE('Exemp.(HRA+Other) &amp; Other incom'!A1)</f>
        <v>District Education Officer, Education Department Primary Education of Bihar</v>
      </c>
      <c r="C10" s="981"/>
      <c r="D10" s="981"/>
      <c r="E10" s="981"/>
      <c r="F10" s="981"/>
      <c r="G10" s="982"/>
      <c r="H10" s="849" t="str">
        <f>CONCATENATE('Exemp.(HRA+Other) &amp; Other incom'!A4,"  ","(",'Exemp.(HRA+Other) &amp; Other incom'!C4,")")</f>
        <v>SHAHID ALI  (Block Teacher)</v>
      </c>
      <c r="I10" s="850"/>
      <c r="J10" s="850"/>
      <c r="K10" s="850"/>
      <c r="L10" s="850"/>
      <c r="M10" s="851"/>
      <c r="N10" s="847"/>
      <c r="V10" s="351" t="s">
        <v>102</v>
      </c>
      <c r="W10" s="94">
        <f t="shared" si="4"/>
        <v>0</v>
      </c>
      <c r="X10" s="370" t="str">
        <f>VLOOKUP($V10,'Income Tax Cal. Report'!$C$23:$H$31,2,0)</f>
        <v>Other-2</v>
      </c>
      <c r="Y10" s="370">
        <f>VLOOKUP($V10,'Income Tax Cal. Report'!$C$23:$H$31,6,0)</f>
        <v>0</v>
      </c>
      <c r="AA10" s="370">
        <f t="shared" si="1"/>
        <v>0</v>
      </c>
      <c r="AB10" s="370">
        <f t="shared" ref="AB10" si="5">AA10+AB9</f>
        <v>1</v>
      </c>
      <c r="AC10" s="370">
        <f t="shared" ref="AC10" si="6">IF(AB10&gt;AB9,1+AB9,0)</f>
        <v>0</v>
      </c>
    </row>
    <row r="11" spans="1:29" ht="9.75" customHeight="1">
      <c r="A11" s="847"/>
      <c r="B11" s="983"/>
      <c r="C11" s="984"/>
      <c r="D11" s="984"/>
      <c r="E11" s="984"/>
      <c r="F11" s="984"/>
      <c r="G11" s="985"/>
      <c r="H11" s="852"/>
      <c r="I11" s="853"/>
      <c r="J11" s="853"/>
      <c r="K11" s="853"/>
      <c r="L11" s="853"/>
      <c r="M11" s="854"/>
      <c r="N11" s="847"/>
      <c r="V11" s="351" t="s">
        <v>104</v>
      </c>
      <c r="W11" s="94">
        <f t="shared" si="4"/>
        <v>0</v>
      </c>
      <c r="X11" s="370" t="str">
        <f>VLOOKUP($V11,'Income Tax Cal. Report'!$C$23:$H$31,2,0)</f>
        <v>Other-3</v>
      </c>
      <c r="Y11" s="370">
        <f>VLOOKUP($V11,'Income Tax Cal. Report'!$C$23:$H$31,6,0)</f>
        <v>0</v>
      </c>
      <c r="AA11" s="370">
        <f t="shared" si="1"/>
        <v>0</v>
      </c>
      <c r="AB11" s="370">
        <f>AA11+AB10</f>
        <v>1</v>
      </c>
      <c r="AC11" s="370">
        <f>IF(AB11&gt;AB10,1+AB10,0)</f>
        <v>0</v>
      </c>
    </row>
    <row r="12" spans="1:29" ht="15" customHeight="1">
      <c r="A12" s="847"/>
      <c r="B12" s="983"/>
      <c r="C12" s="984"/>
      <c r="D12" s="984"/>
      <c r="E12" s="984"/>
      <c r="F12" s="984"/>
      <c r="G12" s="985"/>
      <c r="H12" s="855" t="str">
        <f>CONCATENATE('Basic Deta'!G9,":-",'Basic Deta'!G10)</f>
        <v>Posting Place Name:-M.S. BASUDHAR</v>
      </c>
      <c r="I12" s="856"/>
      <c r="J12" s="856"/>
      <c r="K12" s="856"/>
      <c r="L12" s="856"/>
      <c r="M12" s="857"/>
      <c r="N12" s="847"/>
      <c r="V12" s="351" t="s">
        <v>89</v>
      </c>
      <c r="W12" s="94">
        <f t="shared" si="4"/>
        <v>0</v>
      </c>
      <c r="X12" s="370" t="str">
        <f>VLOOKUP($V12,'Income Tax Cal. Report'!$I$23:$M$31,2,0)</f>
        <v>गृह ऋण किश्त मूल (जो वेतन से नहीं काटा गया)</v>
      </c>
      <c r="Y12" s="370">
        <f>VLOOKUP($V12,'Income Tax Cal. Report'!$I$23:$M$31,5,0)</f>
        <v>0</v>
      </c>
      <c r="AA12" s="370">
        <f t="shared" si="1"/>
        <v>0</v>
      </c>
      <c r="AB12" s="370">
        <f t="shared" ref="AB12:AB20" si="7">AA12+AB11</f>
        <v>1</v>
      </c>
      <c r="AC12" s="370">
        <f t="shared" ref="AC12:AC20" si="8">IF(AB12&gt;AB11,1+AB11,0)</f>
        <v>0</v>
      </c>
    </row>
    <row r="13" spans="1:29" ht="4.5" customHeight="1">
      <c r="A13" s="847"/>
      <c r="B13" s="986"/>
      <c r="C13" s="987"/>
      <c r="D13" s="987"/>
      <c r="E13" s="987"/>
      <c r="F13" s="987"/>
      <c r="G13" s="988"/>
      <c r="H13" s="858"/>
      <c r="I13" s="859"/>
      <c r="J13" s="859"/>
      <c r="K13" s="859"/>
      <c r="L13" s="859"/>
      <c r="M13" s="860"/>
      <c r="N13" s="847"/>
      <c r="V13" s="351" t="s">
        <v>91</v>
      </c>
      <c r="W13" s="94">
        <f t="shared" si="4"/>
        <v>0</v>
      </c>
      <c r="X13" s="370" t="str">
        <f>VLOOKUP($V13,'Income Tax Cal. Report'!$I$23:$M$31,2,0)</f>
        <v>पी.एल.आई. PLI</v>
      </c>
      <c r="Y13" s="370">
        <f>VLOOKUP($V13,'Income Tax Cal. Report'!$I$23:$M$31,5,0)</f>
        <v>0</v>
      </c>
      <c r="AA13" s="370">
        <f t="shared" si="1"/>
        <v>0</v>
      </c>
      <c r="AB13" s="370">
        <f t="shared" si="7"/>
        <v>1</v>
      </c>
      <c r="AC13" s="370">
        <f t="shared" si="8"/>
        <v>0</v>
      </c>
    </row>
    <row r="14" spans="1:29" ht="15.75">
      <c r="A14" s="847"/>
      <c r="B14" s="960" t="s">
        <v>245</v>
      </c>
      <c r="C14" s="879"/>
      <c r="D14" s="918"/>
      <c r="E14" s="917" t="s">
        <v>246</v>
      </c>
      <c r="F14" s="879"/>
      <c r="G14" s="918"/>
      <c r="H14" s="917" t="s">
        <v>247</v>
      </c>
      <c r="I14" s="879"/>
      <c r="J14" s="879"/>
      <c r="K14" s="879"/>
      <c r="L14" s="879"/>
      <c r="M14" s="1008"/>
      <c r="N14" s="847"/>
      <c r="R14" s="164">
        <f>I25</f>
        <v>0</v>
      </c>
      <c r="V14" s="351" t="s">
        <v>93</v>
      </c>
      <c r="W14" s="94">
        <f t="shared" si="4"/>
        <v>0</v>
      </c>
      <c r="X14" s="370" t="str">
        <f>VLOOKUP($V14,'Income Tax Cal. Report'!$I$23:$M$31,2,0)</f>
        <v>ट्यूशन फी</v>
      </c>
      <c r="Y14" s="370">
        <f>VLOOKUP($V14,'Income Tax Cal. Report'!$I$23:$M$31,5,0)</f>
        <v>0</v>
      </c>
      <c r="AA14" s="370">
        <f t="shared" si="1"/>
        <v>0</v>
      </c>
      <c r="AB14" s="370">
        <f t="shared" si="7"/>
        <v>1</v>
      </c>
      <c r="AC14" s="370">
        <f t="shared" si="8"/>
        <v>0</v>
      </c>
    </row>
    <row r="15" spans="1:29" ht="18" customHeight="1">
      <c r="A15" s="847"/>
      <c r="B15" s="1009"/>
      <c r="C15" s="1010"/>
      <c r="D15" s="1011"/>
      <c r="E15" s="917">
        <f>'Basic Deta'!I6</f>
        <v>0</v>
      </c>
      <c r="F15" s="879"/>
      <c r="G15" s="918"/>
      <c r="H15" s="1015" t="str">
        <f>'Basic Deta'!L10</f>
        <v>BFHPA0762G</v>
      </c>
      <c r="I15" s="1016"/>
      <c r="J15" s="1016"/>
      <c r="K15" s="1016"/>
      <c r="L15" s="1016"/>
      <c r="M15" s="1017"/>
      <c r="N15" s="847"/>
      <c r="R15" s="164">
        <f>C43</f>
        <v>0</v>
      </c>
      <c r="V15" s="351" t="s">
        <v>95</v>
      </c>
      <c r="W15" s="94">
        <f t="shared" si="4"/>
        <v>0</v>
      </c>
      <c r="X15" s="370" t="str">
        <f>VLOOKUP($V15,'Income Tax Cal. Report'!$I$23:$M$31,2,0)</f>
        <v>UPLI/वार्षिक प्लान</v>
      </c>
      <c r="Y15" s="370">
        <f>VLOOKUP($V15,'Income Tax Cal. Report'!$I$23:$M$31,5,0)</f>
        <v>0</v>
      </c>
      <c r="AA15" s="370">
        <f t="shared" si="1"/>
        <v>0</v>
      </c>
      <c r="AB15" s="370">
        <f t="shared" si="7"/>
        <v>1</v>
      </c>
      <c r="AC15" s="370">
        <f t="shared" si="8"/>
        <v>0</v>
      </c>
    </row>
    <row r="16" spans="1:29" ht="15.75">
      <c r="A16" s="847"/>
      <c r="B16" s="401" t="s">
        <v>248</v>
      </c>
      <c r="C16" s="165"/>
      <c r="D16" s="166"/>
      <c r="E16" s="989"/>
      <c r="F16" s="990"/>
      <c r="G16" s="991"/>
      <c r="H16" s="879" t="s">
        <v>249</v>
      </c>
      <c r="I16" s="879"/>
      <c r="J16" s="879"/>
      <c r="K16" s="917" t="s">
        <v>250</v>
      </c>
      <c r="L16" s="998"/>
      <c r="M16" s="999"/>
      <c r="N16" s="847"/>
      <c r="R16" s="164">
        <f>C54</f>
        <v>0</v>
      </c>
      <c r="V16" s="351" t="s">
        <v>97</v>
      </c>
      <c r="W16" s="94">
        <f t="shared" si="4"/>
        <v>0</v>
      </c>
      <c r="X16" s="370" t="str">
        <f>VLOOKUP($V16,'Income Tax Cal. Report'!$I$23:$M$31,2,0)</f>
        <v>राष्ट्रीय बचत पत्र (NSC)</v>
      </c>
      <c r="Y16" s="370">
        <f>VLOOKUP($V16,'Income Tax Cal. Report'!$I$23:$M$31,5,0)</f>
        <v>0</v>
      </c>
      <c r="AA16" s="370">
        <f t="shared" si="1"/>
        <v>0</v>
      </c>
      <c r="AB16" s="370">
        <f t="shared" si="7"/>
        <v>1</v>
      </c>
      <c r="AC16" s="370">
        <f t="shared" si="8"/>
        <v>0</v>
      </c>
    </row>
    <row r="17" spans="1:29" ht="15.75">
      <c r="A17" s="847"/>
      <c r="B17" s="389" t="s">
        <v>251</v>
      </c>
      <c r="C17" s="167"/>
      <c r="D17" s="168"/>
      <c r="E17" s="992"/>
      <c r="F17" s="993"/>
      <c r="G17" s="994"/>
      <c r="H17" s="917" t="s">
        <v>252</v>
      </c>
      <c r="I17" s="918"/>
      <c r="J17" s="369" t="s">
        <v>253</v>
      </c>
      <c r="K17" s="1000" t="str">
        <f>'Income Tax Cal. Report'!AE4</f>
        <v>2023-24</v>
      </c>
      <c r="L17" s="1001"/>
      <c r="M17" s="1002"/>
      <c r="N17" s="847"/>
      <c r="R17" s="164">
        <f>SUM(R14:R16)</f>
        <v>0</v>
      </c>
      <c r="V17" s="351" t="s">
        <v>99</v>
      </c>
      <c r="W17" s="94">
        <f t="shared" si="4"/>
        <v>0</v>
      </c>
      <c r="X17" s="370" t="str">
        <f>VLOOKUP($V17,'Income Tax Cal. Report'!$I$23:$M$31,2,0)</f>
        <v>राष्ट्रीय बचत पत्र पर अदत ब्याज</v>
      </c>
      <c r="Y17" s="370">
        <f>VLOOKUP($V17,'Income Tax Cal. Report'!$I$23:$M$31,5,0)</f>
        <v>0</v>
      </c>
      <c r="AA17" s="370">
        <f t="shared" si="1"/>
        <v>0</v>
      </c>
      <c r="AB17" s="370">
        <f t="shared" si="7"/>
        <v>1</v>
      </c>
      <c r="AC17" s="370">
        <f t="shared" si="8"/>
        <v>0</v>
      </c>
    </row>
    <row r="18" spans="1:29" ht="15.75">
      <c r="A18" s="847"/>
      <c r="B18" s="402" t="s">
        <v>254</v>
      </c>
      <c r="C18" s="169"/>
      <c r="D18" s="170"/>
      <c r="E18" s="995"/>
      <c r="F18" s="996"/>
      <c r="G18" s="997"/>
      <c r="H18" s="1006">
        <f>'Table (Income-Deduction)'!C11</f>
        <v>44652</v>
      </c>
      <c r="I18" s="1007"/>
      <c r="J18" s="171">
        <f>EOMONTH('Table (Income-Deduction)'!C21,0)+31</f>
        <v>45016</v>
      </c>
      <c r="K18" s="1003"/>
      <c r="L18" s="1004"/>
      <c r="M18" s="1005"/>
      <c r="N18" s="847"/>
      <c r="V18" s="351" t="s">
        <v>101</v>
      </c>
      <c r="W18" s="94">
        <f t="shared" si="4"/>
        <v>0</v>
      </c>
      <c r="X18" s="370" t="str">
        <f>VLOOKUP($V18,'Income Tax Cal. Report'!$I$23:$M$31,2,0)</f>
        <v>लोक भविष्य निधि (PPF)</v>
      </c>
      <c r="Y18" s="370">
        <f>VLOOKUP($V18,'Income Tax Cal. Report'!$I$23:$M$31,5,0)</f>
        <v>0</v>
      </c>
      <c r="AA18" s="370">
        <f t="shared" si="1"/>
        <v>0</v>
      </c>
      <c r="AB18" s="370">
        <f t="shared" si="7"/>
        <v>1</v>
      </c>
      <c r="AC18" s="370">
        <f t="shared" si="8"/>
        <v>0</v>
      </c>
    </row>
    <row r="19" spans="1:29" ht="15.75">
      <c r="A19" s="847"/>
      <c r="B19" s="402" t="s">
        <v>255</v>
      </c>
      <c r="C19" s="169"/>
      <c r="D19" s="169"/>
      <c r="E19" s="172"/>
      <c r="F19" s="172"/>
      <c r="G19" s="172"/>
      <c r="H19" s="360"/>
      <c r="I19" s="360"/>
      <c r="J19" s="360"/>
      <c r="K19" s="360"/>
      <c r="L19" s="360"/>
      <c r="M19" s="403"/>
      <c r="N19" s="847"/>
      <c r="V19" s="351" t="s">
        <v>103</v>
      </c>
      <c r="W19" s="94">
        <f t="shared" si="4"/>
        <v>0</v>
      </c>
      <c r="X19" s="370" t="str">
        <f>VLOOKUP($V19,'Income Tax Cal. Report'!$I$23:$M$31,2,0)</f>
        <v>राष्ट्रीय बचत स्कीम (NSS)</v>
      </c>
      <c r="Y19" s="370">
        <f>VLOOKUP($V19,'Income Tax Cal. Report'!$I$23:$M$31,5,0)</f>
        <v>0</v>
      </c>
      <c r="AA19" s="370">
        <f t="shared" si="1"/>
        <v>0</v>
      </c>
      <c r="AB19" s="370">
        <f t="shared" si="7"/>
        <v>1</v>
      </c>
      <c r="AC19" s="370">
        <f t="shared" si="8"/>
        <v>0</v>
      </c>
    </row>
    <row r="20" spans="1:29" ht="15.75">
      <c r="A20" s="847"/>
      <c r="B20" s="972" t="s">
        <v>256</v>
      </c>
      <c r="C20" s="973"/>
      <c r="D20" s="974" t="s">
        <v>257</v>
      </c>
      <c r="E20" s="974"/>
      <c r="F20" s="974"/>
      <c r="G20" s="975" t="s">
        <v>258</v>
      </c>
      <c r="H20" s="975"/>
      <c r="I20" s="976" t="s">
        <v>259</v>
      </c>
      <c r="J20" s="977"/>
      <c r="K20" s="978"/>
      <c r="L20" s="974" t="s">
        <v>260</v>
      </c>
      <c r="M20" s="979"/>
      <c r="N20" s="847"/>
      <c r="V20" s="351" t="s">
        <v>105</v>
      </c>
      <c r="W20" s="94">
        <f t="shared" si="4"/>
        <v>0</v>
      </c>
      <c r="X20" s="370" t="str">
        <f>VLOOKUP($V20,'Income Tax Cal. Report'!$I$23:$M$31,2,0)</f>
        <v>सुकन्या समृद्धि योजना</v>
      </c>
      <c r="Y20" s="370">
        <f>VLOOKUP($V20,'Income Tax Cal. Report'!$I$23:$M$31,5,0)</f>
        <v>0</v>
      </c>
      <c r="AA20" s="370">
        <f t="shared" si="1"/>
        <v>0</v>
      </c>
      <c r="AB20" s="370">
        <f t="shared" si="7"/>
        <v>1</v>
      </c>
      <c r="AC20" s="370">
        <f t="shared" si="8"/>
        <v>0</v>
      </c>
    </row>
    <row r="21" spans="1:29" ht="15.75">
      <c r="A21" s="847"/>
      <c r="B21" s="958" t="s">
        <v>261</v>
      </c>
      <c r="C21" s="922"/>
      <c r="D21" s="841"/>
      <c r="E21" s="951"/>
      <c r="F21" s="952"/>
      <c r="G21" s="953"/>
      <c r="H21" s="954"/>
      <c r="I21" s="841">
        <f>'Income Tax Cal. Report'!D67</f>
        <v>0</v>
      </c>
      <c r="J21" s="951"/>
      <c r="K21" s="952"/>
      <c r="L21" s="940">
        <f>I21</f>
        <v>0</v>
      </c>
      <c r="M21" s="964"/>
      <c r="N21" s="847"/>
      <c r="V21" s="351" t="s">
        <v>518</v>
      </c>
      <c r="W21" s="94">
        <f t="shared" si="4"/>
        <v>0</v>
      </c>
      <c r="X21" s="370" t="str">
        <f>VLOOKUP($V21,'Income Tax Cal. Report'!$N$23:$Q$31,2,0)</f>
        <v>इक्विटी लिंक सेविंग स्कीम/Mutual Fund</v>
      </c>
      <c r="Y21" s="370">
        <f>VLOOKUP($V21,'Income Tax Cal. Report'!$N$23:$Q$31,4,0)</f>
        <v>0</v>
      </c>
    </row>
    <row r="22" spans="1:29" ht="15.75">
      <c r="A22" s="847"/>
      <c r="B22" s="958" t="s">
        <v>262</v>
      </c>
      <c r="C22" s="922"/>
      <c r="D22" s="841"/>
      <c r="E22" s="951"/>
      <c r="F22" s="952"/>
      <c r="G22" s="953"/>
      <c r="H22" s="954"/>
      <c r="I22" s="841">
        <f>'Income Tax Cal. Report'!F67</f>
        <v>0</v>
      </c>
      <c r="J22" s="951"/>
      <c r="K22" s="952"/>
      <c r="L22" s="940">
        <f>I22</f>
        <v>0</v>
      </c>
      <c r="M22" s="964"/>
      <c r="N22" s="847"/>
      <c r="V22" s="351" t="s">
        <v>519</v>
      </c>
      <c r="W22" s="94">
        <f t="shared" si="4"/>
        <v>0</v>
      </c>
      <c r="X22" s="370" t="str">
        <f>VLOOKUP($V22,'Income Tax Cal. Report'!$N$23:$Q$31,2,0)</f>
        <v>स्थिगित वार्षिकी</v>
      </c>
      <c r="Y22" s="370">
        <f>VLOOKUP($V22,'Income Tax Cal. Report'!$N$23:$Q$31,4,0)</f>
        <v>0</v>
      </c>
    </row>
    <row r="23" spans="1:29" ht="15.75">
      <c r="A23" s="847"/>
      <c r="B23" s="958" t="s">
        <v>263</v>
      </c>
      <c r="C23" s="922"/>
      <c r="D23" s="841"/>
      <c r="E23" s="951"/>
      <c r="F23" s="952"/>
      <c r="G23" s="953"/>
      <c r="H23" s="954"/>
      <c r="I23" s="841">
        <f>'Income Tax Cal. Report'!I67</f>
        <v>0</v>
      </c>
      <c r="J23" s="951"/>
      <c r="K23" s="952"/>
      <c r="L23" s="940">
        <f>I23</f>
        <v>0</v>
      </c>
      <c r="M23" s="959"/>
      <c r="N23" s="847"/>
      <c r="V23" s="351" t="s">
        <v>520</v>
      </c>
      <c r="W23" s="94">
        <f t="shared" si="4"/>
        <v>0</v>
      </c>
      <c r="X23" s="370">
        <f>VLOOKUP($V23,'Income Tax Cal. Report'!$N$23:$Q$31,2,0)</f>
        <v>0</v>
      </c>
      <c r="Y23" s="370">
        <f>VLOOKUP($V23,'Income Tax Cal. Report'!$N$23:$Q$31,4,0)</f>
        <v>0</v>
      </c>
    </row>
    <row r="24" spans="1:29" ht="15.75">
      <c r="A24" s="847"/>
      <c r="B24" s="958" t="s">
        <v>264</v>
      </c>
      <c r="C24" s="922"/>
      <c r="D24" s="841"/>
      <c r="E24" s="951"/>
      <c r="F24" s="952"/>
      <c r="G24" s="953"/>
      <c r="H24" s="954"/>
      <c r="I24" s="841">
        <f>'Income Tax Cal. Report'!J67+'Income Tax Cal. Report'!K67+'Income Tax Cal. Report'!L67+'Income Tax Cal. Report'!M67</f>
        <v>0</v>
      </c>
      <c r="J24" s="951"/>
      <c r="K24" s="952"/>
      <c r="L24" s="940">
        <f>I24</f>
        <v>0</v>
      </c>
      <c r="M24" s="959"/>
      <c r="N24" s="847"/>
      <c r="V24" s="351" t="s">
        <v>521</v>
      </c>
      <c r="W24" s="94">
        <f t="shared" si="4"/>
        <v>0</v>
      </c>
      <c r="X24" s="370">
        <f>VLOOKUP($V24,'Income Tax Cal. Report'!$N$23:$Q$31,2,0)</f>
        <v>0</v>
      </c>
      <c r="Y24" s="370">
        <f>VLOOKUP($V24,'Income Tax Cal. Report'!$N$23:$Q$31,4,0)</f>
        <v>0</v>
      </c>
    </row>
    <row r="25" spans="1:29" ht="15.75">
      <c r="A25" s="847"/>
      <c r="B25" s="960" t="s">
        <v>6</v>
      </c>
      <c r="C25" s="918"/>
      <c r="D25" s="917"/>
      <c r="E25" s="879"/>
      <c r="F25" s="918"/>
      <c r="G25" s="961">
        <f>SUM(G21:H24)</f>
        <v>0</v>
      </c>
      <c r="H25" s="962"/>
      <c r="I25" s="917">
        <f>SUM(I21:K24)</f>
        <v>0</v>
      </c>
      <c r="J25" s="879"/>
      <c r="K25" s="918"/>
      <c r="L25" s="961">
        <f>SUM(L21:M24)</f>
        <v>0</v>
      </c>
      <c r="M25" s="963"/>
      <c r="N25" s="847"/>
      <c r="V25" s="351" t="s">
        <v>522</v>
      </c>
      <c r="W25" s="94">
        <f t="shared" si="4"/>
        <v>0</v>
      </c>
      <c r="X25" s="370">
        <f>VLOOKUP($V25,'Income Tax Cal. Report'!$N$23:$Q$31,2,0)</f>
        <v>0</v>
      </c>
      <c r="Y25" s="370">
        <f>VLOOKUP($V25,'Income Tax Cal. Report'!$N$23:$Q$31,4,0)</f>
        <v>0</v>
      </c>
    </row>
    <row r="26" spans="1:29" ht="15.75">
      <c r="A26" s="847"/>
      <c r="B26" s="941" t="s">
        <v>265</v>
      </c>
      <c r="C26" s="942"/>
      <c r="D26" s="942"/>
      <c r="E26" s="942"/>
      <c r="F26" s="943"/>
      <c r="G26" s="943"/>
      <c r="H26" s="943"/>
      <c r="I26" s="943"/>
      <c r="J26" s="943"/>
      <c r="K26" s="943"/>
      <c r="L26" s="943"/>
      <c r="M26" s="944"/>
      <c r="N26" s="847"/>
      <c r="V26" s="351" t="s">
        <v>523</v>
      </c>
      <c r="W26" s="94">
        <f t="shared" si="4"/>
        <v>0</v>
      </c>
      <c r="X26" s="370">
        <f>VLOOKUP($V26,'Income Tax Cal. Report'!$N$23:$Q$31,2,0)</f>
        <v>0</v>
      </c>
      <c r="Y26" s="370">
        <f>VLOOKUP($V26,'Income Tax Cal. Report'!$N$23:$Q$31,4,0)</f>
        <v>0</v>
      </c>
    </row>
    <row r="27" spans="1:29" ht="15.75">
      <c r="A27" s="847"/>
      <c r="B27" s="404" t="s">
        <v>266</v>
      </c>
      <c r="C27" s="945" t="s">
        <v>267</v>
      </c>
      <c r="D27" s="945"/>
      <c r="E27" s="946"/>
      <c r="F27" s="947" t="s">
        <v>268</v>
      </c>
      <c r="G27" s="948"/>
      <c r="H27" s="948"/>
      <c r="I27" s="948"/>
      <c r="J27" s="949"/>
      <c r="K27" s="949"/>
      <c r="L27" s="948"/>
      <c r="M27" s="950"/>
      <c r="N27" s="847"/>
      <c r="V27" s="351" t="s">
        <v>524</v>
      </c>
      <c r="W27" s="94">
        <f t="shared" si="4"/>
        <v>0</v>
      </c>
      <c r="X27" s="370">
        <f>VLOOKUP($V27,'Income Tax Cal. Report'!$N$23:$Q$31,2,0)</f>
        <v>0</v>
      </c>
      <c r="Y27" s="370">
        <f>VLOOKUP($V27,'Income Tax Cal. Report'!$N$23:$Q$31,4,0)</f>
        <v>0</v>
      </c>
    </row>
    <row r="28" spans="1:29" ht="15.75">
      <c r="A28" s="847"/>
      <c r="B28" s="405"/>
      <c r="C28" s="933" t="s">
        <v>269</v>
      </c>
      <c r="D28" s="933"/>
      <c r="E28" s="933"/>
      <c r="F28" s="934" t="s">
        <v>270</v>
      </c>
      <c r="G28" s="935"/>
      <c r="H28" s="934" t="s">
        <v>271</v>
      </c>
      <c r="I28" s="936"/>
      <c r="J28" s="934" t="s">
        <v>272</v>
      </c>
      <c r="K28" s="936"/>
      <c r="L28" s="843" t="s">
        <v>273</v>
      </c>
      <c r="M28" s="844"/>
      <c r="N28" s="847"/>
      <c r="V28" s="351" t="s">
        <v>525</v>
      </c>
      <c r="W28" s="94">
        <f t="shared" si="4"/>
        <v>0</v>
      </c>
      <c r="X28" s="370">
        <f>VLOOKUP($V28,'Income Tax Cal. Report'!$N$23:$Q$31,2,0)</f>
        <v>0</v>
      </c>
      <c r="Y28" s="370">
        <f>VLOOKUP($V28,'Income Tax Cal. Report'!$N$23:$Q$31,4,0)</f>
        <v>0</v>
      </c>
    </row>
    <row r="29" spans="1:29" ht="15.75">
      <c r="A29" s="847"/>
      <c r="B29" s="405"/>
      <c r="C29" s="362"/>
      <c r="D29" s="362" t="s">
        <v>274</v>
      </c>
      <c r="E29" s="362"/>
      <c r="F29" s="937" t="s">
        <v>275</v>
      </c>
      <c r="G29" s="938"/>
      <c r="H29" s="937" t="s">
        <v>275</v>
      </c>
      <c r="I29" s="939"/>
      <c r="J29" s="937" t="s">
        <v>275</v>
      </c>
      <c r="K29" s="939"/>
      <c r="L29" s="845" t="s">
        <v>276</v>
      </c>
      <c r="M29" s="846"/>
      <c r="N29" s="847"/>
      <c r="V29" s="351" t="s">
        <v>526</v>
      </c>
      <c r="W29" s="94">
        <f t="shared" si="4"/>
        <v>0</v>
      </c>
      <c r="X29" s="370">
        <f>VLOOKUP($V29,'Income Tax Cal. Report'!$N$23:$Q$31,2,0)</f>
        <v>0</v>
      </c>
      <c r="Y29" s="370">
        <f>VLOOKUP($V29,'Income Tax Cal. Report'!$N$23:$Q$31,4,0)</f>
        <v>0</v>
      </c>
    </row>
    <row r="30" spans="1:29" ht="15.75">
      <c r="A30" s="847"/>
      <c r="B30" s="406"/>
      <c r="C30" s="928"/>
      <c r="D30" s="928"/>
      <c r="E30" s="928"/>
      <c r="F30" s="173"/>
      <c r="G30" s="174"/>
      <c r="H30" s="929"/>
      <c r="I30" s="930"/>
      <c r="J30" s="931" t="s">
        <v>277</v>
      </c>
      <c r="K30" s="932"/>
      <c r="L30" s="361"/>
      <c r="M30" s="390"/>
      <c r="N30" s="847"/>
      <c r="V30" s="351"/>
      <c r="W30" s="94"/>
    </row>
    <row r="31" spans="1:29">
      <c r="A31" s="847"/>
      <c r="B31" s="407">
        <v>1</v>
      </c>
      <c r="C31" s="841"/>
      <c r="D31" s="951"/>
      <c r="E31" s="952"/>
      <c r="F31" s="953"/>
      <c r="G31" s="954"/>
      <c r="H31" s="841"/>
      <c r="I31" s="952"/>
      <c r="J31" s="957"/>
      <c r="K31" s="957"/>
      <c r="L31" s="841"/>
      <c r="M31" s="842"/>
      <c r="N31" s="847"/>
    </row>
    <row r="32" spans="1:29">
      <c r="A32" s="847"/>
      <c r="B32" s="408">
        <v>2</v>
      </c>
      <c r="C32" s="841"/>
      <c r="D32" s="951"/>
      <c r="E32" s="952"/>
      <c r="F32" s="953"/>
      <c r="G32" s="954"/>
      <c r="H32" s="841"/>
      <c r="I32" s="952"/>
      <c r="J32" s="957"/>
      <c r="K32" s="957"/>
      <c r="L32" s="841"/>
      <c r="M32" s="842"/>
      <c r="N32" s="847"/>
    </row>
    <row r="33" spans="1:14">
      <c r="A33" s="847"/>
      <c r="B33" s="408">
        <v>3</v>
      </c>
      <c r="C33" s="841"/>
      <c r="D33" s="951"/>
      <c r="E33" s="952"/>
      <c r="F33" s="366"/>
      <c r="G33" s="367"/>
      <c r="H33" s="353"/>
      <c r="I33" s="365"/>
      <c r="J33" s="92"/>
      <c r="K33" s="93"/>
      <c r="L33" s="841"/>
      <c r="M33" s="842"/>
      <c r="N33" s="847"/>
    </row>
    <row r="34" spans="1:14">
      <c r="A34" s="847"/>
      <c r="B34" s="408">
        <v>4</v>
      </c>
      <c r="C34" s="841"/>
      <c r="D34" s="951"/>
      <c r="E34" s="952"/>
      <c r="F34" s="366"/>
      <c r="G34" s="367"/>
      <c r="H34" s="353"/>
      <c r="I34" s="365"/>
      <c r="J34" s="353"/>
      <c r="K34" s="365"/>
      <c r="L34" s="841"/>
      <c r="M34" s="842"/>
      <c r="N34" s="847"/>
    </row>
    <row r="35" spans="1:14">
      <c r="A35" s="847"/>
      <c r="B35" s="408">
        <v>5</v>
      </c>
      <c r="C35" s="841"/>
      <c r="D35" s="951"/>
      <c r="E35" s="952"/>
      <c r="F35" s="366"/>
      <c r="G35" s="367"/>
      <c r="H35" s="353"/>
      <c r="I35" s="365"/>
      <c r="J35" s="353"/>
      <c r="K35" s="365"/>
      <c r="L35" s="841"/>
      <c r="M35" s="842"/>
      <c r="N35" s="847"/>
    </row>
    <row r="36" spans="1:14">
      <c r="A36" s="847"/>
      <c r="B36" s="408">
        <v>6</v>
      </c>
      <c r="C36" s="841"/>
      <c r="D36" s="951"/>
      <c r="E36" s="952"/>
      <c r="F36" s="366"/>
      <c r="G36" s="367"/>
      <c r="H36" s="353"/>
      <c r="I36" s="365"/>
      <c r="J36" s="353"/>
      <c r="K36" s="365"/>
      <c r="L36" s="841"/>
      <c r="M36" s="842"/>
      <c r="N36" s="847"/>
    </row>
    <row r="37" spans="1:14">
      <c r="A37" s="847"/>
      <c r="B37" s="408">
        <v>7</v>
      </c>
      <c r="C37" s="841"/>
      <c r="D37" s="951"/>
      <c r="E37" s="952"/>
      <c r="F37" s="366"/>
      <c r="G37" s="367"/>
      <c r="H37" s="353"/>
      <c r="I37" s="365"/>
      <c r="J37" s="353"/>
      <c r="K37" s="365"/>
      <c r="L37" s="841"/>
      <c r="M37" s="842"/>
      <c r="N37" s="847"/>
    </row>
    <row r="38" spans="1:14">
      <c r="A38" s="847"/>
      <c r="B38" s="408">
        <v>8</v>
      </c>
      <c r="C38" s="841"/>
      <c r="D38" s="951"/>
      <c r="E38" s="952"/>
      <c r="F38" s="366"/>
      <c r="G38" s="367"/>
      <c r="H38" s="353"/>
      <c r="I38" s="365"/>
      <c r="J38" s="353"/>
      <c r="K38" s="365"/>
      <c r="L38" s="841"/>
      <c r="M38" s="842"/>
      <c r="N38" s="847"/>
    </row>
    <row r="39" spans="1:14">
      <c r="A39" s="847"/>
      <c r="B39" s="408">
        <v>9</v>
      </c>
      <c r="C39" s="841"/>
      <c r="D39" s="951"/>
      <c r="E39" s="952"/>
      <c r="F39" s="953"/>
      <c r="G39" s="954"/>
      <c r="H39" s="841"/>
      <c r="I39" s="952"/>
      <c r="J39" s="841"/>
      <c r="K39" s="952"/>
      <c r="L39" s="841"/>
      <c r="M39" s="842"/>
      <c r="N39" s="847"/>
    </row>
    <row r="40" spans="1:14">
      <c r="A40" s="847"/>
      <c r="B40" s="408">
        <v>10</v>
      </c>
      <c r="C40" s="841"/>
      <c r="D40" s="951"/>
      <c r="E40" s="952"/>
      <c r="F40" s="953"/>
      <c r="G40" s="954"/>
      <c r="H40" s="841"/>
      <c r="I40" s="952"/>
      <c r="J40" s="841"/>
      <c r="K40" s="952"/>
      <c r="L40" s="841"/>
      <c r="M40" s="842"/>
      <c r="N40" s="847"/>
    </row>
    <row r="41" spans="1:14">
      <c r="A41" s="847"/>
      <c r="B41" s="408">
        <v>11</v>
      </c>
      <c r="C41" s="841"/>
      <c r="D41" s="951"/>
      <c r="E41" s="952"/>
      <c r="F41" s="953"/>
      <c r="G41" s="954"/>
      <c r="H41" s="841"/>
      <c r="I41" s="952"/>
      <c r="J41" s="841"/>
      <c r="K41" s="952"/>
      <c r="L41" s="841"/>
      <c r="M41" s="842"/>
      <c r="N41" s="847"/>
    </row>
    <row r="42" spans="1:14">
      <c r="A42" s="847"/>
      <c r="B42" s="408">
        <v>12</v>
      </c>
      <c r="C42" s="841"/>
      <c r="D42" s="951"/>
      <c r="E42" s="952"/>
      <c r="F42" s="953"/>
      <c r="G42" s="954"/>
      <c r="H42" s="841"/>
      <c r="I42" s="952"/>
      <c r="J42" s="955"/>
      <c r="K42" s="956"/>
      <c r="L42" s="841"/>
      <c r="M42" s="842"/>
      <c r="N42" s="847"/>
    </row>
    <row r="43" spans="1:14">
      <c r="A43" s="847"/>
      <c r="B43" s="406" t="s">
        <v>278</v>
      </c>
      <c r="C43" s="839">
        <f>SUM(C31:E42)</f>
        <v>0</v>
      </c>
      <c r="D43" s="921"/>
      <c r="E43" s="922"/>
      <c r="F43" s="940"/>
      <c r="G43" s="920"/>
      <c r="H43" s="839"/>
      <c r="I43" s="922"/>
      <c r="J43" s="926"/>
      <c r="K43" s="926"/>
      <c r="L43" s="839"/>
      <c r="M43" s="840"/>
      <c r="N43" s="847"/>
    </row>
    <row r="44" spans="1:14">
      <c r="A44" s="847"/>
      <c r="B44" s="402"/>
      <c r="C44" s="359"/>
      <c r="D44" s="359"/>
      <c r="E44" s="359"/>
      <c r="F44" s="364"/>
      <c r="G44" s="364"/>
      <c r="H44" s="359"/>
      <c r="I44" s="359"/>
      <c r="J44" s="360"/>
      <c r="K44" s="360"/>
      <c r="L44" s="360"/>
      <c r="M44" s="390"/>
      <c r="N44" s="847"/>
    </row>
    <row r="45" spans="1:14">
      <c r="A45" s="847"/>
      <c r="B45" s="941" t="s">
        <v>355</v>
      </c>
      <c r="C45" s="942"/>
      <c r="D45" s="942"/>
      <c r="E45" s="942"/>
      <c r="F45" s="943"/>
      <c r="G45" s="943"/>
      <c r="H45" s="943"/>
      <c r="I45" s="943"/>
      <c r="J45" s="943"/>
      <c r="K45" s="943"/>
      <c r="L45" s="943"/>
      <c r="M45" s="944"/>
      <c r="N45" s="847"/>
    </row>
    <row r="46" spans="1:14">
      <c r="A46" s="847"/>
      <c r="B46" s="404" t="s">
        <v>266</v>
      </c>
      <c r="C46" s="945" t="s">
        <v>267</v>
      </c>
      <c r="D46" s="945"/>
      <c r="E46" s="946"/>
      <c r="F46" s="947" t="s">
        <v>279</v>
      </c>
      <c r="G46" s="948"/>
      <c r="H46" s="948"/>
      <c r="I46" s="948"/>
      <c r="J46" s="949"/>
      <c r="K46" s="949"/>
      <c r="L46" s="948"/>
      <c r="M46" s="950"/>
      <c r="N46" s="847"/>
    </row>
    <row r="47" spans="1:14">
      <c r="A47" s="847"/>
      <c r="B47" s="405"/>
      <c r="C47" s="933" t="s">
        <v>269</v>
      </c>
      <c r="D47" s="933"/>
      <c r="E47" s="933"/>
      <c r="F47" s="934" t="s">
        <v>280</v>
      </c>
      <c r="G47" s="935"/>
      <c r="H47" s="934" t="s">
        <v>281</v>
      </c>
      <c r="I47" s="936"/>
      <c r="J47" s="934" t="s">
        <v>282</v>
      </c>
      <c r="K47" s="936"/>
      <c r="L47" s="843" t="s">
        <v>273</v>
      </c>
      <c r="M47" s="844"/>
      <c r="N47" s="847"/>
    </row>
    <row r="48" spans="1:14">
      <c r="A48" s="847"/>
      <c r="B48" s="405"/>
      <c r="C48" s="362"/>
      <c r="D48" s="362" t="s">
        <v>274</v>
      </c>
      <c r="E48" s="362"/>
      <c r="F48" s="937" t="s">
        <v>283</v>
      </c>
      <c r="G48" s="938"/>
      <c r="H48" s="937" t="s">
        <v>284</v>
      </c>
      <c r="I48" s="939"/>
      <c r="J48" s="937" t="s">
        <v>285</v>
      </c>
      <c r="K48" s="939"/>
      <c r="L48" s="845" t="s">
        <v>276</v>
      </c>
      <c r="M48" s="846"/>
      <c r="N48" s="847"/>
    </row>
    <row r="49" spans="1:14">
      <c r="A49" s="847"/>
      <c r="B49" s="406"/>
      <c r="C49" s="928"/>
      <c r="D49" s="928"/>
      <c r="E49" s="928"/>
      <c r="F49" s="173"/>
      <c r="G49" s="174"/>
      <c r="H49" s="929" t="s">
        <v>277</v>
      </c>
      <c r="I49" s="930"/>
      <c r="J49" s="931"/>
      <c r="K49" s="932"/>
      <c r="L49" s="361"/>
      <c r="M49" s="390"/>
      <c r="N49" s="847"/>
    </row>
    <row r="50" spans="1:14">
      <c r="A50" s="847"/>
      <c r="B50" s="407">
        <v>1</v>
      </c>
      <c r="C50" s="839">
        <f>'Exemp.(HRA+Other) &amp; Other incom'!Q7</f>
        <v>0</v>
      </c>
      <c r="D50" s="921"/>
      <c r="E50" s="922"/>
      <c r="F50" s="919">
        <f>'Exemp.(HRA+Other) &amp; Other incom'!P7</f>
        <v>0</v>
      </c>
      <c r="G50" s="927"/>
      <c r="H50" s="923">
        <f>'Exemp.(HRA+Other) &amp; Other incom'!N7</f>
        <v>0</v>
      </c>
      <c r="I50" s="924"/>
      <c r="J50" s="925">
        <f>'Exemp.(HRA+Other) &amp; Other incom'!O7</f>
        <v>0</v>
      </c>
      <c r="K50" s="926"/>
      <c r="L50" s="839">
        <f>IF(C50&gt;0,"Matched",0)</f>
        <v>0</v>
      </c>
      <c r="M50" s="840"/>
      <c r="N50" s="847"/>
    </row>
    <row r="51" spans="1:14">
      <c r="A51" s="847"/>
      <c r="B51" s="408">
        <v>2</v>
      </c>
      <c r="C51" s="839">
        <f>'Exemp.(HRA+Other) &amp; Other incom'!Q8</f>
        <v>0</v>
      </c>
      <c r="D51" s="921"/>
      <c r="E51" s="922"/>
      <c r="F51" s="919">
        <f>'Exemp.(HRA+Other) &amp; Other incom'!P8</f>
        <v>0</v>
      </c>
      <c r="G51" s="927"/>
      <c r="H51" s="923">
        <f>'Exemp.(HRA+Other) &amp; Other incom'!N8</f>
        <v>0</v>
      </c>
      <c r="I51" s="924"/>
      <c r="J51" s="925">
        <f>'Exemp.(HRA+Other) &amp; Other incom'!O8</f>
        <v>0</v>
      </c>
      <c r="K51" s="926"/>
      <c r="L51" s="839">
        <f t="shared" ref="L51:L53" si="9">IF(C51&gt;0,"Matched",0)</f>
        <v>0</v>
      </c>
      <c r="M51" s="840"/>
      <c r="N51" s="847"/>
    </row>
    <row r="52" spans="1:14">
      <c r="A52" s="847"/>
      <c r="B52" s="408">
        <v>3</v>
      </c>
      <c r="C52" s="839">
        <f>'Exemp.(HRA+Other) &amp; Other incom'!Q9</f>
        <v>0</v>
      </c>
      <c r="D52" s="921"/>
      <c r="E52" s="922"/>
      <c r="F52" s="919">
        <f>'Exemp.(HRA+Other) &amp; Other incom'!P9</f>
        <v>0</v>
      </c>
      <c r="G52" s="927"/>
      <c r="H52" s="923">
        <f>'Exemp.(HRA+Other) &amp; Other incom'!N9</f>
        <v>0</v>
      </c>
      <c r="I52" s="924"/>
      <c r="J52" s="925">
        <f>'Exemp.(HRA+Other) &amp; Other incom'!O9</f>
        <v>0</v>
      </c>
      <c r="K52" s="926"/>
      <c r="L52" s="839">
        <f t="shared" si="9"/>
        <v>0</v>
      </c>
      <c r="M52" s="840"/>
      <c r="N52" s="847"/>
    </row>
    <row r="53" spans="1:14">
      <c r="A53" s="847"/>
      <c r="B53" s="408">
        <v>4</v>
      </c>
      <c r="C53" s="839">
        <f>'Exemp.(HRA+Other) &amp; Other incom'!Q10</f>
        <v>0</v>
      </c>
      <c r="D53" s="921"/>
      <c r="E53" s="922"/>
      <c r="F53" s="919">
        <f>'Exemp.(HRA+Other) &amp; Other incom'!P10</f>
        <v>0</v>
      </c>
      <c r="G53" s="927"/>
      <c r="H53" s="923">
        <f>'Exemp.(HRA+Other) &amp; Other incom'!N10</f>
        <v>0</v>
      </c>
      <c r="I53" s="924"/>
      <c r="J53" s="925">
        <f>'Exemp.(HRA+Other) &amp; Other incom'!O10</f>
        <v>0</v>
      </c>
      <c r="K53" s="926"/>
      <c r="L53" s="839">
        <f t="shared" si="9"/>
        <v>0</v>
      </c>
      <c r="M53" s="840"/>
      <c r="N53" s="847"/>
    </row>
    <row r="54" spans="1:14">
      <c r="A54" s="847"/>
      <c r="B54" s="409" t="s">
        <v>278</v>
      </c>
      <c r="C54" s="917">
        <f>SUM(C50:E53)</f>
        <v>0</v>
      </c>
      <c r="D54" s="879"/>
      <c r="E54" s="918"/>
      <c r="F54" s="919"/>
      <c r="G54" s="920"/>
      <c r="H54" s="839"/>
      <c r="I54" s="921"/>
      <c r="J54" s="921"/>
      <c r="K54" s="921"/>
      <c r="L54" s="921"/>
      <c r="M54" s="840"/>
      <c r="N54" s="847"/>
    </row>
    <row r="55" spans="1:14">
      <c r="A55" s="847"/>
      <c r="B55" s="875" t="s">
        <v>286</v>
      </c>
      <c r="C55" s="876"/>
      <c r="D55" s="876"/>
      <c r="E55" s="876"/>
      <c r="F55" s="876"/>
      <c r="G55" s="876"/>
      <c r="H55" s="876"/>
      <c r="I55" s="876"/>
      <c r="J55" s="876"/>
      <c r="K55" s="876"/>
      <c r="L55" s="876"/>
      <c r="M55" s="906"/>
      <c r="N55" s="847"/>
    </row>
    <row r="56" spans="1:14">
      <c r="A56" s="847"/>
      <c r="B56" s="410" t="s">
        <v>287</v>
      </c>
      <c r="C56" s="907" t="str">
        <f>'Basic Deta'!M5</f>
        <v>SHARIQUE ASHRAF</v>
      </c>
      <c r="D56" s="907"/>
      <c r="E56" s="907"/>
      <c r="F56" s="175" t="s">
        <v>288</v>
      </c>
      <c r="G56" s="176"/>
      <c r="H56" s="908">
        <f>'Basic Deta'!M6</f>
        <v>0</v>
      </c>
      <c r="I56" s="909"/>
      <c r="J56" s="909"/>
      <c r="K56" s="175" t="s">
        <v>289</v>
      </c>
      <c r="L56" s="176"/>
      <c r="M56" s="392"/>
      <c r="N56" s="847"/>
    </row>
    <row r="57" spans="1:14">
      <c r="A57" s="847"/>
      <c r="B57" s="910" t="s">
        <v>495</v>
      </c>
      <c r="C57" s="911"/>
      <c r="D57" s="911"/>
      <c r="E57" s="177" t="s">
        <v>290</v>
      </c>
      <c r="F57" s="167"/>
      <c r="G57" s="178"/>
      <c r="H57" s="178"/>
      <c r="I57" s="178"/>
      <c r="J57" s="368">
        <f>'Income Tax Cal. Report'!S67</f>
        <v>0</v>
      </c>
      <c r="K57" s="179" t="s">
        <v>291</v>
      </c>
      <c r="L57" s="178"/>
      <c r="M57" s="411"/>
      <c r="N57" s="847"/>
    </row>
    <row r="58" spans="1:14">
      <c r="A58" s="847"/>
      <c r="B58" s="912"/>
      <c r="C58" s="913"/>
      <c r="D58" s="913"/>
      <c r="E58" s="913"/>
      <c r="F58" s="913"/>
      <c r="G58" s="180" t="s">
        <v>292</v>
      </c>
      <c r="H58" s="181"/>
      <c r="I58" s="181"/>
      <c r="J58" s="181"/>
      <c r="K58" s="181"/>
      <c r="L58" s="181"/>
      <c r="M58" s="393"/>
      <c r="N58" s="847"/>
    </row>
    <row r="59" spans="1:14">
      <c r="A59" s="847"/>
      <c r="B59" s="863" t="s">
        <v>293</v>
      </c>
      <c r="C59" s="864"/>
      <c r="D59" s="864"/>
      <c r="E59" s="864"/>
      <c r="F59" s="864"/>
      <c r="G59" s="864"/>
      <c r="H59" s="864"/>
      <c r="I59" s="864"/>
      <c r="J59" s="864"/>
      <c r="K59" s="864"/>
      <c r="L59" s="864"/>
      <c r="M59" s="865"/>
      <c r="N59" s="847"/>
    </row>
    <row r="60" spans="1:14">
      <c r="A60" s="847"/>
      <c r="B60" s="914"/>
      <c r="C60" s="915"/>
      <c r="D60" s="915"/>
      <c r="E60" s="915"/>
      <c r="F60" s="915"/>
      <c r="G60" s="915"/>
      <c r="H60" s="915"/>
      <c r="I60" s="915"/>
      <c r="J60" s="915"/>
      <c r="K60" s="915"/>
      <c r="L60" s="915"/>
      <c r="M60" s="916"/>
      <c r="N60" s="847"/>
    </row>
    <row r="61" spans="1:14">
      <c r="A61" s="847"/>
      <c r="B61" s="904" t="s">
        <v>294</v>
      </c>
      <c r="C61" s="905"/>
      <c r="D61" s="182"/>
      <c r="E61" s="182"/>
      <c r="F61" s="182"/>
      <c r="G61" s="182"/>
      <c r="H61" s="182"/>
      <c r="I61" s="182"/>
      <c r="J61" s="182"/>
      <c r="K61" s="182"/>
      <c r="L61" s="182"/>
      <c r="M61" s="412"/>
      <c r="N61" s="847"/>
    </row>
    <row r="62" spans="1:14">
      <c r="A62" s="847"/>
      <c r="B62" s="901" t="s">
        <v>295</v>
      </c>
      <c r="C62" s="902"/>
      <c r="D62" s="902"/>
      <c r="E62" s="902"/>
      <c r="F62" s="902"/>
      <c r="G62" s="902"/>
      <c r="H62" s="902"/>
      <c r="I62" s="902"/>
      <c r="J62" s="902"/>
      <c r="K62" s="902"/>
      <c r="L62" s="902"/>
      <c r="M62" s="903"/>
      <c r="N62" s="847"/>
    </row>
    <row r="63" spans="1:14">
      <c r="A63" s="847"/>
      <c r="B63" s="901" t="s">
        <v>296</v>
      </c>
      <c r="C63" s="902"/>
      <c r="D63" s="902"/>
      <c r="E63" s="902"/>
      <c r="F63" s="902"/>
      <c r="G63" s="902"/>
      <c r="H63" s="902"/>
      <c r="I63" s="902"/>
      <c r="J63" s="902"/>
      <c r="K63" s="902"/>
      <c r="L63" s="902"/>
      <c r="M63" s="903"/>
      <c r="N63" s="847"/>
    </row>
    <row r="64" spans="1:14">
      <c r="A64" s="847"/>
      <c r="B64" s="901" t="s">
        <v>297</v>
      </c>
      <c r="C64" s="902"/>
      <c r="D64" s="902"/>
      <c r="E64" s="902"/>
      <c r="F64" s="902"/>
      <c r="G64" s="902"/>
      <c r="H64" s="902"/>
      <c r="I64" s="902"/>
      <c r="J64" s="902"/>
      <c r="K64" s="902"/>
      <c r="L64" s="902"/>
      <c r="M64" s="903"/>
      <c r="N64" s="847"/>
    </row>
    <row r="65" spans="1:14">
      <c r="A65" s="847"/>
      <c r="B65" s="901" t="s">
        <v>298</v>
      </c>
      <c r="C65" s="902"/>
      <c r="D65" s="902"/>
      <c r="E65" s="902"/>
      <c r="F65" s="902"/>
      <c r="G65" s="902"/>
      <c r="H65" s="902"/>
      <c r="I65" s="902"/>
      <c r="J65" s="902"/>
      <c r="K65" s="902"/>
      <c r="L65" s="902"/>
      <c r="M65" s="903"/>
      <c r="N65" s="847"/>
    </row>
    <row r="66" spans="1:14">
      <c r="A66" s="847"/>
      <c r="B66" s="901" t="s">
        <v>299</v>
      </c>
      <c r="C66" s="902"/>
      <c r="D66" s="902"/>
      <c r="E66" s="902"/>
      <c r="F66" s="902"/>
      <c r="G66" s="902"/>
      <c r="H66" s="902"/>
      <c r="I66" s="354"/>
      <c r="J66" s="354"/>
      <c r="K66" s="354"/>
      <c r="L66" s="354"/>
      <c r="M66" s="394"/>
      <c r="N66" s="847"/>
    </row>
    <row r="67" spans="1:14">
      <c r="A67" s="847"/>
      <c r="B67" s="901" t="s">
        <v>300</v>
      </c>
      <c r="C67" s="902"/>
      <c r="D67" s="902"/>
      <c r="E67" s="902"/>
      <c r="F67" s="902"/>
      <c r="G67" s="902"/>
      <c r="H67" s="902"/>
      <c r="I67" s="902"/>
      <c r="J67" s="902"/>
      <c r="K67" s="902"/>
      <c r="L67" s="902"/>
      <c r="M67" s="903"/>
      <c r="N67" s="847"/>
    </row>
    <row r="68" spans="1:14">
      <c r="A68" s="847"/>
      <c r="B68" s="901" t="s">
        <v>301</v>
      </c>
      <c r="C68" s="902"/>
      <c r="D68" s="902"/>
      <c r="E68" s="902"/>
      <c r="F68" s="902"/>
      <c r="G68" s="902"/>
      <c r="H68" s="902"/>
      <c r="I68" s="902"/>
      <c r="J68" s="902"/>
      <c r="K68" s="902"/>
      <c r="L68" s="902"/>
      <c r="M68" s="903"/>
      <c r="N68" s="847"/>
    </row>
    <row r="69" spans="1:14">
      <c r="A69" s="847"/>
      <c r="B69" s="901" t="s">
        <v>302</v>
      </c>
      <c r="C69" s="902"/>
      <c r="D69" s="902"/>
      <c r="E69" s="902"/>
      <c r="F69" s="902"/>
      <c r="G69" s="902"/>
      <c r="H69" s="902"/>
      <c r="I69" s="902"/>
      <c r="J69" s="902"/>
      <c r="K69" s="902"/>
      <c r="L69" s="902"/>
      <c r="M69" s="903"/>
      <c r="N69" s="847"/>
    </row>
    <row r="70" spans="1:14">
      <c r="A70" s="847"/>
      <c r="B70" s="901" t="s">
        <v>303</v>
      </c>
      <c r="C70" s="902"/>
      <c r="D70" s="902"/>
      <c r="E70" s="902"/>
      <c r="F70" s="902"/>
      <c r="G70" s="902"/>
      <c r="H70" s="902"/>
      <c r="I70" s="902"/>
      <c r="J70" s="902"/>
      <c r="K70" s="902"/>
      <c r="L70" s="902"/>
      <c r="M70" s="903"/>
      <c r="N70" s="847"/>
    </row>
    <row r="71" spans="1:14">
      <c r="A71" s="847"/>
      <c r="B71" s="863" t="s">
        <v>304</v>
      </c>
      <c r="C71" s="864"/>
      <c r="D71" s="864"/>
      <c r="E71" s="864"/>
      <c r="F71" s="864"/>
      <c r="G71" s="864"/>
      <c r="H71" s="864"/>
      <c r="I71" s="864"/>
      <c r="J71" s="864"/>
      <c r="K71" s="864"/>
      <c r="L71" s="864"/>
      <c r="M71" s="865"/>
      <c r="N71" s="847"/>
    </row>
    <row r="72" spans="1:14">
      <c r="A72" s="847"/>
      <c r="B72" s="863" t="s">
        <v>305</v>
      </c>
      <c r="C72" s="864"/>
      <c r="D72" s="864"/>
      <c r="E72" s="864"/>
      <c r="F72" s="864"/>
      <c r="G72" s="167"/>
      <c r="H72" s="167"/>
      <c r="I72" s="167"/>
      <c r="J72" s="167"/>
      <c r="K72" s="167"/>
      <c r="L72" s="167"/>
      <c r="M72" s="395"/>
      <c r="N72" s="847"/>
    </row>
    <row r="73" spans="1:14">
      <c r="A73" s="847"/>
      <c r="B73" s="396" t="s">
        <v>306</v>
      </c>
      <c r="C73" s="167"/>
      <c r="D73" s="167"/>
      <c r="E73" s="167"/>
      <c r="F73" s="167"/>
      <c r="G73" s="354"/>
      <c r="H73" s="354"/>
      <c r="I73" s="354"/>
      <c r="J73" s="354"/>
      <c r="K73" s="354"/>
      <c r="L73" s="354"/>
      <c r="M73" s="394"/>
      <c r="N73" s="847"/>
    </row>
    <row r="74" spans="1:14" ht="9" customHeight="1" thickBot="1">
      <c r="A74" s="847"/>
      <c r="B74" s="397"/>
      <c r="C74" s="183"/>
      <c r="D74" s="183"/>
      <c r="E74" s="183"/>
      <c r="F74" s="183"/>
      <c r="G74" s="183"/>
      <c r="H74" s="183"/>
      <c r="I74" s="183"/>
      <c r="J74" s="183"/>
      <c r="K74" s="183"/>
      <c r="L74" s="183"/>
      <c r="M74" s="398"/>
      <c r="N74" s="847"/>
    </row>
    <row r="75" spans="1:14" ht="13.5" customHeight="1">
      <c r="A75" s="847"/>
      <c r="B75" s="889" t="s">
        <v>307</v>
      </c>
      <c r="C75" s="890"/>
      <c r="D75" s="890"/>
      <c r="E75" s="890"/>
      <c r="F75" s="890"/>
      <c r="G75" s="890"/>
      <c r="H75" s="890"/>
      <c r="I75" s="890"/>
      <c r="J75" s="890"/>
      <c r="K75" s="890"/>
      <c r="L75" s="890"/>
      <c r="M75" s="891"/>
      <c r="N75" s="847"/>
    </row>
    <row r="76" spans="1:14" ht="13.5" customHeight="1">
      <c r="A76" s="847"/>
      <c r="B76" s="892" t="s">
        <v>308</v>
      </c>
      <c r="C76" s="893"/>
      <c r="D76" s="893"/>
      <c r="E76" s="893"/>
      <c r="F76" s="893"/>
      <c r="G76" s="893"/>
      <c r="H76" s="893"/>
      <c r="I76" s="893"/>
      <c r="J76" s="893"/>
      <c r="K76" s="893"/>
      <c r="L76" s="893"/>
      <c r="M76" s="894"/>
      <c r="N76" s="847"/>
    </row>
    <row r="77" spans="1:14" ht="13.5" customHeight="1">
      <c r="A77" s="847"/>
      <c r="B77" s="413" t="s">
        <v>309</v>
      </c>
      <c r="C77" s="184"/>
      <c r="D77" s="185"/>
      <c r="E77" s="185"/>
      <c r="F77" s="185"/>
      <c r="G77" s="185"/>
      <c r="H77" s="185"/>
      <c r="I77" s="185"/>
      <c r="J77" s="186"/>
      <c r="K77" s="187"/>
      <c r="L77" s="188"/>
      <c r="M77" s="414"/>
      <c r="N77" s="847"/>
    </row>
    <row r="78" spans="1:14" ht="13.5" customHeight="1">
      <c r="A78" s="847"/>
      <c r="B78" s="415"/>
      <c r="C78" s="189" t="s">
        <v>310</v>
      </c>
      <c r="D78" s="189"/>
      <c r="E78" s="189"/>
      <c r="F78" s="189"/>
      <c r="G78" s="189"/>
      <c r="H78" s="185"/>
      <c r="I78" s="185"/>
      <c r="J78" s="190">
        <f>'Income Tax Cal. Report'!S4</f>
        <v>499964</v>
      </c>
      <c r="K78" s="186"/>
      <c r="L78" s="188"/>
      <c r="M78" s="414"/>
      <c r="N78" s="847"/>
    </row>
    <row r="79" spans="1:14" ht="13.5" customHeight="1">
      <c r="A79" s="847"/>
      <c r="B79" s="415"/>
      <c r="C79" s="189" t="s">
        <v>311</v>
      </c>
      <c r="D79" s="189"/>
      <c r="E79" s="189"/>
      <c r="F79" s="189"/>
      <c r="G79" s="189"/>
      <c r="H79" s="185"/>
      <c r="I79" s="185"/>
      <c r="J79" s="190"/>
      <c r="K79" s="186"/>
      <c r="L79" s="188"/>
      <c r="M79" s="414"/>
      <c r="N79" s="847"/>
    </row>
    <row r="80" spans="1:14" ht="13.5" customHeight="1">
      <c r="A80" s="847"/>
      <c r="B80" s="415"/>
      <c r="C80" s="189" t="s">
        <v>312</v>
      </c>
      <c r="D80" s="189"/>
      <c r="E80" s="189"/>
      <c r="F80" s="189"/>
      <c r="G80" s="189"/>
      <c r="H80" s="185"/>
      <c r="I80" s="185"/>
      <c r="J80" s="186"/>
      <c r="K80" s="186"/>
      <c r="L80" s="188"/>
      <c r="M80" s="414"/>
      <c r="N80" s="847"/>
    </row>
    <row r="81" spans="1:18" ht="13.5" customHeight="1">
      <c r="A81" s="847"/>
      <c r="B81" s="415"/>
      <c r="C81" s="189" t="s">
        <v>313</v>
      </c>
      <c r="D81" s="189"/>
      <c r="E81" s="189"/>
      <c r="F81" s="189"/>
      <c r="G81" s="189"/>
      <c r="H81" s="185"/>
      <c r="I81" s="185"/>
      <c r="J81" s="190"/>
      <c r="K81" s="186"/>
      <c r="L81" s="188"/>
      <c r="M81" s="414"/>
      <c r="N81" s="847"/>
    </row>
    <row r="82" spans="1:18" ht="13.5" customHeight="1">
      <c r="A82" s="847"/>
      <c r="B82" s="415"/>
      <c r="C82" s="189" t="s">
        <v>312</v>
      </c>
      <c r="D82" s="189"/>
      <c r="E82" s="189"/>
      <c r="F82" s="189"/>
      <c r="G82" s="189"/>
      <c r="H82" s="185"/>
      <c r="I82" s="185"/>
      <c r="J82" s="186"/>
      <c r="K82" s="186"/>
      <c r="L82" s="188"/>
      <c r="M82" s="414"/>
      <c r="N82" s="847"/>
    </row>
    <row r="83" spans="1:18" ht="13.5" customHeight="1">
      <c r="A83" s="847"/>
      <c r="B83" s="413"/>
      <c r="C83" s="191" t="s">
        <v>314</v>
      </c>
      <c r="D83" s="191"/>
      <c r="E83" s="191"/>
      <c r="F83" s="191"/>
      <c r="G83" s="191"/>
      <c r="H83" s="192"/>
      <c r="I83" s="192"/>
      <c r="J83" s="193"/>
      <c r="K83" s="895">
        <f>+J82+J80+J78</f>
        <v>499964</v>
      </c>
      <c r="L83" s="896"/>
      <c r="M83" s="414"/>
      <c r="N83" s="847"/>
    </row>
    <row r="84" spans="1:18" hidden="1">
      <c r="A84" s="847"/>
      <c r="B84" s="415"/>
      <c r="C84" s="185"/>
      <c r="D84" s="185"/>
      <c r="E84" s="185"/>
      <c r="F84" s="185"/>
      <c r="G84" s="185"/>
      <c r="H84" s="185"/>
      <c r="I84" s="185"/>
      <c r="J84" s="186"/>
      <c r="K84" s="186"/>
      <c r="L84" s="188"/>
      <c r="M84" s="414"/>
      <c r="N84" s="847"/>
    </row>
    <row r="85" spans="1:18" ht="13.5" customHeight="1">
      <c r="A85" s="847"/>
      <c r="B85" s="413" t="s">
        <v>315</v>
      </c>
      <c r="C85" s="185"/>
      <c r="D85" s="185"/>
      <c r="E85" s="185"/>
      <c r="F85" s="185"/>
      <c r="G85" s="185"/>
      <c r="H85" s="185"/>
      <c r="I85" s="185"/>
      <c r="J85" s="186"/>
      <c r="K85" s="186"/>
      <c r="L85" s="188"/>
      <c r="M85" s="414"/>
      <c r="N85" s="847"/>
    </row>
    <row r="86" spans="1:18" ht="13.5" customHeight="1">
      <c r="A86" s="847"/>
      <c r="B86" s="897" t="s">
        <v>356</v>
      </c>
      <c r="C86" s="898"/>
      <c r="D86" s="898"/>
      <c r="E86" s="898"/>
      <c r="F86" s="898"/>
      <c r="G86" s="898"/>
      <c r="H86" s="898"/>
      <c r="I86" s="358"/>
      <c r="J86" s="190">
        <f>'Income Tax Cal. Report'!S5</f>
        <v>13822</v>
      </c>
      <c r="K86" s="186"/>
      <c r="L86" s="188"/>
      <c r="M86" s="414"/>
      <c r="N86" s="847"/>
    </row>
    <row r="87" spans="1:18" ht="13.5" customHeight="1">
      <c r="A87" s="847"/>
      <c r="B87" s="897" t="s">
        <v>316</v>
      </c>
      <c r="C87" s="898"/>
      <c r="D87" s="898"/>
      <c r="E87" s="898"/>
      <c r="F87" s="898"/>
      <c r="G87" s="898"/>
      <c r="H87" s="898"/>
      <c r="I87" s="358"/>
      <c r="J87" s="194"/>
      <c r="K87" s="186"/>
      <c r="L87" s="188"/>
      <c r="M87" s="414"/>
      <c r="N87" s="847"/>
    </row>
    <row r="88" spans="1:18" ht="13.5" customHeight="1">
      <c r="A88" s="847"/>
      <c r="B88" s="416" t="s">
        <v>317</v>
      </c>
      <c r="C88" s="195"/>
      <c r="D88" s="195"/>
      <c r="E88" s="195"/>
      <c r="F88" s="195"/>
      <c r="G88" s="195"/>
      <c r="H88" s="195"/>
      <c r="I88" s="195"/>
      <c r="J88" s="196"/>
      <c r="K88" s="899">
        <f>+K83-J85-J86-J87</f>
        <v>486142</v>
      </c>
      <c r="L88" s="900"/>
      <c r="M88" s="414"/>
      <c r="N88" s="847"/>
    </row>
    <row r="89" spans="1:18" hidden="1">
      <c r="A89" s="847"/>
      <c r="B89" s="415"/>
      <c r="C89" s="185"/>
      <c r="D89" s="185"/>
      <c r="E89" s="185"/>
      <c r="F89" s="185"/>
      <c r="G89" s="185"/>
      <c r="H89" s="185"/>
      <c r="I89" s="185"/>
      <c r="J89" s="186"/>
      <c r="K89" s="186"/>
      <c r="L89" s="188"/>
      <c r="M89" s="414"/>
      <c r="N89" s="847"/>
    </row>
    <row r="90" spans="1:18" ht="13.5" customHeight="1">
      <c r="A90" s="847"/>
      <c r="B90" s="413" t="s">
        <v>318</v>
      </c>
      <c r="C90" s="185"/>
      <c r="D90" s="185"/>
      <c r="E90" s="185"/>
      <c r="F90" s="185"/>
      <c r="G90" s="185"/>
      <c r="H90" s="185"/>
      <c r="I90" s="185"/>
      <c r="J90" s="186"/>
      <c r="K90" s="186"/>
      <c r="L90" s="188"/>
      <c r="M90" s="414"/>
      <c r="N90" s="847"/>
      <c r="R90" s="197">
        <f>IF('Income Tax Cal. Report'!Z16="New tax regime",0,'Income Tax Cal. Report'!S9)</f>
        <v>51000</v>
      </c>
    </row>
    <row r="91" spans="1:18" ht="13.5" customHeight="1">
      <c r="A91" s="847"/>
      <c r="B91" s="415"/>
      <c r="C91" s="189" t="s">
        <v>319</v>
      </c>
      <c r="D91" s="189"/>
      <c r="E91" s="189"/>
      <c r="F91" s="189"/>
      <c r="G91" s="189" t="s">
        <v>121</v>
      </c>
      <c r="H91" s="198">
        <f>R90-R91</f>
        <v>50000</v>
      </c>
      <c r="I91" s="199"/>
      <c r="J91" s="186"/>
      <c r="K91" s="186"/>
      <c r="L91" s="188"/>
      <c r="M91" s="414"/>
      <c r="N91" s="847"/>
      <c r="R91" s="197">
        <f>IF('Income Tax Cal. Report'!Z16="New tax regime",0,'Income Tax Cal. Report'!M7+'Income Tax Cal. Report'!M8)</f>
        <v>1000</v>
      </c>
    </row>
    <row r="92" spans="1:18" ht="13.5" customHeight="1">
      <c r="A92" s="847"/>
      <c r="B92" s="415"/>
      <c r="C92" s="189" t="s">
        <v>320</v>
      </c>
      <c r="D92" s="189"/>
      <c r="E92" s="189"/>
      <c r="F92" s="189"/>
      <c r="G92" s="189" t="s">
        <v>121</v>
      </c>
      <c r="H92" s="200">
        <f>R91</f>
        <v>1000</v>
      </c>
      <c r="I92" s="189"/>
      <c r="J92" s="186"/>
      <c r="K92" s="186"/>
      <c r="L92" s="188"/>
      <c r="M92" s="414"/>
      <c r="N92" s="847"/>
    </row>
    <row r="93" spans="1:18" ht="13.5" customHeight="1">
      <c r="A93" s="847"/>
      <c r="B93" s="415"/>
      <c r="C93" s="189" t="s">
        <v>321</v>
      </c>
      <c r="D93" s="189"/>
      <c r="E93" s="189"/>
      <c r="F93" s="189"/>
      <c r="G93" s="189" t="s">
        <v>121</v>
      </c>
      <c r="H93" s="189">
        <v>0</v>
      </c>
      <c r="I93" s="189"/>
      <c r="J93" s="186"/>
      <c r="K93" s="186"/>
      <c r="L93" s="188"/>
      <c r="M93" s="414"/>
      <c r="N93" s="847"/>
    </row>
    <row r="94" spans="1:18" ht="13.5" customHeight="1">
      <c r="A94" s="847"/>
      <c r="B94" s="413" t="s">
        <v>322</v>
      </c>
      <c r="C94" s="185"/>
      <c r="D94" s="185"/>
      <c r="E94" s="185"/>
      <c r="F94" s="185"/>
      <c r="G94" s="185"/>
      <c r="H94" s="185"/>
      <c r="I94" s="185"/>
      <c r="J94" s="201">
        <f>+H91+H92+H93</f>
        <v>51000</v>
      </c>
      <c r="K94" s="186"/>
      <c r="L94" s="188"/>
      <c r="M94" s="414"/>
      <c r="N94" s="847"/>
    </row>
    <row r="95" spans="1:18" hidden="1">
      <c r="A95" s="847"/>
      <c r="B95" s="415"/>
      <c r="C95" s="185"/>
      <c r="D95" s="185"/>
      <c r="E95" s="185"/>
      <c r="F95" s="185"/>
      <c r="G95" s="185"/>
      <c r="H95" s="185"/>
      <c r="I95" s="185"/>
      <c r="J95" s="186"/>
      <c r="K95" s="186"/>
      <c r="L95" s="188"/>
      <c r="M95" s="414"/>
      <c r="N95" s="847"/>
    </row>
    <row r="96" spans="1:18">
      <c r="A96" s="847"/>
      <c r="B96" s="413" t="s">
        <v>323</v>
      </c>
      <c r="C96" s="192"/>
      <c r="D96" s="192"/>
      <c r="E96" s="192"/>
      <c r="F96" s="192"/>
      <c r="G96" s="192"/>
      <c r="H96" s="192"/>
      <c r="I96" s="192"/>
      <c r="J96" s="193"/>
      <c r="K96" s="193"/>
      <c r="L96" s="202"/>
      <c r="M96" s="417">
        <f>IF(AND((K88&gt;50000)),(K88-J94),0)</f>
        <v>435142</v>
      </c>
      <c r="N96" s="847"/>
    </row>
    <row r="97" spans="1:14" hidden="1">
      <c r="A97" s="847"/>
      <c r="B97" s="413"/>
      <c r="C97" s="185"/>
      <c r="D97" s="185"/>
      <c r="E97" s="185"/>
      <c r="F97" s="185"/>
      <c r="G97" s="185"/>
      <c r="H97" s="185"/>
      <c r="I97" s="185"/>
      <c r="J97" s="186"/>
      <c r="K97" s="186"/>
      <c r="L97" s="188"/>
      <c r="M97" s="418"/>
      <c r="N97" s="847"/>
    </row>
    <row r="98" spans="1:14">
      <c r="A98" s="847"/>
      <c r="B98" s="413" t="s">
        <v>324</v>
      </c>
      <c r="C98" s="185"/>
      <c r="D98" s="185"/>
      <c r="E98" s="185"/>
      <c r="F98" s="185"/>
      <c r="G98" s="185"/>
      <c r="H98" s="185"/>
      <c r="I98" s="185"/>
      <c r="J98" s="186"/>
      <c r="K98" s="186"/>
      <c r="L98" s="188"/>
      <c r="M98" s="419">
        <f>'Income Tax Cal. Report'!M11</f>
        <v>0</v>
      </c>
      <c r="N98" s="847"/>
    </row>
    <row r="99" spans="1:14">
      <c r="A99" s="847"/>
      <c r="B99" s="413"/>
      <c r="C99" s="185" t="s">
        <v>325</v>
      </c>
      <c r="D99" s="185"/>
      <c r="E99" s="185"/>
      <c r="F99" s="185"/>
      <c r="G99" s="185"/>
      <c r="H99" s="185"/>
      <c r="I99" s="185"/>
      <c r="J99" s="186"/>
      <c r="K99" s="186"/>
      <c r="L99" s="188"/>
      <c r="M99" s="419">
        <f>'Income Tax Cal. Report'!M13</f>
        <v>0</v>
      </c>
      <c r="N99" s="847"/>
    </row>
    <row r="100" spans="1:14" hidden="1">
      <c r="A100" s="847"/>
      <c r="B100" s="413"/>
      <c r="C100" s="185"/>
      <c r="D100" s="185"/>
      <c r="E100" s="185"/>
      <c r="F100" s="185"/>
      <c r="G100" s="185"/>
      <c r="H100" s="185"/>
      <c r="I100" s="185"/>
      <c r="J100" s="186"/>
      <c r="K100" s="186"/>
      <c r="L100" s="188"/>
      <c r="M100" s="418"/>
      <c r="N100" s="847"/>
    </row>
    <row r="101" spans="1:14">
      <c r="A101" s="847"/>
      <c r="B101" s="416" t="s">
        <v>326</v>
      </c>
      <c r="C101" s="195"/>
      <c r="D101" s="195"/>
      <c r="E101" s="195"/>
      <c r="F101" s="195"/>
      <c r="G101" s="195"/>
      <c r="H101" s="195"/>
      <c r="I101" s="195"/>
      <c r="J101" s="196"/>
      <c r="K101" s="203"/>
      <c r="L101" s="204"/>
      <c r="M101" s="420">
        <f>+M96+M98-M99</f>
        <v>435142</v>
      </c>
      <c r="N101" s="847"/>
    </row>
    <row r="102" spans="1:14" hidden="1">
      <c r="A102" s="847"/>
      <c r="B102" s="421"/>
      <c r="C102" s="205"/>
      <c r="D102" s="205"/>
      <c r="E102" s="205"/>
      <c r="F102" s="205"/>
      <c r="G102" s="205"/>
      <c r="H102" s="206"/>
      <c r="I102" s="207"/>
      <c r="J102" s="205"/>
      <c r="K102" s="188"/>
      <c r="L102" s="185"/>
      <c r="M102" s="422"/>
      <c r="N102" s="847"/>
    </row>
    <row r="103" spans="1:14" ht="14.25" customHeight="1">
      <c r="A103" s="847"/>
      <c r="B103" s="886" t="s">
        <v>327</v>
      </c>
      <c r="C103" s="887"/>
      <c r="D103" s="887"/>
      <c r="E103" s="887"/>
      <c r="F103" s="185"/>
      <c r="G103" s="188"/>
      <c r="H103" s="186"/>
      <c r="I103" s="188"/>
      <c r="J103" s="185"/>
      <c r="K103" s="188"/>
      <c r="L103" s="185"/>
      <c r="M103" s="422"/>
      <c r="N103" s="847"/>
    </row>
    <row r="104" spans="1:14" ht="14.25" customHeight="1">
      <c r="A104" s="847"/>
      <c r="B104" s="423" t="s">
        <v>328</v>
      </c>
      <c r="C104" s="358" t="s">
        <v>329</v>
      </c>
      <c r="D104" s="358"/>
      <c r="E104" s="185"/>
      <c r="F104" s="185"/>
      <c r="G104" s="202"/>
      <c r="H104" s="193" t="s">
        <v>330</v>
      </c>
      <c r="I104" s="192"/>
      <c r="J104" s="829" t="s">
        <v>331</v>
      </c>
      <c r="K104" s="830"/>
      <c r="L104" s="193" t="s">
        <v>332</v>
      </c>
      <c r="M104" s="424" t="s">
        <v>333</v>
      </c>
      <c r="N104" s="847"/>
    </row>
    <row r="105" spans="1:14" ht="14.25" customHeight="1">
      <c r="A105" s="847"/>
      <c r="B105" s="391" t="s">
        <v>334</v>
      </c>
      <c r="C105" s="185" t="s">
        <v>357</v>
      </c>
      <c r="D105" s="185"/>
      <c r="E105" s="185"/>
      <c r="F105" s="185"/>
      <c r="G105" s="188"/>
      <c r="H105" s="873"/>
      <c r="I105" s="888"/>
      <c r="J105" s="873"/>
      <c r="K105" s="888"/>
      <c r="L105" s="873"/>
      <c r="M105" s="874"/>
      <c r="N105" s="847"/>
    </row>
    <row r="106" spans="1:14" ht="14.25" customHeight="1">
      <c r="A106" s="847"/>
      <c r="B106" s="425">
        <v>1</v>
      </c>
      <c r="C106" s="185" t="s">
        <v>88</v>
      </c>
      <c r="D106" s="838" t="str">
        <f>IFERROR(VLOOKUP($B106,$W$3:$Y$29,2,0),"--")</f>
        <v xml:space="preserve">EPF/Montholy Invest in Future Plan </v>
      </c>
      <c r="E106" s="838"/>
      <c r="F106" s="838"/>
      <c r="G106" s="188" t="s">
        <v>121</v>
      </c>
      <c r="H106" s="832">
        <f>IFERROR(VLOOKUP($B106,$W$3:$Y$29,3,0),"--")</f>
        <v>21600</v>
      </c>
      <c r="I106" s="833"/>
      <c r="J106" s="832">
        <f t="shared" ref="J106:J111" si="10">+H106</f>
        <v>21600</v>
      </c>
      <c r="K106" s="833"/>
      <c r="L106" s="832">
        <f t="shared" ref="L106:L111" si="11">J106</f>
        <v>21600</v>
      </c>
      <c r="M106" s="834"/>
      <c r="N106" s="847"/>
    </row>
    <row r="107" spans="1:14" ht="14.25" customHeight="1">
      <c r="A107" s="847"/>
      <c r="B107" s="425">
        <v>2</v>
      </c>
      <c r="C107" s="185" t="s">
        <v>90</v>
      </c>
      <c r="D107" s="838" t="str">
        <f t="shared" ref="D107:D115" si="12">IFERROR(VLOOKUP(B107,$W$3:$Y$29,2,0),"--")</f>
        <v>--</v>
      </c>
      <c r="E107" s="838"/>
      <c r="F107" s="838"/>
      <c r="G107" s="188" t="s">
        <v>121</v>
      </c>
      <c r="H107" s="832" t="str">
        <f t="shared" ref="H107:H115" si="13">IFERROR(VLOOKUP($B107,$W$3:$Y$29,3,0),"--")</f>
        <v>--</v>
      </c>
      <c r="I107" s="833"/>
      <c r="J107" s="832" t="str">
        <f t="shared" si="10"/>
        <v>--</v>
      </c>
      <c r="K107" s="833"/>
      <c r="L107" s="832" t="str">
        <f t="shared" si="11"/>
        <v>--</v>
      </c>
      <c r="M107" s="834"/>
      <c r="N107" s="847"/>
    </row>
    <row r="108" spans="1:14" ht="14.25" customHeight="1">
      <c r="A108" s="847"/>
      <c r="B108" s="425">
        <v>3</v>
      </c>
      <c r="C108" s="185" t="s">
        <v>92</v>
      </c>
      <c r="D108" s="838" t="str">
        <f t="shared" si="12"/>
        <v>--</v>
      </c>
      <c r="E108" s="838"/>
      <c r="F108" s="838"/>
      <c r="G108" s="188" t="s">
        <v>121</v>
      </c>
      <c r="H108" s="832" t="str">
        <f t="shared" si="13"/>
        <v>--</v>
      </c>
      <c r="I108" s="833"/>
      <c r="J108" s="832" t="str">
        <f t="shared" si="10"/>
        <v>--</v>
      </c>
      <c r="K108" s="833"/>
      <c r="L108" s="832" t="str">
        <f t="shared" si="11"/>
        <v>--</v>
      </c>
      <c r="M108" s="834"/>
      <c r="N108" s="847"/>
    </row>
    <row r="109" spans="1:14" ht="14.25" customHeight="1">
      <c r="A109" s="847"/>
      <c r="B109" s="425">
        <v>4</v>
      </c>
      <c r="C109" s="185" t="s">
        <v>94</v>
      </c>
      <c r="D109" s="838" t="str">
        <f t="shared" si="12"/>
        <v>--</v>
      </c>
      <c r="E109" s="838"/>
      <c r="F109" s="838"/>
      <c r="G109" s="188" t="s">
        <v>121</v>
      </c>
      <c r="H109" s="832" t="str">
        <f t="shared" si="13"/>
        <v>--</v>
      </c>
      <c r="I109" s="833"/>
      <c r="J109" s="832" t="str">
        <f t="shared" si="10"/>
        <v>--</v>
      </c>
      <c r="K109" s="833"/>
      <c r="L109" s="832" t="str">
        <f t="shared" si="11"/>
        <v>--</v>
      </c>
      <c r="M109" s="834"/>
      <c r="N109" s="847"/>
    </row>
    <row r="110" spans="1:14" ht="14.25" customHeight="1">
      <c r="A110" s="847"/>
      <c r="B110" s="425">
        <v>5</v>
      </c>
      <c r="C110" s="185" t="s">
        <v>96</v>
      </c>
      <c r="D110" s="838" t="str">
        <f t="shared" si="12"/>
        <v>--</v>
      </c>
      <c r="E110" s="838"/>
      <c r="F110" s="838"/>
      <c r="G110" s="188" t="s">
        <v>121</v>
      </c>
      <c r="H110" s="832" t="str">
        <f t="shared" si="13"/>
        <v>--</v>
      </c>
      <c r="I110" s="833"/>
      <c r="J110" s="832" t="str">
        <f t="shared" si="10"/>
        <v>--</v>
      </c>
      <c r="K110" s="833"/>
      <c r="L110" s="832" t="str">
        <f t="shared" si="11"/>
        <v>--</v>
      </c>
      <c r="M110" s="834"/>
      <c r="N110" s="847"/>
    </row>
    <row r="111" spans="1:14" ht="14.25" customHeight="1">
      <c r="A111" s="847"/>
      <c r="B111" s="425">
        <v>6</v>
      </c>
      <c r="C111" s="185" t="s">
        <v>98</v>
      </c>
      <c r="D111" s="838" t="str">
        <f t="shared" si="12"/>
        <v>--</v>
      </c>
      <c r="E111" s="838"/>
      <c r="F111" s="838"/>
      <c r="G111" s="188" t="s">
        <v>121</v>
      </c>
      <c r="H111" s="832" t="str">
        <f t="shared" si="13"/>
        <v>--</v>
      </c>
      <c r="I111" s="833"/>
      <c r="J111" s="832" t="str">
        <f t="shared" si="10"/>
        <v>--</v>
      </c>
      <c r="K111" s="833"/>
      <c r="L111" s="832" t="str">
        <f t="shared" si="11"/>
        <v>--</v>
      </c>
      <c r="M111" s="834"/>
      <c r="N111" s="847"/>
    </row>
    <row r="112" spans="1:14" ht="14.25" customHeight="1">
      <c r="A112" s="847"/>
      <c r="B112" s="425">
        <v>7</v>
      </c>
      <c r="C112" s="185" t="s">
        <v>100</v>
      </c>
      <c r="D112" s="838" t="str">
        <f t="shared" si="12"/>
        <v>--</v>
      </c>
      <c r="E112" s="838"/>
      <c r="F112" s="838"/>
      <c r="G112" s="188" t="s">
        <v>121</v>
      </c>
      <c r="H112" s="832" t="str">
        <f t="shared" si="13"/>
        <v>--</v>
      </c>
      <c r="I112" s="833"/>
      <c r="J112" s="832" t="str">
        <f t="shared" ref="J112:J115" si="14">+H112</f>
        <v>--</v>
      </c>
      <c r="K112" s="833"/>
      <c r="L112" s="832" t="str">
        <f t="shared" ref="L112:L115" si="15">J112</f>
        <v>--</v>
      </c>
      <c r="M112" s="834"/>
      <c r="N112" s="847"/>
    </row>
    <row r="113" spans="1:14" ht="14.25" customHeight="1">
      <c r="A113" s="847"/>
      <c r="B113" s="425">
        <v>8</v>
      </c>
      <c r="C113" s="185" t="s">
        <v>102</v>
      </c>
      <c r="D113" s="838" t="str">
        <f t="shared" si="12"/>
        <v>--</v>
      </c>
      <c r="E113" s="838"/>
      <c r="F113" s="838"/>
      <c r="G113" s="188" t="s">
        <v>121</v>
      </c>
      <c r="H113" s="832" t="str">
        <f t="shared" si="13"/>
        <v>--</v>
      </c>
      <c r="I113" s="833"/>
      <c r="J113" s="832" t="str">
        <f t="shared" si="14"/>
        <v>--</v>
      </c>
      <c r="K113" s="833"/>
      <c r="L113" s="832" t="str">
        <f t="shared" si="15"/>
        <v>--</v>
      </c>
      <c r="M113" s="834"/>
      <c r="N113" s="847"/>
    </row>
    <row r="114" spans="1:14" ht="14.25" customHeight="1">
      <c r="A114" s="847"/>
      <c r="B114" s="425">
        <v>9</v>
      </c>
      <c r="C114" s="185" t="s">
        <v>104</v>
      </c>
      <c r="D114" s="838" t="str">
        <f t="shared" si="12"/>
        <v>--</v>
      </c>
      <c r="E114" s="838"/>
      <c r="F114" s="838"/>
      <c r="G114" s="188" t="s">
        <v>121</v>
      </c>
      <c r="H114" s="832" t="str">
        <f t="shared" si="13"/>
        <v>--</v>
      </c>
      <c r="I114" s="833"/>
      <c r="J114" s="832" t="str">
        <f t="shared" si="14"/>
        <v>--</v>
      </c>
      <c r="K114" s="833"/>
      <c r="L114" s="832" t="str">
        <f t="shared" si="15"/>
        <v>--</v>
      </c>
      <c r="M114" s="834"/>
      <c r="N114" s="847"/>
    </row>
    <row r="115" spans="1:14" ht="14.25" customHeight="1">
      <c r="A115" s="847"/>
      <c r="B115" s="425">
        <v>10</v>
      </c>
      <c r="C115" s="185" t="s">
        <v>91</v>
      </c>
      <c r="D115" s="838" t="str">
        <f t="shared" si="12"/>
        <v>--</v>
      </c>
      <c r="E115" s="838"/>
      <c r="F115" s="838"/>
      <c r="G115" s="188" t="s">
        <v>121</v>
      </c>
      <c r="H115" s="832" t="str">
        <f t="shared" si="13"/>
        <v>--</v>
      </c>
      <c r="I115" s="833"/>
      <c r="J115" s="832" t="str">
        <f t="shared" si="14"/>
        <v>--</v>
      </c>
      <c r="K115" s="833"/>
      <c r="L115" s="832" t="str">
        <f t="shared" si="15"/>
        <v>--</v>
      </c>
      <c r="M115" s="834"/>
      <c r="N115" s="847"/>
    </row>
    <row r="116" spans="1:14" ht="23.25" customHeight="1">
      <c r="A116" s="847"/>
      <c r="B116" s="819" t="s">
        <v>368</v>
      </c>
      <c r="C116" s="820"/>
      <c r="D116" s="820"/>
      <c r="E116" s="820"/>
      <c r="F116" s="820"/>
      <c r="G116" s="821"/>
      <c r="H116" s="355"/>
      <c r="I116" s="357"/>
      <c r="J116" s="352"/>
      <c r="K116" s="357"/>
      <c r="L116" s="356"/>
      <c r="M116" s="426">
        <f>IF(SUM(L106:M111)&gt;150000,150000,SUM(L106:M111))</f>
        <v>21600</v>
      </c>
      <c r="N116" s="847"/>
    </row>
    <row r="117" spans="1:14" hidden="1">
      <c r="A117" s="847"/>
      <c r="B117" s="413"/>
      <c r="C117" s="185"/>
      <c r="D117" s="185"/>
      <c r="E117" s="185"/>
      <c r="F117" s="185"/>
      <c r="G117" s="188"/>
      <c r="H117" s="355"/>
      <c r="I117" s="357"/>
      <c r="J117" s="352"/>
      <c r="K117" s="357"/>
      <c r="L117" s="356"/>
      <c r="M117" s="427"/>
      <c r="N117" s="847"/>
    </row>
    <row r="118" spans="1:14" ht="15" customHeight="1">
      <c r="A118" s="847"/>
      <c r="B118" s="391" t="s">
        <v>335</v>
      </c>
      <c r="C118" s="185" t="s">
        <v>485</v>
      </c>
      <c r="D118" s="185"/>
      <c r="E118" s="185"/>
      <c r="F118" s="185"/>
      <c r="G118" s="329" t="s">
        <v>121</v>
      </c>
      <c r="H118" s="885">
        <f>'Income Tax Cal. Report'!S34</f>
        <v>0</v>
      </c>
      <c r="I118" s="1036"/>
      <c r="J118" s="885">
        <f>+H118</f>
        <v>0</v>
      </c>
      <c r="K118" s="1036"/>
      <c r="L118" s="885">
        <f>J118</f>
        <v>0</v>
      </c>
      <c r="M118" s="834"/>
      <c r="N118" s="847"/>
    </row>
    <row r="119" spans="1:14">
      <c r="A119" s="847"/>
      <c r="B119" s="428" t="s">
        <v>486</v>
      </c>
      <c r="C119" s="208" t="s">
        <v>336</v>
      </c>
      <c r="D119" s="208"/>
      <c r="E119" s="208"/>
      <c r="F119" s="208"/>
      <c r="G119" s="330" t="s">
        <v>121</v>
      </c>
      <c r="H119" s="885">
        <f>'Income Tax Cal. Report'!S35</f>
        <v>0</v>
      </c>
      <c r="I119" s="833"/>
      <c r="J119" s="832">
        <f>+H119</f>
        <v>0</v>
      </c>
      <c r="K119" s="833"/>
      <c r="L119" s="885">
        <f>IF(J119&gt;50000,50000,J119)</f>
        <v>0</v>
      </c>
      <c r="M119" s="834"/>
      <c r="N119" s="847"/>
    </row>
    <row r="120" spans="1:14" ht="3" hidden="1" customHeight="1">
      <c r="A120" s="847"/>
      <c r="B120" s="410"/>
      <c r="C120" s="205"/>
      <c r="D120" s="205"/>
      <c r="E120" s="205"/>
      <c r="F120" s="205"/>
      <c r="G120" s="205"/>
      <c r="H120" s="363"/>
      <c r="I120" s="363"/>
      <c r="J120" s="363"/>
      <c r="K120" s="363"/>
      <c r="L120" s="352"/>
      <c r="M120" s="429"/>
      <c r="N120" s="847"/>
    </row>
    <row r="121" spans="1:14">
      <c r="A121" s="847"/>
      <c r="B121" s="430" t="s">
        <v>337</v>
      </c>
      <c r="C121" s="325" t="s">
        <v>338</v>
      </c>
      <c r="D121" s="325"/>
      <c r="E121" s="325"/>
      <c r="F121" s="325"/>
      <c r="G121" s="325"/>
      <c r="H121" s="326"/>
      <c r="I121" s="327"/>
      <c r="J121" s="326"/>
      <c r="K121" s="328"/>
      <c r="L121" s="327"/>
      <c r="M121" s="431"/>
      <c r="N121" s="847"/>
    </row>
    <row r="122" spans="1:14">
      <c r="A122" s="847"/>
      <c r="B122" s="423"/>
      <c r="C122" s="185"/>
      <c r="D122" s="185"/>
      <c r="E122" s="185"/>
      <c r="F122" s="185"/>
      <c r="G122" s="185"/>
      <c r="H122" s="193" t="s">
        <v>330</v>
      </c>
      <c r="I122" s="192"/>
      <c r="J122" s="829" t="s">
        <v>331</v>
      </c>
      <c r="K122" s="830"/>
      <c r="L122" s="193" t="s">
        <v>332</v>
      </c>
      <c r="M122" s="424" t="s">
        <v>333</v>
      </c>
      <c r="N122" s="847"/>
    </row>
    <row r="123" spans="1:14" ht="16.5" customHeight="1">
      <c r="A123" s="847"/>
      <c r="B123" s="432">
        <v>1</v>
      </c>
      <c r="C123" s="185" t="s">
        <v>88</v>
      </c>
      <c r="D123" s="831" t="str">
        <f>IFERROR(VLOOKUP(B106,$Q$157:$X$164,8,0),"--")</f>
        <v>--</v>
      </c>
      <c r="E123" s="831"/>
      <c r="F123" s="831"/>
      <c r="G123" s="185" t="s">
        <v>121</v>
      </c>
      <c r="H123" s="832" t="str">
        <f>IFERROR(VLOOKUP(B106,$Q$157:$X$164,3,0),"0")</f>
        <v>0</v>
      </c>
      <c r="I123" s="833"/>
      <c r="J123" s="832" t="str">
        <f t="shared" ref="J123:J128" si="16">+H123</f>
        <v>0</v>
      </c>
      <c r="K123" s="833"/>
      <c r="L123" s="832" t="str">
        <f t="shared" ref="L123:L128" si="17">J123</f>
        <v>0</v>
      </c>
      <c r="M123" s="834"/>
      <c r="N123" s="847"/>
    </row>
    <row r="124" spans="1:14" ht="16.5" customHeight="1">
      <c r="A124" s="847"/>
      <c r="B124" s="432">
        <v>2</v>
      </c>
      <c r="C124" s="185" t="s">
        <v>90</v>
      </c>
      <c r="D124" s="831" t="str">
        <f t="shared" ref="D124:D128" si="18">IFERROR(VLOOKUP(B107,$Q$157:$X$164,8,0),"--")</f>
        <v>--</v>
      </c>
      <c r="E124" s="831"/>
      <c r="F124" s="831"/>
      <c r="G124" s="185" t="s">
        <v>121</v>
      </c>
      <c r="H124" s="832" t="str">
        <f t="shared" ref="H124:H128" si="19">IFERROR(VLOOKUP(B107,$Q$157:$X$164,3,0),"0")</f>
        <v>0</v>
      </c>
      <c r="I124" s="833"/>
      <c r="J124" s="832" t="str">
        <f t="shared" si="16"/>
        <v>0</v>
      </c>
      <c r="K124" s="833"/>
      <c r="L124" s="832" t="str">
        <f t="shared" si="17"/>
        <v>0</v>
      </c>
      <c r="M124" s="834"/>
      <c r="N124" s="847"/>
    </row>
    <row r="125" spans="1:14" ht="16.5" customHeight="1">
      <c r="A125" s="847"/>
      <c r="B125" s="432">
        <v>3</v>
      </c>
      <c r="C125" s="185" t="s">
        <v>92</v>
      </c>
      <c r="D125" s="831" t="str">
        <f t="shared" si="18"/>
        <v>--</v>
      </c>
      <c r="E125" s="831"/>
      <c r="F125" s="831"/>
      <c r="G125" s="185" t="s">
        <v>121</v>
      </c>
      <c r="H125" s="832" t="str">
        <f t="shared" si="19"/>
        <v>0</v>
      </c>
      <c r="I125" s="833"/>
      <c r="J125" s="832" t="str">
        <f t="shared" si="16"/>
        <v>0</v>
      </c>
      <c r="K125" s="833"/>
      <c r="L125" s="832" t="str">
        <f t="shared" si="17"/>
        <v>0</v>
      </c>
      <c r="M125" s="834"/>
      <c r="N125" s="847"/>
    </row>
    <row r="126" spans="1:14" ht="16.5" customHeight="1">
      <c r="A126" s="847"/>
      <c r="B126" s="432">
        <v>4</v>
      </c>
      <c r="C126" s="185" t="s">
        <v>94</v>
      </c>
      <c r="D126" s="831" t="str">
        <f t="shared" si="18"/>
        <v>--</v>
      </c>
      <c r="E126" s="831"/>
      <c r="F126" s="831"/>
      <c r="G126" s="185" t="s">
        <v>121</v>
      </c>
      <c r="H126" s="832" t="str">
        <f t="shared" si="19"/>
        <v>0</v>
      </c>
      <c r="I126" s="833"/>
      <c r="J126" s="832" t="str">
        <f t="shared" si="16"/>
        <v>0</v>
      </c>
      <c r="K126" s="833"/>
      <c r="L126" s="832" t="str">
        <f t="shared" si="17"/>
        <v>0</v>
      </c>
      <c r="M126" s="834"/>
      <c r="N126" s="847"/>
    </row>
    <row r="127" spans="1:14" ht="16.5" customHeight="1">
      <c r="A127" s="847"/>
      <c r="B127" s="432">
        <v>5</v>
      </c>
      <c r="C127" s="185" t="s">
        <v>96</v>
      </c>
      <c r="D127" s="831" t="str">
        <f t="shared" si="18"/>
        <v>--</v>
      </c>
      <c r="E127" s="831"/>
      <c r="F127" s="831"/>
      <c r="G127" s="185" t="s">
        <v>121</v>
      </c>
      <c r="H127" s="832" t="str">
        <f t="shared" si="19"/>
        <v>0</v>
      </c>
      <c r="I127" s="833"/>
      <c r="J127" s="832" t="str">
        <f t="shared" si="16"/>
        <v>0</v>
      </c>
      <c r="K127" s="833"/>
      <c r="L127" s="832" t="str">
        <f t="shared" si="17"/>
        <v>0</v>
      </c>
      <c r="M127" s="834"/>
      <c r="N127" s="847"/>
    </row>
    <row r="128" spans="1:14" ht="16.5" customHeight="1">
      <c r="A128" s="847"/>
      <c r="B128" s="432">
        <v>6</v>
      </c>
      <c r="C128" s="185" t="s">
        <v>98</v>
      </c>
      <c r="D128" s="831" t="str">
        <f t="shared" si="18"/>
        <v>--</v>
      </c>
      <c r="E128" s="831"/>
      <c r="F128" s="831"/>
      <c r="G128" s="185" t="s">
        <v>121</v>
      </c>
      <c r="H128" s="832" t="str">
        <f t="shared" si="19"/>
        <v>0</v>
      </c>
      <c r="I128" s="833"/>
      <c r="J128" s="832" t="str">
        <f t="shared" si="16"/>
        <v>0</v>
      </c>
      <c r="K128" s="833"/>
      <c r="L128" s="832" t="str">
        <f t="shared" si="17"/>
        <v>0</v>
      </c>
      <c r="M128" s="834"/>
      <c r="N128" s="847"/>
    </row>
    <row r="129" spans="1:23">
      <c r="A129" s="847"/>
      <c r="B129" s="835" t="s">
        <v>367</v>
      </c>
      <c r="C129" s="836"/>
      <c r="D129" s="836"/>
      <c r="E129" s="836"/>
      <c r="F129" s="836"/>
      <c r="G129" s="837"/>
      <c r="H129" s="355"/>
      <c r="I129" s="357"/>
      <c r="J129" s="352"/>
      <c r="K129" s="357"/>
      <c r="L129" s="356"/>
      <c r="M129" s="822">
        <f>IF(SUM(L123:M128)&gt;150000,150000,SUM(L123:M128))</f>
        <v>0</v>
      </c>
      <c r="N129" s="847"/>
    </row>
    <row r="130" spans="1:23" hidden="1">
      <c r="A130" s="847"/>
      <c r="B130" s="835"/>
      <c r="C130" s="836"/>
      <c r="D130" s="836"/>
      <c r="E130" s="836"/>
      <c r="F130" s="836"/>
      <c r="G130" s="837"/>
      <c r="H130" s="355"/>
      <c r="I130" s="357"/>
      <c r="J130" s="352"/>
      <c r="K130" s="357"/>
      <c r="L130" s="356"/>
      <c r="M130" s="822"/>
      <c r="N130" s="847"/>
    </row>
    <row r="131" spans="1:23">
      <c r="A131" s="847"/>
      <c r="B131" s="881" t="s">
        <v>366</v>
      </c>
      <c r="C131" s="882"/>
      <c r="D131" s="882"/>
      <c r="E131" s="882"/>
      <c r="F131" s="882"/>
      <c r="G131" s="870"/>
      <c r="H131" s="869"/>
      <c r="I131" s="870"/>
      <c r="J131" s="869"/>
      <c r="K131" s="870"/>
      <c r="L131" s="871">
        <f>M116+L118+L119+M129</f>
        <v>21600</v>
      </c>
      <c r="M131" s="872">
        <f>SUM(K105:K116)</f>
        <v>0</v>
      </c>
      <c r="N131" s="847"/>
    </row>
    <row r="132" spans="1:23">
      <c r="A132" s="847"/>
      <c r="B132" s="413"/>
      <c r="C132" s="185"/>
      <c r="D132" s="185"/>
      <c r="E132" s="185"/>
      <c r="F132" s="185"/>
      <c r="G132" s="188"/>
      <c r="H132" s="186"/>
      <c r="I132" s="188"/>
      <c r="J132" s="186"/>
      <c r="K132" s="188"/>
      <c r="L132" s="873"/>
      <c r="M132" s="874"/>
      <c r="N132" s="847"/>
    </row>
    <row r="133" spans="1:23" ht="22.5" customHeight="1">
      <c r="A133" s="847"/>
      <c r="B133" s="823" t="s">
        <v>369</v>
      </c>
      <c r="C133" s="824"/>
      <c r="D133" s="824"/>
      <c r="E133" s="824"/>
      <c r="F133" s="824"/>
      <c r="G133" s="825"/>
      <c r="H133" s="186"/>
      <c r="I133" s="188"/>
      <c r="J133" s="186"/>
      <c r="K133" s="188"/>
      <c r="L133" s="185"/>
      <c r="M133" s="433">
        <f>'Income Tax Cal. Report'!S48</f>
        <v>413540</v>
      </c>
      <c r="N133" s="847"/>
    </row>
    <row r="134" spans="1:23" hidden="1">
      <c r="A134" s="847"/>
      <c r="B134" s="413"/>
      <c r="C134" s="185"/>
      <c r="D134" s="185"/>
      <c r="E134" s="185"/>
      <c r="F134" s="185"/>
      <c r="G134" s="188"/>
      <c r="H134" s="186"/>
      <c r="I134" s="188"/>
      <c r="J134" s="186"/>
      <c r="K134" s="188"/>
      <c r="L134" s="185"/>
      <c r="M134" s="434"/>
      <c r="N134" s="847"/>
    </row>
    <row r="135" spans="1:23">
      <c r="A135" s="847"/>
      <c r="B135" s="413" t="s">
        <v>339</v>
      </c>
      <c r="C135" s="185"/>
      <c r="D135" s="185"/>
      <c r="E135" s="185"/>
      <c r="F135" s="185"/>
      <c r="G135" s="188"/>
      <c r="H135" s="186"/>
      <c r="I135" s="188"/>
      <c r="J135" s="186"/>
      <c r="K135" s="188"/>
      <c r="L135" s="185"/>
      <c r="M135" s="435">
        <f>'Income Tax Cal. Report'!S58</f>
        <v>8177</v>
      </c>
      <c r="N135" s="847"/>
    </row>
    <row r="136" spans="1:23" ht="15" customHeight="1">
      <c r="A136" s="847"/>
      <c r="B136" s="436" t="s">
        <v>340</v>
      </c>
      <c r="C136" s="185"/>
      <c r="D136" s="185"/>
      <c r="E136" s="358"/>
      <c r="F136" s="358"/>
      <c r="G136" s="358"/>
      <c r="H136" s="209"/>
      <c r="I136" s="210"/>
      <c r="J136" s="185"/>
      <c r="K136" s="188"/>
      <c r="L136" s="185"/>
      <c r="M136" s="434">
        <f>'Income Tax Cal. Report'!S59</f>
        <v>8177</v>
      </c>
      <c r="N136" s="847"/>
      <c r="P136" s="107" t="s">
        <v>88</v>
      </c>
      <c r="Q136" s="94">
        <f>W136</f>
        <v>1</v>
      </c>
      <c r="R136" s="1" t="str">
        <f>VLOOKUP(P136,'Income Tax Cal. Report'!C23:I31,2,0)</f>
        <v xml:space="preserve">EPF/Montholy Invest in Future Plan </v>
      </c>
      <c r="S136" s="1" t="str">
        <f>VLOOKUP(P136,'Income Tax Cal. Report'!C23:I31,7,0)</f>
        <v>(x)</v>
      </c>
      <c r="U136" s="111">
        <f>IF(S136&gt;0,1,0)</f>
        <v>1</v>
      </c>
      <c r="V136" s="370">
        <f>U136</f>
        <v>1</v>
      </c>
      <c r="W136" s="370">
        <f>IF(V136&gt;V122,1,0)</f>
        <v>1</v>
      </c>
    </row>
    <row r="137" spans="1:23" ht="15" customHeight="1">
      <c r="A137" s="847"/>
      <c r="B137" s="413" t="s">
        <v>341</v>
      </c>
      <c r="C137" s="185"/>
      <c r="D137" s="185"/>
      <c r="E137" s="185"/>
      <c r="F137" s="185"/>
      <c r="G137" s="185"/>
      <c r="H137" s="186"/>
      <c r="I137" s="188"/>
      <c r="J137" s="185"/>
      <c r="K137" s="188"/>
      <c r="L137" s="185"/>
      <c r="M137" s="434">
        <f>IF((M135-M136)&gt;0,(M135-M136),0)</f>
        <v>0</v>
      </c>
      <c r="N137" s="847"/>
      <c r="P137" s="107" t="s">
        <v>90</v>
      </c>
      <c r="Q137" s="94">
        <f t="shared" ref="Q137:Q154" si="20">W137</f>
        <v>2</v>
      </c>
      <c r="R137" s="1" t="str">
        <f>VLOOKUP(P137,'Income Tax Cal. Report'!C24:I32,2,0)</f>
        <v>GIS/Group Ins.</v>
      </c>
      <c r="S137" s="1" t="str">
        <f>VLOOKUP(P137,'Income Tax Cal. Report'!C24:I32,7,0)</f>
        <v>(xi)</v>
      </c>
      <c r="U137" s="111">
        <f t="shared" ref="U137:U154" si="21">IF(S137&gt;0,1,0)</f>
        <v>1</v>
      </c>
      <c r="V137" s="370">
        <f>U137+V136</f>
        <v>2</v>
      </c>
      <c r="W137" s="370">
        <f>IF(V137&gt;V136,1+V136,0)</f>
        <v>2</v>
      </c>
    </row>
    <row r="138" spans="1:23" ht="15" customHeight="1">
      <c r="A138" s="847"/>
      <c r="B138" s="413" t="s">
        <v>342</v>
      </c>
      <c r="C138" s="185"/>
      <c r="D138" s="185"/>
      <c r="E138" s="185"/>
      <c r="F138" s="185"/>
      <c r="G138" s="185"/>
      <c r="H138" s="186"/>
      <c r="I138" s="188"/>
      <c r="J138" s="185"/>
      <c r="K138" s="188"/>
      <c r="L138" s="185"/>
      <c r="M138" s="434">
        <f>M137*4%</f>
        <v>0</v>
      </c>
      <c r="N138" s="847"/>
      <c r="P138" s="107" t="s">
        <v>92</v>
      </c>
      <c r="Q138" s="94">
        <f t="shared" si="20"/>
        <v>3</v>
      </c>
      <c r="R138" s="1" t="str">
        <f>VLOOKUP(P138,'Income Tax Cal. Report'!C25:I33,2,0)</f>
        <v>Contri. To Contributory Pension Scheme (80CCC)</v>
      </c>
      <c r="S138" s="1" t="str">
        <f>VLOOKUP(P138,'Income Tax Cal. Report'!C25:I33,7,0)</f>
        <v>(xii)</v>
      </c>
      <c r="U138" s="111">
        <f t="shared" si="21"/>
        <v>1</v>
      </c>
      <c r="V138" s="370">
        <f>U138+V137</f>
        <v>3</v>
      </c>
      <c r="W138" s="370">
        <f t="shared" ref="W138:W154" si="22">IF(V138&gt;V137,1+V137,0)</f>
        <v>3</v>
      </c>
    </row>
    <row r="139" spans="1:23" ht="15" customHeight="1">
      <c r="A139" s="847"/>
      <c r="B139" s="413" t="s">
        <v>343</v>
      </c>
      <c r="C139" s="185"/>
      <c r="D139" s="185"/>
      <c r="E139" s="185"/>
      <c r="F139" s="185"/>
      <c r="G139" s="185"/>
      <c r="H139" s="186"/>
      <c r="I139" s="188"/>
      <c r="J139" s="185"/>
      <c r="K139" s="188"/>
      <c r="L139" s="185"/>
      <c r="M139" s="434">
        <f>M137+M138</f>
        <v>0</v>
      </c>
      <c r="N139" s="847"/>
      <c r="P139" s="107" t="s">
        <v>94</v>
      </c>
      <c r="Q139" s="94">
        <f t="shared" si="20"/>
        <v>4</v>
      </c>
      <c r="R139" s="1" t="str">
        <f>VLOOKUP(P139,'Income Tax Cal. Report'!C26:I34,2,0)</f>
        <v>LIC</v>
      </c>
      <c r="S139" s="1" t="str">
        <f>VLOOKUP(P139,'Income Tax Cal. Report'!C26:I34,7,0)</f>
        <v>(xiii)</v>
      </c>
      <c r="U139" s="111">
        <f t="shared" si="21"/>
        <v>1</v>
      </c>
      <c r="V139" s="370">
        <f>U139+V138</f>
        <v>4</v>
      </c>
      <c r="W139" s="370">
        <f t="shared" si="22"/>
        <v>4</v>
      </c>
    </row>
    <row r="140" spans="1:23" ht="15" customHeight="1">
      <c r="A140" s="847"/>
      <c r="B140" s="413" t="s">
        <v>344</v>
      </c>
      <c r="C140" s="185"/>
      <c r="D140" s="185"/>
      <c r="E140" s="185"/>
      <c r="F140" s="185"/>
      <c r="G140" s="185"/>
      <c r="H140" s="186"/>
      <c r="I140" s="188"/>
      <c r="J140" s="185"/>
      <c r="K140" s="188"/>
      <c r="L140" s="185"/>
      <c r="M140" s="434">
        <f>'Income Tax Cal. Report'!S63</f>
        <v>0</v>
      </c>
      <c r="N140" s="847"/>
      <c r="P140" s="107" t="s">
        <v>96</v>
      </c>
      <c r="Q140" s="94">
        <f t="shared" si="20"/>
        <v>5</v>
      </c>
      <c r="R140" s="1" t="str">
        <f>VLOOKUP(P140,'Income Tax Cal. Report'!C27:I35,2,0)</f>
        <v>GROUP L.I.C.</v>
      </c>
      <c r="S140" s="1" t="str">
        <f>VLOOKUP(P140,'Income Tax Cal. Report'!C27:I35,7,0)</f>
        <v>(xv)</v>
      </c>
      <c r="U140" s="111">
        <f t="shared" si="21"/>
        <v>1</v>
      </c>
      <c r="V140" s="370">
        <f>U140+V139</f>
        <v>5</v>
      </c>
      <c r="W140" s="370">
        <f>IF(V140&gt;V139,1+V139,0)</f>
        <v>5</v>
      </c>
    </row>
    <row r="141" spans="1:23" ht="15" customHeight="1">
      <c r="A141" s="847"/>
      <c r="B141" s="826" t="s">
        <v>345</v>
      </c>
      <c r="C141" s="827"/>
      <c r="D141" s="827"/>
      <c r="E141" s="827"/>
      <c r="F141" s="827"/>
      <c r="G141" s="828"/>
      <c r="H141" s="209"/>
      <c r="I141" s="210"/>
      <c r="J141" s="185"/>
      <c r="K141" s="188"/>
      <c r="L141" s="185"/>
      <c r="M141" s="434">
        <f>M139-M140</f>
        <v>0</v>
      </c>
      <c r="N141" s="847"/>
      <c r="P141" s="107" t="s">
        <v>98</v>
      </c>
      <c r="Q141" s="94">
        <f t="shared" si="20"/>
        <v>6</v>
      </c>
      <c r="R141" s="1" t="str">
        <f>VLOOKUP(P141,'Income Tax Cal. Report'!C28:I36,2,0)</f>
        <v>गृ.नि.अ. की किस्तों की वसूली/पेशाकर</v>
      </c>
      <c r="S141" s="1" t="str">
        <f>VLOOKUP(P141,'Income Tax Cal. Report'!C28:I36,7,0)</f>
        <v>(xiv)</v>
      </c>
      <c r="U141" s="111">
        <f t="shared" si="21"/>
        <v>1</v>
      </c>
      <c r="V141" s="370">
        <f>U141+V140</f>
        <v>6</v>
      </c>
      <c r="W141" s="370">
        <f t="shared" si="22"/>
        <v>6</v>
      </c>
    </row>
    <row r="142" spans="1:23" ht="15" customHeight="1">
      <c r="A142" s="847"/>
      <c r="B142" s="826"/>
      <c r="C142" s="827"/>
      <c r="D142" s="827"/>
      <c r="E142" s="827"/>
      <c r="F142" s="827"/>
      <c r="G142" s="828"/>
      <c r="H142" s="209"/>
      <c r="I142" s="210"/>
      <c r="J142" s="829" t="s">
        <v>370</v>
      </c>
      <c r="K142" s="830"/>
      <c r="L142" s="185"/>
      <c r="M142" s="437">
        <f>ROUND(M141,-1)</f>
        <v>0</v>
      </c>
      <c r="N142" s="847"/>
      <c r="P142" s="107"/>
      <c r="Q142" s="94"/>
      <c r="U142" s="111"/>
    </row>
    <row r="143" spans="1:23" ht="15" customHeight="1">
      <c r="A143" s="847"/>
      <c r="B143" s="413" t="s">
        <v>346</v>
      </c>
      <c r="C143" s="185"/>
      <c r="D143" s="185"/>
      <c r="E143" s="185"/>
      <c r="F143" s="185"/>
      <c r="G143" s="185"/>
      <c r="H143" s="186"/>
      <c r="I143" s="188"/>
      <c r="J143" s="185"/>
      <c r="K143" s="188"/>
      <c r="L143" s="185"/>
      <c r="M143" s="434">
        <f>'Income Tax Cal. Report'!S67</f>
        <v>0</v>
      </c>
      <c r="N143" s="847"/>
      <c r="P143" s="107" t="s">
        <v>100</v>
      </c>
      <c r="Q143" s="94">
        <f t="shared" si="20"/>
        <v>7</v>
      </c>
      <c r="R143" s="1" t="str">
        <f>VLOOKUP(P143,'Income Tax Cal. Report'!C29:I37,2,0)</f>
        <v>Other-1</v>
      </c>
      <c r="S143" s="1" t="str">
        <f>VLOOKUP(P143,'Income Tax Cal. Report'!C29:I37,7,0)</f>
        <v>(xvi)</v>
      </c>
      <c r="U143" s="111">
        <f t="shared" si="21"/>
        <v>1</v>
      </c>
      <c r="V143" s="370">
        <f>U143+V141</f>
        <v>7</v>
      </c>
      <c r="W143" s="370">
        <f>IF(V143&gt;V141,1+V141,0)</f>
        <v>7</v>
      </c>
    </row>
    <row r="144" spans="1:23" ht="15.75">
      <c r="A144" s="847"/>
      <c r="B144" s="416" t="s">
        <v>347</v>
      </c>
      <c r="C144" s="195"/>
      <c r="D144" s="195"/>
      <c r="E144" s="195"/>
      <c r="F144" s="211"/>
      <c r="G144" s="211"/>
      <c r="H144" s="212"/>
      <c r="I144" s="213"/>
      <c r="J144" s="883" t="str">
        <f>IF(M144&gt;0,"(Payble)","Refundable")</f>
        <v>Refundable</v>
      </c>
      <c r="K144" s="884"/>
      <c r="L144" s="214"/>
      <c r="M144" s="438">
        <f>M142-M143</f>
        <v>0</v>
      </c>
      <c r="N144" s="847"/>
      <c r="P144" s="107" t="s">
        <v>102</v>
      </c>
      <c r="Q144" s="94">
        <f t="shared" si="20"/>
        <v>8</v>
      </c>
      <c r="R144" s="1" t="str">
        <f>VLOOKUP(P144,'Income Tax Cal. Report'!C30:I38,2,0)</f>
        <v>Other-2</v>
      </c>
      <c r="S144" s="1" t="str">
        <f>VLOOKUP(P144,'Income Tax Cal. Report'!C30:I38,7,0)</f>
        <v>(xvii)</v>
      </c>
      <c r="U144" s="111">
        <f t="shared" si="21"/>
        <v>1</v>
      </c>
      <c r="V144" s="370">
        <f t="shared" ref="V144:V154" si="23">U144+V143</f>
        <v>8</v>
      </c>
      <c r="W144" s="370">
        <f t="shared" si="22"/>
        <v>8</v>
      </c>
    </row>
    <row r="145" spans="1:24" ht="15.75">
      <c r="A145" s="847"/>
      <c r="B145" s="875" t="s">
        <v>286</v>
      </c>
      <c r="C145" s="876"/>
      <c r="D145" s="876"/>
      <c r="E145" s="876"/>
      <c r="F145" s="876"/>
      <c r="G145" s="876"/>
      <c r="H145" s="876"/>
      <c r="I145" s="876"/>
      <c r="J145" s="876"/>
      <c r="K145" s="876"/>
      <c r="L145" s="876"/>
      <c r="M145" s="877"/>
      <c r="N145" s="847"/>
      <c r="P145" s="107" t="s">
        <v>104</v>
      </c>
      <c r="Q145" s="94">
        <f t="shared" si="20"/>
        <v>9</v>
      </c>
      <c r="R145" s="1" t="str">
        <f>VLOOKUP(P145,'Income Tax Cal. Report'!C31:I39,2,0)</f>
        <v>Other-3</v>
      </c>
      <c r="S145" s="1" t="str">
        <f>VLOOKUP(P145,'Income Tax Cal. Report'!C31:I39,7,0)</f>
        <v>(xviii)</v>
      </c>
      <c r="U145" s="111">
        <f t="shared" si="21"/>
        <v>1</v>
      </c>
      <c r="V145" s="370">
        <f>U145+V144</f>
        <v>9</v>
      </c>
      <c r="W145" s="370">
        <f>IF(V145&gt;V144,1+V144,0)</f>
        <v>9</v>
      </c>
    </row>
    <row r="146" spans="1:24" ht="15.75">
      <c r="A146" s="847"/>
      <c r="B146" s="410" t="s">
        <v>287</v>
      </c>
      <c r="C146" s="878" t="str">
        <f>C56</f>
        <v>SHARIQUE ASHRAF</v>
      </c>
      <c r="D146" s="878"/>
      <c r="E146" s="878"/>
      <c r="F146" s="175" t="s">
        <v>288</v>
      </c>
      <c r="G146" s="176"/>
      <c r="H146" s="879">
        <f>H56</f>
        <v>0</v>
      </c>
      <c r="I146" s="880"/>
      <c r="J146" s="880"/>
      <c r="K146" s="175" t="s">
        <v>289</v>
      </c>
      <c r="L146" s="176"/>
      <c r="M146" s="392"/>
      <c r="N146" s="847"/>
      <c r="P146" s="107" t="s">
        <v>89</v>
      </c>
      <c r="Q146" s="94" t="e">
        <f t="shared" si="20"/>
        <v>#N/A</v>
      </c>
      <c r="R146" s="1" t="e">
        <f>VLOOKUP(P146,'Income Tax Cal. Report'!J23:Q31,2,0)</f>
        <v>#N/A</v>
      </c>
      <c r="S146" s="1" t="e">
        <f>VLOOKUP(P146,'Income Tax Cal. Report'!J23:Q31,6,0)</f>
        <v>#N/A</v>
      </c>
      <c r="U146" s="111" t="e">
        <f t="shared" si="21"/>
        <v>#N/A</v>
      </c>
      <c r="V146" s="370" t="e">
        <f t="shared" si="23"/>
        <v>#N/A</v>
      </c>
      <c r="W146" s="370" t="e">
        <f t="shared" si="22"/>
        <v>#N/A</v>
      </c>
    </row>
    <row r="147" spans="1:24" ht="15.75">
      <c r="A147" s="847"/>
      <c r="B147" s="861" t="str">
        <f>B57</f>
        <v>DPO (Estt.)</v>
      </c>
      <c r="C147" s="862"/>
      <c r="D147" s="862"/>
      <c r="E147" s="177" t="s">
        <v>348</v>
      </c>
      <c r="F147" s="167"/>
      <c r="G147" s="178"/>
      <c r="H147" s="178"/>
      <c r="I147" s="178"/>
      <c r="J147" s="177"/>
      <c r="K147" s="179"/>
      <c r="L147" s="178"/>
      <c r="M147" s="439"/>
      <c r="N147" s="847"/>
      <c r="P147" s="107" t="s">
        <v>91</v>
      </c>
      <c r="Q147" s="94" t="e">
        <f t="shared" si="20"/>
        <v>#N/A</v>
      </c>
      <c r="R147" s="1" t="e">
        <f>VLOOKUP(P147,'Income Tax Cal. Report'!J24:Q32,2,0)</f>
        <v>#N/A</v>
      </c>
      <c r="S147" s="1" t="e">
        <f>VLOOKUP(P147,'Income Tax Cal. Report'!J24:Q32,6,0)</f>
        <v>#N/A</v>
      </c>
      <c r="U147" s="111" t="e">
        <f t="shared" si="21"/>
        <v>#N/A</v>
      </c>
      <c r="V147" s="370" t="e">
        <f t="shared" si="23"/>
        <v>#N/A</v>
      </c>
      <c r="W147" s="370" t="e">
        <f t="shared" si="22"/>
        <v>#N/A</v>
      </c>
    </row>
    <row r="148" spans="1:24" ht="15.75">
      <c r="A148" s="847"/>
      <c r="B148" s="863" t="s">
        <v>349</v>
      </c>
      <c r="C148" s="864"/>
      <c r="D148" s="864"/>
      <c r="E148" s="864"/>
      <c r="F148" s="864"/>
      <c r="G148" s="864"/>
      <c r="H148" s="864"/>
      <c r="I148" s="864"/>
      <c r="J148" s="864"/>
      <c r="K148" s="864"/>
      <c r="L148" s="864"/>
      <c r="M148" s="865"/>
      <c r="N148" s="847"/>
      <c r="P148" s="107" t="s">
        <v>93</v>
      </c>
      <c r="Q148" s="94" t="e">
        <f t="shared" si="20"/>
        <v>#N/A</v>
      </c>
      <c r="R148" s="1" t="e">
        <f>VLOOKUP(P148,'Income Tax Cal. Report'!J25:Q33,2,0)</f>
        <v>#N/A</v>
      </c>
      <c r="S148" s="1" t="e">
        <f>VLOOKUP(P148,'Income Tax Cal. Report'!J25:Q33,6,0)</f>
        <v>#N/A</v>
      </c>
      <c r="U148" s="111" t="e">
        <f t="shared" si="21"/>
        <v>#N/A</v>
      </c>
      <c r="V148" s="370" t="e">
        <f t="shared" si="23"/>
        <v>#N/A</v>
      </c>
      <c r="W148" s="370" t="e">
        <f t="shared" si="22"/>
        <v>#N/A</v>
      </c>
    </row>
    <row r="149" spans="1:24" ht="15.75">
      <c r="A149" s="847"/>
      <c r="B149" s="440"/>
      <c r="C149" s="215"/>
      <c r="D149" s="215"/>
      <c r="E149" s="215"/>
      <c r="F149" s="215"/>
      <c r="G149" s="215"/>
      <c r="H149" s="215"/>
      <c r="I149" s="215"/>
      <c r="J149" s="215"/>
      <c r="K149" s="215"/>
      <c r="L149" s="215"/>
      <c r="M149" s="441"/>
      <c r="N149" s="847"/>
      <c r="P149" s="107" t="s">
        <v>95</v>
      </c>
      <c r="Q149" s="94" t="e">
        <f t="shared" si="20"/>
        <v>#N/A</v>
      </c>
      <c r="R149" s="1" t="e">
        <f>VLOOKUP(P149,'Income Tax Cal. Report'!J26:Q34,2,0)</f>
        <v>#N/A</v>
      </c>
      <c r="S149" s="1" t="e">
        <f>VLOOKUP(P149,'Income Tax Cal. Report'!J26:Q34,6,0)</f>
        <v>#N/A</v>
      </c>
      <c r="U149" s="111" t="e">
        <f t="shared" si="21"/>
        <v>#N/A</v>
      </c>
      <c r="V149" s="370" t="e">
        <f t="shared" si="23"/>
        <v>#N/A</v>
      </c>
      <c r="W149" s="370" t="e">
        <f t="shared" si="22"/>
        <v>#N/A</v>
      </c>
    </row>
    <row r="150" spans="1:24" ht="15.75">
      <c r="A150" s="847"/>
      <c r="B150" s="415"/>
      <c r="C150" s="185"/>
      <c r="D150" s="185"/>
      <c r="E150" s="185"/>
      <c r="F150" s="185"/>
      <c r="G150" s="185"/>
      <c r="H150" s="185"/>
      <c r="I150" s="185"/>
      <c r="J150" s="185"/>
      <c r="K150" s="185"/>
      <c r="L150" s="185"/>
      <c r="M150" s="422"/>
      <c r="N150" s="847"/>
      <c r="P150" s="107" t="s">
        <v>97</v>
      </c>
      <c r="Q150" s="94" t="e">
        <f t="shared" si="20"/>
        <v>#N/A</v>
      </c>
      <c r="R150" s="1" t="e">
        <f>VLOOKUP(P150,'Income Tax Cal. Report'!J27:Q35,2,0)</f>
        <v>#N/A</v>
      </c>
      <c r="S150" s="1" t="e">
        <f>VLOOKUP(P150,'Income Tax Cal. Report'!J27:Q35,6,0)</f>
        <v>#N/A</v>
      </c>
      <c r="U150" s="111" t="e">
        <f t="shared" si="21"/>
        <v>#N/A</v>
      </c>
      <c r="V150" s="370" t="e">
        <f t="shared" si="23"/>
        <v>#N/A</v>
      </c>
      <c r="W150" s="370" t="e">
        <f t="shared" si="22"/>
        <v>#N/A</v>
      </c>
    </row>
    <row r="151" spans="1:24" ht="15.75">
      <c r="A151" s="847"/>
      <c r="B151" s="415"/>
      <c r="C151" s="185"/>
      <c r="D151" s="185"/>
      <c r="E151" s="185"/>
      <c r="F151" s="185"/>
      <c r="G151" s="185"/>
      <c r="H151" s="185"/>
      <c r="I151" s="185"/>
      <c r="J151" s="185"/>
      <c r="K151" s="185"/>
      <c r="L151" s="185"/>
      <c r="M151" s="422"/>
      <c r="N151" s="847"/>
      <c r="P151" s="107" t="s">
        <v>99</v>
      </c>
      <c r="Q151" s="94" t="e">
        <f t="shared" si="20"/>
        <v>#N/A</v>
      </c>
      <c r="R151" s="1" t="e">
        <f>VLOOKUP(P151,'Income Tax Cal. Report'!J28:Q36,2,0)</f>
        <v>#N/A</v>
      </c>
      <c r="S151" s="1" t="e">
        <f>VLOOKUP(P151,'Income Tax Cal. Report'!J28:Q36,6,0)</f>
        <v>#N/A</v>
      </c>
      <c r="U151" s="111" t="e">
        <f t="shared" si="21"/>
        <v>#N/A</v>
      </c>
      <c r="V151" s="370" t="e">
        <f t="shared" si="23"/>
        <v>#N/A</v>
      </c>
      <c r="W151" s="370" t="e">
        <f t="shared" si="22"/>
        <v>#N/A</v>
      </c>
    </row>
    <row r="152" spans="1:24" ht="15.75">
      <c r="A152" s="847"/>
      <c r="B152" s="415"/>
      <c r="C152" s="185"/>
      <c r="D152" s="185"/>
      <c r="E152" s="185"/>
      <c r="F152" s="185"/>
      <c r="G152" s="185"/>
      <c r="H152" s="167"/>
      <c r="I152" s="167"/>
      <c r="J152" s="192"/>
      <c r="K152" s="185"/>
      <c r="L152" s="185"/>
      <c r="M152" s="422"/>
      <c r="N152" s="847"/>
      <c r="P152" s="107" t="s">
        <v>101</v>
      </c>
      <c r="Q152" s="94" t="e">
        <f t="shared" si="20"/>
        <v>#N/A</v>
      </c>
      <c r="R152" s="1" t="e">
        <f>VLOOKUP(P152,'Income Tax Cal. Report'!J29:Q37,2,0)</f>
        <v>#N/A</v>
      </c>
      <c r="S152" s="1" t="e">
        <f>VLOOKUP(P152,'Income Tax Cal. Report'!J29:Q37,6,0)</f>
        <v>#N/A</v>
      </c>
      <c r="U152" s="111" t="e">
        <f t="shared" si="21"/>
        <v>#N/A</v>
      </c>
      <c r="V152" s="370" t="e">
        <f t="shared" si="23"/>
        <v>#N/A</v>
      </c>
      <c r="W152" s="370" t="e">
        <f t="shared" si="22"/>
        <v>#N/A</v>
      </c>
    </row>
    <row r="153" spans="1:24" ht="15.75">
      <c r="A153" s="847"/>
      <c r="B153" s="415"/>
      <c r="C153" s="185"/>
      <c r="D153" s="185"/>
      <c r="E153" s="185"/>
      <c r="F153" s="185"/>
      <c r="G153" s="866" t="s">
        <v>350</v>
      </c>
      <c r="H153" s="866"/>
      <c r="I153" s="866"/>
      <c r="J153" s="866"/>
      <c r="K153" s="866"/>
      <c r="L153" s="866"/>
      <c r="M153" s="867"/>
      <c r="N153" s="847"/>
      <c r="P153" s="107" t="s">
        <v>103</v>
      </c>
      <c r="Q153" s="94" t="e">
        <f t="shared" si="20"/>
        <v>#N/A</v>
      </c>
      <c r="R153" s="1" t="e">
        <f>VLOOKUP(P153,'Income Tax Cal. Report'!J30:Q38,2,0)</f>
        <v>#N/A</v>
      </c>
      <c r="S153" s="1" t="e">
        <f>VLOOKUP(P153,'Income Tax Cal. Report'!J30:Q38,6,0)</f>
        <v>#N/A</v>
      </c>
      <c r="U153" s="111" t="e">
        <f t="shared" si="21"/>
        <v>#N/A</v>
      </c>
      <c r="V153" s="370" t="e">
        <f t="shared" si="23"/>
        <v>#N/A</v>
      </c>
      <c r="W153" s="370" t="e">
        <f t="shared" si="22"/>
        <v>#N/A</v>
      </c>
    </row>
    <row r="154" spans="1:24" ht="15.75">
      <c r="A154" s="847"/>
      <c r="B154" s="415"/>
      <c r="C154" s="185"/>
      <c r="D154" s="185"/>
      <c r="E154" s="185"/>
      <c r="F154" s="185"/>
      <c r="G154" s="866" t="s">
        <v>351</v>
      </c>
      <c r="H154" s="866"/>
      <c r="I154" s="866"/>
      <c r="J154" s="866"/>
      <c r="K154" s="866"/>
      <c r="L154" s="866"/>
      <c r="M154" s="867"/>
      <c r="N154" s="847"/>
      <c r="P154" s="107" t="s">
        <v>105</v>
      </c>
      <c r="Q154" s="94" t="e">
        <f t="shared" si="20"/>
        <v>#N/A</v>
      </c>
      <c r="R154" s="1" t="e">
        <f>VLOOKUP(P154,'Income Tax Cal. Report'!J31:Q39,2,0)</f>
        <v>#N/A</v>
      </c>
      <c r="S154" s="1" t="e">
        <f>VLOOKUP(P154,'Income Tax Cal. Report'!J31:Q39,6,0)</f>
        <v>#N/A</v>
      </c>
      <c r="U154" s="111" t="e">
        <f t="shared" si="21"/>
        <v>#N/A</v>
      </c>
      <c r="V154" s="370" t="e">
        <f t="shared" si="23"/>
        <v>#N/A</v>
      </c>
      <c r="W154" s="370" t="e">
        <f t="shared" si="22"/>
        <v>#N/A</v>
      </c>
    </row>
    <row r="155" spans="1:24">
      <c r="A155" s="847"/>
      <c r="B155" s="442" t="s">
        <v>352</v>
      </c>
      <c r="C155" s="868" t="str">
        <f>'Basic Deta'!E5</f>
        <v>District Education Officer, Education Department Primary Education of Bihar</v>
      </c>
      <c r="D155" s="868"/>
      <c r="E155" s="868"/>
      <c r="F155" s="868"/>
      <c r="G155" s="358" t="s">
        <v>371</v>
      </c>
      <c r="H155" s="808" t="s">
        <v>372</v>
      </c>
      <c r="I155" s="808"/>
      <c r="J155" s="809" t="str">
        <f>C146</f>
        <v>SHARIQUE ASHRAF</v>
      </c>
      <c r="K155" s="809"/>
      <c r="L155" s="358"/>
      <c r="M155" s="443"/>
      <c r="N155" s="847"/>
    </row>
    <row r="156" spans="1:24">
      <c r="A156" s="847"/>
      <c r="B156" s="442" t="s">
        <v>353</v>
      </c>
      <c r="C156" s="807">
        <f ca="1">TODAY()</f>
        <v>44976</v>
      </c>
      <c r="D156" s="807"/>
      <c r="E156" s="807"/>
      <c r="F156" s="807"/>
      <c r="G156" s="185"/>
      <c r="H156" s="808" t="s">
        <v>373</v>
      </c>
      <c r="I156" s="808"/>
      <c r="J156" s="809" t="str">
        <f>B147</f>
        <v>DPO (Estt.)</v>
      </c>
      <c r="K156" s="809"/>
      <c r="L156" s="358"/>
      <c r="M156" s="443"/>
      <c r="N156" s="847"/>
    </row>
    <row r="157" spans="1:24" ht="15.75" thickBot="1">
      <c r="A157" s="847"/>
      <c r="B157" s="444"/>
      <c r="C157" s="445"/>
      <c r="D157" s="445"/>
      <c r="E157" s="445"/>
      <c r="F157" s="445"/>
      <c r="G157" s="445"/>
      <c r="H157" s="445"/>
      <c r="I157" s="445"/>
      <c r="J157" s="445"/>
      <c r="K157" s="446"/>
      <c r="L157" s="445"/>
      <c r="M157" s="447"/>
      <c r="N157" s="847"/>
      <c r="Q157" s="111">
        <f>W157</f>
        <v>0</v>
      </c>
      <c r="R157" s="1" t="str">
        <f>'Income Tax Cal. Report'!C37</f>
        <v>1. धारा 80D - चिकित्सा बीमा प्रीमियम {स्वयं/पति/पत्नी  हेतु 25,000 माता/पिता हेतु 25,000, वरिष्ठ नागरिक 50,000}</v>
      </c>
      <c r="S157" s="197">
        <f>'Income Tax Cal. Report'!S37</f>
        <v>0</v>
      </c>
      <c r="U157" s="111">
        <f>IF(S157&gt;0,1,0)</f>
        <v>0</v>
      </c>
      <c r="V157" s="370">
        <f>U157</f>
        <v>0</v>
      </c>
      <c r="W157" s="370">
        <f>IF(V157&gt;V156,1,0)</f>
        <v>0</v>
      </c>
      <c r="X157" s="370" t="s">
        <v>360</v>
      </c>
    </row>
    <row r="158" spans="1:24" ht="15.75" thickBot="1">
      <c r="A158" s="847"/>
      <c r="B158" s="848"/>
      <c r="C158" s="848"/>
      <c r="D158" s="848"/>
      <c r="E158" s="848"/>
      <c r="F158" s="848"/>
      <c r="G158" s="848"/>
      <c r="H158" s="848"/>
      <c r="I158" s="848"/>
      <c r="J158" s="848"/>
      <c r="K158" s="848"/>
      <c r="L158" s="848"/>
      <c r="M158" s="848"/>
      <c r="N158" s="847"/>
      <c r="Q158" s="111">
        <f t="shared" ref="Q158:Q164" si="24">W158</f>
        <v>0</v>
      </c>
      <c r="R158" s="1" t="str">
        <f>'Income Tax Cal. Report'!C38</f>
        <v>2. धारा 80DD - विकलांग आश्रितों का चिकित्सा उपचार (अधिकतम 75,000,  80% या अधिक विक्लांगता 1,25,000)</v>
      </c>
      <c r="S158" s="197">
        <f>'Income Tax Cal. Report'!S38</f>
        <v>0</v>
      </c>
      <c r="U158" s="111">
        <f t="shared" ref="U158:U164" si="25">IF(S158&gt;0,1,0)</f>
        <v>0</v>
      </c>
      <c r="V158" s="370">
        <f>U158+V157</f>
        <v>0</v>
      </c>
      <c r="W158" s="370">
        <f>IF(V158&gt;V157,1+V157,0)</f>
        <v>0</v>
      </c>
      <c r="X158" s="370" t="s">
        <v>361</v>
      </c>
    </row>
    <row r="159" spans="1:24" hidden="1">
      <c r="Q159" s="111">
        <f t="shared" si="24"/>
        <v>0</v>
      </c>
      <c r="R159" s="1" t="str">
        <f>'Income Tax Cal. Report'!C39</f>
        <v>3. धारा 80DDB -विशिष्ठ रोगों के उपचार हेतु कटौती (सामान्य 40,000 एवं वरिष्ठ नागरिक 1 लाख)</v>
      </c>
      <c r="S159" s="197">
        <f>'Income Tax Cal. Report'!S39</f>
        <v>0</v>
      </c>
      <c r="U159" s="111">
        <f t="shared" si="25"/>
        <v>0</v>
      </c>
      <c r="V159" s="370">
        <f>U159+V158</f>
        <v>0</v>
      </c>
      <c r="W159" s="370">
        <f t="shared" ref="W159:W164" si="26">IF(V159&gt;V158,1+V158,0)</f>
        <v>0</v>
      </c>
      <c r="X159" s="370" t="s">
        <v>362</v>
      </c>
    </row>
    <row r="160" spans="1:24" hidden="1">
      <c r="Q160" s="111">
        <f t="shared" si="24"/>
        <v>0</v>
      </c>
      <c r="R160" s="1" t="str">
        <f>'Income Tax Cal. Report'!C40</f>
        <v>4. धारा 80E - उच्च शिक्षा हेतु लिए ऋण पर ब्याज (धारा 80E)</v>
      </c>
      <c r="S160" s="197">
        <f>'Income Tax Cal. Report'!S40</f>
        <v>0</v>
      </c>
      <c r="U160" s="111">
        <f t="shared" si="25"/>
        <v>0</v>
      </c>
      <c r="V160" s="370">
        <f>U160+V159</f>
        <v>0</v>
      </c>
      <c r="W160" s="370">
        <f t="shared" si="26"/>
        <v>0</v>
      </c>
      <c r="X160" s="370" t="s">
        <v>363</v>
      </c>
    </row>
    <row r="161" spans="17:24" hidden="1">
      <c r="Q161" s="111">
        <f t="shared" si="24"/>
        <v>0</v>
      </c>
      <c r="R161" s="1" t="str">
        <f>'Income Tax Cal. Report'!C41</f>
        <v xml:space="preserve">5. धारा 80G -धर्मार्थ संस्थाओं को दिए दान (श्रेणी 'क' 100% एवं श्रेणी 'ख' 50%) </v>
      </c>
      <c r="S161" s="197">
        <f>'Income Tax Cal. Report'!S41</f>
        <v>0</v>
      </c>
      <c r="U161" s="111">
        <f t="shared" si="25"/>
        <v>0</v>
      </c>
      <c r="V161" s="370">
        <f>U161+V160</f>
        <v>0</v>
      </c>
      <c r="W161" s="370">
        <f t="shared" si="26"/>
        <v>0</v>
      </c>
      <c r="X161" s="370" t="s">
        <v>364</v>
      </c>
    </row>
    <row r="162" spans="17:24" hidden="1">
      <c r="Q162" s="111">
        <f t="shared" si="24"/>
        <v>0</v>
      </c>
      <c r="R162" s="1" t="str">
        <f>'Income Tax Cal. Report'!C42</f>
        <v>6. धारा 80U -स्थाई शारीरिक विक्लांगता की दशा में (अधिकतम 75,000 तथा अधिनियम 1995 के अनुसार 80% विक्लांगता 1,25,000)</v>
      </c>
      <c r="S162" s="197">
        <f>'Income Tax Cal. Report'!S42</f>
        <v>0</v>
      </c>
      <c r="U162" s="111">
        <f t="shared" si="25"/>
        <v>0</v>
      </c>
      <c r="V162" s="370">
        <f>U162+V161</f>
        <v>0</v>
      </c>
      <c r="W162" s="370">
        <f t="shared" si="26"/>
        <v>0</v>
      </c>
      <c r="X162" s="370" t="s">
        <v>365</v>
      </c>
    </row>
    <row r="163" spans="17:24" hidden="1">
      <c r="Q163" s="111">
        <f t="shared" si="24"/>
        <v>0</v>
      </c>
      <c r="R163" s="1" t="str">
        <f>'Income Tax Cal. Report'!C43</f>
        <v>7. अधिनियम 1995 के अनुसार धारा 80 TTA के तहत बचत खाते की जमा राशी पर प्राप्त ब्याज में छूट 10000 (80 TTB-वरिष्ठ नागरिक अधिकतम 50,000)</v>
      </c>
      <c r="S163" s="197">
        <f>'Income Tax Cal. Report'!S43</f>
        <v>0</v>
      </c>
      <c r="U163" s="111">
        <f t="shared" si="25"/>
        <v>0</v>
      </c>
      <c r="V163" s="370">
        <f t="shared" ref="V163:V164" si="27">U163+V162</f>
        <v>0</v>
      </c>
      <c r="W163" s="370">
        <f t="shared" si="26"/>
        <v>0</v>
      </c>
      <c r="X163" s="370" t="s">
        <v>358</v>
      </c>
    </row>
    <row r="164" spans="17:24" hidden="1">
      <c r="Q164" s="111">
        <f t="shared" si="24"/>
        <v>0</v>
      </c>
      <c r="R164" s="1" t="str">
        <f>'Income Tax Cal. Report'!C44</f>
        <v>8. धारा 80 GGA -अनुमोदित वैज्ञानिक,सामाजिक,ग्रामीण विकास आदि हेतु दिया गया दान</v>
      </c>
      <c r="S164" s="197">
        <f>'Income Tax Cal. Report'!S44</f>
        <v>0</v>
      </c>
      <c r="U164" s="111">
        <f t="shared" si="25"/>
        <v>0</v>
      </c>
      <c r="V164" s="370">
        <f t="shared" si="27"/>
        <v>0</v>
      </c>
      <c r="W164" s="370">
        <f t="shared" si="26"/>
        <v>0</v>
      </c>
      <c r="X164" s="370" t="s">
        <v>359</v>
      </c>
    </row>
  </sheetData>
  <sheetProtection password="E8FA" sheet="1" objects="1" scenarios="1" formatCells="0" formatColumns="0" formatRows="0" selectLockedCells="1"/>
  <mergeCells count="284">
    <mergeCell ref="H9:M9"/>
    <mergeCell ref="H15:M15"/>
    <mergeCell ref="B2:G3"/>
    <mergeCell ref="H2:M3"/>
    <mergeCell ref="H5:M6"/>
    <mergeCell ref="H118:I118"/>
    <mergeCell ref="J118:K118"/>
    <mergeCell ref="L118:M118"/>
    <mergeCell ref="D112:F112"/>
    <mergeCell ref="D113:F113"/>
    <mergeCell ref="D114:F114"/>
    <mergeCell ref="D115:F115"/>
    <mergeCell ref="H112:I112"/>
    <mergeCell ref="J112:K112"/>
    <mergeCell ref="L112:M112"/>
    <mergeCell ref="H113:I113"/>
    <mergeCell ref="J113:K113"/>
    <mergeCell ref="L113:M113"/>
    <mergeCell ref="H114:I114"/>
    <mergeCell ref="J114:K114"/>
    <mergeCell ref="L114:M114"/>
    <mergeCell ref="H115:I115"/>
    <mergeCell ref="J115:K115"/>
    <mergeCell ref="L115:M115"/>
    <mergeCell ref="B9:G9"/>
    <mergeCell ref="B4:G4"/>
    <mergeCell ref="H4:M4"/>
    <mergeCell ref="B20:C20"/>
    <mergeCell ref="D20:F20"/>
    <mergeCell ref="G20:H20"/>
    <mergeCell ref="I20:K20"/>
    <mergeCell ref="L20:M20"/>
    <mergeCell ref="B21:C21"/>
    <mergeCell ref="D21:F21"/>
    <mergeCell ref="G21:H21"/>
    <mergeCell ref="I21:K21"/>
    <mergeCell ref="L21:M21"/>
    <mergeCell ref="B10:G13"/>
    <mergeCell ref="E16:G18"/>
    <mergeCell ref="H16:J16"/>
    <mergeCell ref="K16:M16"/>
    <mergeCell ref="H17:I17"/>
    <mergeCell ref="K17:M18"/>
    <mergeCell ref="H18:I18"/>
    <mergeCell ref="B14:D14"/>
    <mergeCell ref="E14:G14"/>
    <mergeCell ref="H14:M14"/>
    <mergeCell ref="B15:D15"/>
    <mergeCell ref="E15:G15"/>
    <mergeCell ref="B22:C22"/>
    <mergeCell ref="D22:F22"/>
    <mergeCell ref="G22:H22"/>
    <mergeCell ref="I22:K22"/>
    <mergeCell ref="L22:M22"/>
    <mergeCell ref="B23:C23"/>
    <mergeCell ref="D23:F23"/>
    <mergeCell ref="G23:H23"/>
    <mergeCell ref="I23:K23"/>
    <mergeCell ref="L23:M23"/>
    <mergeCell ref="B24:C24"/>
    <mergeCell ref="D24:F24"/>
    <mergeCell ref="G24:H24"/>
    <mergeCell ref="I24:K24"/>
    <mergeCell ref="L24:M24"/>
    <mergeCell ref="B25:C25"/>
    <mergeCell ref="D25:F25"/>
    <mergeCell ref="G25:H25"/>
    <mergeCell ref="I25:K25"/>
    <mergeCell ref="L25:M25"/>
    <mergeCell ref="L29:M29"/>
    <mergeCell ref="C30:E30"/>
    <mergeCell ref="H30:I30"/>
    <mergeCell ref="J30:K30"/>
    <mergeCell ref="B26:M26"/>
    <mergeCell ref="C27:E27"/>
    <mergeCell ref="F27:M27"/>
    <mergeCell ref="C28:E28"/>
    <mergeCell ref="F28:G28"/>
    <mergeCell ref="H28:I28"/>
    <mergeCell ref="J28:K28"/>
    <mergeCell ref="L28:M28"/>
    <mergeCell ref="C31:E31"/>
    <mergeCell ref="F31:G31"/>
    <mergeCell ref="H31:I31"/>
    <mergeCell ref="J31:K31"/>
    <mergeCell ref="C32:E32"/>
    <mergeCell ref="F32:G32"/>
    <mergeCell ref="H32:I32"/>
    <mergeCell ref="J32:K32"/>
    <mergeCell ref="F29:G29"/>
    <mergeCell ref="H29:I29"/>
    <mergeCell ref="J29:K29"/>
    <mergeCell ref="C39:E39"/>
    <mergeCell ref="F39:G39"/>
    <mergeCell ref="H39:I39"/>
    <mergeCell ref="J39:K39"/>
    <mergeCell ref="C40:E40"/>
    <mergeCell ref="F40:G40"/>
    <mergeCell ref="H40:I40"/>
    <mergeCell ref="J40:K40"/>
    <mergeCell ref="C33:E33"/>
    <mergeCell ref="C34:E34"/>
    <mergeCell ref="C35:E35"/>
    <mergeCell ref="C36:E36"/>
    <mergeCell ref="C37:E37"/>
    <mergeCell ref="C38:E38"/>
    <mergeCell ref="C43:E43"/>
    <mergeCell ref="F43:G43"/>
    <mergeCell ref="H43:I43"/>
    <mergeCell ref="J43:K43"/>
    <mergeCell ref="B45:M45"/>
    <mergeCell ref="C46:E46"/>
    <mergeCell ref="F46:M46"/>
    <mergeCell ref="L43:M43"/>
    <mergeCell ref="C41:E41"/>
    <mergeCell ref="F41:G41"/>
    <mergeCell ref="H41:I41"/>
    <mergeCell ref="J41:K41"/>
    <mergeCell ref="C42:E42"/>
    <mergeCell ref="F42:G42"/>
    <mergeCell ref="H42:I42"/>
    <mergeCell ref="J42:K42"/>
    <mergeCell ref="C49:E49"/>
    <mergeCell ref="H49:I49"/>
    <mergeCell ref="J49:K49"/>
    <mergeCell ref="C50:E50"/>
    <mergeCell ref="H50:I50"/>
    <mergeCell ref="J50:K50"/>
    <mergeCell ref="F50:G50"/>
    <mergeCell ref="C47:E47"/>
    <mergeCell ref="F47:G47"/>
    <mergeCell ref="H47:I47"/>
    <mergeCell ref="J47:K47"/>
    <mergeCell ref="F48:G48"/>
    <mergeCell ref="H48:I48"/>
    <mergeCell ref="J48:K48"/>
    <mergeCell ref="C54:E54"/>
    <mergeCell ref="F54:G54"/>
    <mergeCell ref="H54:M54"/>
    <mergeCell ref="C53:E53"/>
    <mergeCell ref="H53:I53"/>
    <mergeCell ref="J53:K53"/>
    <mergeCell ref="F53:G53"/>
    <mergeCell ref="C51:E51"/>
    <mergeCell ref="H51:I51"/>
    <mergeCell ref="J51:K51"/>
    <mergeCell ref="C52:E52"/>
    <mergeCell ref="H52:I52"/>
    <mergeCell ref="J52:K52"/>
    <mergeCell ref="F51:G51"/>
    <mergeCell ref="F52:G52"/>
    <mergeCell ref="B61:C61"/>
    <mergeCell ref="B62:M62"/>
    <mergeCell ref="B63:M63"/>
    <mergeCell ref="B64:M64"/>
    <mergeCell ref="B65:M65"/>
    <mergeCell ref="B66:H66"/>
    <mergeCell ref="B55:M55"/>
    <mergeCell ref="C56:E56"/>
    <mergeCell ref="H56:J56"/>
    <mergeCell ref="B57:D57"/>
    <mergeCell ref="B58:F58"/>
    <mergeCell ref="B59:M60"/>
    <mergeCell ref="B75:M75"/>
    <mergeCell ref="B76:M76"/>
    <mergeCell ref="K83:L83"/>
    <mergeCell ref="B86:H86"/>
    <mergeCell ref="B87:H87"/>
    <mergeCell ref="K88:L88"/>
    <mergeCell ref="B67:M67"/>
    <mergeCell ref="B68:M68"/>
    <mergeCell ref="B69:M69"/>
    <mergeCell ref="B70:M70"/>
    <mergeCell ref="B71:M71"/>
    <mergeCell ref="B72:F72"/>
    <mergeCell ref="D107:F107"/>
    <mergeCell ref="H107:I107"/>
    <mergeCell ref="J107:K107"/>
    <mergeCell ref="L107:M107"/>
    <mergeCell ref="D108:F108"/>
    <mergeCell ref="H108:I108"/>
    <mergeCell ref="J108:K108"/>
    <mergeCell ref="L108:M108"/>
    <mergeCell ref="B103:E103"/>
    <mergeCell ref="J104:K104"/>
    <mergeCell ref="H105:I105"/>
    <mergeCell ref="J105:K105"/>
    <mergeCell ref="L105:M105"/>
    <mergeCell ref="D106:F106"/>
    <mergeCell ref="H106:I106"/>
    <mergeCell ref="J106:K106"/>
    <mergeCell ref="L106:M106"/>
    <mergeCell ref="B131:G131"/>
    <mergeCell ref="J144:K144"/>
    <mergeCell ref="J124:K124"/>
    <mergeCell ref="L124:M124"/>
    <mergeCell ref="J125:K125"/>
    <mergeCell ref="L125:M125"/>
    <mergeCell ref="H119:I119"/>
    <mergeCell ref="J119:K119"/>
    <mergeCell ref="L119:M119"/>
    <mergeCell ref="J122:K122"/>
    <mergeCell ref="D123:F123"/>
    <mergeCell ref="H123:I123"/>
    <mergeCell ref="J123:K123"/>
    <mergeCell ref="L123:M123"/>
    <mergeCell ref="H128:I128"/>
    <mergeCell ref="J128:K128"/>
    <mergeCell ref="L128:M128"/>
    <mergeCell ref="L126:M126"/>
    <mergeCell ref="D124:F124"/>
    <mergeCell ref="H124:I124"/>
    <mergeCell ref="L31:M31"/>
    <mergeCell ref="L32:M32"/>
    <mergeCell ref="L33:M33"/>
    <mergeCell ref="L34:M34"/>
    <mergeCell ref="L35:M35"/>
    <mergeCell ref="L36:M36"/>
    <mergeCell ref="A1:N1"/>
    <mergeCell ref="A2:A158"/>
    <mergeCell ref="N2:N158"/>
    <mergeCell ref="B158:M158"/>
    <mergeCell ref="H10:M11"/>
    <mergeCell ref="H12:M13"/>
    <mergeCell ref="B147:D147"/>
    <mergeCell ref="B148:M148"/>
    <mergeCell ref="G153:M153"/>
    <mergeCell ref="G154:M154"/>
    <mergeCell ref="C155:F155"/>
    <mergeCell ref="H131:I131"/>
    <mergeCell ref="J131:K131"/>
    <mergeCell ref="L131:M131"/>
    <mergeCell ref="L132:M132"/>
    <mergeCell ref="B145:M145"/>
    <mergeCell ref="C146:E146"/>
    <mergeCell ref="H146:J146"/>
    <mergeCell ref="L50:M50"/>
    <mergeCell ref="L51:M51"/>
    <mergeCell ref="L52:M52"/>
    <mergeCell ref="L53:M53"/>
    <mergeCell ref="L37:M37"/>
    <mergeCell ref="L38:M38"/>
    <mergeCell ref="L39:M39"/>
    <mergeCell ref="L40:M40"/>
    <mergeCell ref="L41:M41"/>
    <mergeCell ref="L42:M42"/>
    <mergeCell ref="L47:M47"/>
    <mergeCell ref="L48:M48"/>
    <mergeCell ref="D111:F111"/>
    <mergeCell ref="H111:I111"/>
    <mergeCell ref="J111:K111"/>
    <mergeCell ref="L111:M111"/>
    <mergeCell ref="D109:F109"/>
    <mergeCell ref="H109:I109"/>
    <mergeCell ref="J109:K109"/>
    <mergeCell ref="L109:M109"/>
    <mergeCell ref="D110:F110"/>
    <mergeCell ref="H110:I110"/>
    <mergeCell ref="J110:K110"/>
    <mergeCell ref="L110:M110"/>
    <mergeCell ref="C156:F156"/>
    <mergeCell ref="H155:I155"/>
    <mergeCell ref="J155:K155"/>
    <mergeCell ref="H156:I156"/>
    <mergeCell ref="J156:K156"/>
    <mergeCell ref="B7:M7"/>
    <mergeCell ref="B8:I8"/>
    <mergeCell ref="J8:K8"/>
    <mergeCell ref="B116:G116"/>
    <mergeCell ref="M129:M130"/>
    <mergeCell ref="B133:G133"/>
    <mergeCell ref="B141:G142"/>
    <mergeCell ref="J142:K142"/>
    <mergeCell ref="D127:F127"/>
    <mergeCell ref="H127:I127"/>
    <mergeCell ref="J127:K127"/>
    <mergeCell ref="L127:M127"/>
    <mergeCell ref="D128:F128"/>
    <mergeCell ref="B129:G130"/>
    <mergeCell ref="D125:F125"/>
    <mergeCell ref="H125:I125"/>
    <mergeCell ref="D126:F126"/>
    <mergeCell ref="H126:I126"/>
    <mergeCell ref="J126:K126"/>
  </mergeCells>
  <conditionalFormatting sqref="C50:M53">
    <cfRule type="cellIs" dxfId="16" priority="7" operator="equal">
      <formula>0</formula>
    </cfRule>
  </conditionalFormatting>
  <conditionalFormatting sqref="J144:M144">
    <cfRule type="expression" dxfId="15" priority="5">
      <formula>$J144="Refundable)"</formula>
    </cfRule>
    <cfRule type="expression" dxfId="14" priority="6">
      <formula>$J144="(payble)"</formula>
    </cfRule>
  </conditionalFormatting>
  <conditionalFormatting sqref="M133:M144 L123:M131 M101 M98:M99 M96 K88:L88 J94 J86 H91:H92 J78:J79 J81 H119:K119 H123:K128 H118:M118 L106:M119 H106:K115">
    <cfRule type="cellIs" dxfId="13" priority="4" operator="equal">
      <formula>0</formula>
    </cfRule>
  </conditionalFormatting>
  <conditionalFormatting sqref="D21:M25 C31:M43 C50:M54 C56:E56 J57 H91:H93 H123:M128 E15:G15 H12:M13 H106:M115">
    <cfRule type="cellIs" dxfId="12" priority="3" operator="equal">
      <formula>0</formula>
    </cfRule>
  </conditionalFormatting>
  <conditionalFormatting sqref="H56:J56 C56:E56">
    <cfRule type="cellIs" dxfId="11" priority="2" operator="equal">
      <formula>0</formula>
    </cfRule>
  </conditionalFormatting>
  <pageMargins left="0.21" right="0.18" top="0.24" bottom="0.2" header="0.19" footer="0.2"/>
  <pageSetup paperSize="9" scale="75" orientation="portrait" r:id="rId1"/>
  <rowBreaks count="1" manualBreakCount="1">
    <brk id="74" max="16383" man="1"/>
  </rowBreaks>
  <colBreaks count="1" manualBreakCount="1">
    <brk id="14" max="1048575" man="1"/>
  </colBreaks>
</worksheet>
</file>

<file path=xl/worksheets/sheet7.xml><?xml version="1.0" encoding="utf-8"?>
<worksheet xmlns="http://schemas.openxmlformats.org/spreadsheetml/2006/main" xmlns:r="http://schemas.openxmlformats.org/officeDocument/2006/relationships">
  <sheetPr>
    <tabColor theme="8"/>
  </sheetPr>
  <dimension ref="A1:AO70"/>
  <sheetViews>
    <sheetView showGridLines="0" showRowColHeaders="0" topLeftCell="A19" workbookViewId="0">
      <selection activeCell="I23" sqref="I23"/>
    </sheetView>
  </sheetViews>
  <sheetFormatPr defaultColWidth="0" defaultRowHeight="15"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9.28515625" style="1" hidden="1" customWidth="1"/>
    <col min="20" max="20" width="4.85546875" style="111" hidden="1" customWidth="1"/>
    <col min="21" max="21" width="2.28515625" style="129" hidden="1" customWidth="1"/>
    <col min="22" max="22" width="9.140625" style="1" hidden="1" customWidth="1"/>
    <col min="23" max="23" width="11.140625" style="129" hidden="1" customWidth="1"/>
    <col min="24" max="24" width="9.5703125" style="129" hidden="1" customWidth="1"/>
    <col min="25" max="25" width="12.85546875" style="129" hidden="1" customWidth="1"/>
    <col min="26" max="29" width="9.140625" style="129" hidden="1" customWidth="1"/>
    <col min="30" max="39" width="9.140625" style="1" hidden="1"/>
    <col min="40" max="40" width="3.140625" style="1" customWidth="1"/>
    <col min="41" max="41" width="1.85546875" style="1" customWidth="1"/>
    <col min="42" max="16384" width="9.140625" style="1" hidden="1"/>
  </cols>
  <sheetData>
    <row r="1" spans="1:29" ht="13.5" customHeight="1" thickBot="1">
      <c r="A1" s="712"/>
      <c r="B1" s="1037" t="str">
        <f>'Exemp.(HRA+Other) &amp; Other incom'!A1</f>
        <v>District Education Officer, Education Department Primary Education of Bihar</v>
      </c>
      <c r="C1" s="1038"/>
      <c r="D1" s="1038"/>
      <c r="E1" s="1038"/>
      <c r="F1" s="1038"/>
      <c r="G1" s="1038"/>
      <c r="H1" s="1038"/>
      <c r="I1" s="1038"/>
      <c r="J1" s="1038"/>
      <c r="K1" s="1038"/>
      <c r="L1" s="1038"/>
      <c r="M1" s="1038"/>
      <c r="N1" s="1038"/>
      <c r="O1" s="1038"/>
      <c r="P1" s="1038"/>
      <c r="Q1" s="1039"/>
      <c r="R1" s="711"/>
    </row>
    <row r="2" spans="1:29" ht="21" thickBot="1">
      <c r="A2" s="712"/>
      <c r="B2" s="1040" t="s">
        <v>111</v>
      </c>
      <c r="C2" s="1041"/>
      <c r="D2" s="1041"/>
      <c r="E2" s="1041"/>
      <c r="F2" s="1041"/>
      <c r="G2" s="1041"/>
      <c r="H2" s="1041"/>
      <c r="I2" s="1041"/>
      <c r="J2" s="1041"/>
      <c r="K2" s="1041"/>
      <c r="L2" s="1041"/>
      <c r="M2" s="1042"/>
      <c r="N2" s="1043" t="s">
        <v>227</v>
      </c>
      <c r="O2" s="1044"/>
      <c r="P2" s="1044"/>
      <c r="Q2" s="1045"/>
      <c r="R2" s="711"/>
    </row>
    <row r="3" spans="1:29" s="89" customFormat="1" ht="16.5" thickBot="1">
      <c r="A3" s="712"/>
      <c r="B3" s="82">
        <v>1</v>
      </c>
      <c r="C3" s="1046" t="s">
        <v>151</v>
      </c>
      <c r="D3" s="1046"/>
      <c r="E3" s="1047" t="str">
        <f>'Table (Income-Deduction)'!F4</f>
        <v>SHAHID ALI</v>
      </c>
      <c r="F3" s="1047"/>
      <c r="G3" s="1047"/>
      <c r="H3" s="1047"/>
      <c r="I3" s="1047"/>
      <c r="J3" s="1047"/>
      <c r="K3" s="83" t="s">
        <v>152</v>
      </c>
      <c r="L3" s="1048" t="str">
        <f>'Table (Income-Deduction)'!P4</f>
        <v>Block Teacher</v>
      </c>
      <c r="M3" s="1048"/>
      <c r="N3" s="1048"/>
      <c r="O3" s="84" t="s">
        <v>87</v>
      </c>
      <c r="P3" s="1049" t="str">
        <f>'Table (Income-Deduction)'!F6</f>
        <v>BFHPA0762G (BUXAR)</v>
      </c>
      <c r="Q3" s="1050"/>
      <c r="R3" s="711"/>
      <c r="T3" s="161"/>
      <c r="U3" s="88"/>
      <c r="W3" s="88"/>
      <c r="X3" s="88"/>
      <c r="Y3" s="88"/>
      <c r="Z3" s="88"/>
      <c r="AA3" s="88"/>
      <c r="AB3" s="88"/>
      <c r="AC3" s="88"/>
    </row>
    <row r="4" spans="1:29" ht="14.25" customHeight="1">
      <c r="A4" s="712"/>
      <c r="B4" s="99">
        <v>2</v>
      </c>
      <c r="C4" s="792" t="s">
        <v>154</v>
      </c>
      <c r="D4" s="792"/>
      <c r="E4" s="792"/>
      <c r="F4" s="792"/>
      <c r="G4" s="792"/>
      <c r="H4" s="792"/>
      <c r="I4" s="792"/>
      <c r="J4" s="792"/>
      <c r="K4" s="792"/>
      <c r="L4" s="792"/>
      <c r="M4" s="792"/>
      <c r="N4" s="792"/>
      <c r="O4" s="792"/>
      <c r="P4" s="57" t="s">
        <v>121</v>
      </c>
      <c r="Q4" s="81">
        <f>'Table (Income-Deduction)'!O32</f>
        <v>499964</v>
      </c>
      <c r="R4" s="711"/>
    </row>
    <row r="5" spans="1:29" ht="14.25" customHeight="1">
      <c r="A5" s="712"/>
      <c r="B5" s="100">
        <v>3</v>
      </c>
      <c r="C5" s="731" t="s">
        <v>161</v>
      </c>
      <c r="D5" s="731"/>
      <c r="E5" s="731"/>
      <c r="F5" s="731"/>
      <c r="G5" s="731"/>
      <c r="H5" s="731"/>
      <c r="I5" s="731"/>
      <c r="J5" s="731"/>
      <c r="K5" s="731"/>
      <c r="L5" s="731"/>
      <c r="M5" s="731"/>
      <c r="N5" s="731"/>
      <c r="O5" s="731"/>
      <c r="P5" s="49" t="s">
        <v>121</v>
      </c>
      <c r="Q5" s="69">
        <f>IF(N2="old tax regime",'Exemp.(HRA+Other) &amp; Other incom'!K4,0)</f>
        <v>13822</v>
      </c>
      <c r="R5" s="711"/>
    </row>
    <row r="6" spans="1:29" ht="14.25" customHeight="1">
      <c r="A6" s="712"/>
      <c r="B6" s="100">
        <v>4</v>
      </c>
      <c r="C6" s="790" t="s">
        <v>155</v>
      </c>
      <c r="D6" s="790"/>
      <c r="E6" s="790"/>
      <c r="F6" s="790"/>
      <c r="G6" s="790"/>
      <c r="H6" s="790"/>
      <c r="I6" s="790"/>
      <c r="J6" s="790"/>
      <c r="K6" s="790"/>
      <c r="L6" s="790"/>
      <c r="M6" s="790"/>
      <c r="N6" s="790"/>
      <c r="O6" s="790"/>
      <c r="P6" s="49" t="s">
        <v>121</v>
      </c>
      <c r="Q6" s="74">
        <f>Q4-Q5</f>
        <v>486142</v>
      </c>
      <c r="R6" s="711"/>
    </row>
    <row r="7" spans="1:29" ht="14.25" customHeight="1">
      <c r="A7" s="712"/>
      <c r="B7" s="734">
        <v>5</v>
      </c>
      <c r="C7" s="731" t="s">
        <v>157</v>
      </c>
      <c r="D7" s="731"/>
      <c r="E7" s="731"/>
      <c r="F7" s="731"/>
      <c r="G7" s="731"/>
      <c r="H7" s="731"/>
      <c r="I7" s="731"/>
      <c r="J7" s="731"/>
      <c r="K7" s="731"/>
      <c r="L7" s="731"/>
      <c r="M7" s="780">
        <f>'Exemp.(HRA+Other) &amp; Other incom'!L13</f>
        <v>0</v>
      </c>
      <c r="N7" s="780"/>
      <c r="O7" s="780"/>
      <c r="P7" s="788"/>
      <c r="Q7" s="789"/>
      <c r="R7" s="711"/>
    </row>
    <row r="8" spans="1:29" ht="14.25" customHeight="1">
      <c r="A8" s="712"/>
      <c r="B8" s="734"/>
      <c r="C8" s="731" t="s">
        <v>158</v>
      </c>
      <c r="D8" s="731"/>
      <c r="E8" s="731"/>
      <c r="F8" s="731"/>
      <c r="G8" s="731"/>
      <c r="H8" s="731"/>
      <c r="I8" s="731"/>
      <c r="J8" s="731"/>
      <c r="K8" s="731"/>
      <c r="L8" s="731"/>
      <c r="M8" s="780">
        <f>'Exemp.(HRA+Other) &amp; Other incom'!L14</f>
        <v>1000</v>
      </c>
      <c r="N8" s="780"/>
      <c r="O8" s="780"/>
      <c r="P8" s="788"/>
      <c r="Q8" s="789"/>
      <c r="R8" s="711"/>
    </row>
    <row r="9" spans="1:29" ht="14.25" customHeight="1">
      <c r="A9" s="712"/>
      <c r="B9" s="734"/>
      <c r="C9" s="731" t="s">
        <v>159</v>
      </c>
      <c r="D9" s="731"/>
      <c r="E9" s="731"/>
      <c r="F9" s="731"/>
      <c r="G9" s="731"/>
      <c r="H9" s="731"/>
      <c r="I9" s="731"/>
      <c r="J9" s="731"/>
      <c r="K9" s="731"/>
      <c r="L9" s="731"/>
      <c r="M9" s="780">
        <v>50000</v>
      </c>
      <c r="N9" s="780"/>
      <c r="O9" s="780"/>
      <c r="P9" s="49" t="s">
        <v>121</v>
      </c>
      <c r="Q9" s="69">
        <f>IF(N2="old tax regime",M7+M8+M9,0)</f>
        <v>51000</v>
      </c>
      <c r="R9" s="711"/>
    </row>
    <row r="10" spans="1:29" ht="14.25" customHeight="1">
      <c r="A10" s="712"/>
      <c r="B10" s="100">
        <v>6</v>
      </c>
      <c r="C10" s="790" t="s">
        <v>160</v>
      </c>
      <c r="D10" s="790"/>
      <c r="E10" s="790"/>
      <c r="F10" s="790"/>
      <c r="G10" s="790"/>
      <c r="H10" s="790"/>
      <c r="I10" s="790"/>
      <c r="J10" s="790"/>
      <c r="K10" s="790"/>
      <c r="L10" s="790"/>
      <c r="M10" s="790"/>
      <c r="N10" s="790"/>
      <c r="O10" s="790"/>
      <c r="P10" s="49" t="s">
        <v>121</v>
      </c>
      <c r="Q10" s="74">
        <f>Q6-Q9</f>
        <v>435142</v>
      </c>
      <c r="R10" s="711"/>
    </row>
    <row r="11" spans="1:29" ht="9" customHeight="1">
      <c r="A11" s="712"/>
      <c r="B11" s="734">
        <v>7</v>
      </c>
      <c r="C11" s="731" t="s">
        <v>162</v>
      </c>
      <c r="D11" s="731"/>
      <c r="E11" s="731"/>
      <c r="F11" s="731"/>
      <c r="G11" s="731"/>
      <c r="H11" s="731"/>
      <c r="I11" s="731"/>
      <c r="J11" s="731"/>
      <c r="K11" s="738" t="s">
        <v>163</v>
      </c>
      <c r="L11" s="738"/>
      <c r="M11" s="780">
        <f>'Exemp.(HRA+Other) &amp; Other incom'!L7</f>
        <v>0</v>
      </c>
      <c r="N11" s="780"/>
      <c r="O11" s="780"/>
      <c r="P11" s="738"/>
      <c r="Q11" s="785"/>
      <c r="R11" s="711"/>
    </row>
    <row r="12" spans="1:29" ht="22.5" customHeight="1">
      <c r="A12" s="712"/>
      <c r="B12" s="734"/>
      <c r="C12" s="786" t="s">
        <v>164</v>
      </c>
      <c r="D12" s="786"/>
      <c r="E12" s="738" t="s">
        <v>165</v>
      </c>
      <c r="F12" s="738"/>
      <c r="G12" s="738"/>
      <c r="H12" s="787" t="s">
        <v>166</v>
      </c>
      <c r="I12" s="787"/>
      <c r="J12" s="787"/>
      <c r="K12" s="738" t="s">
        <v>122</v>
      </c>
      <c r="L12" s="738"/>
      <c r="M12" s="737" t="s">
        <v>167</v>
      </c>
      <c r="N12" s="737"/>
      <c r="O12" s="737"/>
      <c r="P12" s="738"/>
      <c r="Q12" s="785"/>
      <c r="R12" s="711"/>
    </row>
    <row r="13" spans="1:29" ht="21.75" customHeight="1">
      <c r="A13" s="712"/>
      <c r="B13" s="734"/>
      <c r="C13" s="786"/>
      <c r="D13" s="786"/>
      <c r="E13" s="780">
        <f>IF(N2="old tax regime",ROUND(M11*0.3,0),0)</f>
        <v>0</v>
      </c>
      <c r="F13" s="780"/>
      <c r="G13" s="780"/>
      <c r="H13" s="780">
        <f>IF(N2="old tax regime",'Exemp.(HRA+Other) &amp; Other incom'!L17,0)</f>
        <v>0</v>
      </c>
      <c r="I13" s="780"/>
      <c r="J13" s="780"/>
      <c r="K13" s="780">
        <f>IF(N2="old tax regime",'Exemp.(HRA+Other) &amp; Other incom'!L15,0)</f>
        <v>0</v>
      </c>
      <c r="L13" s="780"/>
      <c r="M13" s="791">
        <f>E13+H13+K13</f>
        <v>0</v>
      </c>
      <c r="N13" s="791"/>
      <c r="O13" s="791"/>
      <c r="P13" s="738"/>
      <c r="Q13" s="785"/>
      <c r="R13" s="711"/>
    </row>
    <row r="14" spans="1:29" ht="21.75" customHeight="1">
      <c r="A14" s="712"/>
      <c r="B14" s="100"/>
      <c r="C14" s="774" t="s">
        <v>169</v>
      </c>
      <c r="D14" s="775"/>
      <c r="E14" s="775"/>
      <c r="F14" s="775"/>
      <c r="G14" s="775"/>
      <c r="H14" s="775"/>
      <c r="I14" s="775"/>
      <c r="J14" s="775"/>
      <c r="K14" s="775"/>
      <c r="L14" s="775"/>
      <c r="M14" s="775"/>
      <c r="N14" s="775"/>
      <c r="O14" s="776"/>
      <c r="P14" s="49" t="s">
        <v>121</v>
      </c>
      <c r="Q14" s="69">
        <f>M11-M13</f>
        <v>0</v>
      </c>
      <c r="R14" s="711"/>
    </row>
    <row r="15" spans="1:29" ht="21.75" customHeight="1">
      <c r="A15" s="712"/>
      <c r="B15" s="100">
        <v>8</v>
      </c>
      <c r="C15" s="777" t="s">
        <v>168</v>
      </c>
      <c r="D15" s="778"/>
      <c r="E15" s="778"/>
      <c r="F15" s="778"/>
      <c r="G15" s="778"/>
      <c r="H15" s="778"/>
      <c r="I15" s="778"/>
      <c r="J15" s="778"/>
      <c r="K15" s="778"/>
      <c r="L15" s="778"/>
      <c r="M15" s="778"/>
      <c r="N15" s="778"/>
      <c r="O15" s="779"/>
      <c r="P15" s="49" t="s">
        <v>121</v>
      </c>
      <c r="Q15" s="74">
        <f>Q10+Q14</f>
        <v>435142</v>
      </c>
      <c r="R15" s="711"/>
    </row>
    <row r="16" spans="1:29" ht="21.75" customHeight="1">
      <c r="A16" s="712"/>
      <c r="B16" s="718">
        <v>9</v>
      </c>
      <c r="C16" s="771" t="s">
        <v>149</v>
      </c>
      <c r="D16" s="107" t="s">
        <v>112</v>
      </c>
      <c r="E16" s="772" t="str">
        <f>'Exemp.(HRA+Other) &amp; Other incom'!B8</f>
        <v>अन्य आय (बैंक/एफडी में जमा ब्याज/अन्य ब्याज आदि का योग</v>
      </c>
      <c r="F16" s="731"/>
      <c r="G16" s="731"/>
      <c r="H16" s="731"/>
      <c r="I16" s="731"/>
      <c r="J16" s="731"/>
      <c r="K16" s="731"/>
      <c r="L16" s="731"/>
      <c r="M16" s="731"/>
      <c r="N16" s="731"/>
      <c r="O16" s="731"/>
      <c r="P16" s="49" t="s">
        <v>121</v>
      </c>
      <c r="Q16" s="69">
        <f>'Exemp.(HRA+Other) &amp; Other incom'!L8</f>
        <v>0</v>
      </c>
      <c r="R16" s="711"/>
    </row>
    <row r="17" spans="1:18" ht="21.75" customHeight="1">
      <c r="A17" s="712"/>
      <c r="B17" s="718"/>
      <c r="C17" s="771"/>
      <c r="D17" s="107" t="s">
        <v>113</v>
      </c>
      <c r="E17" s="772" t="str">
        <f>'Exemp.(HRA+Other) &amp; Other incom'!C9</f>
        <v>(-----------------------------------------------------)</v>
      </c>
      <c r="F17" s="731"/>
      <c r="G17" s="731"/>
      <c r="H17" s="731"/>
      <c r="I17" s="731"/>
      <c r="J17" s="731"/>
      <c r="K17" s="731"/>
      <c r="L17" s="731"/>
      <c r="M17" s="731"/>
      <c r="N17" s="731"/>
      <c r="O17" s="731"/>
      <c r="P17" s="62"/>
      <c r="Q17" s="69">
        <f>'Exemp.(HRA+Other) &amp; Other incom'!L9</f>
        <v>0</v>
      </c>
      <c r="R17" s="711"/>
    </row>
    <row r="18" spans="1:18" ht="21.75" customHeight="1">
      <c r="A18" s="712"/>
      <c r="B18" s="718"/>
      <c r="C18" s="771"/>
      <c r="D18" s="107" t="s">
        <v>114</v>
      </c>
      <c r="E18" s="772" t="str">
        <f>'Exemp.(HRA+Other) &amp; Other incom'!C10</f>
        <v>(-----------------------------------------------------)</v>
      </c>
      <c r="F18" s="731"/>
      <c r="G18" s="731"/>
      <c r="H18" s="731"/>
      <c r="I18" s="731"/>
      <c r="J18" s="731"/>
      <c r="K18" s="731"/>
      <c r="L18" s="731"/>
      <c r="M18" s="731"/>
      <c r="N18" s="731"/>
      <c r="O18" s="731"/>
      <c r="P18" s="62"/>
      <c r="Q18" s="69">
        <f>'Exemp.(HRA+Other) &amp; Other incom'!L10</f>
        <v>0</v>
      </c>
      <c r="R18" s="711"/>
    </row>
    <row r="19" spans="1:18" ht="21.75" customHeight="1" thickBot="1">
      <c r="A19" s="712"/>
      <c r="B19" s="101"/>
      <c r="C19" s="773" t="s">
        <v>170</v>
      </c>
      <c r="D19" s="773"/>
      <c r="E19" s="773"/>
      <c r="F19" s="773"/>
      <c r="G19" s="773"/>
      <c r="H19" s="773"/>
      <c r="I19" s="773"/>
      <c r="J19" s="773"/>
      <c r="K19" s="773"/>
      <c r="L19" s="773"/>
      <c r="M19" s="773"/>
      <c r="N19" s="773"/>
      <c r="O19" s="773"/>
      <c r="P19" s="63"/>
      <c r="Q19" s="79">
        <f>Q16+Q17+Q18</f>
        <v>0</v>
      </c>
      <c r="R19" s="711"/>
    </row>
    <row r="20" spans="1:18" ht="21.75" customHeight="1" thickBot="1">
      <c r="A20" s="712"/>
      <c r="B20" s="59">
        <v>10</v>
      </c>
      <c r="C20" s="763" t="s">
        <v>171</v>
      </c>
      <c r="D20" s="763"/>
      <c r="E20" s="763"/>
      <c r="F20" s="763"/>
      <c r="G20" s="763"/>
      <c r="H20" s="763"/>
      <c r="I20" s="763"/>
      <c r="J20" s="763"/>
      <c r="K20" s="763"/>
      <c r="L20" s="763"/>
      <c r="M20" s="763"/>
      <c r="N20" s="763"/>
      <c r="O20" s="763"/>
      <c r="P20" s="56" t="s">
        <v>121</v>
      </c>
      <c r="Q20" s="80">
        <f>Q15+Q19</f>
        <v>435142</v>
      </c>
      <c r="R20" s="711"/>
    </row>
    <row r="21" spans="1:18" ht="21.75" customHeight="1">
      <c r="A21" s="712"/>
      <c r="B21" s="733">
        <v>11</v>
      </c>
      <c r="C21" s="1055" t="s">
        <v>172</v>
      </c>
      <c r="D21" s="1055"/>
      <c r="E21" s="1055"/>
      <c r="F21" s="1055"/>
      <c r="G21" s="1055"/>
      <c r="H21" s="1055"/>
      <c r="I21" s="1055"/>
      <c r="J21" s="1055"/>
      <c r="K21" s="1055"/>
      <c r="L21" s="1055"/>
      <c r="M21" s="1055"/>
      <c r="N21" s="1055"/>
      <c r="O21" s="1055"/>
      <c r="P21" s="1055"/>
      <c r="Q21" s="1056"/>
      <c r="R21" s="711"/>
    </row>
    <row r="22" spans="1:18" ht="14.25" customHeight="1">
      <c r="A22" s="712"/>
      <c r="B22" s="734"/>
      <c r="C22" s="753" t="s">
        <v>173</v>
      </c>
      <c r="D22" s="753"/>
      <c r="E22" s="753"/>
      <c r="F22" s="753"/>
      <c r="G22" s="753"/>
      <c r="H22" s="753"/>
      <c r="I22" s="753"/>
      <c r="J22" s="753"/>
      <c r="K22" s="753"/>
      <c r="L22" s="753"/>
      <c r="M22" s="753"/>
      <c r="N22" s="753"/>
      <c r="O22" s="753"/>
      <c r="P22" s="753"/>
      <c r="Q22" s="765"/>
      <c r="R22" s="711"/>
    </row>
    <row r="23" spans="1:18" ht="16.5" customHeight="1">
      <c r="A23" s="712"/>
      <c r="B23" s="734"/>
      <c r="C23" s="107" t="s">
        <v>88</v>
      </c>
      <c r="D23" s="731" t="s">
        <v>174</v>
      </c>
      <c r="E23" s="731"/>
      <c r="F23" s="731"/>
      <c r="G23" s="731"/>
      <c r="H23" s="51" t="s">
        <v>121</v>
      </c>
      <c r="I23" s="76">
        <f>IF(N2="old tax regime",'Table (Income-Deduction)'!Q32,0)</f>
        <v>0</v>
      </c>
      <c r="J23" s="107" t="s">
        <v>89</v>
      </c>
      <c r="K23" s="1051" t="s">
        <v>179</v>
      </c>
      <c r="L23" s="1052"/>
      <c r="M23" s="1053"/>
      <c r="N23" s="51" t="s">
        <v>121</v>
      </c>
      <c r="O23" s="76">
        <f>IF(N2="old tax regime",'Exemp.(HRA+Other) &amp; Other incom'!Q15,0)</f>
        <v>0</v>
      </c>
      <c r="P23" s="766"/>
      <c r="Q23" s="767"/>
      <c r="R23" s="711"/>
    </row>
    <row r="24" spans="1:18" ht="16.5" customHeight="1">
      <c r="A24" s="712"/>
      <c r="B24" s="734"/>
      <c r="C24" s="107" t="s">
        <v>90</v>
      </c>
      <c r="D24" s="731" t="s">
        <v>175</v>
      </c>
      <c r="E24" s="731"/>
      <c r="F24" s="731"/>
      <c r="G24" s="731"/>
      <c r="H24" s="51" t="s">
        <v>121</v>
      </c>
      <c r="I24" s="76">
        <f>IF(N2="old tax regime",'Table (Income-Deduction)'!T32+'Exemp.(HRA+Other) &amp; Other incom'!L18,0)</f>
        <v>0</v>
      </c>
      <c r="J24" s="107" t="s">
        <v>91</v>
      </c>
      <c r="K24" s="1051" t="s">
        <v>130</v>
      </c>
      <c r="L24" s="1052"/>
      <c r="M24" s="1053"/>
      <c r="N24" s="51" t="s">
        <v>121</v>
      </c>
      <c r="O24" s="77">
        <f>IF(N2="old tax regime",'Exemp.(HRA+Other) &amp; Other incom'!L23,0)</f>
        <v>0</v>
      </c>
      <c r="P24" s="766"/>
      <c r="Q24" s="767"/>
      <c r="R24" s="711"/>
    </row>
    <row r="25" spans="1:18" ht="16.5" customHeight="1">
      <c r="A25" s="712"/>
      <c r="B25" s="734"/>
      <c r="C25" s="107" t="s">
        <v>92</v>
      </c>
      <c r="D25" s="731" t="s">
        <v>129</v>
      </c>
      <c r="E25" s="731"/>
      <c r="F25" s="731"/>
      <c r="G25" s="731"/>
      <c r="H25" s="51" t="s">
        <v>121</v>
      </c>
      <c r="I25" s="76">
        <f>IF(N2="old tax regime",'Exemp.(HRA+Other) &amp; Other incom'!L22,0)</f>
        <v>0</v>
      </c>
      <c r="J25" s="107" t="s">
        <v>93</v>
      </c>
      <c r="K25" s="1051" t="s">
        <v>127</v>
      </c>
      <c r="L25" s="1052"/>
      <c r="M25" s="1053"/>
      <c r="N25" s="51" t="s">
        <v>121</v>
      </c>
      <c r="O25" s="77">
        <f>IF(N2="old tax regime",'Exemp.(HRA+Other) &amp; Other incom'!L20,0)</f>
        <v>0</v>
      </c>
      <c r="P25" s="766"/>
      <c r="Q25" s="767"/>
      <c r="R25" s="711"/>
    </row>
    <row r="26" spans="1:18" ht="16.5" customHeight="1">
      <c r="A26" s="712"/>
      <c r="B26" s="734"/>
      <c r="C26" s="107" t="s">
        <v>94</v>
      </c>
      <c r="D26" s="731" t="s">
        <v>131</v>
      </c>
      <c r="E26" s="731"/>
      <c r="F26" s="731"/>
      <c r="G26" s="731"/>
      <c r="H26" s="51" t="s">
        <v>121</v>
      </c>
      <c r="I26" s="76">
        <f>IF(N2="old tax regime",'Exemp.(HRA+Other) &amp; Other incom'!L24,0)</f>
        <v>0</v>
      </c>
      <c r="J26" s="107" t="s">
        <v>95</v>
      </c>
      <c r="K26" s="1054" t="s">
        <v>144</v>
      </c>
      <c r="L26" s="1054"/>
      <c r="M26" s="1054"/>
      <c r="N26" s="51" t="s">
        <v>121</v>
      </c>
      <c r="O26" s="76">
        <f>IF(N2="old tax regime",'Exemp.(HRA+Other) &amp; Other incom'!Q24,0)</f>
        <v>0</v>
      </c>
      <c r="P26" s="766"/>
      <c r="Q26" s="767"/>
      <c r="R26" s="711"/>
    </row>
    <row r="27" spans="1:18" ht="16.5" customHeight="1">
      <c r="A27" s="712"/>
      <c r="B27" s="734"/>
      <c r="C27" s="107" t="s">
        <v>96</v>
      </c>
      <c r="D27" s="731" t="s">
        <v>176</v>
      </c>
      <c r="E27" s="731"/>
      <c r="F27" s="731"/>
      <c r="G27" s="731"/>
      <c r="H27" s="51" t="s">
        <v>121</v>
      </c>
      <c r="I27" s="76">
        <f>IF(N2="old tax regime",'Exemp.(HRA+Other) &amp; Other incom'!L25,0)</f>
        <v>0</v>
      </c>
      <c r="J27" s="107" t="s">
        <v>97</v>
      </c>
      <c r="K27" s="1051" t="s">
        <v>182</v>
      </c>
      <c r="L27" s="1052"/>
      <c r="M27" s="1053"/>
      <c r="N27" s="51" t="s">
        <v>121</v>
      </c>
      <c r="O27" s="76">
        <f>IF(N2="old tax regime",'Exemp.(HRA+Other) &amp; Other incom'!Q25,0)</f>
        <v>0</v>
      </c>
      <c r="P27" s="766"/>
      <c r="Q27" s="767"/>
      <c r="R27" s="711"/>
    </row>
    <row r="28" spans="1:18" ht="16.5" customHeight="1">
      <c r="A28" s="712"/>
      <c r="B28" s="734"/>
      <c r="C28" s="107" t="s">
        <v>98</v>
      </c>
      <c r="D28" s="786" t="s">
        <v>115</v>
      </c>
      <c r="E28" s="786"/>
      <c r="F28" s="786"/>
      <c r="G28" s="786"/>
      <c r="H28" s="51" t="s">
        <v>121</v>
      </c>
      <c r="I28" s="76">
        <f>IF(N2="old tax regime",'Table (Income-Deduction)'!P32,0)</f>
        <v>21600</v>
      </c>
      <c r="J28" s="107" t="s">
        <v>99</v>
      </c>
      <c r="K28" s="1054" t="s">
        <v>181</v>
      </c>
      <c r="L28" s="1054"/>
      <c r="M28" s="1054"/>
      <c r="N28" s="51" t="s">
        <v>121</v>
      </c>
      <c r="O28" s="76">
        <f>IF(N2="old tax regime",'Exemp.(HRA+Other) &amp; Other incom'!L19,0)</f>
        <v>0</v>
      </c>
      <c r="P28" s="766"/>
      <c r="Q28" s="767"/>
      <c r="R28" s="711"/>
    </row>
    <row r="29" spans="1:18" ht="16.5" customHeight="1">
      <c r="A29" s="712"/>
      <c r="B29" s="734"/>
      <c r="C29" s="107" t="s">
        <v>100</v>
      </c>
      <c r="D29" s="731" t="s">
        <v>177</v>
      </c>
      <c r="E29" s="731"/>
      <c r="F29" s="731"/>
      <c r="G29" s="731"/>
      <c r="H29" s="51" t="s">
        <v>121</v>
      </c>
      <c r="I29" s="77">
        <f>IF(N2="old tax regime",'Table (Income-Deduction)'!U32,0)</f>
        <v>1000</v>
      </c>
      <c r="J29" s="107" t="s">
        <v>101</v>
      </c>
      <c r="K29" s="1051" t="s">
        <v>134</v>
      </c>
      <c r="L29" s="1052"/>
      <c r="M29" s="1053"/>
      <c r="N29" s="51" t="s">
        <v>121</v>
      </c>
      <c r="O29" s="76">
        <f>IF(N2="old tax regime",'Exemp.(HRA+Other) &amp; Other incom'!Q14,0)</f>
        <v>0</v>
      </c>
      <c r="P29" s="766"/>
      <c r="Q29" s="767"/>
      <c r="R29" s="711"/>
    </row>
    <row r="30" spans="1:18" ht="16.5" customHeight="1">
      <c r="A30" s="712"/>
      <c r="B30" s="734"/>
      <c r="C30" s="107" t="s">
        <v>102</v>
      </c>
      <c r="D30" s="731" t="s">
        <v>128</v>
      </c>
      <c r="E30" s="731"/>
      <c r="F30" s="731"/>
      <c r="G30" s="731"/>
      <c r="H30" s="51" t="s">
        <v>121</v>
      </c>
      <c r="I30" s="77">
        <f>IF(N2="old tax regime",'Exemp.(HRA+Other) &amp; Other incom'!L21,0)</f>
        <v>0</v>
      </c>
      <c r="J30" s="107" t="s">
        <v>103</v>
      </c>
      <c r="K30" s="1054" t="s">
        <v>180</v>
      </c>
      <c r="L30" s="1054"/>
      <c r="M30" s="1054"/>
      <c r="N30" s="51" t="s">
        <v>121</v>
      </c>
      <c r="O30" s="76">
        <f>IF(N2="old tax regime",'Exemp.(HRA+Other) &amp; Other incom'!L26,0)</f>
        <v>0</v>
      </c>
      <c r="P30" s="766"/>
      <c r="Q30" s="767"/>
      <c r="R30" s="711"/>
    </row>
    <row r="31" spans="1:18" ht="16.5" customHeight="1">
      <c r="A31" s="712"/>
      <c r="B31" s="734"/>
      <c r="C31" s="107" t="s">
        <v>104</v>
      </c>
      <c r="D31" s="741" t="s">
        <v>178</v>
      </c>
      <c r="E31" s="741"/>
      <c r="F31" s="741"/>
      <c r="G31" s="741"/>
      <c r="H31" s="51" t="s">
        <v>121</v>
      </c>
      <c r="I31" s="76">
        <f>IF(N2="old tax regime",'Exemp.(HRA+Other) &amp; Other incom'!L16,0)</f>
        <v>0</v>
      </c>
      <c r="J31" s="107" t="s">
        <v>105</v>
      </c>
      <c r="K31" s="1054"/>
      <c r="L31" s="1054"/>
      <c r="M31" s="1054"/>
      <c r="N31" s="51" t="s">
        <v>121</v>
      </c>
      <c r="O31" s="76"/>
      <c r="P31" s="766"/>
      <c r="Q31" s="767"/>
      <c r="R31" s="711"/>
    </row>
    <row r="32" spans="1:18" ht="16.5" customHeight="1">
      <c r="A32" s="712"/>
      <c r="B32" s="734"/>
      <c r="C32" s="752" t="s">
        <v>183</v>
      </c>
      <c r="D32" s="752"/>
      <c r="E32" s="752"/>
      <c r="F32" s="752"/>
      <c r="G32" s="752"/>
      <c r="H32" s="752"/>
      <c r="I32" s="752"/>
      <c r="J32" s="752"/>
      <c r="K32" s="752"/>
      <c r="L32" s="752"/>
      <c r="M32" s="752"/>
      <c r="N32" s="51" t="s">
        <v>121</v>
      </c>
      <c r="O32" s="78">
        <f>SUM(O23:O31,I23:I31)</f>
        <v>22600</v>
      </c>
      <c r="P32" s="766"/>
      <c r="Q32" s="767"/>
      <c r="R32" s="711"/>
    </row>
    <row r="33" spans="1:26" ht="15.75" customHeight="1">
      <c r="A33" s="712"/>
      <c r="B33" s="734"/>
      <c r="C33" s="752" t="s">
        <v>184</v>
      </c>
      <c r="D33" s="752"/>
      <c r="E33" s="752"/>
      <c r="F33" s="752"/>
      <c r="G33" s="752"/>
      <c r="H33" s="752"/>
      <c r="I33" s="752"/>
      <c r="J33" s="752"/>
      <c r="K33" s="752"/>
      <c r="L33" s="752"/>
      <c r="M33" s="752"/>
      <c r="N33" s="752"/>
      <c r="O33" s="752"/>
      <c r="P33" s="61" t="s">
        <v>121</v>
      </c>
      <c r="Q33" s="74">
        <f>IF(N2="new tax regime",0,IF(O32&gt;=150000,150000,O32))</f>
        <v>22600</v>
      </c>
      <c r="R33" s="711"/>
    </row>
    <row r="34" spans="1:26" ht="15.75" customHeight="1">
      <c r="A34" s="712"/>
      <c r="B34" s="734"/>
      <c r="C34" s="753" t="s">
        <v>185</v>
      </c>
      <c r="D34" s="753"/>
      <c r="E34" s="753"/>
      <c r="F34" s="753"/>
      <c r="G34" s="753"/>
      <c r="H34" s="753"/>
      <c r="I34" s="753"/>
      <c r="J34" s="753"/>
      <c r="K34" s="753"/>
      <c r="L34" s="753"/>
      <c r="M34" s="753"/>
      <c r="N34" s="753"/>
      <c r="O34" s="753"/>
      <c r="P34" s="49" t="s">
        <v>121</v>
      </c>
      <c r="Q34" s="74">
        <f>IF(N2="old tax regime",'Exemp.(HRA+Other) &amp; Other incom'!Q16,0)</f>
        <v>0</v>
      </c>
      <c r="R34" s="711"/>
    </row>
    <row r="35" spans="1:26" ht="15.75" customHeight="1">
      <c r="A35" s="712"/>
      <c r="B35" s="734"/>
      <c r="C35" s="1057" t="s">
        <v>187</v>
      </c>
      <c r="D35" s="1057"/>
      <c r="E35" s="1057"/>
      <c r="F35" s="1057"/>
      <c r="G35" s="1057"/>
      <c r="H35" s="1057"/>
      <c r="I35" s="1057"/>
      <c r="J35" s="1057"/>
      <c r="K35" s="1057"/>
      <c r="L35" s="1057"/>
      <c r="M35" s="1057"/>
      <c r="N35" s="1057"/>
      <c r="O35" s="1057"/>
      <c r="P35" s="50" t="s">
        <v>121</v>
      </c>
      <c r="Q35" s="75">
        <f>Q33+Q34</f>
        <v>22600</v>
      </c>
      <c r="R35" s="711"/>
    </row>
    <row r="36" spans="1:26" ht="15.75" customHeight="1">
      <c r="A36" s="712"/>
      <c r="B36" s="734">
        <v>12</v>
      </c>
      <c r="C36" s="1059" t="s">
        <v>186</v>
      </c>
      <c r="D36" s="1059"/>
      <c r="E36" s="1059"/>
      <c r="F36" s="1059"/>
      <c r="G36" s="1059"/>
      <c r="H36" s="1059"/>
      <c r="I36" s="1059"/>
      <c r="J36" s="1059"/>
      <c r="K36" s="1059"/>
      <c r="L36" s="1059"/>
      <c r="M36" s="1059"/>
      <c r="N36" s="1059"/>
      <c r="O36" s="1059"/>
      <c r="P36" s="1059"/>
      <c r="Q36" s="1060"/>
      <c r="R36" s="711"/>
    </row>
    <row r="37" spans="1:26" ht="15.75" customHeight="1">
      <c r="A37" s="712"/>
      <c r="B37" s="734"/>
      <c r="C37" s="745" t="s">
        <v>220</v>
      </c>
      <c r="D37" s="745"/>
      <c r="E37" s="745"/>
      <c r="F37" s="745"/>
      <c r="G37" s="745"/>
      <c r="H37" s="745"/>
      <c r="I37" s="745"/>
      <c r="J37" s="745"/>
      <c r="K37" s="745"/>
      <c r="L37" s="745"/>
      <c r="M37" s="745"/>
      <c r="N37" s="745"/>
      <c r="O37" s="745"/>
      <c r="P37" s="49" t="s">
        <v>121</v>
      </c>
      <c r="Q37" s="69">
        <f>IF(N2="old tax regime",'Exemp.(HRA+Other) &amp; Other incom'!Q17,0)</f>
        <v>0</v>
      </c>
      <c r="R37" s="711"/>
    </row>
    <row r="38" spans="1:26" ht="15.75" customHeight="1">
      <c r="A38" s="712"/>
      <c r="B38" s="734"/>
      <c r="C38" s="731" t="s">
        <v>191</v>
      </c>
      <c r="D38" s="731"/>
      <c r="E38" s="731"/>
      <c r="F38" s="731"/>
      <c r="G38" s="731"/>
      <c r="H38" s="731"/>
      <c r="I38" s="731"/>
      <c r="J38" s="731"/>
      <c r="K38" s="731"/>
      <c r="L38" s="731"/>
      <c r="M38" s="731"/>
      <c r="N38" s="731"/>
      <c r="O38" s="731"/>
      <c r="P38" s="49" t="s">
        <v>121</v>
      </c>
      <c r="Q38" s="69">
        <f>IF(N2="old tax regime",'Exemp.(HRA+Other) &amp; Other incom'!Q18,0)</f>
        <v>0</v>
      </c>
      <c r="R38" s="711"/>
    </row>
    <row r="39" spans="1:26" ht="15.75" customHeight="1">
      <c r="A39" s="712"/>
      <c r="B39" s="734"/>
      <c r="C39" s="731" t="s">
        <v>188</v>
      </c>
      <c r="D39" s="731"/>
      <c r="E39" s="731"/>
      <c r="F39" s="731"/>
      <c r="G39" s="731"/>
      <c r="H39" s="731"/>
      <c r="I39" s="731"/>
      <c r="J39" s="731"/>
      <c r="K39" s="731"/>
      <c r="L39" s="731"/>
      <c r="M39" s="731"/>
      <c r="N39" s="731"/>
      <c r="O39" s="731"/>
      <c r="P39" s="49" t="s">
        <v>121</v>
      </c>
      <c r="Q39" s="69">
        <f>IF(N2="old tax regime",'Exemp.(HRA+Other) &amp; Other incom'!Q19,0)</f>
        <v>0</v>
      </c>
      <c r="R39" s="711"/>
    </row>
    <row r="40" spans="1:26" ht="15.75" customHeight="1">
      <c r="A40" s="712"/>
      <c r="B40" s="734"/>
      <c r="C40" s="731" t="s">
        <v>189</v>
      </c>
      <c r="D40" s="731"/>
      <c r="E40" s="731"/>
      <c r="F40" s="731"/>
      <c r="G40" s="731"/>
      <c r="H40" s="731"/>
      <c r="I40" s="731"/>
      <c r="J40" s="731"/>
      <c r="K40" s="731"/>
      <c r="L40" s="731"/>
      <c r="M40" s="731"/>
      <c r="N40" s="731"/>
      <c r="O40" s="731"/>
      <c r="P40" s="49" t="s">
        <v>121</v>
      </c>
      <c r="Q40" s="69">
        <f>IF(N2="old tax regime",'Exemp.(HRA+Other) &amp; Other incom'!Q20,0)</f>
        <v>0</v>
      </c>
      <c r="R40" s="711"/>
    </row>
    <row r="41" spans="1:26" ht="15.75" customHeight="1">
      <c r="A41" s="712"/>
      <c r="B41" s="734"/>
      <c r="C41" s="731" t="s">
        <v>190</v>
      </c>
      <c r="D41" s="731"/>
      <c r="E41" s="731"/>
      <c r="F41" s="731"/>
      <c r="G41" s="731"/>
      <c r="H41" s="731"/>
      <c r="I41" s="731"/>
      <c r="J41" s="731"/>
      <c r="K41" s="731"/>
      <c r="L41" s="731"/>
      <c r="M41" s="731"/>
      <c r="N41" s="731"/>
      <c r="O41" s="731"/>
      <c r="P41" s="49" t="s">
        <v>121</v>
      </c>
      <c r="Q41" s="69">
        <f>IF(N2="old tax regime",'Exemp.(HRA+Other) &amp; Other incom'!Q21,0)</f>
        <v>0</v>
      </c>
      <c r="R41" s="711"/>
      <c r="W41" s="129" t="s">
        <v>228</v>
      </c>
      <c r="X41" s="129" t="s">
        <v>229</v>
      </c>
      <c r="Y41" s="162" t="s">
        <v>230</v>
      </c>
      <c r="Z41" s="129" t="s">
        <v>232</v>
      </c>
    </row>
    <row r="42" spans="1:26" ht="15.75" customHeight="1">
      <c r="A42" s="712"/>
      <c r="B42" s="734"/>
      <c r="C42" s="745" t="s">
        <v>192</v>
      </c>
      <c r="D42" s="745"/>
      <c r="E42" s="745"/>
      <c r="F42" s="745"/>
      <c r="G42" s="745"/>
      <c r="H42" s="745"/>
      <c r="I42" s="745"/>
      <c r="J42" s="745"/>
      <c r="K42" s="745"/>
      <c r="L42" s="745"/>
      <c r="M42" s="745"/>
      <c r="N42" s="745"/>
      <c r="O42" s="745"/>
      <c r="P42" s="49" t="s">
        <v>121</v>
      </c>
      <c r="Q42" s="69">
        <f>IF(N2="old tax regime",'Exemp.(HRA+Other) &amp; Other incom'!Q22,0)</f>
        <v>0</v>
      </c>
      <c r="R42" s="711"/>
      <c r="W42" s="129">
        <f>IF($Q$48&gt;1000000,1,IF($Q$48&gt;500000,2,IF($Q$48&gt;300000,3,IF($Q$48&gt;250000,4,0))))</f>
        <v>3</v>
      </c>
      <c r="X42" s="129">
        <f>IF($Q$48&gt;1000000,1,IF($Q$48&gt;500000,2,IF($Q$48&gt;300000,3,0)))</f>
        <v>3</v>
      </c>
      <c r="Y42" s="129">
        <f>IF($Q$48&gt;1000000,1,IF($Q$48&gt;500000,2,0))</f>
        <v>0</v>
      </c>
      <c r="Z42" s="129">
        <f>IF($Q$48&gt;1000000,1,0)</f>
        <v>0</v>
      </c>
    </row>
    <row r="43" spans="1:26" ht="15.75" customHeight="1">
      <c r="A43" s="712"/>
      <c r="B43" s="734"/>
      <c r="C43" s="741" t="s">
        <v>193</v>
      </c>
      <c r="D43" s="741"/>
      <c r="E43" s="741"/>
      <c r="F43" s="741"/>
      <c r="G43" s="741"/>
      <c r="H43" s="741"/>
      <c r="I43" s="741"/>
      <c r="J43" s="741"/>
      <c r="K43" s="741"/>
      <c r="L43" s="741"/>
      <c r="M43" s="741"/>
      <c r="N43" s="741"/>
      <c r="O43" s="741"/>
      <c r="P43" s="49" t="s">
        <v>121</v>
      </c>
      <c r="Q43" s="69">
        <f>IF(N2="old tax regime",'Exemp.(HRA+Other) &amp; Other incom'!Q13,0)</f>
        <v>0</v>
      </c>
      <c r="R43" s="711"/>
      <c r="V43" s="130" t="s">
        <v>225</v>
      </c>
      <c r="W43" s="129">
        <f>IF(W42&gt;=3,ROUND((Q48-250000)*0.05,0),IF(W42=0,0,12500))</f>
        <v>8127</v>
      </c>
      <c r="X43" s="129">
        <v>0</v>
      </c>
      <c r="Y43" s="129">
        <f>IF($Y$42=2,($Q$48-500000)*0.2,IF($Y$42=1,100000,0))</f>
        <v>0</v>
      </c>
      <c r="Z43" s="129">
        <f>IF($Z$42&gt;0,($Q$48-1000000)*0.3,0)</f>
        <v>0</v>
      </c>
    </row>
    <row r="44" spans="1:26" ht="15.75" customHeight="1">
      <c r="A44" s="712"/>
      <c r="B44" s="734"/>
      <c r="C44" s="731" t="s">
        <v>194</v>
      </c>
      <c r="D44" s="731"/>
      <c r="E44" s="731"/>
      <c r="F44" s="731"/>
      <c r="G44" s="731"/>
      <c r="H44" s="731"/>
      <c r="I44" s="731"/>
      <c r="J44" s="731"/>
      <c r="K44" s="731"/>
      <c r="L44" s="731"/>
      <c r="M44" s="731"/>
      <c r="N44" s="731"/>
      <c r="O44" s="731"/>
      <c r="P44" s="49" t="s">
        <v>121</v>
      </c>
      <c r="Q44" s="69">
        <f>IF(N2="old tax regime",'Exemp.(HRA+Other) &amp; Other incom'!Q23,0)</f>
        <v>0</v>
      </c>
      <c r="R44" s="711"/>
      <c r="V44" s="130" t="s">
        <v>117</v>
      </c>
      <c r="W44" s="162">
        <v>0</v>
      </c>
      <c r="X44" s="129">
        <f>IF(X42=3,ROUND((Q48-300000)*0.05,0),IF(X42=0,0,10000))</f>
        <v>5627</v>
      </c>
      <c r="Y44" s="129">
        <f t="shared" ref="Y44:Y45" si="0">IF($Y$42=2,($Q$48-500000)*0.2,IF($Y$42=1,100000,0))</f>
        <v>0</v>
      </c>
      <c r="Z44" s="129">
        <f t="shared" ref="Z44:Z45" si="1">IF($Z$42&gt;0,($Q$48-1000000)*0.3,0)</f>
        <v>0</v>
      </c>
    </row>
    <row r="45" spans="1:26" ht="15.75" customHeight="1" thickBot="1">
      <c r="A45" s="712"/>
      <c r="B45" s="1058"/>
      <c r="C45" s="742" t="s">
        <v>195</v>
      </c>
      <c r="D45" s="742"/>
      <c r="E45" s="742"/>
      <c r="F45" s="742"/>
      <c r="G45" s="742"/>
      <c r="H45" s="742"/>
      <c r="I45" s="742"/>
      <c r="J45" s="742"/>
      <c r="K45" s="742"/>
      <c r="L45" s="742"/>
      <c r="M45" s="742"/>
      <c r="N45" s="742"/>
      <c r="O45" s="742"/>
      <c r="P45" s="52" t="s">
        <v>121</v>
      </c>
      <c r="Q45" s="70">
        <f>SUM(Q37:Q44)</f>
        <v>0</v>
      </c>
      <c r="R45" s="711"/>
      <c r="V45" s="130" t="s">
        <v>224</v>
      </c>
      <c r="W45" s="162">
        <v>0</v>
      </c>
      <c r="X45" s="162">
        <v>0</v>
      </c>
      <c r="Y45" s="129">
        <f t="shared" si="0"/>
        <v>0</v>
      </c>
      <c r="Z45" s="129">
        <f t="shared" si="1"/>
        <v>0</v>
      </c>
    </row>
    <row r="46" spans="1:26" ht="15.75" customHeight="1" thickBot="1">
      <c r="A46" s="712"/>
      <c r="B46" s="60">
        <v>13</v>
      </c>
      <c r="C46" s="1061" t="s">
        <v>196</v>
      </c>
      <c r="D46" s="1061"/>
      <c r="E46" s="1061"/>
      <c r="F46" s="1061"/>
      <c r="G46" s="1061"/>
      <c r="H46" s="1061"/>
      <c r="I46" s="1061"/>
      <c r="J46" s="1061"/>
      <c r="K46" s="1061"/>
      <c r="L46" s="1061"/>
      <c r="M46" s="1061"/>
      <c r="N46" s="1061"/>
      <c r="O46" s="1061"/>
      <c r="P46" s="58" t="s">
        <v>121</v>
      </c>
      <c r="Q46" s="71">
        <f>Q35+Q45</f>
        <v>22600</v>
      </c>
      <c r="R46" s="711"/>
    </row>
    <row r="47" spans="1:26" ht="15.75">
      <c r="A47" s="712"/>
      <c r="B47" s="99">
        <v>14</v>
      </c>
      <c r="C47" s="744" t="s">
        <v>197</v>
      </c>
      <c r="D47" s="744"/>
      <c r="E47" s="744"/>
      <c r="F47" s="744"/>
      <c r="G47" s="744"/>
      <c r="H47" s="744"/>
      <c r="I47" s="744"/>
      <c r="J47" s="744"/>
      <c r="K47" s="744"/>
      <c r="L47" s="744"/>
      <c r="M47" s="744"/>
      <c r="N47" s="744"/>
      <c r="O47" s="744"/>
      <c r="P47" s="54" t="s">
        <v>121</v>
      </c>
      <c r="Q47" s="72">
        <f>Q20-Q46</f>
        <v>412542</v>
      </c>
      <c r="R47" s="711"/>
    </row>
    <row r="48" spans="1:26" ht="15.75" customHeight="1" thickBot="1">
      <c r="A48" s="712"/>
      <c r="B48" s="101">
        <v>15</v>
      </c>
      <c r="C48" s="713" t="s">
        <v>198</v>
      </c>
      <c r="D48" s="713"/>
      <c r="E48" s="713"/>
      <c r="F48" s="713"/>
      <c r="G48" s="713"/>
      <c r="H48" s="713"/>
      <c r="I48" s="713"/>
      <c r="J48" s="713"/>
      <c r="K48" s="713"/>
      <c r="L48" s="713"/>
      <c r="M48" s="713"/>
      <c r="N48" s="713"/>
      <c r="O48" s="713"/>
      <c r="P48" s="55" t="s">
        <v>121</v>
      </c>
      <c r="Q48" s="73">
        <f>ROUND(Q47,-1)</f>
        <v>412540</v>
      </c>
      <c r="R48" s="711"/>
      <c r="T48" s="111" t="str">
        <f>IF(N2="Old tax regime","A","B")</f>
        <v>A</v>
      </c>
      <c r="U48" s="129" t="str">
        <f>'Basic Deta'!O10</f>
        <v>A</v>
      </c>
      <c r="V48" s="129" t="str">
        <f>CONCATENATE(T48,U48)</f>
        <v>AA</v>
      </c>
      <c r="W48" s="162"/>
      <c r="X48" s="162"/>
      <c r="Y48" s="162"/>
    </row>
    <row r="49" spans="1:29" ht="14.25" customHeight="1">
      <c r="A49" s="712"/>
      <c r="B49" s="733">
        <v>16</v>
      </c>
      <c r="C49" s="735" t="s">
        <v>199</v>
      </c>
      <c r="D49" s="735"/>
      <c r="E49" s="735"/>
      <c r="F49" s="735"/>
      <c r="G49" s="735"/>
      <c r="H49" s="735"/>
      <c r="I49" s="735"/>
      <c r="J49" s="735"/>
      <c r="K49" s="735"/>
      <c r="L49" s="735"/>
      <c r="M49" s="735"/>
      <c r="N49" s="735"/>
      <c r="O49" s="735"/>
      <c r="P49" s="735"/>
      <c r="Q49" s="736"/>
      <c r="R49" s="711"/>
    </row>
    <row r="50" spans="1:29" ht="14.25" customHeight="1">
      <c r="A50" s="712"/>
      <c r="B50" s="734"/>
      <c r="C50" s="737" t="s">
        <v>200</v>
      </c>
      <c r="D50" s="737"/>
      <c r="E50" s="737"/>
      <c r="F50" s="737"/>
      <c r="G50" s="737"/>
      <c r="H50" s="737" t="s">
        <v>201</v>
      </c>
      <c r="I50" s="737"/>
      <c r="J50" s="737"/>
      <c r="K50" s="737"/>
      <c r="L50" s="737" t="s">
        <v>202</v>
      </c>
      <c r="M50" s="737"/>
      <c r="N50" s="737"/>
      <c r="O50" s="737"/>
      <c r="P50" s="106"/>
      <c r="Q50" s="64"/>
      <c r="R50" s="711"/>
    </row>
    <row r="51" spans="1:29" ht="12" customHeight="1">
      <c r="A51" s="712"/>
      <c r="B51" s="734"/>
      <c r="C51" s="738" t="str">
        <f>IF($N$2="old tax regime","2,50,000 तक","2,50,000 तक")</f>
        <v>2,50,000 तक</v>
      </c>
      <c r="D51" s="738"/>
      <c r="E51" s="738"/>
      <c r="F51" s="738" t="s">
        <v>106</v>
      </c>
      <c r="G51" s="738"/>
      <c r="H51" s="738" t="str">
        <f>IF($N$2="old tax regime","3,00,000 तक","3,00,000 तक")</f>
        <v>3,00,000 तक</v>
      </c>
      <c r="I51" s="738"/>
      <c r="J51" s="738"/>
      <c r="K51" s="104" t="s">
        <v>106</v>
      </c>
      <c r="L51" s="738" t="str">
        <f>IF($N$2="old tax regime","----","3,00,000 तक")</f>
        <v>----</v>
      </c>
      <c r="M51" s="738"/>
      <c r="N51" s="738"/>
      <c r="O51" s="104" t="str">
        <f>IF($N$2="Old tax regime","----","Nil")</f>
        <v>----</v>
      </c>
      <c r="P51" s="49" t="s">
        <v>121</v>
      </c>
      <c r="Q51" s="66">
        <v>0</v>
      </c>
      <c r="R51" s="711"/>
    </row>
    <row r="52" spans="1:29" ht="12" customHeight="1">
      <c r="A52" s="712"/>
      <c r="B52" s="734"/>
      <c r="C52" s="738" t="s">
        <v>107</v>
      </c>
      <c r="D52" s="738"/>
      <c r="E52" s="738"/>
      <c r="F52" s="739">
        <v>0.05</v>
      </c>
      <c r="G52" s="738"/>
      <c r="H52" s="738" t="s">
        <v>108</v>
      </c>
      <c r="I52" s="738"/>
      <c r="J52" s="738"/>
      <c r="K52" s="105">
        <v>0.05</v>
      </c>
      <c r="L52" s="738" t="str">
        <f>IF($N$2="old tax regime","5,00,000 तक","3,00,001-5,00,000")</f>
        <v>5,00,000 तक</v>
      </c>
      <c r="M52" s="738"/>
      <c r="N52" s="738"/>
      <c r="O52" s="104" t="str">
        <f>IF(N2="Old tax regime","Nil","5%")</f>
        <v>Nil</v>
      </c>
      <c r="P52" s="49" t="s">
        <v>121</v>
      </c>
      <c r="Q52" s="67">
        <f>IF($V$48="AA",W43,IF($V$48="AB",X44,IF($V$48="BA",W55,IF($V$48="BB",X56,IF($V$48="BC",X57,0)))))</f>
        <v>8127</v>
      </c>
      <c r="R52" s="711"/>
    </row>
    <row r="53" spans="1:29" ht="12" customHeight="1">
      <c r="A53" s="712"/>
      <c r="B53" s="734"/>
      <c r="C53" s="738" t="str">
        <f>IF($N$2="old tax regime","5,00,001-10,00,000","5,00,001-7,50,000")</f>
        <v>5,00,001-10,00,000</v>
      </c>
      <c r="D53" s="738"/>
      <c r="E53" s="738"/>
      <c r="F53" s="739" t="str">
        <f>IF(N2="Old tax regime","20%","10%")</f>
        <v>20%</v>
      </c>
      <c r="G53" s="738"/>
      <c r="H53" s="738" t="str">
        <f>IF($N$2="old tax regime","5,00,001-10,00,000","5,00,001-7,50,000")</f>
        <v>5,00,001-10,00,000</v>
      </c>
      <c r="I53" s="738"/>
      <c r="J53" s="738"/>
      <c r="K53" s="105" t="str">
        <f>IF(N2="Old tax regime","20%","10%")</f>
        <v>20%</v>
      </c>
      <c r="L53" s="738" t="str">
        <f>IF($N$2="old tax regime","5,00,001-10,00,000","5,00,001-7,50,000")</f>
        <v>5,00,001-10,00,000</v>
      </c>
      <c r="M53" s="738"/>
      <c r="N53" s="738"/>
      <c r="O53" s="105" t="str">
        <f>IF(N2="Old tax regime","20%","10%")</f>
        <v>20%</v>
      </c>
      <c r="P53" s="49" t="s">
        <v>121</v>
      </c>
      <c r="Q53" s="67">
        <f>IF($V$48="AA",Y43,IF($V$48="AB",Y44,IF($V$48="AC",Y45,IF($V$48="BA",Y55,IF($V$48="BB",Y56,IF($V$48="BC",Y57,0))))))</f>
        <v>0</v>
      </c>
      <c r="R53" s="711"/>
      <c r="W53" s="129" t="s">
        <v>228</v>
      </c>
      <c r="X53" s="129" t="s">
        <v>229</v>
      </c>
      <c r="Y53" s="162" t="s">
        <v>230</v>
      </c>
      <c r="Z53" s="129" t="s">
        <v>231</v>
      </c>
      <c r="AA53" s="129" t="s">
        <v>232</v>
      </c>
      <c r="AB53" s="129" t="s">
        <v>233</v>
      </c>
      <c r="AC53" s="129" t="s">
        <v>234</v>
      </c>
    </row>
    <row r="54" spans="1:29" ht="12" customHeight="1">
      <c r="A54" s="712"/>
      <c r="B54" s="734"/>
      <c r="C54" s="738" t="str">
        <f>IF($N$2="old tax regime","10,00,000 से अधिक","7,50,001-10,00,000")</f>
        <v>10,00,000 से अधिक</v>
      </c>
      <c r="D54" s="738"/>
      <c r="E54" s="738"/>
      <c r="F54" s="739" t="str">
        <f>IF(N2="Old tax regime","30%","15%")</f>
        <v>30%</v>
      </c>
      <c r="G54" s="738"/>
      <c r="H54" s="738" t="str">
        <f>IF($N$2="old tax regime","10,00,000 से अधिक","7,50,001-10,00,000")</f>
        <v>10,00,000 से अधिक</v>
      </c>
      <c r="I54" s="738"/>
      <c r="J54" s="738"/>
      <c r="K54" s="105" t="str">
        <f>IF(N2="Old tax regime","30%","15%")</f>
        <v>30%</v>
      </c>
      <c r="L54" s="738" t="str">
        <f>IF($N$2="old tax regime","10,00,000 से अधिक","7,50,001-10,00,000")</f>
        <v>10,00,000 से अधिक</v>
      </c>
      <c r="M54" s="738"/>
      <c r="N54" s="738"/>
      <c r="O54" s="105" t="str">
        <f>IF(N2="Old tax regime","30%","15%")</f>
        <v>30%</v>
      </c>
      <c r="P54" s="49" t="s">
        <v>121</v>
      </c>
      <c r="Q54" s="67">
        <f>IF($V$48="AA",Z43,IF($V$48="AB",Z44,IF($V$48="AC",Z45,IF($V$48="BA",Z55,IF($V$48="BB",Z56,IF($V$48="BC",Z57,0))))))</f>
        <v>0</v>
      </c>
      <c r="R54" s="711"/>
      <c r="W54" s="129">
        <f>IF($Q$48&gt;1500000,1,IF($Q$48&gt;1250000,2,IF($Q$48&gt;1000000,3,IF($Q$48&gt;750000,4,IF($Q$48&gt;500000,5,IF($Q$48&gt;300000,6,IF($Q$48&gt;250000,7,0)))))))</f>
        <v>6</v>
      </c>
      <c r="X54" s="129">
        <f>IF($Q$48&gt;1500000,1,IF($Q$48&gt;1250000,2,IF($Q$48&gt;1000000,3,IF($Q$48&gt;750000,4,IF($Q$48&gt;500000,5,IF($Q$48&gt;300000,6,0))))))</f>
        <v>6</v>
      </c>
      <c r="Y54" s="129">
        <f>IF($Q$48&gt;1500000,1,IF($Q$48&gt;1250000,2,IF($Q$48&gt;1000000,3,IF($Q$48&gt;750000,4,IF($Q$48&gt;500000,5,0)))))</f>
        <v>0</v>
      </c>
      <c r="Z54" s="129">
        <f>IF($Q$48&gt;1500000,1,IF($Q$48&gt;1250000,2,IF($Q$48&gt;1000000,3,IF($Q$48&gt;750000,4,0))))</f>
        <v>0</v>
      </c>
      <c r="AA54" s="129">
        <f>IF($Q$48&gt;1500000,1,IF($Q$48&gt;1250000,2,IF($Q$48&gt;1000000,3,0)))</f>
        <v>0</v>
      </c>
      <c r="AB54" s="129">
        <f>IF($Q$48&gt;1500000,1,IF($Q$48&gt;1250000,2,0))</f>
        <v>0</v>
      </c>
      <c r="AC54" s="129">
        <f>IF($Q$48&gt;1500000,1,0)</f>
        <v>0</v>
      </c>
    </row>
    <row r="55" spans="1:29" ht="12" customHeight="1">
      <c r="A55" s="712"/>
      <c r="B55" s="734"/>
      <c r="C55" s="738" t="str">
        <f>IF($N$2="old tax regime","----","10,00,001-12,50,000")</f>
        <v>----</v>
      </c>
      <c r="D55" s="738"/>
      <c r="E55" s="738"/>
      <c r="F55" s="739" t="str">
        <f>IF(N2="Old tax regime","----","20%")</f>
        <v>----</v>
      </c>
      <c r="G55" s="738"/>
      <c r="H55" s="738" t="str">
        <f>IF($N$2="old tax regime","----","10,00,001-12,50,000")</f>
        <v>----</v>
      </c>
      <c r="I55" s="738"/>
      <c r="J55" s="738"/>
      <c r="K55" s="105" t="str">
        <f>IF(N2="Old tax regime","----","20%")</f>
        <v>----</v>
      </c>
      <c r="L55" s="738" t="str">
        <f>IF($N$2="old tax regime","----","10,00,001-12,50,000")</f>
        <v>----</v>
      </c>
      <c r="M55" s="738"/>
      <c r="N55" s="738"/>
      <c r="O55" s="105" t="str">
        <f>IF(N2="Old tax regime","----","20%")</f>
        <v>----</v>
      </c>
      <c r="P55" s="49" t="s">
        <v>121</v>
      </c>
      <c r="Q55" s="66">
        <f>IF($T$48="a",0,AA55)</f>
        <v>0</v>
      </c>
      <c r="R55" s="711"/>
      <c r="V55" s="130" t="s">
        <v>225</v>
      </c>
      <c r="W55" s="129">
        <f>IF(W54&gt;=6,ROUND(($Q$48-250000)*0.05,0),IF(W54=0,0,12500))</f>
        <v>8127</v>
      </c>
      <c r="X55" s="129">
        <v>0</v>
      </c>
      <c r="Y55" s="129">
        <f>IF($Y$54=5,($Q$48-500000)*0.1,IF($Y$54&lt;=4,IF($Y$54=0,0,25000)))</f>
        <v>0</v>
      </c>
      <c r="Z55" s="129">
        <f>IF($Z$54=4,($Q$48-750000)*0.15,IF($Z$54&lt;=3,IF($Z$54=0,0,37500)))</f>
        <v>0</v>
      </c>
      <c r="AA55" s="129">
        <f>IF($AA$54=3,($Q$48-1000000)*0.2,IF($AA$54&lt;=2,IF($AA$54=0,0,50000)))</f>
        <v>0</v>
      </c>
      <c r="AB55" s="129">
        <f>IF($AB$54=2,($Q$48-1250000)*0.25,IF($AB$54&lt;=1,IF($AB$54=0,0,62500)))</f>
        <v>0</v>
      </c>
      <c r="AC55" s="129">
        <f>IF($AC$54&gt;0,($Q$48-1500000)*0.3,0)</f>
        <v>0</v>
      </c>
    </row>
    <row r="56" spans="1:29" ht="12" customHeight="1">
      <c r="A56" s="712"/>
      <c r="B56" s="734"/>
      <c r="C56" s="738" t="str">
        <f>IF($N$2="old tax regime","----","12,50,001-15,00,000")</f>
        <v>----</v>
      </c>
      <c r="D56" s="738"/>
      <c r="E56" s="738"/>
      <c r="F56" s="739" t="str">
        <f>IF(N2="Old tax regime","----","25%")</f>
        <v>----</v>
      </c>
      <c r="G56" s="738"/>
      <c r="H56" s="738" t="str">
        <f>IF($N$2="old tax regime","----","12,50,001-15,00,000")</f>
        <v>----</v>
      </c>
      <c r="I56" s="738"/>
      <c r="J56" s="738"/>
      <c r="K56" s="105" t="str">
        <f>IF(N2="Old tax regime","----","25%")</f>
        <v>----</v>
      </c>
      <c r="L56" s="738" t="str">
        <f>IF($N$2="old tax regime","----","12,50,001-15,00,000")</f>
        <v>----</v>
      </c>
      <c r="M56" s="738"/>
      <c r="N56" s="738"/>
      <c r="O56" s="105" t="str">
        <f>IF(N2="Old tax regime","----","25%")</f>
        <v>----</v>
      </c>
      <c r="P56" s="49" t="s">
        <v>121</v>
      </c>
      <c r="Q56" s="66">
        <f>IF($T$48="a",0,AB55)</f>
        <v>0</v>
      </c>
      <c r="R56" s="711"/>
      <c r="V56" s="130" t="s">
        <v>117</v>
      </c>
      <c r="W56" s="129">
        <v>0</v>
      </c>
      <c r="X56" s="129">
        <f>IF(X54=6,ROUND(($Q$48-300000)*0.05,0),IF(X54=0,0,10000))</f>
        <v>5627</v>
      </c>
      <c r="Y56" s="129">
        <f t="shared" ref="Y56:Y57" si="2">IF($Y$54=5,($Q$48-500000)*0.1,IF($Y$54&lt;=4,IF($Y$54=0,0,25000)))</f>
        <v>0</v>
      </c>
      <c r="Z56" s="129">
        <f t="shared" ref="Z56:Z57" si="3">IF($Z$54=4,($Q$48-750000)*0.15,IF($Z$54&lt;=3,IF($Z$54=0,0,37500)))</f>
        <v>0</v>
      </c>
      <c r="AA56" s="129">
        <f t="shared" ref="AA56:AA57" si="4">IF($AA$54=3,($Q$48-1000000)*0.2,IF($AA$54&lt;=2,IF($AA$54=0,0,50000)))</f>
        <v>0</v>
      </c>
      <c r="AB56" s="129">
        <f t="shared" ref="AB56:AB57" si="5">IF($AB$54=2,($Q$48-1250000)*0.25,IF($AB$54&lt;=1,IF($AB$54=0,0,62500)))</f>
        <v>0</v>
      </c>
      <c r="AC56" s="129">
        <f t="shared" ref="AC56:AC57" si="6">IF($AC$54&gt;0,($Q$48-1500000)*0.3,0)</f>
        <v>0</v>
      </c>
    </row>
    <row r="57" spans="1:29" ht="12" customHeight="1">
      <c r="A57" s="712"/>
      <c r="B57" s="734"/>
      <c r="C57" s="738" t="str">
        <f>IF($N$2="old tax regime","----","15,00,000 से अधिक")</f>
        <v>----</v>
      </c>
      <c r="D57" s="738"/>
      <c r="E57" s="738"/>
      <c r="F57" s="739" t="str">
        <f>IF(N2="Old tax regime","----","30%")</f>
        <v>----</v>
      </c>
      <c r="G57" s="738"/>
      <c r="H57" s="738" t="str">
        <f>IF($N$2="old tax regime","----","15,00,000 से अधिक")</f>
        <v>----</v>
      </c>
      <c r="I57" s="738"/>
      <c r="J57" s="738"/>
      <c r="K57" s="105" t="str">
        <f>IF(N2="Old tax regime","----","30%")</f>
        <v>----</v>
      </c>
      <c r="L57" s="738" t="str">
        <f>IF($N$2="old tax regime","----","15,00,000 से अधिक")</f>
        <v>----</v>
      </c>
      <c r="M57" s="738"/>
      <c r="N57" s="738"/>
      <c r="O57" s="105" t="str">
        <f>IF(N2="Old tax regime","----","30%")</f>
        <v>----</v>
      </c>
      <c r="P57" s="49" t="s">
        <v>121</v>
      </c>
      <c r="Q57" s="66">
        <f>IF($T$48="a",0,AC55)</f>
        <v>0</v>
      </c>
      <c r="R57" s="711"/>
      <c r="V57" s="130" t="s">
        <v>224</v>
      </c>
      <c r="W57" s="129">
        <v>0</v>
      </c>
      <c r="X57" s="129">
        <f>IF(X54=6,ROUND(($Q$48-300000)*0.05,0),IF(X54=0,0,10000))</f>
        <v>5627</v>
      </c>
      <c r="Y57" s="129">
        <f t="shared" si="2"/>
        <v>0</v>
      </c>
      <c r="Z57" s="129">
        <f t="shared" si="3"/>
        <v>0</v>
      </c>
      <c r="AA57" s="129">
        <f t="shared" si="4"/>
        <v>0</v>
      </c>
      <c r="AB57" s="129">
        <f t="shared" si="5"/>
        <v>0</v>
      </c>
      <c r="AC57" s="129">
        <f t="shared" si="6"/>
        <v>0</v>
      </c>
    </row>
    <row r="58" spans="1:29" ht="14.25" customHeight="1">
      <c r="A58" s="712"/>
      <c r="B58" s="734"/>
      <c r="C58" s="726" t="s">
        <v>203</v>
      </c>
      <c r="D58" s="726"/>
      <c r="E58" s="726"/>
      <c r="F58" s="726"/>
      <c r="G58" s="726"/>
      <c r="H58" s="726"/>
      <c r="I58" s="726"/>
      <c r="J58" s="726"/>
      <c r="K58" s="726"/>
      <c r="L58" s="726"/>
      <c r="M58" s="726"/>
      <c r="N58" s="726"/>
      <c r="O58" s="726"/>
      <c r="P58" s="49" t="s">
        <v>121</v>
      </c>
      <c r="Q58" s="68">
        <f>SUM(Q51:Q57)</f>
        <v>8127</v>
      </c>
      <c r="R58" s="711"/>
      <c r="W58" s="135"/>
      <c r="X58" s="135"/>
    </row>
    <row r="59" spans="1:29" ht="14.25" customHeight="1">
      <c r="A59" s="712"/>
      <c r="B59" s="734"/>
      <c r="C59" s="740" t="s">
        <v>204</v>
      </c>
      <c r="D59" s="740"/>
      <c r="E59" s="740"/>
      <c r="F59" s="740"/>
      <c r="G59" s="740"/>
      <c r="H59" s="740"/>
      <c r="I59" s="740"/>
      <c r="J59" s="740"/>
      <c r="K59" s="740"/>
      <c r="L59" s="740"/>
      <c r="M59" s="740"/>
      <c r="N59" s="740"/>
      <c r="O59" s="740"/>
      <c r="P59" s="49" t="s">
        <v>121</v>
      </c>
      <c r="Q59" s="67">
        <f>IF(Q48&lt;=500000,Q52,0)</f>
        <v>8127</v>
      </c>
      <c r="R59" s="711"/>
    </row>
    <row r="60" spans="1:29" ht="14.25" customHeight="1">
      <c r="A60" s="712"/>
      <c r="B60" s="734"/>
      <c r="C60" s="726" t="s">
        <v>205</v>
      </c>
      <c r="D60" s="726"/>
      <c r="E60" s="726"/>
      <c r="F60" s="726"/>
      <c r="G60" s="726"/>
      <c r="H60" s="726"/>
      <c r="I60" s="726"/>
      <c r="J60" s="726"/>
      <c r="K60" s="726"/>
      <c r="L60" s="726"/>
      <c r="M60" s="726"/>
      <c r="N60" s="726"/>
      <c r="O60" s="726"/>
      <c r="P60" s="49" t="s">
        <v>121</v>
      </c>
      <c r="Q60" s="68">
        <f>Q58-Q59</f>
        <v>0</v>
      </c>
      <c r="R60" s="711"/>
    </row>
    <row r="61" spans="1:29" ht="14.25" customHeight="1">
      <c r="A61" s="712"/>
      <c r="B61" s="734"/>
      <c r="C61" s="727" t="s">
        <v>206</v>
      </c>
      <c r="D61" s="727"/>
      <c r="E61" s="727"/>
      <c r="F61" s="727"/>
      <c r="G61" s="727"/>
      <c r="H61" s="727"/>
      <c r="I61" s="727"/>
      <c r="J61" s="727"/>
      <c r="K61" s="727"/>
      <c r="L61" s="727"/>
      <c r="M61" s="727"/>
      <c r="N61" s="727"/>
      <c r="O61" s="727"/>
      <c r="P61" s="49" t="s">
        <v>121</v>
      </c>
      <c r="Q61" s="67">
        <f>ROUND(Q60*0.04,0)</f>
        <v>0</v>
      </c>
      <c r="R61" s="711"/>
    </row>
    <row r="62" spans="1:29" ht="12.75" customHeight="1">
      <c r="A62" s="712"/>
      <c r="B62" s="734"/>
      <c r="C62" s="728" t="s">
        <v>207</v>
      </c>
      <c r="D62" s="729"/>
      <c r="E62" s="729"/>
      <c r="F62" s="729"/>
      <c r="G62" s="729"/>
      <c r="H62" s="729"/>
      <c r="I62" s="729"/>
      <c r="J62" s="729"/>
      <c r="K62" s="729"/>
      <c r="L62" s="729"/>
      <c r="M62" s="729"/>
      <c r="N62" s="729"/>
      <c r="O62" s="730"/>
      <c r="P62" s="49" t="s">
        <v>121</v>
      </c>
      <c r="Q62" s="68">
        <f>Q60+Q61</f>
        <v>0</v>
      </c>
      <c r="R62" s="711"/>
      <c r="W62" s="135"/>
      <c r="X62" s="135"/>
    </row>
    <row r="63" spans="1:29" ht="14.25" customHeight="1">
      <c r="A63" s="712"/>
      <c r="B63" s="100">
        <v>17</v>
      </c>
      <c r="C63" s="731" t="s">
        <v>208</v>
      </c>
      <c r="D63" s="731"/>
      <c r="E63" s="731"/>
      <c r="F63" s="731"/>
      <c r="G63" s="731"/>
      <c r="H63" s="731"/>
      <c r="I63" s="731"/>
      <c r="J63" s="731"/>
      <c r="K63" s="731"/>
      <c r="L63" s="731"/>
      <c r="M63" s="731"/>
      <c r="N63" s="731"/>
      <c r="O63" s="731"/>
      <c r="P63" s="49" t="s">
        <v>121</v>
      </c>
      <c r="Q63" s="67">
        <f>'Exemp.(HRA+Other) &amp; Other incom'!Q26</f>
        <v>0</v>
      </c>
      <c r="R63" s="711"/>
    </row>
    <row r="64" spans="1:29" ht="14.25" customHeight="1">
      <c r="A64" s="712"/>
      <c r="B64" s="718">
        <v>18</v>
      </c>
      <c r="C64" s="732" t="s">
        <v>209</v>
      </c>
      <c r="D64" s="732"/>
      <c r="E64" s="732"/>
      <c r="F64" s="732"/>
      <c r="G64" s="732"/>
      <c r="H64" s="732"/>
      <c r="I64" s="732"/>
      <c r="J64" s="732"/>
      <c r="K64" s="732"/>
      <c r="L64" s="732"/>
      <c r="M64" s="732"/>
      <c r="N64" s="732"/>
      <c r="O64" s="732"/>
      <c r="P64" s="49" t="s">
        <v>121</v>
      </c>
      <c r="Q64" s="68">
        <f>Q62-Q63</f>
        <v>0</v>
      </c>
      <c r="R64" s="711"/>
    </row>
    <row r="65" spans="1:29" ht="14.25" customHeight="1" thickBot="1">
      <c r="A65" s="712"/>
      <c r="B65" s="719"/>
      <c r="C65" s="713" t="s">
        <v>210</v>
      </c>
      <c r="D65" s="713"/>
      <c r="E65" s="713"/>
      <c r="F65" s="713"/>
      <c r="G65" s="713"/>
      <c r="H65" s="713"/>
      <c r="I65" s="713"/>
      <c r="J65" s="713"/>
      <c r="K65" s="713"/>
      <c r="L65" s="713"/>
      <c r="M65" s="713"/>
      <c r="N65" s="713"/>
      <c r="O65" s="713"/>
      <c r="P65" s="53" t="s">
        <v>121</v>
      </c>
      <c r="Q65" s="65">
        <f>ROUND(Q64,-1)</f>
        <v>0</v>
      </c>
      <c r="R65" s="711"/>
    </row>
    <row r="66" spans="1:29" ht="44.25" customHeight="1">
      <c r="A66" s="712"/>
      <c r="B66" s="717">
        <v>19</v>
      </c>
      <c r="C66" s="714" t="s">
        <v>153</v>
      </c>
      <c r="D66" s="720" t="s">
        <v>211</v>
      </c>
      <c r="E66" s="720"/>
      <c r="F66" s="720" t="s">
        <v>212</v>
      </c>
      <c r="G66" s="720"/>
      <c r="H66" s="720"/>
      <c r="I66" s="102" t="s">
        <v>213</v>
      </c>
      <c r="J66" s="102" t="s">
        <v>214</v>
      </c>
      <c r="K66" s="102" t="s">
        <v>215</v>
      </c>
      <c r="L66" s="102" t="s">
        <v>216</v>
      </c>
      <c r="M66" s="1064" t="s">
        <v>217</v>
      </c>
      <c r="N66" s="1064"/>
      <c r="O66" s="102" t="s">
        <v>218</v>
      </c>
      <c r="P66" s="724" t="s">
        <v>219</v>
      </c>
      <c r="Q66" s="725"/>
      <c r="R66" s="711"/>
    </row>
    <row r="67" spans="1:29" s="10" customFormat="1" ht="13.5" customHeight="1">
      <c r="A67" s="712"/>
      <c r="B67" s="718"/>
      <c r="C67" s="715"/>
      <c r="D67" s="721" t="e">
        <f>SUM('Table (Income-Deduction)'!#REF!)</f>
        <v>#REF!</v>
      </c>
      <c r="E67" s="721"/>
      <c r="F67" s="721" t="e">
        <f>SUM('Table (Income-Deduction)'!#REF!)</f>
        <v>#REF!</v>
      </c>
      <c r="G67" s="721"/>
      <c r="H67" s="721"/>
      <c r="I67" s="103" t="e">
        <f>SUM('Table (Income-Deduction)'!#REF!)</f>
        <v>#REF!</v>
      </c>
      <c r="J67" s="103" t="e">
        <f>'Table (Income-Deduction)'!#REF!</f>
        <v>#REF!</v>
      </c>
      <c r="K67" s="103" t="e">
        <f>'Table (Income-Deduction)'!#REF!</f>
        <v>#REF!</v>
      </c>
      <c r="L67" s="103" t="e">
        <f>'Table (Income-Deduction)'!#REF!</f>
        <v>#REF!</v>
      </c>
      <c r="M67" s="721" t="e">
        <f>SUM('Table (Income-Deduction)'!#REF!)</f>
        <v>#REF!</v>
      </c>
      <c r="N67" s="1065"/>
      <c r="O67" s="103">
        <f>'Basic Deta'!N19</f>
        <v>0</v>
      </c>
      <c r="P67" s="85" t="s">
        <v>121</v>
      </c>
      <c r="Q67" s="86" t="e">
        <f>SUM(D67:O67)</f>
        <v>#REF!</v>
      </c>
      <c r="R67" s="711"/>
      <c r="T67" s="111"/>
      <c r="U67" s="111"/>
      <c r="W67" s="129"/>
      <c r="X67" s="129"/>
      <c r="Y67" s="129"/>
      <c r="Z67" s="129"/>
      <c r="AA67" s="129"/>
      <c r="AB67" s="129"/>
      <c r="AC67" s="129"/>
    </row>
    <row r="68" spans="1:29" ht="15.75" thickBot="1">
      <c r="A68" s="712"/>
      <c r="B68" s="719"/>
      <c r="C68" s="716"/>
      <c r="D68" s="722" t="s">
        <v>120</v>
      </c>
      <c r="E68" s="722"/>
      <c r="F68" s="722"/>
      <c r="G68" s="722"/>
      <c r="H68" s="722"/>
      <c r="I68" s="722"/>
      <c r="J68" s="722"/>
      <c r="K68" s="722"/>
      <c r="L68" s="723" t="e">
        <f>IF(Q67&gt;Q65,"(Refundable)","(Payble)")</f>
        <v>#REF!</v>
      </c>
      <c r="M68" s="723"/>
      <c r="N68" s="723"/>
      <c r="O68" s="723"/>
      <c r="P68" s="53" t="s">
        <v>121</v>
      </c>
      <c r="Q68" s="65" t="e">
        <f>Q67-Q65</f>
        <v>#REF!</v>
      </c>
      <c r="R68" s="711"/>
    </row>
    <row r="69" spans="1:29" ht="9.75" customHeight="1">
      <c r="A69" s="712"/>
      <c r="B69" s="1062" t="str">
        <f>'Table (Income-Deduction)'!B33</f>
        <v>Siganture of Employee</v>
      </c>
      <c r="C69" s="1062"/>
      <c r="D69" s="1062"/>
      <c r="E69" s="1062"/>
      <c r="F69" s="1062"/>
      <c r="G69" s="1062"/>
      <c r="H69" s="1062"/>
      <c r="I69" s="1062"/>
      <c r="J69" s="1062"/>
      <c r="K69" s="1062" t="str">
        <f>'Table (Income-Deduction)'!P33</f>
        <v>Signature of DPO ()</v>
      </c>
      <c r="L69" s="1062"/>
      <c r="M69" s="1062"/>
      <c r="N69" s="1062"/>
      <c r="O69" s="1062"/>
      <c r="P69" s="1062"/>
      <c r="Q69" s="1062"/>
      <c r="R69" s="711"/>
    </row>
    <row r="70" spans="1:29" ht="15.75" customHeight="1">
      <c r="A70" s="712"/>
      <c r="B70" s="1063"/>
      <c r="C70" s="1063"/>
      <c r="D70" s="1063"/>
      <c r="E70" s="1063"/>
      <c r="F70" s="1063"/>
      <c r="G70" s="1063"/>
      <c r="H70" s="1063"/>
      <c r="I70" s="1063"/>
      <c r="J70" s="1063"/>
      <c r="K70" s="1063"/>
      <c r="L70" s="1063"/>
      <c r="M70" s="1063"/>
      <c r="N70" s="1063"/>
      <c r="O70" s="1063"/>
      <c r="P70" s="1063"/>
      <c r="Q70" s="1063"/>
      <c r="R70" s="711"/>
    </row>
  </sheetData>
  <sheetProtection password="E8FA" sheet="1" objects="1" scenarios="1" formatCells="0" formatColumns="0" selectLockedCells="1"/>
  <mergeCells count="139">
    <mergeCell ref="L68:O68"/>
    <mergeCell ref="B69:J70"/>
    <mergeCell ref="K69:Q70"/>
    <mergeCell ref="B66:B68"/>
    <mergeCell ref="C66:C68"/>
    <mergeCell ref="D66:E66"/>
    <mergeCell ref="F66:H66"/>
    <mergeCell ref="M66:N66"/>
    <mergeCell ref="P66:Q66"/>
    <mergeCell ref="D67:E67"/>
    <mergeCell ref="F67:H67"/>
    <mergeCell ref="M67:N67"/>
    <mergeCell ref="D68:K68"/>
    <mergeCell ref="C60:O60"/>
    <mergeCell ref="C61:O61"/>
    <mergeCell ref="C62:O62"/>
    <mergeCell ref="C63:O63"/>
    <mergeCell ref="B64:B65"/>
    <mergeCell ref="C64:O64"/>
    <mergeCell ref="C65:O65"/>
    <mergeCell ref="C57:E57"/>
    <mergeCell ref="F57:G57"/>
    <mergeCell ref="H57:J57"/>
    <mergeCell ref="L57:N57"/>
    <mergeCell ref="C58:O58"/>
    <mergeCell ref="C59:O59"/>
    <mergeCell ref="B49:B62"/>
    <mergeCell ref="C55:E55"/>
    <mergeCell ref="F55:G55"/>
    <mergeCell ref="H55:J55"/>
    <mergeCell ref="L55:N55"/>
    <mergeCell ref="C56:E56"/>
    <mergeCell ref="F56:G56"/>
    <mergeCell ref="H56:J56"/>
    <mergeCell ref="L56:N56"/>
    <mergeCell ref="C53:E53"/>
    <mergeCell ref="F53:G53"/>
    <mergeCell ref="C54:E54"/>
    <mergeCell ref="F54:G54"/>
    <mergeCell ref="H54:J54"/>
    <mergeCell ref="L54:N54"/>
    <mergeCell ref="F51:G51"/>
    <mergeCell ref="H51:J51"/>
    <mergeCell ref="L51:N51"/>
    <mergeCell ref="C52:E52"/>
    <mergeCell ref="F52:G52"/>
    <mergeCell ref="H52:J52"/>
    <mergeCell ref="L52:N52"/>
    <mergeCell ref="C46:O46"/>
    <mergeCell ref="C47:O47"/>
    <mergeCell ref="C48:O48"/>
    <mergeCell ref="C49:Q49"/>
    <mergeCell ref="C50:G50"/>
    <mergeCell ref="H50:K50"/>
    <mergeCell ref="L50:O50"/>
    <mergeCell ref="C51:E51"/>
    <mergeCell ref="H53:J53"/>
    <mergeCell ref="L53:N53"/>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A1:A70"/>
    <mergeCell ref="B1:Q1"/>
    <mergeCell ref="R1:R70"/>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s>
  <conditionalFormatting sqref="L68:O68">
    <cfRule type="cellIs" dxfId="10" priority="4" operator="equal">
      <formula>"(Payble)"</formula>
    </cfRule>
    <cfRule type="cellIs" dxfId="9" priority="5" operator="equal">
      <formula>"(Refundable)"</formula>
    </cfRule>
  </conditionalFormatting>
  <conditionalFormatting sqref="Q68">
    <cfRule type="cellIs" dxfId="8" priority="2" operator="lessThan">
      <formula>0</formula>
    </cfRule>
    <cfRule type="cellIs" dxfId="7" priority="3" operator="greaterThan">
      <formula>0</formula>
    </cfRule>
  </conditionalFormatting>
  <conditionalFormatting sqref="C55:Q57">
    <cfRule type="expression" dxfId="6"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sheetPr>
    <tabColor theme="8"/>
  </sheetPr>
  <dimension ref="A1:XFC70"/>
  <sheetViews>
    <sheetView showGridLines="0" showRowColHeaders="0" topLeftCell="A42" workbookViewId="0">
      <selection activeCell="Q44" sqref="Q44"/>
    </sheetView>
  </sheetViews>
  <sheetFormatPr defaultColWidth="0" defaultRowHeight="15"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1.7109375" style="18" customWidth="1"/>
    <col min="19" max="19" width="9.28515625" style="1" hidden="1"/>
    <col min="20" max="20" width="4.85546875" style="111" hidden="1"/>
    <col min="21" max="21" width="2.28515625" style="129" hidden="1"/>
    <col min="22" max="22" width="9.140625" style="1" hidden="1"/>
    <col min="23" max="23" width="11.140625" style="129" hidden="1"/>
    <col min="24" max="24" width="9.5703125" style="129" hidden="1"/>
    <col min="25" max="25" width="12.85546875" style="129" hidden="1"/>
    <col min="26" max="29" width="9.140625" style="129" hidden="1"/>
    <col min="30" max="16383" width="9.140625" style="1" hidden="1"/>
    <col min="16384" max="16384" width="4.85546875" style="1" hidden="1"/>
  </cols>
  <sheetData>
    <row r="1" spans="1:29" ht="21" thickBot="1">
      <c r="A1" s="712"/>
      <c r="B1" s="1037" t="str">
        <f>'Exemp.(HRA+Other) &amp; Other incom'!A1</f>
        <v>District Education Officer, Education Department Primary Education of Bihar</v>
      </c>
      <c r="C1" s="1038"/>
      <c r="D1" s="1038"/>
      <c r="E1" s="1038"/>
      <c r="F1" s="1038"/>
      <c r="G1" s="1038"/>
      <c r="H1" s="1038"/>
      <c r="I1" s="1038"/>
      <c r="J1" s="1038"/>
      <c r="K1" s="1038"/>
      <c r="L1" s="1038"/>
      <c r="M1" s="1038"/>
      <c r="N1" s="1038"/>
      <c r="O1" s="1038"/>
      <c r="P1" s="1038"/>
      <c r="Q1" s="1039"/>
      <c r="R1" s="711"/>
    </row>
    <row r="2" spans="1:29" ht="21" thickBot="1">
      <c r="A2" s="712"/>
      <c r="B2" s="1040" t="s">
        <v>111</v>
      </c>
      <c r="C2" s="1041"/>
      <c r="D2" s="1041"/>
      <c r="E2" s="1041"/>
      <c r="F2" s="1041"/>
      <c r="G2" s="1041"/>
      <c r="H2" s="1041"/>
      <c r="I2" s="1041"/>
      <c r="J2" s="1041"/>
      <c r="K2" s="1041"/>
      <c r="L2" s="1041"/>
      <c r="M2" s="1042"/>
      <c r="N2" s="1043" t="s">
        <v>226</v>
      </c>
      <c r="O2" s="1044"/>
      <c r="P2" s="1044"/>
      <c r="Q2" s="1045"/>
      <c r="R2" s="711"/>
    </row>
    <row r="3" spans="1:29" s="89" customFormat="1" ht="16.5" thickBot="1">
      <c r="A3" s="712"/>
      <c r="B3" s="82">
        <v>1</v>
      </c>
      <c r="C3" s="1046" t="s">
        <v>151</v>
      </c>
      <c r="D3" s="1046"/>
      <c r="E3" s="1047" t="str">
        <f>'Table (Income-Deduction)'!F4</f>
        <v>SHAHID ALI</v>
      </c>
      <c r="F3" s="1047"/>
      <c r="G3" s="1047"/>
      <c r="H3" s="1047"/>
      <c r="I3" s="1047"/>
      <c r="J3" s="1047"/>
      <c r="K3" s="83" t="s">
        <v>152</v>
      </c>
      <c r="L3" s="1048" t="str">
        <f>'Table (Income-Deduction)'!P4</f>
        <v>Block Teacher</v>
      </c>
      <c r="M3" s="1048"/>
      <c r="N3" s="1048"/>
      <c r="O3" s="84" t="s">
        <v>87</v>
      </c>
      <c r="P3" s="1049" t="str">
        <f>'Table (Income-Deduction)'!F6</f>
        <v>BFHPA0762G (BUXAR)</v>
      </c>
      <c r="Q3" s="1050"/>
      <c r="R3" s="711"/>
      <c r="T3" s="161"/>
      <c r="U3" s="88"/>
      <c r="W3" s="88"/>
      <c r="X3" s="88"/>
      <c r="Y3" s="88"/>
      <c r="Z3" s="88"/>
      <c r="AA3" s="88"/>
      <c r="AB3" s="88"/>
      <c r="AC3" s="88"/>
    </row>
    <row r="4" spans="1:29" ht="14.25" customHeight="1">
      <c r="A4" s="712"/>
      <c r="B4" s="99">
        <v>2</v>
      </c>
      <c r="C4" s="792" t="s">
        <v>154</v>
      </c>
      <c r="D4" s="792"/>
      <c r="E4" s="792"/>
      <c r="F4" s="792"/>
      <c r="G4" s="792"/>
      <c r="H4" s="792"/>
      <c r="I4" s="792"/>
      <c r="J4" s="792"/>
      <c r="K4" s="792"/>
      <c r="L4" s="792"/>
      <c r="M4" s="792"/>
      <c r="N4" s="792"/>
      <c r="O4" s="792"/>
      <c r="P4" s="57" t="s">
        <v>121</v>
      </c>
      <c r="Q4" s="81">
        <f>'Table (Income-Deduction)'!O32</f>
        <v>499964</v>
      </c>
      <c r="R4" s="711"/>
    </row>
    <row r="5" spans="1:29" ht="14.25" customHeight="1">
      <c r="A5" s="712"/>
      <c r="B5" s="100">
        <v>3</v>
      </c>
      <c r="C5" s="731" t="s">
        <v>161</v>
      </c>
      <c r="D5" s="731"/>
      <c r="E5" s="731"/>
      <c r="F5" s="731"/>
      <c r="G5" s="731"/>
      <c r="H5" s="731"/>
      <c r="I5" s="731"/>
      <c r="J5" s="731"/>
      <c r="K5" s="731"/>
      <c r="L5" s="731"/>
      <c r="M5" s="731"/>
      <c r="N5" s="731"/>
      <c r="O5" s="731"/>
      <c r="P5" s="49" t="s">
        <v>121</v>
      </c>
      <c r="Q5" s="69">
        <f>IF(N2="old tax regime",'Exemp.(HRA+Other) &amp; Other incom'!K4,0)</f>
        <v>0</v>
      </c>
      <c r="R5" s="711"/>
    </row>
    <row r="6" spans="1:29" ht="14.25" customHeight="1">
      <c r="A6" s="712"/>
      <c r="B6" s="100">
        <v>4</v>
      </c>
      <c r="C6" s="790" t="s">
        <v>155</v>
      </c>
      <c r="D6" s="790"/>
      <c r="E6" s="790"/>
      <c r="F6" s="790"/>
      <c r="G6" s="790"/>
      <c r="H6" s="790"/>
      <c r="I6" s="790"/>
      <c r="J6" s="790"/>
      <c r="K6" s="790"/>
      <c r="L6" s="790"/>
      <c r="M6" s="790"/>
      <c r="N6" s="790"/>
      <c r="O6" s="790"/>
      <c r="P6" s="49" t="s">
        <v>121</v>
      </c>
      <c r="Q6" s="74">
        <f>Q4-Q5</f>
        <v>499964</v>
      </c>
      <c r="R6" s="711"/>
    </row>
    <row r="7" spans="1:29" ht="14.25" customHeight="1">
      <c r="A7" s="712"/>
      <c r="B7" s="734">
        <v>5</v>
      </c>
      <c r="C7" s="731" t="s">
        <v>157</v>
      </c>
      <c r="D7" s="731"/>
      <c r="E7" s="731"/>
      <c r="F7" s="731"/>
      <c r="G7" s="731"/>
      <c r="H7" s="731"/>
      <c r="I7" s="731"/>
      <c r="J7" s="731"/>
      <c r="K7" s="731"/>
      <c r="L7" s="731"/>
      <c r="M7" s="780">
        <f>'Exemp.(HRA+Other) &amp; Other incom'!L13</f>
        <v>0</v>
      </c>
      <c r="N7" s="780"/>
      <c r="O7" s="780"/>
      <c r="P7" s="788"/>
      <c r="Q7" s="789"/>
      <c r="R7" s="711"/>
    </row>
    <row r="8" spans="1:29" ht="14.25" customHeight="1">
      <c r="A8" s="712"/>
      <c r="B8" s="734"/>
      <c r="C8" s="731" t="s">
        <v>158</v>
      </c>
      <c r="D8" s="731"/>
      <c r="E8" s="731"/>
      <c r="F8" s="731"/>
      <c r="G8" s="731"/>
      <c r="H8" s="731"/>
      <c r="I8" s="731"/>
      <c r="J8" s="731"/>
      <c r="K8" s="731"/>
      <c r="L8" s="731"/>
      <c r="M8" s="780">
        <f>'Exemp.(HRA+Other) &amp; Other incom'!L14</f>
        <v>1000</v>
      </c>
      <c r="N8" s="780"/>
      <c r="O8" s="780"/>
      <c r="P8" s="788"/>
      <c r="Q8" s="789"/>
      <c r="R8" s="711"/>
    </row>
    <row r="9" spans="1:29" ht="14.25" customHeight="1">
      <c r="A9" s="712"/>
      <c r="B9" s="734"/>
      <c r="C9" s="731" t="s">
        <v>159</v>
      </c>
      <c r="D9" s="731"/>
      <c r="E9" s="731"/>
      <c r="F9" s="731"/>
      <c r="G9" s="731"/>
      <c r="H9" s="731"/>
      <c r="I9" s="731"/>
      <c r="J9" s="731"/>
      <c r="K9" s="731"/>
      <c r="L9" s="731"/>
      <c r="M9" s="780">
        <v>50000</v>
      </c>
      <c r="N9" s="780"/>
      <c r="O9" s="780"/>
      <c r="P9" s="49" t="s">
        <v>121</v>
      </c>
      <c r="Q9" s="69">
        <f>IF(N2="old tax regime",M7+M8+M9,0)</f>
        <v>0</v>
      </c>
      <c r="R9" s="711"/>
    </row>
    <row r="10" spans="1:29" ht="14.25" customHeight="1">
      <c r="A10" s="712"/>
      <c r="B10" s="100">
        <v>6</v>
      </c>
      <c r="C10" s="790" t="s">
        <v>160</v>
      </c>
      <c r="D10" s="790"/>
      <c r="E10" s="790"/>
      <c r="F10" s="790"/>
      <c r="G10" s="790"/>
      <c r="H10" s="790"/>
      <c r="I10" s="790"/>
      <c r="J10" s="790"/>
      <c r="K10" s="790"/>
      <c r="L10" s="790"/>
      <c r="M10" s="790"/>
      <c r="N10" s="790"/>
      <c r="O10" s="790"/>
      <c r="P10" s="49" t="s">
        <v>121</v>
      </c>
      <c r="Q10" s="74">
        <f>Q6-Q9</f>
        <v>499964</v>
      </c>
      <c r="R10" s="711"/>
    </row>
    <row r="11" spans="1:29" ht="14.25" customHeight="1">
      <c r="A11" s="712"/>
      <c r="B11" s="734">
        <v>7</v>
      </c>
      <c r="C11" s="731" t="s">
        <v>162</v>
      </c>
      <c r="D11" s="731"/>
      <c r="E11" s="731"/>
      <c r="F11" s="731"/>
      <c r="G11" s="731"/>
      <c r="H11" s="731"/>
      <c r="I11" s="731"/>
      <c r="J11" s="731"/>
      <c r="K11" s="738" t="s">
        <v>163</v>
      </c>
      <c r="L11" s="738"/>
      <c r="M11" s="780">
        <f>'Exemp.(HRA+Other) &amp; Other incom'!L7</f>
        <v>0</v>
      </c>
      <c r="N11" s="780"/>
      <c r="O11" s="780"/>
      <c r="P11" s="738"/>
      <c r="Q11" s="785"/>
      <c r="R11" s="711"/>
    </row>
    <row r="12" spans="1:29" ht="14.25" customHeight="1">
      <c r="A12" s="712"/>
      <c r="B12" s="734"/>
      <c r="C12" s="786" t="s">
        <v>164</v>
      </c>
      <c r="D12" s="786"/>
      <c r="E12" s="738" t="s">
        <v>165</v>
      </c>
      <c r="F12" s="738"/>
      <c r="G12" s="738"/>
      <c r="H12" s="787" t="s">
        <v>166</v>
      </c>
      <c r="I12" s="787"/>
      <c r="J12" s="787"/>
      <c r="K12" s="738" t="s">
        <v>122</v>
      </c>
      <c r="L12" s="738"/>
      <c r="M12" s="737" t="s">
        <v>167</v>
      </c>
      <c r="N12" s="737"/>
      <c r="O12" s="737"/>
      <c r="P12" s="738"/>
      <c r="Q12" s="785"/>
      <c r="R12" s="711"/>
    </row>
    <row r="13" spans="1:29" ht="14.25" customHeight="1">
      <c r="A13" s="712"/>
      <c r="B13" s="734"/>
      <c r="C13" s="786"/>
      <c r="D13" s="786"/>
      <c r="E13" s="780">
        <f>IF(N2="old tax regime",ROUND(M11*0.3,0),0)</f>
        <v>0</v>
      </c>
      <c r="F13" s="780"/>
      <c r="G13" s="780"/>
      <c r="H13" s="780">
        <f>IF(N2="old tax regime",'Exemp.(HRA+Other) &amp; Other incom'!L17,0)</f>
        <v>0</v>
      </c>
      <c r="I13" s="780"/>
      <c r="J13" s="780"/>
      <c r="K13" s="780">
        <f>IF(N2="old tax regime",'Exemp.(HRA+Other) &amp; Other incom'!L15,0)</f>
        <v>0</v>
      </c>
      <c r="L13" s="780"/>
      <c r="M13" s="791">
        <f>E13+H13+K13</f>
        <v>0</v>
      </c>
      <c r="N13" s="791"/>
      <c r="O13" s="791"/>
      <c r="P13" s="738"/>
      <c r="Q13" s="785"/>
      <c r="R13" s="711"/>
    </row>
    <row r="14" spans="1:29" ht="15.75">
      <c r="A14" s="712"/>
      <c r="B14" s="100"/>
      <c r="C14" s="774" t="s">
        <v>169</v>
      </c>
      <c r="D14" s="775"/>
      <c r="E14" s="775"/>
      <c r="F14" s="775"/>
      <c r="G14" s="775"/>
      <c r="H14" s="775"/>
      <c r="I14" s="775"/>
      <c r="J14" s="775"/>
      <c r="K14" s="775"/>
      <c r="L14" s="775"/>
      <c r="M14" s="775"/>
      <c r="N14" s="775"/>
      <c r="O14" s="776"/>
      <c r="P14" s="49" t="s">
        <v>121</v>
      </c>
      <c r="Q14" s="69">
        <f>M11-M13</f>
        <v>0</v>
      </c>
      <c r="R14" s="711"/>
    </row>
    <row r="15" spans="1:29" ht="15.75">
      <c r="A15" s="712"/>
      <c r="B15" s="100">
        <v>8</v>
      </c>
      <c r="C15" s="777" t="s">
        <v>168</v>
      </c>
      <c r="D15" s="778"/>
      <c r="E15" s="778"/>
      <c r="F15" s="778"/>
      <c r="G15" s="778"/>
      <c r="H15" s="778"/>
      <c r="I15" s="778"/>
      <c r="J15" s="778"/>
      <c r="K15" s="778"/>
      <c r="L15" s="778"/>
      <c r="M15" s="778"/>
      <c r="N15" s="778"/>
      <c r="O15" s="779"/>
      <c r="P15" s="49" t="s">
        <v>121</v>
      </c>
      <c r="Q15" s="74">
        <f>Q10+Q14</f>
        <v>499964</v>
      </c>
      <c r="R15" s="711"/>
    </row>
    <row r="16" spans="1:29" ht="15.75">
      <c r="A16" s="712"/>
      <c r="B16" s="718">
        <v>9</v>
      </c>
      <c r="C16" s="771" t="s">
        <v>149</v>
      </c>
      <c r="D16" s="107" t="s">
        <v>112</v>
      </c>
      <c r="E16" s="772" t="str">
        <f>'Exemp.(HRA+Other) &amp; Other incom'!B8</f>
        <v>अन्य आय (बैंक/एफडी में जमा ब्याज/अन्य ब्याज आदि का योग</v>
      </c>
      <c r="F16" s="731"/>
      <c r="G16" s="731"/>
      <c r="H16" s="731"/>
      <c r="I16" s="731"/>
      <c r="J16" s="731"/>
      <c r="K16" s="731"/>
      <c r="L16" s="731"/>
      <c r="M16" s="731"/>
      <c r="N16" s="731"/>
      <c r="O16" s="731"/>
      <c r="P16" s="49" t="s">
        <v>121</v>
      </c>
      <c r="Q16" s="69">
        <f>'Exemp.(HRA+Other) &amp; Other incom'!L8</f>
        <v>0</v>
      </c>
      <c r="R16" s="711"/>
    </row>
    <row r="17" spans="1:18" ht="15.75">
      <c r="A17" s="712"/>
      <c r="B17" s="718"/>
      <c r="C17" s="771"/>
      <c r="D17" s="107" t="s">
        <v>113</v>
      </c>
      <c r="E17" s="772" t="str">
        <f>'Exemp.(HRA+Other) &amp; Other incom'!C9</f>
        <v>(-----------------------------------------------------)</v>
      </c>
      <c r="F17" s="731"/>
      <c r="G17" s="731"/>
      <c r="H17" s="731"/>
      <c r="I17" s="731"/>
      <c r="J17" s="731"/>
      <c r="K17" s="731"/>
      <c r="L17" s="731"/>
      <c r="M17" s="731"/>
      <c r="N17" s="731"/>
      <c r="O17" s="731"/>
      <c r="P17" s="62"/>
      <c r="Q17" s="69">
        <f>'Exemp.(HRA+Other) &amp; Other incom'!L9</f>
        <v>0</v>
      </c>
      <c r="R17" s="711"/>
    </row>
    <row r="18" spans="1:18" ht="15.75">
      <c r="A18" s="712"/>
      <c r="B18" s="718"/>
      <c r="C18" s="771"/>
      <c r="D18" s="107" t="s">
        <v>114</v>
      </c>
      <c r="E18" s="772" t="str">
        <f>'Exemp.(HRA+Other) &amp; Other incom'!C10</f>
        <v>(-----------------------------------------------------)</v>
      </c>
      <c r="F18" s="731"/>
      <c r="G18" s="731"/>
      <c r="H18" s="731"/>
      <c r="I18" s="731"/>
      <c r="J18" s="731"/>
      <c r="K18" s="731"/>
      <c r="L18" s="731"/>
      <c r="M18" s="731"/>
      <c r="N18" s="731"/>
      <c r="O18" s="731"/>
      <c r="P18" s="62"/>
      <c r="Q18" s="69">
        <f>'Exemp.(HRA+Other) &amp; Other incom'!L10</f>
        <v>0</v>
      </c>
      <c r="R18" s="711"/>
    </row>
    <row r="19" spans="1:18" ht="16.5" thickBot="1">
      <c r="A19" s="712"/>
      <c r="B19" s="101"/>
      <c r="C19" s="773" t="s">
        <v>170</v>
      </c>
      <c r="D19" s="773"/>
      <c r="E19" s="773"/>
      <c r="F19" s="773"/>
      <c r="G19" s="773"/>
      <c r="H19" s="773"/>
      <c r="I19" s="773"/>
      <c r="J19" s="773"/>
      <c r="K19" s="773"/>
      <c r="L19" s="773"/>
      <c r="M19" s="773"/>
      <c r="N19" s="773"/>
      <c r="O19" s="773"/>
      <c r="P19" s="63"/>
      <c r="Q19" s="79">
        <f>Q16+Q17+Q18</f>
        <v>0</v>
      </c>
      <c r="R19" s="711"/>
    </row>
    <row r="20" spans="1:18" ht="16.5" thickBot="1">
      <c r="A20" s="712"/>
      <c r="B20" s="59">
        <v>10</v>
      </c>
      <c r="C20" s="763" t="s">
        <v>171</v>
      </c>
      <c r="D20" s="763"/>
      <c r="E20" s="763"/>
      <c r="F20" s="763"/>
      <c r="G20" s="763"/>
      <c r="H20" s="763"/>
      <c r="I20" s="763"/>
      <c r="J20" s="763"/>
      <c r="K20" s="763"/>
      <c r="L20" s="763"/>
      <c r="M20" s="763"/>
      <c r="N20" s="763"/>
      <c r="O20" s="763"/>
      <c r="P20" s="56" t="s">
        <v>121</v>
      </c>
      <c r="Q20" s="80">
        <f>Q15+Q19</f>
        <v>499964</v>
      </c>
      <c r="R20" s="711"/>
    </row>
    <row r="21" spans="1:18">
      <c r="A21" s="712"/>
      <c r="B21" s="733">
        <v>11</v>
      </c>
      <c r="C21" s="1055" t="s">
        <v>172</v>
      </c>
      <c r="D21" s="1055"/>
      <c r="E21" s="1055"/>
      <c r="F21" s="1055"/>
      <c r="G21" s="1055"/>
      <c r="H21" s="1055"/>
      <c r="I21" s="1055"/>
      <c r="J21" s="1055"/>
      <c r="K21" s="1055"/>
      <c r="L21" s="1055"/>
      <c r="M21" s="1055"/>
      <c r="N21" s="1055"/>
      <c r="O21" s="1055"/>
      <c r="P21" s="1055"/>
      <c r="Q21" s="1056"/>
      <c r="R21" s="711"/>
    </row>
    <row r="22" spans="1:18" ht="14.25" customHeight="1">
      <c r="A22" s="712"/>
      <c r="B22" s="734"/>
      <c r="C22" s="753" t="s">
        <v>173</v>
      </c>
      <c r="D22" s="753"/>
      <c r="E22" s="753"/>
      <c r="F22" s="753"/>
      <c r="G22" s="753"/>
      <c r="H22" s="753"/>
      <c r="I22" s="753"/>
      <c r="J22" s="753"/>
      <c r="K22" s="753"/>
      <c r="L22" s="753"/>
      <c r="M22" s="753"/>
      <c r="N22" s="753"/>
      <c r="O22" s="753"/>
      <c r="P22" s="753"/>
      <c r="Q22" s="765"/>
      <c r="R22" s="711"/>
    </row>
    <row r="23" spans="1:18" ht="14.25" customHeight="1">
      <c r="A23" s="712"/>
      <c r="B23" s="734"/>
      <c r="C23" s="107" t="s">
        <v>88</v>
      </c>
      <c r="D23" s="731" t="s">
        <v>174</v>
      </c>
      <c r="E23" s="731"/>
      <c r="F23" s="731"/>
      <c r="G23" s="731"/>
      <c r="H23" s="51" t="s">
        <v>121</v>
      </c>
      <c r="I23" s="76">
        <f>IF(N2="old tax regime",'Table (Income-Deduction)'!Q32,0)</f>
        <v>0</v>
      </c>
      <c r="J23" s="107" t="s">
        <v>89</v>
      </c>
      <c r="K23" s="1051" t="s">
        <v>179</v>
      </c>
      <c r="L23" s="1052"/>
      <c r="M23" s="1053"/>
      <c r="N23" s="51" t="s">
        <v>121</v>
      </c>
      <c r="O23" s="76">
        <f>IF(N2="old tax regime",'Exemp.(HRA+Other) &amp; Other incom'!Q15,0)</f>
        <v>0</v>
      </c>
      <c r="P23" s="766"/>
      <c r="Q23" s="767"/>
      <c r="R23" s="711"/>
    </row>
    <row r="24" spans="1:18" ht="14.25" customHeight="1">
      <c r="A24" s="712"/>
      <c r="B24" s="734"/>
      <c r="C24" s="107" t="s">
        <v>90</v>
      </c>
      <c r="D24" s="731" t="s">
        <v>175</v>
      </c>
      <c r="E24" s="731"/>
      <c r="F24" s="731"/>
      <c r="G24" s="731"/>
      <c r="H24" s="51" t="s">
        <v>121</v>
      </c>
      <c r="I24" s="76">
        <f>IF(N2="old tax regime",'Table (Income-Deduction)'!T32+'Exemp.(HRA+Other) &amp; Other incom'!L18,0)</f>
        <v>0</v>
      </c>
      <c r="J24" s="107" t="s">
        <v>91</v>
      </c>
      <c r="K24" s="1051" t="s">
        <v>130</v>
      </c>
      <c r="L24" s="1052"/>
      <c r="M24" s="1053"/>
      <c r="N24" s="51" t="s">
        <v>121</v>
      </c>
      <c r="O24" s="77">
        <f>IF(N2="old tax regime",'Exemp.(HRA+Other) &amp; Other incom'!L23,0)</f>
        <v>0</v>
      </c>
      <c r="P24" s="766"/>
      <c r="Q24" s="767"/>
      <c r="R24" s="711"/>
    </row>
    <row r="25" spans="1:18" ht="14.25" customHeight="1">
      <c r="A25" s="712"/>
      <c r="B25" s="734"/>
      <c r="C25" s="107" t="s">
        <v>92</v>
      </c>
      <c r="D25" s="731" t="s">
        <v>129</v>
      </c>
      <c r="E25" s="731"/>
      <c r="F25" s="731"/>
      <c r="G25" s="731"/>
      <c r="H25" s="51" t="s">
        <v>121</v>
      </c>
      <c r="I25" s="76">
        <f>IF(N2="old tax regime",'Exemp.(HRA+Other) &amp; Other incom'!L22,0)</f>
        <v>0</v>
      </c>
      <c r="J25" s="107" t="s">
        <v>93</v>
      </c>
      <c r="K25" s="1051" t="s">
        <v>127</v>
      </c>
      <c r="L25" s="1052"/>
      <c r="M25" s="1053"/>
      <c r="N25" s="51" t="s">
        <v>121</v>
      </c>
      <c r="O25" s="77">
        <f>IF(N2="old tax regime",'Exemp.(HRA+Other) &amp; Other incom'!L20,0)</f>
        <v>0</v>
      </c>
      <c r="P25" s="766"/>
      <c r="Q25" s="767"/>
      <c r="R25" s="711"/>
    </row>
    <row r="26" spans="1:18" ht="14.25" customHeight="1">
      <c r="A26" s="712"/>
      <c r="B26" s="734"/>
      <c r="C26" s="107" t="s">
        <v>94</v>
      </c>
      <c r="D26" s="731" t="s">
        <v>131</v>
      </c>
      <c r="E26" s="731"/>
      <c r="F26" s="731"/>
      <c r="G26" s="731"/>
      <c r="H26" s="51" t="s">
        <v>121</v>
      </c>
      <c r="I26" s="76">
        <f>IF(N2="old tax regime",'Exemp.(HRA+Other) &amp; Other incom'!L24,0)</f>
        <v>0</v>
      </c>
      <c r="J26" s="107" t="s">
        <v>95</v>
      </c>
      <c r="K26" s="1054" t="s">
        <v>144</v>
      </c>
      <c r="L26" s="1054"/>
      <c r="M26" s="1054"/>
      <c r="N26" s="51" t="s">
        <v>121</v>
      </c>
      <c r="O26" s="76">
        <f>IF(N2="old tax regime",'Exemp.(HRA+Other) &amp; Other incom'!Q24,0)</f>
        <v>0</v>
      </c>
      <c r="P26" s="766"/>
      <c r="Q26" s="767"/>
      <c r="R26" s="711"/>
    </row>
    <row r="27" spans="1:18" ht="14.25" customHeight="1">
      <c r="A27" s="712"/>
      <c r="B27" s="734"/>
      <c r="C27" s="107" t="s">
        <v>96</v>
      </c>
      <c r="D27" s="731" t="s">
        <v>176</v>
      </c>
      <c r="E27" s="731"/>
      <c r="F27" s="731"/>
      <c r="G27" s="731"/>
      <c r="H27" s="51" t="s">
        <v>121</v>
      </c>
      <c r="I27" s="76">
        <f>IF(N2="old tax regime",'Exemp.(HRA+Other) &amp; Other incom'!L25,0)</f>
        <v>0</v>
      </c>
      <c r="J27" s="107" t="s">
        <v>97</v>
      </c>
      <c r="K27" s="1051" t="s">
        <v>182</v>
      </c>
      <c r="L27" s="1052"/>
      <c r="M27" s="1053"/>
      <c r="N27" s="51" t="s">
        <v>121</v>
      </c>
      <c r="O27" s="76">
        <f>IF(N2="old tax regime",'Exemp.(HRA+Other) &amp; Other incom'!Q25,0)</f>
        <v>0</v>
      </c>
      <c r="P27" s="766"/>
      <c r="Q27" s="767"/>
      <c r="R27" s="711"/>
    </row>
    <row r="28" spans="1:18" ht="14.25" customHeight="1">
      <c r="A28" s="712"/>
      <c r="B28" s="734"/>
      <c r="C28" s="107" t="s">
        <v>98</v>
      </c>
      <c r="D28" s="786" t="s">
        <v>115</v>
      </c>
      <c r="E28" s="786"/>
      <c r="F28" s="786"/>
      <c r="G28" s="786"/>
      <c r="H28" s="51" t="s">
        <v>121</v>
      </c>
      <c r="I28" s="76">
        <f>IF(N2="old tax regime",'Table (Income-Deduction)'!P32,0)</f>
        <v>0</v>
      </c>
      <c r="J28" s="107" t="s">
        <v>99</v>
      </c>
      <c r="K28" s="1054" t="s">
        <v>181</v>
      </c>
      <c r="L28" s="1054"/>
      <c r="M28" s="1054"/>
      <c r="N28" s="51" t="s">
        <v>121</v>
      </c>
      <c r="O28" s="76">
        <f>IF(N2="old tax regime",'Exemp.(HRA+Other) &amp; Other incom'!L19,0)</f>
        <v>0</v>
      </c>
      <c r="P28" s="766"/>
      <c r="Q28" s="767"/>
      <c r="R28" s="711"/>
    </row>
    <row r="29" spans="1:18" ht="14.25" customHeight="1">
      <c r="A29" s="712"/>
      <c r="B29" s="734"/>
      <c r="C29" s="107" t="s">
        <v>100</v>
      </c>
      <c r="D29" s="731" t="s">
        <v>177</v>
      </c>
      <c r="E29" s="731"/>
      <c r="F29" s="731"/>
      <c r="G29" s="731"/>
      <c r="H29" s="51" t="s">
        <v>121</v>
      </c>
      <c r="I29" s="77">
        <f>IF(N2="old tax regime",'Table (Income-Deduction)'!U32,0)</f>
        <v>0</v>
      </c>
      <c r="J29" s="107" t="s">
        <v>101</v>
      </c>
      <c r="K29" s="1051" t="s">
        <v>134</v>
      </c>
      <c r="L29" s="1052"/>
      <c r="M29" s="1053"/>
      <c r="N29" s="51" t="s">
        <v>121</v>
      </c>
      <c r="O29" s="76">
        <f>IF(N2="old tax regime",'Exemp.(HRA+Other) &amp; Other incom'!Q14,0)</f>
        <v>0</v>
      </c>
      <c r="P29" s="766"/>
      <c r="Q29" s="767"/>
      <c r="R29" s="711"/>
    </row>
    <row r="30" spans="1:18" ht="14.25" customHeight="1">
      <c r="A30" s="712"/>
      <c r="B30" s="734"/>
      <c r="C30" s="107" t="s">
        <v>102</v>
      </c>
      <c r="D30" s="731" t="s">
        <v>128</v>
      </c>
      <c r="E30" s="731"/>
      <c r="F30" s="731"/>
      <c r="G30" s="731"/>
      <c r="H30" s="51" t="s">
        <v>121</v>
      </c>
      <c r="I30" s="77">
        <f>IF(N2="old tax regime",'Exemp.(HRA+Other) &amp; Other incom'!L21,0)</f>
        <v>0</v>
      </c>
      <c r="J30" s="107" t="s">
        <v>103</v>
      </c>
      <c r="K30" s="1054" t="s">
        <v>180</v>
      </c>
      <c r="L30" s="1054"/>
      <c r="M30" s="1054"/>
      <c r="N30" s="51" t="s">
        <v>121</v>
      </c>
      <c r="O30" s="76">
        <f>IF(N2="old tax regime",'Exemp.(HRA+Other) &amp; Other incom'!L26,0)</f>
        <v>0</v>
      </c>
      <c r="P30" s="766"/>
      <c r="Q30" s="767"/>
      <c r="R30" s="711"/>
    </row>
    <row r="31" spans="1:18" ht="14.25" customHeight="1">
      <c r="A31" s="712"/>
      <c r="B31" s="734"/>
      <c r="C31" s="107" t="s">
        <v>104</v>
      </c>
      <c r="D31" s="741" t="s">
        <v>178</v>
      </c>
      <c r="E31" s="741"/>
      <c r="F31" s="741"/>
      <c r="G31" s="741"/>
      <c r="H31" s="51" t="s">
        <v>121</v>
      </c>
      <c r="I31" s="76">
        <f>IF(N2="old tax regime",'Exemp.(HRA+Other) &amp; Other incom'!L16,0)</f>
        <v>0</v>
      </c>
      <c r="J31" s="107" t="s">
        <v>105</v>
      </c>
      <c r="K31" s="1054"/>
      <c r="L31" s="1054"/>
      <c r="M31" s="1054"/>
      <c r="N31" s="51" t="s">
        <v>121</v>
      </c>
      <c r="O31" s="76"/>
      <c r="P31" s="766"/>
      <c r="Q31" s="767"/>
      <c r="R31" s="711"/>
    </row>
    <row r="32" spans="1:18" ht="14.25" customHeight="1">
      <c r="A32" s="712"/>
      <c r="B32" s="734"/>
      <c r="C32" s="752" t="s">
        <v>183</v>
      </c>
      <c r="D32" s="752"/>
      <c r="E32" s="752"/>
      <c r="F32" s="752"/>
      <c r="G32" s="752"/>
      <c r="H32" s="752"/>
      <c r="I32" s="752"/>
      <c r="J32" s="752"/>
      <c r="K32" s="752"/>
      <c r="L32" s="752"/>
      <c r="M32" s="752"/>
      <c r="N32" s="51" t="s">
        <v>121</v>
      </c>
      <c r="O32" s="78">
        <f>SUM(O23:O31,I23:I31)</f>
        <v>0</v>
      </c>
      <c r="P32" s="766"/>
      <c r="Q32" s="767"/>
      <c r="R32" s="711"/>
    </row>
    <row r="33" spans="1:26" ht="14.25" customHeight="1">
      <c r="A33" s="712"/>
      <c r="B33" s="734"/>
      <c r="C33" s="752" t="s">
        <v>184</v>
      </c>
      <c r="D33" s="752"/>
      <c r="E33" s="752"/>
      <c r="F33" s="752"/>
      <c r="G33" s="752"/>
      <c r="H33" s="752"/>
      <c r="I33" s="752"/>
      <c r="J33" s="752"/>
      <c r="K33" s="752"/>
      <c r="L33" s="752"/>
      <c r="M33" s="752"/>
      <c r="N33" s="752"/>
      <c r="O33" s="752"/>
      <c r="P33" s="61" t="s">
        <v>121</v>
      </c>
      <c r="Q33" s="74">
        <f>IF(N2="new tax regime",0,IF(O32&gt;=150000,150000,O32))</f>
        <v>0</v>
      </c>
      <c r="R33" s="711"/>
    </row>
    <row r="34" spans="1:26">
      <c r="A34" s="712"/>
      <c r="B34" s="734"/>
      <c r="C34" s="753" t="s">
        <v>185</v>
      </c>
      <c r="D34" s="753"/>
      <c r="E34" s="753"/>
      <c r="F34" s="753"/>
      <c r="G34" s="753"/>
      <c r="H34" s="753"/>
      <c r="I34" s="753"/>
      <c r="J34" s="753"/>
      <c r="K34" s="753"/>
      <c r="L34" s="753"/>
      <c r="M34" s="753"/>
      <c r="N34" s="753"/>
      <c r="O34" s="753"/>
      <c r="P34" s="49" t="s">
        <v>121</v>
      </c>
      <c r="Q34" s="74">
        <f>IF(N2="old tax regime",'Exemp.(HRA+Other) &amp; Other incom'!Q16,0)</f>
        <v>0</v>
      </c>
      <c r="R34" s="711"/>
    </row>
    <row r="35" spans="1:26">
      <c r="A35" s="712"/>
      <c r="B35" s="734"/>
      <c r="C35" s="1057" t="s">
        <v>187</v>
      </c>
      <c r="D35" s="1057"/>
      <c r="E35" s="1057"/>
      <c r="F35" s="1057"/>
      <c r="G35" s="1057"/>
      <c r="H35" s="1057"/>
      <c r="I35" s="1057"/>
      <c r="J35" s="1057"/>
      <c r="K35" s="1057"/>
      <c r="L35" s="1057"/>
      <c r="M35" s="1057"/>
      <c r="N35" s="1057"/>
      <c r="O35" s="1057"/>
      <c r="P35" s="50" t="s">
        <v>121</v>
      </c>
      <c r="Q35" s="75">
        <f>Q33+Q34</f>
        <v>0</v>
      </c>
      <c r="R35" s="711"/>
    </row>
    <row r="36" spans="1:26" ht="14.25" customHeight="1">
      <c r="A36" s="712"/>
      <c r="B36" s="734">
        <v>12</v>
      </c>
      <c r="C36" s="1059" t="s">
        <v>186</v>
      </c>
      <c r="D36" s="1059"/>
      <c r="E36" s="1059"/>
      <c r="F36" s="1059"/>
      <c r="G36" s="1059"/>
      <c r="H36" s="1059"/>
      <c r="I36" s="1059"/>
      <c r="J36" s="1059"/>
      <c r="K36" s="1059"/>
      <c r="L36" s="1059"/>
      <c r="M36" s="1059"/>
      <c r="N36" s="1059"/>
      <c r="O36" s="1059"/>
      <c r="P36" s="1059"/>
      <c r="Q36" s="1060"/>
      <c r="R36" s="711"/>
    </row>
    <row r="37" spans="1:26" ht="14.25" customHeight="1">
      <c r="A37" s="712"/>
      <c r="B37" s="734"/>
      <c r="C37" s="745" t="s">
        <v>220</v>
      </c>
      <c r="D37" s="745"/>
      <c r="E37" s="745"/>
      <c r="F37" s="745"/>
      <c r="G37" s="745"/>
      <c r="H37" s="745"/>
      <c r="I37" s="745"/>
      <c r="J37" s="745"/>
      <c r="K37" s="745"/>
      <c r="L37" s="745"/>
      <c r="M37" s="745"/>
      <c r="N37" s="745"/>
      <c r="O37" s="745"/>
      <c r="P37" s="49" t="s">
        <v>121</v>
      </c>
      <c r="Q37" s="69">
        <f>IF(N2="old tax regime",'Exemp.(HRA+Other) &amp; Other incom'!Q17,0)</f>
        <v>0</v>
      </c>
      <c r="R37" s="711"/>
    </row>
    <row r="38" spans="1:26" ht="14.25" customHeight="1">
      <c r="A38" s="712"/>
      <c r="B38" s="734"/>
      <c r="C38" s="731" t="s">
        <v>191</v>
      </c>
      <c r="D38" s="731"/>
      <c r="E38" s="731"/>
      <c r="F38" s="731"/>
      <c r="G38" s="731"/>
      <c r="H38" s="731"/>
      <c r="I38" s="731"/>
      <c r="J38" s="731"/>
      <c r="K38" s="731"/>
      <c r="L38" s="731"/>
      <c r="M38" s="731"/>
      <c r="N38" s="731"/>
      <c r="O38" s="731"/>
      <c r="P38" s="49" t="s">
        <v>121</v>
      </c>
      <c r="Q38" s="69">
        <f>IF(N2="old tax regime",'Exemp.(HRA+Other) &amp; Other incom'!Q18,0)</f>
        <v>0</v>
      </c>
      <c r="R38" s="711"/>
    </row>
    <row r="39" spans="1:26" ht="14.25" customHeight="1">
      <c r="A39" s="712"/>
      <c r="B39" s="734"/>
      <c r="C39" s="731" t="s">
        <v>188</v>
      </c>
      <c r="D39" s="731"/>
      <c r="E39" s="731"/>
      <c r="F39" s="731"/>
      <c r="G39" s="731"/>
      <c r="H39" s="731"/>
      <c r="I39" s="731"/>
      <c r="J39" s="731"/>
      <c r="K39" s="731"/>
      <c r="L39" s="731"/>
      <c r="M39" s="731"/>
      <c r="N39" s="731"/>
      <c r="O39" s="731"/>
      <c r="P39" s="49" t="s">
        <v>121</v>
      </c>
      <c r="Q39" s="69">
        <f>IF(N2="old tax regime",'Exemp.(HRA+Other) &amp; Other incom'!Q19,0)</f>
        <v>0</v>
      </c>
      <c r="R39" s="711"/>
    </row>
    <row r="40" spans="1:26" ht="14.25" customHeight="1">
      <c r="A40" s="712"/>
      <c r="B40" s="734"/>
      <c r="C40" s="731" t="s">
        <v>189</v>
      </c>
      <c r="D40" s="731"/>
      <c r="E40" s="731"/>
      <c r="F40" s="731"/>
      <c r="G40" s="731"/>
      <c r="H40" s="731"/>
      <c r="I40" s="731"/>
      <c r="J40" s="731"/>
      <c r="K40" s="731"/>
      <c r="L40" s="731"/>
      <c r="M40" s="731"/>
      <c r="N40" s="731"/>
      <c r="O40" s="731"/>
      <c r="P40" s="49" t="s">
        <v>121</v>
      </c>
      <c r="Q40" s="69">
        <f>IF(N2="old tax regime",'Exemp.(HRA+Other) &amp; Other incom'!Q20,0)</f>
        <v>0</v>
      </c>
      <c r="R40" s="711"/>
    </row>
    <row r="41" spans="1:26" ht="14.25" customHeight="1">
      <c r="A41" s="712"/>
      <c r="B41" s="734"/>
      <c r="C41" s="731" t="s">
        <v>190</v>
      </c>
      <c r="D41" s="731"/>
      <c r="E41" s="731"/>
      <c r="F41" s="731"/>
      <c r="G41" s="731"/>
      <c r="H41" s="731"/>
      <c r="I41" s="731"/>
      <c r="J41" s="731"/>
      <c r="K41" s="731"/>
      <c r="L41" s="731"/>
      <c r="M41" s="731"/>
      <c r="N41" s="731"/>
      <c r="O41" s="731"/>
      <c r="P41" s="49" t="s">
        <v>121</v>
      </c>
      <c r="Q41" s="69">
        <f>IF(N2="old tax regime",'Exemp.(HRA+Other) &amp; Other incom'!Q21,0)</f>
        <v>0</v>
      </c>
      <c r="R41" s="711"/>
      <c r="W41" s="129" t="s">
        <v>228</v>
      </c>
      <c r="X41" s="129" t="s">
        <v>229</v>
      </c>
      <c r="Y41" s="162" t="s">
        <v>230</v>
      </c>
      <c r="Z41" s="129" t="s">
        <v>232</v>
      </c>
    </row>
    <row r="42" spans="1:26" ht="14.25" customHeight="1">
      <c r="A42" s="712"/>
      <c r="B42" s="734"/>
      <c r="C42" s="745" t="s">
        <v>192</v>
      </c>
      <c r="D42" s="745"/>
      <c r="E42" s="745"/>
      <c r="F42" s="745"/>
      <c r="G42" s="745"/>
      <c r="H42" s="745"/>
      <c r="I42" s="745"/>
      <c r="J42" s="745"/>
      <c r="K42" s="745"/>
      <c r="L42" s="745"/>
      <c r="M42" s="745"/>
      <c r="N42" s="745"/>
      <c r="O42" s="745"/>
      <c r="P42" s="49" t="s">
        <v>121</v>
      </c>
      <c r="Q42" s="69">
        <f>IF(N2="old tax regime",'Exemp.(HRA+Other) &amp; Other incom'!Q22,0)</f>
        <v>0</v>
      </c>
      <c r="R42" s="711"/>
      <c r="W42" s="129">
        <f>IF($Q$48&gt;1000000,1,IF($Q$48&gt;500000,2,IF($Q$48&gt;300000,3,IF($Q$48&gt;250000,4,0))))</f>
        <v>3</v>
      </c>
      <c r="X42" s="129">
        <f>IF($Q$48&gt;1000000,1,IF($Q$48&gt;500000,2,IF($Q$48&gt;300000,3,0)))</f>
        <v>3</v>
      </c>
      <c r="Y42" s="129">
        <f>IF($Q$48&gt;1000000,1,IF($Q$48&gt;500000,2,0))</f>
        <v>0</v>
      </c>
      <c r="Z42" s="129">
        <f>IF($Q$48&gt;1000000,1,0)</f>
        <v>0</v>
      </c>
    </row>
    <row r="43" spans="1:26" ht="14.25" customHeight="1">
      <c r="A43" s="712"/>
      <c r="B43" s="734"/>
      <c r="C43" s="741" t="s">
        <v>193</v>
      </c>
      <c r="D43" s="741"/>
      <c r="E43" s="741"/>
      <c r="F43" s="741"/>
      <c r="G43" s="741"/>
      <c r="H43" s="741"/>
      <c r="I43" s="741"/>
      <c r="J43" s="741"/>
      <c r="K43" s="741"/>
      <c r="L43" s="741"/>
      <c r="M43" s="741"/>
      <c r="N43" s="741"/>
      <c r="O43" s="741"/>
      <c r="P43" s="49" t="s">
        <v>121</v>
      </c>
      <c r="Q43" s="69">
        <f>IF(N2="old tax regime",'Exemp.(HRA+Other) &amp; Other incom'!Q13,0)</f>
        <v>0</v>
      </c>
      <c r="R43" s="711"/>
      <c r="V43" s="130" t="s">
        <v>225</v>
      </c>
      <c r="W43" s="129">
        <f>IF(W42&gt;=3,ROUND((Q48-250000)*0.05,0),IF(W42=0,0,12500))</f>
        <v>12498</v>
      </c>
      <c r="X43" s="129">
        <v>0</v>
      </c>
      <c r="Y43" s="129">
        <f>IF($Y$42=2,($Q$48-500000)*0.2,IF($Y$42=1,100000,0))</f>
        <v>0</v>
      </c>
      <c r="Z43" s="129">
        <f>IF($Z$42&gt;0,($Q$48-1000000)*0.3,0)</f>
        <v>0</v>
      </c>
    </row>
    <row r="44" spans="1:26" ht="14.25" customHeight="1">
      <c r="A44" s="712"/>
      <c r="B44" s="734"/>
      <c r="C44" s="731" t="s">
        <v>194</v>
      </c>
      <c r="D44" s="731"/>
      <c r="E44" s="731"/>
      <c r="F44" s="731"/>
      <c r="G44" s="731"/>
      <c r="H44" s="731"/>
      <c r="I44" s="731"/>
      <c r="J44" s="731"/>
      <c r="K44" s="731"/>
      <c r="L44" s="731"/>
      <c r="M44" s="731"/>
      <c r="N44" s="731"/>
      <c r="O44" s="731"/>
      <c r="P44" s="49" t="s">
        <v>121</v>
      </c>
      <c r="Q44" s="69">
        <f>IF(N2="old tax regime",'Exemp.(HRA+Other) &amp; Other incom'!Q23,0)</f>
        <v>0</v>
      </c>
      <c r="R44" s="711"/>
      <c r="V44" s="130" t="s">
        <v>117</v>
      </c>
      <c r="W44" s="162">
        <v>0</v>
      </c>
      <c r="X44" s="129">
        <f>IF(X42=3,ROUND((Q48-300000)*0.05,0),IF(X42=0,0,10000))</f>
        <v>9998</v>
      </c>
      <c r="Y44" s="129">
        <f t="shared" ref="Y44:Y45" si="0">IF($Y$42=2,($Q$48-500000)*0.2,IF($Y$42=1,100000,0))</f>
        <v>0</v>
      </c>
      <c r="Z44" s="129">
        <f t="shared" ref="Z44:Z45" si="1">IF($Z$42&gt;0,($Q$48-1000000)*0.3,0)</f>
        <v>0</v>
      </c>
    </row>
    <row r="45" spans="1:26" ht="12" customHeight="1" thickBot="1">
      <c r="A45" s="712"/>
      <c r="B45" s="1058"/>
      <c r="C45" s="742" t="s">
        <v>195</v>
      </c>
      <c r="D45" s="742"/>
      <c r="E45" s="742"/>
      <c r="F45" s="742"/>
      <c r="G45" s="742"/>
      <c r="H45" s="742"/>
      <c r="I45" s="742"/>
      <c r="J45" s="742"/>
      <c r="K45" s="742"/>
      <c r="L45" s="742"/>
      <c r="M45" s="742"/>
      <c r="N45" s="742"/>
      <c r="O45" s="742"/>
      <c r="P45" s="52" t="s">
        <v>121</v>
      </c>
      <c r="Q45" s="70">
        <f>SUM(Q37:Q44)</f>
        <v>0</v>
      </c>
      <c r="R45" s="711"/>
      <c r="V45" s="130" t="s">
        <v>224</v>
      </c>
      <c r="W45" s="162">
        <v>0</v>
      </c>
      <c r="X45" s="162">
        <v>0</v>
      </c>
      <c r="Y45" s="129">
        <f t="shared" si="0"/>
        <v>0</v>
      </c>
      <c r="Z45" s="129">
        <f t="shared" si="1"/>
        <v>0</v>
      </c>
    </row>
    <row r="46" spans="1:26" ht="16.5" thickBot="1">
      <c r="A46" s="712"/>
      <c r="B46" s="60">
        <v>13</v>
      </c>
      <c r="C46" s="1061" t="s">
        <v>196</v>
      </c>
      <c r="D46" s="1061"/>
      <c r="E46" s="1061"/>
      <c r="F46" s="1061"/>
      <c r="G46" s="1061"/>
      <c r="H46" s="1061"/>
      <c r="I46" s="1061"/>
      <c r="J46" s="1061"/>
      <c r="K46" s="1061"/>
      <c r="L46" s="1061"/>
      <c r="M46" s="1061"/>
      <c r="N46" s="1061"/>
      <c r="O46" s="1061"/>
      <c r="P46" s="58" t="s">
        <v>121</v>
      </c>
      <c r="Q46" s="71">
        <f>Q35+Q45</f>
        <v>0</v>
      </c>
      <c r="R46" s="711"/>
    </row>
    <row r="47" spans="1:26" ht="15.75">
      <c r="A47" s="712"/>
      <c r="B47" s="99">
        <v>14</v>
      </c>
      <c r="C47" s="744" t="s">
        <v>197</v>
      </c>
      <c r="D47" s="744"/>
      <c r="E47" s="744"/>
      <c r="F47" s="744"/>
      <c r="G47" s="744"/>
      <c r="H47" s="744"/>
      <c r="I47" s="744"/>
      <c r="J47" s="744"/>
      <c r="K47" s="744"/>
      <c r="L47" s="744"/>
      <c r="M47" s="744"/>
      <c r="N47" s="744"/>
      <c r="O47" s="744"/>
      <c r="P47" s="54" t="s">
        <v>121</v>
      </c>
      <c r="Q47" s="72">
        <f>Q20-Q46</f>
        <v>499964</v>
      </c>
      <c r="R47" s="711"/>
    </row>
    <row r="48" spans="1:26" ht="15.75" customHeight="1" thickBot="1">
      <c r="A48" s="712"/>
      <c r="B48" s="101">
        <v>15</v>
      </c>
      <c r="C48" s="713" t="s">
        <v>198</v>
      </c>
      <c r="D48" s="713"/>
      <c r="E48" s="713"/>
      <c r="F48" s="713"/>
      <c r="G48" s="713"/>
      <c r="H48" s="713"/>
      <c r="I48" s="713"/>
      <c r="J48" s="713"/>
      <c r="K48" s="713"/>
      <c r="L48" s="713"/>
      <c r="M48" s="713"/>
      <c r="N48" s="713"/>
      <c r="O48" s="713"/>
      <c r="P48" s="55" t="s">
        <v>121</v>
      </c>
      <c r="Q48" s="73">
        <f>ROUND(Q47,-1)</f>
        <v>499960</v>
      </c>
      <c r="R48" s="711"/>
      <c r="T48" s="111" t="str">
        <f>IF(N2="Old tax regime","A","B")</f>
        <v>B</v>
      </c>
      <c r="U48" s="129" t="str">
        <f>'Basic Deta'!O10</f>
        <v>A</v>
      </c>
      <c r="V48" s="129" t="str">
        <f>CONCATENATE(T48,U48)</f>
        <v>BA</v>
      </c>
      <c r="W48" s="162"/>
      <c r="X48" s="162"/>
      <c r="Y48" s="162"/>
    </row>
    <row r="49" spans="1:40" ht="14.25" customHeight="1">
      <c r="A49" s="712"/>
      <c r="B49" s="733">
        <v>16</v>
      </c>
      <c r="C49" s="735" t="s">
        <v>199</v>
      </c>
      <c r="D49" s="735"/>
      <c r="E49" s="735"/>
      <c r="F49" s="735"/>
      <c r="G49" s="735"/>
      <c r="H49" s="735"/>
      <c r="I49" s="735"/>
      <c r="J49" s="735"/>
      <c r="K49" s="735"/>
      <c r="L49" s="735"/>
      <c r="M49" s="735"/>
      <c r="N49" s="735"/>
      <c r="O49" s="735"/>
      <c r="P49" s="735"/>
      <c r="Q49" s="736"/>
      <c r="R49" s="711"/>
    </row>
    <row r="50" spans="1:40" ht="14.25" customHeight="1">
      <c r="A50" s="712"/>
      <c r="B50" s="734"/>
      <c r="C50" s="737" t="s">
        <v>200</v>
      </c>
      <c r="D50" s="737"/>
      <c r="E50" s="737"/>
      <c r="F50" s="737"/>
      <c r="G50" s="737"/>
      <c r="H50" s="737" t="s">
        <v>201</v>
      </c>
      <c r="I50" s="737"/>
      <c r="J50" s="737"/>
      <c r="K50" s="737"/>
      <c r="L50" s="737" t="s">
        <v>202</v>
      </c>
      <c r="M50" s="737"/>
      <c r="N50" s="737"/>
      <c r="O50" s="737"/>
      <c r="P50" s="106"/>
      <c r="Q50" s="64"/>
      <c r="R50" s="711"/>
    </row>
    <row r="51" spans="1:40" ht="12" customHeight="1">
      <c r="A51" s="712"/>
      <c r="B51" s="734"/>
      <c r="C51" s="738" t="str">
        <f>IF($N$2="old tax regime","2,50,000 तक","2,50,000 तक")</f>
        <v>2,50,000 तक</v>
      </c>
      <c r="D51" s="738"/>
      <c r="E51" s="738"/>
      <c r="F51" s="738" t="s">
        <v>106</v>
      </c>
      <c r="G51" s="738"/>
      <c r="H51" s="738" t="str">
        <f>IF($N$2="old tax regime","3,00,000 तक","3,00,000 तक")</f>
        <v>3,00,000 तक</v>
      </c>
      <c r="I51" s="738"/>
      <c r="J51" s="738"/>
      <c r="K51" s="104" t="s">
        <v>106</v>
      </c>
      <c r="L51" s="738" t="str">
        <f>IF($N$2="old tax regime","----","3,00,000 तक")</f>
        <v>3,00,000 तक</v>
      </c>
      <c r="M51" s="738"/>
      <c r="N51" s="738"/>
      <c r="O51" s="104" t="str">
        <f>IF($N$2="Old tax regime","----","Nil")</f>
        <v>Nil</v>
      </c>
      <c r="P51" s="49" t="s">
        <v>121</v>
      </c>
      <c r="Q51" s="66">
        <v>0</v>
      </c>
      <c r="R51" s="711"/>
    </row>
    <row r="52" spans="1:40" ht="12" customHeight="1">
      <c r="A52" s="712"/>
      <c r="B52" s="734"/>
      <c r="C52" s="738" t="s">
        <v>107</v>
      </c>
      <c r="D52" s="738"/>
      <c r="E52" s="738"/>
      <c r="F52" s="739">
        <v>0.05</v>
      </c>
      <c r="G52" s="738"/>
      <c r="H52" s="738" t="s">
        <v>108</v>
      </c>
      <c r="I52" s="738"/>
      <c r="J52" s="738"/>
      <c r="K52" s="105">
        <v>0.05</v>
      </c>
      <c r="L52" s="738" t="str">
        <f>IF($N$2="old tax regime","5,00,000 तक","3,00,001-5,00,000")</f>
        <v>3,00,001-5,00,000</v>
      </c>
      <c r="M52" s="738"/>
      <c r="N52" s="738"/>
      <c r="O52" s="104" t="str">
        <f>IF(N2="Old tax regime","Nil","5%")</f>
        <v>5%</v>
      </c>
      <c r="P52" s="49" t="s">
        <v>121</v>
      </c>
      <c r="Q52" s="67">
        <f>IF($V$48="AA",W43,IF($V$48="AB",X44,IF($V$48="BA",AH55,IF($V$48="BB",AI56,IF($V$48="BC",AI57,0)))))</f>
        <v>12498</v>
      </c>
      <c r="R52" s="711"/>
    </row>
    <row r="53" spans="1:40" ht="12" customHeight="1">
      <c r="A53" s="712"/>
      <c r="B53" s="734"/>
      <c r="C53" s="738" t="str">
        <f>IF($N$2="old tax regime","5,00,001-10,00,000","5,00,001-7,50,000")</f>
        <v>5,00,001-7,50,000</v>
      </c>
      <c r="D53" s="738"/>
      <c r="E53" s="738"/>
      <c r="F53" s="739" t="str">
        <f>IF(N2="Old tax regime","20%","10%")</f>
        <v>10%</v>
      </c>
      <c r="G53" s="738"/>
      <c r="H53" s="738" t="str">
        <f>IF($N$2="old tax regime","5,00,001-10,00,000","5,00,001-7,50,000")</f>
        <v>5,00,001-7,50,000</v>
      </c>
      <c r="I53" s="738"/>
      <c r="J53" s="738"/>
      <c r="K53" s="105" t="str">
        <f>IF(N2="Old tax regime","20%","10%")</f>
        <v>10%</v>
      </c>
      <c r="L53" s="738" t="str">
        <f>IF($N$2="old tax regime","5,00,001-10,00,000","5,00,001-7,50,000")</f>
        <v>5,00,001-7,50,000</v>
      </c>
      <c r="M53" s="738"/>
      <c r="N53" s="738"/>
      <c r="O53" s="105" t="str">
        <f>IF(N2="Old tax regime","20%","10%")</f>
        <v>10%</v>
      </c>
      <c r="P53" s="49" t="s">
        <v>121</v>
      </c>
      <c r="Q53" s="67">
        <f>IF($V$48="AA",Y43,IF($V$48="AB",Y44,IF($V$48="AC",Y45,IF($V$48="BA",AJ55,IF($V$48="BB",AJ56,IF($V$48="BC",AJ57,0))))))</f>
        <v>0</v>
      </c>
      <c r="R53" s="711"/>
      <c r="AG53" s="90"/>
      <c r="AH53" s="90" t="s">
        <v>228</v>
      </c>
      <c r="AI53" s="90" t="s">
        <v>229</v>
      </c>
      <c r="AJ53" s="91" t="s">
        <v>230</v>
      </c>
      <c r="AK53" s="129" t="s">
        <v>231</v>
      </c>
      <c r="AL53" s="129" t="s">
        <v>232</v>
      </c>
      <c r="AM53" s="129" t="s">
        <v>233</v>
      </c>
      <c r="AN53" s="129" t="s">
        <v>234</v>
      </c>
    </row>
    <row r="54" spans="1:40" ht="12" customHeight="1">
      <c r="A54" s="712"/>
      <c r="B54" s="734"/>
      <c r="C54" s="738" t="str">
        <f>IF($N$2="old tax regime","10,00,000 से अधिक","7,50,001-10,00,000")</f>
        <v>7,50,001-10,00,000</v>
      </c>
      <c r="D54" s="738"/>
      <c r="E54" s="738"/>
      <c r="F54" s="739" t="str">
        <f>IF(N2="Old tax regime","30%","15%")</f>
        <v>15%</v>
      </c>
      <c r="G54" s="738"/>
      <c r="H54" s="738" t="str">
        <f>IF($N$2="old tax regime","10,00,000 से अधिक","7,50,001-10,00,000")</f>
        <v>7,50,001-10,00,000</v>
      </c>
      <c r="I54" s="738"/>
      <c r="J54" s="738"/>
      <c r="K54" s="105" t="str">
        <f>IF(N2="Old tax regime","30%","15%")</f>
        <v>15%</v>
      </c>
      <c r="L54" s="738" t="str">
        <f>IF($N$2="old tax regime","10,00,000 से अधिक","7,50,001-10,00,000")</f>
        <v>7,50,001-10,00,000</v>
      </c>
      <c r="M54" s="738"/>
      <c r="N54" s="738"/>
      <c r="O54" s="105" t="str">
        <f>IF(N2="Old tax regime","30%","15%")</f>
        <v>15%</v>
      </c>
      <c r="P54" s="49" t="s">
        <v>121</v>
      </c>
      <c r="Q54" s="67">
        <f>IF($V$48="AA",Z43,IF($V$48="AB",Z44,IF($V$48="AC",Z45,IF($V$48="BA",AK55,IF($V$48="BB",AK56,IF($V$48="BC",AK57,0))))))</f>
        <v>0</v>
      </c>
      <c r="R54" s="711"/>
      <c r="AG54" s="90"/>
      <c r="AH54" s="90">
        <f>IF($Q$48&gt;1500000,1,IF($Q$48&gt;1250000,2,IF($Q$48&gt;1000000,3,IF($Q$48&gt;750000,4,IF($Q$48&gt;500000,5,IF($Q$48&gt;300000,6,IF($Q$48&gt;250000,7,0)))))))</f>
        <v>6</v>
      </c>
      <c r="AI54" s="90">
        <f>IF($Q$48&gt;1500000,1,IF($Q$48&gt;1250000,2,IF($Q$48&gt;1000000,3,IF($Q$48&gt;750000,4,IF($Q$48&gt;500000,5,IF($Q$48&gt;300000,6,0))))))</f>
        <v>6</v>
      </c>
      <c r="AJ54" s="90">
        <f>IF($Q$48&gt;1500000,1,IF($Q$48&gt;1250000,2,IF($Q$48&gt;1000000,3,IF($Q$48&gt;750000,4,IF($Q$48&gt;500000,5,0)))))</f>
        <v>0</v>
      </c>
      <c r="AK54" s="129">
        <f>IF($Q$48&gt;1500000,1,IF($Q$48&gt;1250000,2,IF($Q$48&gt;1000000,3,IF($Q$48&gt;750000,4,0))))</f>
        <v>0</v>
      </c>
      <c r="AL54" s="129">
        <f>IF($Q$48&gt;1500000,1,IF($Q$48&gt;1250000,2,IF($Q$48&gt;1000000,3,0)))</f>
        <v>0</v>
      </c>
      <c r="AM54" s="129">
        <f>IF($Q$48&gt;1500000,1,IF($Q$48&gt;1250000,2,0))</f>
        <v>0</v>
      </c>
      <c r="AN54" s="129">
        <f>IF($Q$48&gt;1500000,1,0)</f>
        <v>0</v>
      </c>
    </row>
    <row r="55" spans="1:40" ht="12" customHeight="1">
      <c r="A55" s="712"/>
      <c r="B55" s="734"/>
      <c r="C55" s="738" t="str">
        <f>IF($N$2="old tax regime","----","10,00,001-12,50,000")</f>
        <v>10,00,001-12,50,000</v>
      </c>
      <c r="D55" s="738"/>
      <c r="E55" s="738"/>
      <c r="F55" s="739" t="str">
        <f>IF(N2="Old tax regime","----","20%")</f>
        <v>20%</v>
      </c>
      <c r="G55" s="738"/>
      <c r="H55" s="738" t="str">
        <f>IF($N$2="old tax regime","----","10,00,001-12,50,000")</f>
        <v>10,00,001-12,50,000</v>
      </c>
      <c r="I55" s="738"/>
      <c r="J55" s="738"/>
      <c r="K55" s="105" t="str">
        <f>IF(N2="Old tax regime","----","20%")</f>
        <v>20%</v>
      </c>
      <c r="L55" s="738" t="str">
        <f>IF($N$2="old tax regime","----","10,00,001-12,50,000")</f>
        <v>10,00,001-12,50,000</v>
      </c>
      <c r="M55" s="738"/>
      <c r="N55" s="738"/>
      <c r="O55" s="105" t="str">
        <f>IF(N2="Old tax regime","----","20%")</f>
        <v>20%</v>
      </c>
      <c r="P55" s="49" t="s">
        <v>121</v>
      </c>
      <c r="Q55" s="66">
        <f>IF($T$48="a",0,AL55)</f>
        <v>0</v>
      </c>
      <c r="R55" s="711"/>
      <c r="AG55" s="90" t="s">
        <v>225</v>
      </c>
      <c r="AH55" s="90">
        <f>IF(AH54&gt;=6,ROUND(($Q$48-250000)*0.05,0),IF(AH54=0,0,12500))</f>
        <v>12498</v>
      </c>
      <c r="AI55" s="90">
        <v>0</v>
      </c>
      <c r="AJ55" s="90">
        <f>IF($AJ$54=5,ROUND(($Q$48-500000)*0.1,0),IF($AJ$54&lt;=4,IF($AJ$54=0,0,25000)))</f>
        <v>0</v>
      </c>
      <c r="AK55" s="129">
        <f>IF($AK$54=4,ROUND(($Q$48-750000)*0.15,0),IF($AK$54&lt;=3,IF($AK$54=0,0,37500)))</f>
        <v>0</v>
      </c>
      <c r="AL55" s="129">
        <f>IF($AL$54=3,ROUND(($Q$48-1000000)*0.2,0),IF($AL$54&lt;=2,IF($AL$54=0,0,50000)))</f>
        <v>0</v>
      </c>
      <c r="AM55" s="129">
        <f>IF($AM$54=2,ROUND(($Q$48-1250000)*0.25,0),IF($AM$54&lt;=1,IF($AM$54=0,0,62500)))</f>
        <v>0</v>
      </c>
      <c r="AN55" s="129">
        <f>IF($AN$54&gt;0,ROUND(($Q$48-1500000)*0.3,0),0)</f>
        <v>0</v>
      </c>
    </row>
    <row r="56" spans="1:40" ht="12" customHeight="1">
      <c r="A56" s="712"/>
      <c r="B56" s="734"/>
      <c r="C56" s="738" t="str">
        <f>IF($N$2="old tax regime","----","12,50,001-15,00,000")</f>
        <v>12,50,001-15,00,000</v>
      </c>
      <c r="D56" s="738"/>
      <c r="E56" s="738"/>
      <c r="F56" s="739" t="str">
        <f>IF(N2="Old tax regime","----","25%")</f>
        <v>25%</v>
      </c>
      <c r="G56" s="738"/>
      <c r="H56" s="738" t="str">
        <f>IF($N$2="old tax regime","----","12,50,001-15,00,000")</f>
        <v>12,50,001-15,00,000</v>
      </c>
      <c r="I56" s="738"/>
      <c r="J56" s="738"/>
      <c r="K56" s="105" t="str">
        <f>IF(N2="Old tax regime","----","25%")</f>
        <v>25%</v>
      </c>
      <c r="L56" s="738" t="str">
        <f>IF($N$2="old tax regime","----","12,50,001-15,00,000")</f>
        <v>12,50,001-15,00,000</v>
      </c>
      <c r="M56" s="738"/>
      <c r="N56" s="738"/>
      <c r="O56" s="105" t="str">
        <f>IF(N2="Old tax regime","----","25%")</f>
        <v>25%</v>
      </c>
      <c r="P56" s="49" t="s">
        <v>121</v>
      </c>
      <c r="Q56" s="66">
        <f>IF($T$48="a",0,AM55)</f>
        <v>0</v>
      </c>
      <c r="R56" s="711"/>
      <c r="AG56" s="90" t="s">
        <v>117</v>
      </c>
      <c r="AH56" s="90">
        <v>0</v>
      </c>
      <c r="AI56" s="90">
        <f>IF(AI54=6,ROUND(($Q$48-300000)*0.05,0),IF(AI54=0,0,10000))</f>
        <v>9998</v>
      </c>
      <c r="AJ56" s="90">
        <f>IF($AJ$54=5,ROUND(($Q$48-500000)*0.1,0),IF($AJ$54&lt;=4,IF($AJ$54=0,0,25000)))</f>
        <v>0</v>
      </c>
      <c r="AK56" s="129">
        <f>IF($AK$54=4,ROUND(($Q$48-750000)*0.15,0),IF($AK$54&lt;=3,IF($AK$54=0,0,37500)))</f>
        <v>0</v>
      </c>
      <c r="AL56" s="129">
        <f>IF($AL$54=3,ROUND(($Q$48-1000000)*0.2,0),IF($AL$54&lt;=2,IF($AL$54=0,0,50000)))</f>
        <v>0</v>
      </c>
      <c r="AM56" s="129">
        <f>IF($AM$54=2,ROUND(($Q$48-1250000)*0.25,0),IF($AM$54&lt;=1,IF($AM$54=0,0,62500)))</f>
        <v>0</v>
      </c>
      <c r="AN56" s="129">
        <f>IF($AN$54&gt;0,ROUND(($Q$48-1500000)*0.3,0),0)</f>
        <v>0</v>
      </c>
    </row>
    <row r="57" spans="1:40" ht="12" customHeight="1">
      <c r="A57" s="712"/>
      <c r="B57" s="734"/>
      <c r="C57" s="738" t="str">
        <f>IF($N$2="old tax regime","----","15,00,000 से अधिक")</f>
        <v>15,00,000 से अधिक</v>
      </c>
      <c r="D57" s="738"/>
      <c r="E57" s="738"/>
      <c r="F57" s="739" t="str">
        <f>IF(N2="Old tax regime","----","30%")</f>
        <v>30%</v>
      </c>
      <c r="G57" s="738"/>
      <c r="H57" s="738" t="str">
        <f>IF($N$2="old tax regime","----","15,00,000 से अधिक")</f>
        <v>15,00,000 से अधिक</v>
      </c>
      <c r="I57" s="738"/>
      <c r="J57" s="738"/>
      <c r="K57" s="105" t="str">
        <f>IF(N2="Old tax regime","----","30%")</f>
        <v>30%</v>
      </c>
      <c r="L57" s="738" t="str">
        <f>IF($N$2="old tax regime","----","15,00,000 से अधिक")</f>
        <v>15,00,000 से अधिक</v>
      </c>
      <c r="M57" s="738"/>
      <c r="N57" s="738"/>
      <c r="O57" s="105" t="str">
        <f>IF(N2="Old tax regime","----","30%")</f>
        <v>30%</v>
      </c>
      <c r="P57" s="49" t="s">
        <v>121</v>
      </c>
      <c r="Q57" s="66">
        <f>IF($T$48="a",0,AN55)</f>
        <v>0</v>
      </c>
      <c r="R57" s="711"/>
      <c r="AG57" s="90" t="s">
        <v>224</v>
      </c>
      <c r="AH57" s="90">
        <v>0</v>
      </c>
      <c r="AI57" s="90">
        <f>IF(AI54=6,ROUND(($Q$48-300000)*0.05,0),IF(AI54=0,0,10000))</f>
        <v>9998</v>
      </c>
      <c r="AJ57" s="90">
        <f>IF($AJ$54=5,ROUND(($Q$48-500000)*0.1,0),IF($AJ$54&lt;=4,IF($AJ$54=0,0,25000)))</f>
        <v>0</v>
      </c>
      <c r="AK57" s="129">
        <f>IF($AK$54=4,ROUND(($Q$48-750000)*0.15,0),IF($AK$54&lt;=3,IF($AK$54=0,0,37500)))</f>
        <v>0</v>
      </c>
      <c r="AL57" s="129">
        <f>IF($AL$54=3,ROUND(($Q$48-1000000)*0.2,0),IF($AL$54&lt;=2,IF($AL$54=0,0,50000)))</f>
        <v>0</v>
      </c>
      <c r="AM57" s="129">
        <f>IF($AM$54=2,ROUND(($Q$48-1250000)*0.25,0),IF($AM$54&lt;=1,IF($AM$54=0,0,62500)))</f>
        <v>0</v>
      </c>
      <c r="AN57" s="129">
        <f>IF($AN$54&gt;0,ROUND(($Q$48-1500000)*0.3,0),0)</f>
        <v>0</v>
      </c>
    </row>
    <row r="58" spans="1:40" ht="14.25" customHeight="1">
      <c r="A58" s="712"/>
      <c r="B58" s="734"/>
      <c r="C58" s="726" t="s">
        <v>203</v>
      </c>
      <c r="D58" s="726"/>
      <c r="E58" s="726"/>
      <c r="F58" s="726"/>
      <c r="G58" s="726"/>
      <c r="H58" s="726"/>
      <c r="I58" s="726"/>
      <c r="J58" s="726"/>
      <c r="K58" s="726"/>
      <c r="L58" s="726"/>
      <c r="M58" s="726"/>
      <c r="N58" s="726"/>
      <c r="O58" s="726"/>
      <c r="P58" s="49" t="s">
        <v>121</v>
      </c>
      <c r="Q58" s="68">
        <f>SUM(Q51:Q57)</f>
        <v>12498</v>
      </c>
      <c r="R58" s="711"/>
      <c r="W58" s="135"/>
      <c r="X58" s="135"/>
    </row>
    <row r="59" spans="1:40" ht="14.25" customHeight="1">
      <c r="A59" s="712"/>
      <c r="B59" s="734"/>
      <c r="C59" s="740" t="s">
        <v>204</v>
      </c>
      <c r="D59" s="740"/>
      <c r="E59" s="740"/>
      <c r="F59" s="740"/>
      <c r="G59" s="740"/>
      <c r="H59" s="740"/>
      <c r="I59" s="740"/>
      <c r="J59" s="740"/>
      <c r="K59" s="740"/>
      <c r="L59" s="740"/>
      <c r="M59" s="740"/>
      <c r="N59" s="740"/>
      <c r="O59" s="740"/>
      <c r="P59" s="49" t="s">
        <v>121</v>
      </c>
      <c r="Q59" s="67">
        <f>IF(Q48&lt;=500000,Q52,0)</f>
        <v>12498</v>
      </c>
      <c r="R59" s="711"/>
    </row>
    <row r="60" spans="1:40" ht="14.25" customHeight="1">
      <c r="A60" s="712"/>
      <c r="B60" s="734"/>
      <c r="C60" s="726" t="s">
        <v>205</v>
      </c>
      <c r="D60" s="726"/>
      <c r="E60" s="726"/>
      <c r="F60" s="726"/>
      <c r="G60" s="726"/>
      <c r="H60" s="726"/>
      <c r="I60" s="726"/>
      <c r="J60" s="726"/>
      <c r="K60" s="726"/>
      <c r="L60" s="726"/>
      <c r="M60" s="726"/>
      <c r="N60" s="726"/>
      <c r="O60" s="726"/>
      <c r="P60" s="49" t="s">
        <v>121</v>
      </c>
      <c r="Q60" s="68">
        <f>Q58-Q59</f>
        <v>0</v>
      </c>
      <c r="R60" s="711"/>
    </row>
    <row r="61" spans="1:40" ht="14.25" customHeight="1">
      <c r="A61" s="712"/>
      <c r="B61" s="734"/>
      <c r="C61" s="727" t="s">
        <v>206</v>
      </c>
      <c r="D61" s="727"/>
      <c r="E61" s="727"/>
      <c r="F61" s="727"/>
      <c r="G61" s="727"/>
      <c r="H61" s="727"/>
      <c r="I61" s="727"/>
      <c r="J61" s="727"/>
      <c r="K61" s="727"/>
      <c r="L61" s="727"/>
      <c r="M61" s="727"/>
      <c r="N61" s="727"/>
      <c r="O61" s="727"/>
      <c r="P61" s="49" t="s">
        <v>121</v>
      </c>
      <c r="Q61" s="67">
        <f>ROUND(Q60*0.04,0)</f>
        <v>0</v>
      </c>
      <c r="R61" s="711"/>
    </row>
    <row r="62" spans="1:40" ht="12.75" customHeight="1">
      <c r="A62" s="712"/>
      <c r="B62" s="734"/>
      <c r="C62" s="728" t="s">
        <v>207</v>
      </c>
      <c r="D62" s="729"/>
      <c r="E62" s="729"/>
      <c r="F62" s="729"/>
      <c r="G62" s="729"/>
      <c r="H62" s="729"/>
      <c r="I62" s="729"/>
      <c r="J62" s="729"/>
      <c r="K62" s="729"/>
      <c r="L62" s="729"/>
      <c r="M62" s="729"/>
      <c r="N62" s="729"/>
      <c r="O62" s="730"/>
      <c r="P62" s="49" t="s">
        <v>121</v>
      </c>
      <c r="Q62" s="68">
        <f>Q60+Q61</f>
        <v>0</v>
      </c>
      <c r="R62" s="711"/>
      <c r="W62" s="135"/>
      <c r="X62" s="135"/>
    </row>
    <row r="63" spans="1:40" ht="14.25" customHeight="1">
      <c r="A63" s="712"/>
      <c r="B63" s="100">
        <v>17</v>
      </c>
      <c r="C63" s="731" t="s">
        <v>208</v>
      </c>
      <c r="D63" s="731"/>
      <c r="E63" s="731"/>
      <c r="F63" s="731"/>
      <c r="G63" s="731"/>
      <c r="H63" s="731"/>
      <c r="I63" s="731"/>
      <c r="J63" s="731"/>
      <c r="K63" s="731"/>
      <c r="L63" s="731"/>
      <c r="M63" s="731"/>
      <c r="N63" s="731"/>
      <c r="O63" s="731"/>
      <c r="P63" s="49" t="s">
        <v>121</v>
      </c>
      <c r="Q63" s="67">
        <f>'Exemp.(HRA+Other) &amp; Other incom'!Q26</f>
        <v>0</v>
      </c>
      <c r="R63" s="711"/>
    </row>
    <row r="64" spans="1:40" ht="14.25" customHeight="1">
      <c r="A64" s="712"/>
      <c r="B64" s="718">
        <v>18</v>
      </c>
      <c r="C64" s="732" t="s">
        <v>209</v>
      </c>
      <c r="D64" s="732"/>
      <c r="E64" s="732"/>
      <c r="F64" s="732"/>
      <c r="G64" s="732"/>
      <c r="H64" s="732"/>
      <c r="I64" s="732"/>
      <c r="J64" s="732"/>
      <c r="K64" s="732"/>
      <c r="L64" s="732"/>
      <c r="M64" s="732"/>
      <c r="N64" s="732"/>
      <c r="O64" s="732"/>
      <c r="P64" s="49" t="s">
        <v>121</v>
      </c>
      <c r="Q64" s="68">
        <f>Q62-Q63</f>
        <v>0</v>
      </c>
      <c r="R64" s="711"/>
    </row>
    <row r="65" spans="1:29" ht="14.25" customHeight="1" thickBot="1">
      <c r="A65" s="712"/>
      <c r="B65" s="719"/>
      <c r="C65" s="713" t="s">
        <v>210</v>
      </c>
      <c r="D65" s="713"/>
      <c r="E65" s="713"/>
      <c r="F65" s="713"/>
      <c r="G65" s="713"/>
      <c r="H65" s="713"/>
      <c r="I65" s="713"/>
      <c r="J65" s="713"/>
      <c r="K65" s="713"/>
      <c r="L65" s="713"/>
      <c r="M65" s="713"/>
      <c r="N65" s="713"/>
      <c r="O65" s="713"/>
      <c r="P65" s="53" t="s">
        <v>121</v>
      </c>
      <c r="Q65" s="65">
        <f>ROUND(Q64,-1)</f>
        <v>0</v>
      </c>
      <c r="R65" s="711"/>
    </row>
    <row r="66" spans="1:29" ht="44.25" customHeight="1">
      <c r="A66" s="712"/>
      <c r="B66" s="717">
        <v>19</v>
      </c>
      <c r="C66" s="714" t="s">
        <v>153</v>
      </c>
      <c r="D66" s="720" t="s">
        <v>211</v>
      </c>
      <c r="E66" s="720"/>
      <c r="F66" s="720" t="s">
        <v>212</v>
      </c>
      <c r="G66" s="720"/>
      <c r="H66" s="720"/>
      <c r="I66" s="102" t="s">
        <v>213</v>
      </c>
      <c r="J66" s="102" t="s">
        <v>214</v>
      </c>
      <c r="K66" s="102" t="s">
        <v>215</v>
      </c>
      <c r="L66" s="102" t="s">
        <v>216</v>
      </c>
      <c r="M66" s="1064" t="s">
        <v>217</v>
      </c>
      <c r="N66" s="1064"/>
      <c r="O66" s="102" t="s">
        <v>218</v>
      </c>
      <c r="P66" s="724" t="s">
        <v>219</v>
      </c>
      <c r="Q66" s="725"/>
      <c r="R66" s="711"/>
    </row>
    <row r="67" spans="1:29" s="10" customFormat="1" ht="13.5" customHeight="1">
      <c r="A67" s="712"/>
      <c r="B67" s="718"/>
      <c r="C67" s="715"/>
      <c r="D67" s="721" t="e">
        <f>SUM('Table (Income-Deduction)'!#REF!)</f>
        <v>#REF!</v>
      </c>
      <c r="E67" s="721"/>
      <c r="F67" s="721" t="e">
        <f>SUM('Table (Income-Deduction)'!#REF!)</f>
        <v>#REF!</v>
      </c>
      <c r="G67" s="721"/>
      <c r="H67" s="721"/>
      <c r="I67" s="103" t="e">
        <f>SUM('Table (Income-Deduction)'!#REF!)</f>
        <v>#REF!</v>
      </c>
      <c r="J67" s="103" t="e">
        <f>'Table (Income-Deduction)'!#REF!</f>
        <v>#REF!</v>
      </c>
      <c r="K67" s="103" t="e">
        <f>'Table (Income-Deduction)'!#REF!</f>
        <v>#REF!</v>
      </c>
      <c r="L67" s="103" t="e">
        <f>'Table (Income-Deduction)'!#REF!</f>
        <v>#REF!</v>
      </c>
      <c r="M67" s="721" t="e">
        <f>SUM('Table (Income-Deduction)'!#REF!)</f>
        <v>#REF!</v>
      </c>
      <c r="N67" s="1065"/>
      <c r="O67" s="103">
        <f>'Basic Deta'!N19</f>
        <v>0</v>
      </c>
      <c r="P67" s="85" t="s">
        <v>121</v>
      </c>
      <c r="Q67" s="86" t="e">
        <f>SUM(D67:O67)</f>
        <v>#REF!</v>
      </c>
      <c r="R67" s="711"/>
      <c r="T67" s="111"/>
      <c r="U67" s="111"/>
      <c r="W67" s="129"/>
      <c r="X67" s="129"/>
      <c r="Y67" s="129"/>
      <c r="Z67" s="129"/>
      <c r="AA67" s="129"/>
      <c r="AB67" s="129"/>
      <c r="AC67" s="129"/>
    </row>
    <row r="68" spans="1:29" ht="15.75" thickBot="1">
      <c r="A68" s="712"/>
      <c r="B68" s="719"/>
      <c r="C68" s="716"/>
      <c r="D68" s="722" t="s">
        <v>120</v>
      </c>
      <c r="E68" s="722"/>
      <c r="F68" s="722"/>
      <c r="G68" s="722"/>
      <c r="H68" s="722"/>
      <c r="I68" s="722"/>
      <c r="J68" s="722"/>
      <c r="K68" s="722"/>
      <c r="L68" s="723" t="e">
        <f>IF(Q67&gt;Q65,"(Refundable)","(Payble)")</f>
        <v>#REF!</v>
      </c>
      <c r="M68" s="723"/>
      <c r="N68" s="723"/>
      <c r="O68" s="723"/>
      <c r="P68" s="53" t="s">
        <v>121</v>
      </c>
      <c r="Q68" s="65" t="e">
        <f>Q67-Q65</f>
        <v>#REF!</v>
      </c>
      <c r="R68" s="711"/>
    </row>
    <row r="69" spans="1:29" ht="9.75" customHeight="1">
      <c r="A69" s="712"/>
      <c r="B69" s="1062" t="str">
        <f>'Table (Income-Deduction)'!B33</f>
        <v>Siganture of Employee</v>
      </c>
      <c r="C69" s="1062"/>
      <c r="D69" s="1062"/>
      <c r="E69" s="1062"/>
      <c r="F69" s="1062"/>
      <c r="G69" s="1062"/>
      <c r="H69" s="1062"/>
      <c r="I69" s="1062"/>
      <c r="J69" s="1062"/>
      <c r="K69" s="1062" t="str">
        <f>'Table (Income-Deduction)'!P33</f>
        <v>Signature of DPO ()</v>
      </c>
      <c r="L69" s="1062"/>
      <c r="M69" s="1062"/>
      <c r="N69" s="1062"/>
      <c r="O69" s="1062"/>
      <c r="P69" s="1062"/>
      <c r="Q69" s="1062"/>
      <c r="R69" s="711"/>
    </row>
    <row r="70" spans="1:29" ht="15.75" customHeight="1">
      <c r="A70" s="712"/>
      <c r="B70" s="1063"/>
      <c r="C70" s="1063"/>
      <c r="D70" s="1063"/>
      <c r="E70" s="1063"/>
      <c r="F70" s="1063"/>
      <c r="G70" s="1063"/>
      <c r="H70" s="1063"/>
      <c r="I70" s="1063"/>
      <c r="J70" s="1063"/>
      <c r="K70" s="1063"/>
      <c r="L70" s="1063"/>
      <c r="M70" s="1063"/>
      <c r="N70" s="1063"/>
      <c r="O70" s="1063"/>
      <c r="P70" s="1063"/>
      <c r="Q70" s="1063"/>
      <c r="R70" s="711"/>
    </row>
  </sheetData>
  <sheetProtection password="E8FA" sheet="1" objects="1" scenarios="1" formatCells="0" formatColumns="0" selectLockedCells="1"/>
  <mergeCells count="139">
    <mergeCell ref="L68:O68"/>
    <mergeCell ref="B69:J70"/>
    <mergeCell ref="K69:Q70"/>
    <mergeCell ref="B66:B68"/>
    <mergeCell ref="C66:C68"/>
    <mergeCell ref="D66:E66"/>
    <mergeCell ref="F66:H66"/>
    <mergeCell ref="M66:N66"/>
    <mergeCell ref="P66:Q66"/>
    <mergeCell ref="D67:E67"/>
    <mergeCell ref="F67:H67"/>
    <mergeCell ref="M67:N67"/>
    <mergeCell ref="D68:K68"/>
    <mergeCell ref="C60:O60"/>
    <mergeCell ref="C61:O61"/>
    <mergeCell ref="C62:O62"/>
    <mergeCell ref="C63:O63"/>
    <mergeCell ref="B64:B65"/>
    <mergeCell ref="C64:O64"/>
    <mergeCell ref="C65:O65"/>
    <mergeCell ref="C57:E57"/>
    <mergeCell ref="F57:G57"/>
    <mergeCell ref="H57:J57"/>
    <mergeCell ref="L57:N57"/>
    <mergeCell ref="C58:O58"/>
    <mergeCell ref="C59:O59"/>
    <mergeCell ref="B49:B62"/>
    <mergeCell ref="C55:E55"/>
    <mergeCell ref="F55:G55"/>
    <mergeCell ref="H55:J55"/>
    <mergeCell ref="L55:N55"/>
    <mergeCell ref="C56:E56"/>
    <mergeCell ref="F56:G56"/>
    <mergeCell ref="H56:J56"/>
    <mergeCell ref="L56:N56"/>
    <mergeCell ref="C53:E53"/>
    <mergeCell ref="F53:G53"/>
    <mergeCell ref="C54:E54"/>
    <mergeCell ref="F54:G54"/>
    <mergeCell ref="H54:J54"/>
    <mergeCell ref="L54:N54"/>
    <mergeCell ref="F51:G51"/>
    <mergeCell ref="H51:J51"/>
    <mergeCell ref="L51:N51"/>
    <mergeCell ref="C52:E52"/>
    <mergeCell ref="F52:G52"/>
    <mergeCell ref="H52:J52"/>
    <mergeCell ref="L52:N52"/>
    <mergeCell ref="C46:O46"/>
    <mergeCell ref="C47:O47"/>
    <mergeCell ref="C48:O48"/>
    <mergeCell ref="C49:Q49"/>
    <mergeCell ref="C50:G50"/>
    <mergeCell ref="H50:K50"/>
    <mergeCell ref="L50:O50"/>
    <mergeCell ref="C51:E51"/>
    <mergeCell ref="H53:J53"/>
    <mergeCell ref="L53:N53"/>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A1:A70"/>
    <mergeCell ref="B1:Q1"/>
    <mergeCell ref="R1:R70"/>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s>
  <conditionalFormatting sqref="L68:O68">
    <cfRule type="cellIs" dxfId="5" priority="4" operator="equal">
      <formula>"(Payble)"</formula>
    </cfRule>
    <cfRule type="cellIs" dxfId="4" priority="5" operator="equal">
      <formula>"(Refundable)"</formula>
    </cfRule>
  </conditionalFormatting>
  <conditionalFormatting sqref="Q68">
    <cfRule type="cellIs" dxfId="3" priority="2" operator="lessThan">
      <formula>0</formula>
    </cfRule>
    <cfRule type="cellIs" dxfId="2" priority="3" operator="greaterThan">
      <formula>0</formula>
    </cfRule>
  </conditionalFormatting>
  <conditionalFormatting sqref="C55:Q57">
    <cfRule type="expression" dxfId="1"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9.xml><?xml version="1.0" encoding="utf-8"?>
<worksheet xmlns="http://schemas.openxmlformats.org/spreadsheetml/2006/main" xmlns:r="http://schemas.openxmlformats.org/officeDocument/2006/relationships">
  <sheetPr>
    <tabColor rgb="FF006600"/>
  </sheetPr>
  <dimension ref="A1:BF46"/>
  <sheetViews>
    <sheetView showGridLines="0" showRowColHeaders="0" workbookViewId="0">
      <selection activeCell="E10" sqref="E10"/>
    </sheetView>
  </sheetViews>
  <sheetFormatPr defaultColWidth="9.140625" defaultRowHeight="15"/>
  <cols>
    <col min="1" max="1" width="16.7109375" style="1" customWidth="1"/>
    <col min="2" max="2" width="23.140625" style="1" customWidth="1"/>
    <col min="3" max="3" width="35.42578125" style="1" customWidth="1"/>
    <col min="4" max="4" width="34.7109375" style="1" customWidth="1"/>
    <col min="5" max="5" width="23.140625" style="1" customWidth="1"/>
    <col min="6" max="6" width="4.140625" style="1" customWidth="1"/>
    <col min="7" max="7" width="13.42578125" style="129" customWidth="1"/>
    <col min="8" max="8" width="15" style="129" customWidth="1"/>
    <col min="9" max="20" width="15" style="129" hidden="1" customWidth="1"/>
    <col min="21" max="22" width="15" style="129" customWidth="1"/>
    <col min="23" max="36" width="15" style="129" hidden="1" customWidth="1"/>
    <col min="37" max="37" width="15" style="129" customWidth="1"/>
    <col min="38" max="38" width="11.140625" style="129" customWidth="1"/>
    <col min="39" max="39" width="15.7109375" style="129" customWidth="1"/>
    <col min="40" max="40" width="3.140625" style="1" customWidth="1"/>
    <col min="41" max="41" width="1.85546875" style="1" customWidth="1"/>
    <col min="42" max="42" width="5" style="129" customWidth="1"/>
    <col min="43" max="43" width="56" style="129" customWidth="1"/>
    <col min="44" max="44" width="29.28515625" style="129" customWidth="1"/>
    <col min="45" max="50" width="14.28515625" style="129" hidden="1" customWidth="1"/>
    <col min="51" max="51" width="5" style="1" customWidth="1"/>
    <col min="52" max="52" width="5.85546875" style="1" customWidth="1"/>
    <col min="53" max="54" width="7.42578125" style="1" customWidth="1"/>
    <col min="55" max="55" width="11.85546875" style="1" customWidth="1"/>
    <col min="56" max="57" width="24.5703125" style="1" customWidth="1"/>
    <col min="58" max="58" width="16.28515625" style="1" customWidth="1"/>
    <col min="59" max="59" width="4.42578125" style="1" customWidth="1"/>
    <col min="60" max="16384" width="9.140625" style="1"/>
  </cols>
  <sheetData>
    <row r="1" spans="1:58" ht="13.5" customHeight="1" thickBot="1">
      <c r="G1" s="1147"/>
      <c r="H1" s="1147"/>
      <c r="I1" s="1147"/>
      <c r="J1" s="1147"/>
      <c r="K1" s="1147"/>
      <c r="L1" s="1147"/>
      <c r="M1" s="1147"/>
      <c r="N1" s="1147"/>
      <c r="O1" s="1147"/>
      <c r="P1" s="1147"/>
      <c r="Q1" s="1147"/>
      <c r="R1" s="1147"/>
      <c r="S1" s="1147"/>
      <c r="T1" s="1147"/>
      <c r="U1" s="1147"/>
      <c r="V1" s="1147"/>
      <c r="W1" s="1147"/>
      <c r="X1" s="1147"/>
      <c r="Y1" s="1147"/>
      <c r="Z1" s="1147"/>
      <c r="AA1" s="1147"/>
      <c r="AB1" s="1147"/>
      <c r="AC1" s="1147"/>
      <c r="AD1" s="1147"/>
      <c r="AE1" s="1147"/>
      <c r="AF1" s="1147"/>
      <c r="AG1" s="1147"/>
      <c r="AH1" s="1147"/>
      <c r="AI1" s="1147"/>
      <c r="AJ1" s="1147"/>
      <c r="AK1" s="1147"/>
      <c r="AL1" s="1147"/>
      <c r="AM1" s="1147"/>
      <c r="AN1" s="1132"/>
      <c r="AO1" s="1132"/>
      <c r="AP1" s="1147"/>
      <c r="AQ1" s="1147"/>
      <c r="AR1" s="1147"/>
      <c r="AY1" s="1132"/>
      <c r="AZ1" s="1150"/>
      <c r="BA1" s="1131"/>
      <c r="BB1" s="1131"/>
      <c r="BC1" s="1131"/>
      <c r="BD1" s="1131"/>
      <c r="BE1" s="1131"/>
      <c r="BF1" s="1151"/>
    </row>
    <row r="2" spans="1:58" ht="21.75" customHeight="1" thickBot="1">
      <c r="A2" s="1100" t="s">
        <v>458</v>
      </c>
      <c r="B2" s="1123" t="s">
        <v>447</v>
      </c>
      <c r="C2" s="1123"/>
      <c r="D2" s="1126" t="str">
        <f>IF('Income Tax Cal. Report'!Z16="Old tax regime","No","Yes")</f>
        <v>No</v>
      </c>
      <c r="E2" s="1127"/>
      <c r="G2" s="1161" t="s">
        <v>395</v>
      </c>
      <c r="H2" s="1161"/>
      <c r="I2" s="1161"/>
      <c r="J2" s="1161"/>
      <c r="K2" s="1161"/>
      <c r="L2" s="1161"/>
      <c r="M2" s="1161"/>
      <c r="N2" s="1161"/>
      <c r="O2" s="1161"/>
      <c r="P2" s="1161"/>
      <c r="Q2" s="1161"/>
      <c r="R2" s="1161"/>
      <c r="S2" s="1161"/>
      <c r="T2" s="1161"/>
      <c r="U2" s="1161"/>
      <c r="V2" s="1161"/>
      <c r="W2" s="1161"/>
      <c r="X2" s="1161"/>
      <c r="Y2" s="1161"/>
      <c r="Z2" s="1161"/>
      <c r="AA2" s="1161"/>
      <c r="AB2" s="1161"/>
      <c r="AC2" s="1161"/>
      <c r="AD2" s="1161"/>
      <c r="AE2" s="1161"/>
      <c r="AF2" s="1161"/>
      <c r="AG2" s="1161"/>
      <c r="AH2" s="1161"/>
      <c r="AI2" s="1161"/>
      <c r="AJ2" s="1161"/>
      <c r="AK2" s="1161"/>
      <c r="AL2" s="1161"/>
      <c r="AM2" s="1161"/>
      <c r="AN2" s="1132"/>
      <c r="AO2" s="1132"/>
      <c r="AP2" s="1147"/>
      <c r="AQ2" s="1147"/>
      <c r="AR2" s="1147"/>
      <c r="AY2" s="1132"/>
      <c r="AZ2" s="1116" t="s">
        <v>421</v>
      </c>
      <c r="BA2" s="1117"/>
      <c r="BB2" s="1117"/>
      <c r="BC2" s="1117"/>
      <c r="BD2" s="1117"/>
      <c r="BE2" s="1117"/>
      <c r="BF2" s="1118"/>
    </row>
    <row r="3" spans="1:58" ht="20.25" customHeight="1" thickBot="1">
      <c r="A3" s="1101"/>
      <c r="B3" s="1090" t="s">
        <v>376</v>
      </c>
      <c r="C3" s="1128"/>
      <c r="D3" s="1124" t="s">
        <v>354</v>
      </c>
      <c r="E3" s="1125"/>
      <c r="G3" s="1147" t="s">
        <v>396</v>
      </c>
      <c r="H3" s="1147"/>
      <c r="I3" s="1147"/>
      <c r="J3" s="1147"/>
      <c r="K3" s="1147"/>
      <c r="L3" s="1147"/>
      <c r="M3" s="1147"/>
      <c r="N3" s="1147"/>
      <c r="O3" s="1147"/>
      <c r="P3" s="1147"/>
      <c r="Q3" s="1147"/>
      <c r="R3" s="1147"/>
      <c r="S3" s="1147"/>
      <c r="T3" s="1147"/>
      <c r="U3" s="1147"/>
      <c r="V3" s="1147"/>
      <c r="W3" s="1147"/>
      <c r="X3" s="1147"/>
      <c r="Y3" s="1147"/>
      <c r="Z3" s="1147"/>
      <c r="AA3" s="1147"/>
      <c r="AB3" s="1147"/>
      <c r="AC3" s="1147"/>
      <c r="AD3" s="1147"/>
      <c r="AE3" s="1147"/>
      <c r="AF3" s="1147"/>
      <c r="AG3" s="1147"/>
      <c r="AH3" s="1147"/>
      <c r="AI3" s="1147"/>
      <c r="AJ3" s="1147"/>
      <c r="AK3" s="1147"/>
      <c r="AL3" s="1147"/>
      <c r="AM3" s="1147"/>
      <c r="AN3" s="1132"/>
      <c r="AO3" s="1132"/>
      <c r="AP3" s="1149"/>
      <c r="AQ3" s="1149"/>
      <c r="AR3" s="1149"/>
      <c r="AS3" s="148"/>
      <c r="AT3" s="148"/>
      <c r="AU3" s="148"/>
      <c r="AV3" s="148"/>
      <c r="AW3" s="148"/>
      <c r="AX3" s="148"/>
      <c r="AY3" s="1132"/>
      <c r="AZ3" s="1119" t="s">
        <v>422</v>
      </c>
      <c r="BA3" s="847"/>
      <c r="BB3" s="847"/>
      <c r="BC3" s="847"/>
      <c r="BD3" s="847"/>
      <c r="BE3" s="847"/>
      <c r="BF3" s="1099"/>
    </row>
    <row r="4" spans="1:58" ht="15" customHeight="1">
      <c r="A4" s="1101"/>
      <c r="B4" s="1090" t="s">
        <v>378</v>
      </c>
      <c r="C4" s="1090"/>
      <c r="D4" s="1086" t="str">
        <f>'Form-16'!H10</f>
        <v>SHAHID ALI  (Block Teacher)</v>
      </c>
      <c r="E4" s="1087"/>
      <c r="G4" s="1083" t="s">
        <v>397</v>
      </c>
      <c r="H4" s="1083" t="s">
        <v>398</v>
      </c>
      <c r="I4" s="1083" t="s">
        <v>448</v>
      </c>
      <c r="J4" s="1083" t="s">
        <v>449</v>
      </c>
      <c r="K4" s="1083" t="s">
        <v>232</v>
      </c>
      <c r="L4" s="1083" t="s">
        <v>450</v>
      </c>
      <c r="M4" s="1083" t="s">
        <v>451</v>
      </c>
      <c r="N4" s="1083" t="s">
        <v>452</v>
      </c>
      <c r="O4" s="1083" t="s">
        <v>453</v>
      </c>
      <c r="P4" s="1083" t="s">
        <v>234</v>
      </c>
      <c r="Q4" s="1083" t="s">
        <v>454</v>
      </c>
      <c r="R4" s="1083" t="s">
        <v>455</v>
      </c>
      <c r="S4" s="1083" t="s">
        <v>456</v>
      </c>
      <c r="T4" s="1083" t="s">
        <v>457</v>
      </c>
      <c r="U4" s="1083" t="s">
        <v>399</v>
      </c>
      <c r="V4" s="1162" t="s">
        <v>400</v>
      </c>
      <c r="W4" s="1083" t="s">
        <v>448</v>
      </c>
      <c r="X4" s="1083" t="s">
        <v>449</v>
      </c>
      <c r="Y4" s="1083" t="s">
        <v>232</v>
      </c>
      <c r="Z4" s="1083" t="s">
        <v>450</v>
      </c>
      <c r="AA4" s="1083" t="s">
        <v>451</v>
      </c>
      <c r="AB4" s="1083" t="s">
        <v>452</v>
      </c>
      <c r="AC4" s="1083" t="s">
        <v>453</v>
      </c>
      <c r="AD4" s="1083" t="s">
        <v>234</v>
      </c>
      <c r="AE4" s="1083" t="s">
        <v>454</v>
      </c>
      <c r="AF4" s="1083" t="s">
        <v>455</v>
      </c>
      <c r="AG4" s="1083" t="s">
        <v>456</v>
      </c>
      <c r="AH4" s="1083" t="s">
        <v>457</v>
      </c>
      <c r="AI4" s="112"/>
      <c r="AJ4" s="112"/>
      <c r="AK4" s="1083" t="s">
        <v>401</v>
      </c>
      <c r="AL4" s="1083" t="s">
        <v>402</v>
      </c>
      <c r="AM4" s="1083" t="s">
        <v>403</v>
      </c>
      <c r="AN4" s="1132"/>
      <c r="AO4" s="1132"/>
      <c r="AP4" s="1072" t="s">
        <v>405</v>
      </c>
      <c r="AQ4" s="1073"/>
      <c r="AR4" s="1074"/>
      <c r="AS4" s="142"/>
      <c r="AT4" s="142"/>
      <c r="AU4" s="142"/>
      <c r="AV4" s="142"/>
      <c r="AW4" s="142"/>
      <c r="AX4" s="142"/>
      <c r="AY4" s="1132"/>
      <c r="AZ4" s="1120" t="s">
        <v>435</v>
      </c>
      <c r="BA4" s="1121"/>
      <c r="BB4" s="1121"/>
      <c r="BC4" s="1121"/>
      <c r="BD4" s="1121"/>
      <c r="BE4" s="1121"/>
      <c r="BF4" s="1122"/>
    </row>
    <row r="5" spans="1:58" s="129" customFormat="1" ht="32.25" customHeight="1" thickBot="1">
      <c r="A5" s="1101"/>
      <c r="B5" s="1095" t="s">
        <v>379</v>
      </c>
      <c r="C5" s="1095"/>
      <c r="D5" s="1088" t="str">
        <f>'Exemp.(HRA+Other) &amp; Other incom'!D4</f>
        <v>M.S. BASUDHAR</v>
      </c>
      <c r="E5" s="1089"/>
      <c r="G5" s="1084"/>
      <c r="H5" s="1084"/>
      <c r="I5" s="1084"/>
      <c r="J5" s="1084"/>
      <c r="K5" s="1084"/>
      <c r="L5" s="1084"/>
      <c r="M5" s="1084"/>
      <c r="N5" s="1084"/>
      <c r="O5" s="1084"/>
      <c r="P5" s="1084"/>
      <c r="Q5" s="1084"/>
      <c r="R5" s="1084"/>
      <c r="S5" s="1084"/>
      <c r="T5" s="1084"/>
      <c r="U5" s="1084"/>
      <c r="V5" s="1163"/>
      <c r="W5" s="1084"/>
      <c r="X5" s="1084"/>
      <c r="Y5" s="1084"/>
      <c r="Z5" s="1084"/>
      <c r="AA5" s="1084"/>
      <c r="AB5" s="1084"/>
      <c r="AC5" s="1084"/>
      <c r="AD5" s="1084"/>
      <c r="AE5" s="1084"/>
      <c r="AF5" s="1084"/>
      <c r="AG5" s="1084"/>
      <c r="AH5" s="1084"/>
      <c r="AI5" s="113"/>
      <c r="AJ5" s="113"/>
      <c r="AK5" s="1084"/>
      <c r="AL5" s="1084"/>
      <c r="AM5" s="1084"/>
      <c r="AN5" s="1132"/>
      <c r="AO5" s="1132"/>
      <c r="AP5" s="1075" t="s">
        <v>406</v>
      </c>
      <c r="AQ5" s="1076"/>
      <c r="AR5" s="1077"/>
      <c r="AS5" s="118"/>
      <c r="AT5" s="118"/>
      <c r="AU5" s="118"/>
      <c r="AV5" s="118"/>
      <c r="AW5" s="118"/>
      <c r="AX5" s="118"/>
      <c r="AY5" s="1132"/>
      <c r="AZ5" s="1120"/>
      <c r="BA5" s="1121"/>
      <c r="BB5" s="1121"/>
      <c r="BC5" s="1121"/>
      <c r="BD5" s="1121"/>
      <c r="BE5" s="1121"/>
      <c r="BF5" s="1122"/>
    </row>
    <row r="6" spans="1:58" ht="15.75" thickBot="1">
      <c r="A6" s="1101"/>
      <c r="B6" s="1090" t="s">
        <v>380</v>
      </c>
      <c r="C6" s="1090"/>
      <c r="D6" s="132"/>
      <c r="E6" s="152" t="str">
        <f>'Basic Deta'!L10</f>
        <v>BFHPA0762G</v>
      </c>
      <c r="G6" s="1084"/>
      <c r="H6" s="1084"/>
      <c r="I6" s="1084"/>
      <c r="J6" s="1084"/>
      <c r="K6" s="1084"/>
      <c r="L6" s="1084"/>
      <c r="M6" s="1084"/>
      <c r="N6" s="1084"/>
      <c r="O6" s="1084"/>
      <c r="P6" s="1084"/>
      <c r="Q6" s="1084"/>
      <c r="R6" s="1084"/>
      <c r="S6" s="1084"/>
      <c r="T6" s="1084"/>
      <c r="U6" s="1084"/>
      <c r="V6" s="1163"/>
      <c r="W6" s="1084"/>
      <c r="X6" s="1084"/>
      <c r="Y6" s="1084"/>
      <c r="Z6" s="1084"/>
      <c r="AA6" s="1084"/>
      <c r="AB6" s="1084"/>
      <c r="AC6" s="1084"/>
      <c r="AD6" s="1084"/>
      <c r="AE6" s="1084"/>
      <c r="AF6" s="1084"/>
      <c r="AG6" s="1084"/>
      <c r="AH6" s="1084"/>
      <c r="AI6" s="113"/>
      <c r="AJ6" s="113"/>
      <c r="AK6" s="1084"/>
      <c r="AL6" s="1084"/>
      <c r="AM6" s="1084"/>
      <c r="AN6" s="1132"/>
      <c r="AO6" s="1132"/>
      <c r="AP6" s="1078" t="s">
        <v>407</v>
      </c>
      <c r="AQ6" s="1079"/>
      <c r="AR6" s="1080"/>
      <c r="AS6" s="142"/>
      <c r="AT6" s="142"/>
      <c r="AU6" s="142"/>
      <c r="AV6" s="142"/>
      <c r="AW6" s="142"/>
      <c r="AX6" s="142"/>
      <c r="AY6" s="1132"/>
      <c r="AZ6" s="1138"/>
      <c r="BA6" s="1139"/>
      <c r="BB6" s="1139"/>
      <c r="BC6" s="1139"/>
      <c r="BD6" s="1139"/>
      <c r="BE6" s="1139"/>
      <c r="BF6" s="1140"/>
    </row>
    <row r="7" spans="1:58">
      <c r="A7" s="1101"/>
      <c r="B7" s="1090" t="s">
        <v>381</v>
      </c>
      <c r="C7" s="1090"/>
      <c r="D7" s="132"/>
      <c r="E7" s="153"/>
      <c r="G7" s="1084"/>
      <c r="H7" s="1084"/>
      <c r="I7" s="1084"/>
      <c r="J7" s="1084"/>
      <c r="K7" s="1084"/>
      <c r="L7" s="1084"/>
      <c r="M7" s="1084"/>
      <c r="N7" s="1084"/>
      <c r="O7" s="1084"/>
      <c r="P7" s="1084"/>
      <c r="Q7" s="1084"/>
      <c r="R7" s="1084"/>
      <c r="S7" s="1084"/>
      <c r="T7" s="1084"/>
      <c r="U7" s="1084"/>
      <c r="V7" s="1163"/>
      <c r="W7" s="1084"/>
      <c r="X7" s="1084"/>
      <c r="Y7" s="1084"/>
      <c r="Z7" s="1084"/>
      <c r="AA7" s="1084"/>
      <c r="AB7" s="1084"/>
      <c r="AC7" s="1084"/>
      <c r="AD7" s="1084"/>
      <c r="AE7" s="1084"/>
      <c r="AF7" s="1084"/>
      <c r="AG7" s="1084"/>
      <c r="AH7" s="1084"/>
      <c r="AI7" s="113"/>
      <c r="AJ7" s="113"/>
      <c r="AK7" s="1084"/>
      <c r="AL7" s="1084"/>
      <c r="AM7" s="1084"/>
      <c r="AN7" s="1132"/>
      <c r="AO7" s="1132"/>
      <c r="AP7" s="119">
        <v>1</v>
      </c>
      <c r="AQ7" s="120" t="s">
        <v>408</v>
      </c>
      <c r="AR7" s="1113">
        <f>AR12-AR10</f>
        <v>413540</v>
      </c>
      <c r="AS7" s="143">
        <f>IF(AR7&gt;500000,250000,IF(AR7&gt;250000,AR7-250000,0))</f>
        <v>163540</v>
      </c>
      <c r="AT7" s="143">
        <f>IF(AS7&gt;=250000,ROUND(AS7*0.05,0),0)</f>
        <v>0</v>
      </c>
      <c r="AU7" s="1094">
        <f>ROUND(SUM(AT7:AT9)*1.04,0)</f>
        <v>0</v>
      </c>
      <c r="AV7" s="143">
        <f>IF(AR7&gt;500000,250000,IF(AR7&gt;250000,AR7-250000,0))</f>
        <v>163540</v>
      </c>
      <c r="AW7" s="143">
        <f>IF(AV7&gt;=250000,ROUND(AV7*0.05,0),0)</f>
        <v>0</v>
      </c>
      <c r="AX7" s="1094">
        <f>ROUND(SUM(AW7:AW12)*1.04,0)</f>
        <v>0</v>
      </c>
      <c r="AY7" s="1132"/>
      <c r="AZ7" s="1108" t="s">
        <v>423</v>
      </c>
      <c r="BA7" s="1109"/>
      <c r="BB7" s="1109"/>
      <c r="BC7" s="1109"/>
      <c r="BD7" s="1109"/>
      <c r="BE7" s="1110" t="str">
        <f>CONCATENATE('Form-16'!H10,"-",'Form-16'!H12)</f>
        <v>SHAHID ALI  (Block Teacher)-Posting Place Name:-M.S. BASUDHAR</v>
      </c>
      <c r="BF7" s="1111"/>
    </row>
    <row r="8" spans="1:58" ht="15" customHeight="1" thickBot="1">
      <c r="A8" s="1102"/>
      <c r="B8" s="1090" t="s">
        <v>444</v>
      </c>
      <c r="C8" s="1090"/>
      <c r="D8" s="132"/>
      <c r="E8" s="153" t="s">
        <v>445</v>
      </c>
      <c r="G8" s="1084"/>
      <c r="H8" s="1084"/>
      <c r="I8" s="1084"/>
      <c r="J8" s="1084"/>
      <c r="K8" s="1084"/>
      <c r="L8" s="1084"/>
      <c r="M8" s="1084"/>
      <c r="N8" s="1084"/>
      <c r="O8" s="1084"/>
      <c r="P8" s="1084"/>
      <c r="Q8" s="1084"/>
      <c r="R8" s="1084"/>
      <c r="S8" s="1084"/>
      <c r="T8" s="1084"/>
      <c r="U8" s="1084"/>
      <c r="V8" s="1163"/>
      <c r="W8" s="1084"/>
      <c r="X8" s="1084"/>
      <c r="Y8" s="1084"/>
      <c r="Z8" s="1084"/>
      <c r="AA8" s="1084"/>
      <c r="AB8" s="1084"/>
      <c r="AC8" s="1084"/>
      <c r="AD8" s="1084"/>
      <c r="AE8" s="1084"/>
      <c r="AF8" s="1084"/>
      <c r="AG8" s="1084"/>
      <c r="AH8" s="1084"/>
      <c r="AI8" s="113"/>
      <c r="AJ8" s="113"/>
      <c r="AK8" s="1084"/>
      <c r="AL8" s="1084"/>
      <c r="AM8" s="1084"/>
      <c r="AN8" s="1132"/>
      <c r="AO8" s="1132"/>
      <c r="AP8" s="121"/>
      <c r="AQ8" s="122" t="s">
        <v>409</v>
      </c>
      <c r="AR8" s="1067"/>
      <c r="AS8" s="143">
        <f>IF(AR7&gt;1000000,500000,IF(AR7&gt;500000,AR7-500000,0))</f>
        <v>0</v>
      </c>
      <c r="AT8" s="143">
        <f>ROUND(AS8*0.2,0)</f>
        <v>0</v>
      </c>
      <c r="AU8" s="1094"/>
      <c r="AV8" s="143">
        <f>IF(AR7&gt;750000,250000,IF(AR7&gt;500000,AR7-500000,0))</f>
        <v>0</v>
      </c>
      <c r="AW8" s="143">
        <f>ROUND(AV8*0.1,0)</f>
        <v>0</v>
      </c>
      <c r="AX8" s="1094"/>
      <c r="AY8" s="1132"/>
      <c r="AZ8" s="1108"/>
      <c r="BA8" s="1109"/>
      <c r="BB8" s="1109"/>
      <c r="BC8" s="1109"/>
      <c r="BD8" s="1109"/>
      <c r="BE8" s="1112"/>
      <c r="BF8" s="1111"/>
    </row>
    <row r="9" spans="1:58" ht="15" customHeight="1">
      <c r="A9" s="1103">
        <f>AR26</f>
        <v>0</v>
      </c>
      <c r="B9" s="1090" t="s">
        <v>382</v>
      </c>
      <c r="C9" s="1090"/>
      <c r="D9" s="132"/>
      <c r="E9" s="154" t="s">
        <v>383</v>
      </c>
      <c r="G9" s="1084"/>
      <c r="H9" s="1084"/>
      <c r="I9" s="1084"/>
      <c r="J9" s="1084"/>
      <c r="K9" s="1084"/>
      <c r="L9" s="1084"/>
      <c r="M9" s="1084"/>
      <c r="N9" s="1084"/>
      <c r="O9" s="1084"/>
      <c r="P9" s="1084"/>
      <c r="Q9" s="1084"/>
      <c r="R9" s="1084"/>
      <c r="S9" s="1084"/>
      <c r="T9" s="1084"/>
      <c r="U9" s="1084"/>
      <c r="V9" s="1163"/>
      <c r="W9" s="1084"/>
      <c r="X9" s="1084"/>
      <c r="Y9" s="1084"/>
      <c r="Z9" s="1084"/>
      <c r="AA9" s="1084"/>
      <c r="AB9" s="1084"/>
      <c r="AC9" s="1084"/>
      <c r="AD9" s="1084"/>
      <c r="AE9" s="1084"/>
      <c r="AF9" s="1084"/>
      <c r="AG9" s="1084"/>
      <c r="AH9" s="1084"/>
      <c r="AI9" s="113"/>
      <c r="AJ9" s="113"/>
      <c r="AK9" s="1084"/>
      <c r="AL9" s="1084"/>
      <c r="AM9" s="1084"/>
      <c r="AN9" s="1132"/>
      <c r="AO9" s="1132"/>
      <c r="AP9" s="123"/>
      <c r="AQ9" s="124"/>
      <c r="AR9" s="1068"/>
      <c r="AS9" s="143">
        <f>IF(AR7&gt;1000000,AR7-1000000,0)</f>
        <v>0</v>
      </c>
      <c r="AT9" s="143">
        <f>ROUND(AS9*0.3,0)</f>
        <v>0</v>
      </c>
      <c r="AU9" s="1094"/>
      <c r="AV9" s="143">
        <f>IF(AR7&gt;1000000,250000,IF(AR7&gt;750000,AR7-750000,0))</f>
        <v>0</v>
      </c>
      <c r="AW9" s="143">
        <f>ROUND(AV9*0.15,0)</f>
        <v>0</v>
      </c>
      <c r="AX9" s="1094"/>
      <c r="AY9" s="1132"/>
      <c r="AZ9" s="1108" t="s">
        <v>424</v>
      </c>
      <c r="BA9" s="1109"/>
      <c r="BB9" s="1109"/>
      <c r="BC9" s="1109"/>
      <c r="BD9" s="1109"/>
      <c r="BE9" s="1096" t="str">
        <f>'Form-16'!H15</f>
        <v>BFHPA0762G</v>
      </c>
      <c r="BF9" s="1097"/>
    </row>
    <row r="10" spans="1:58" ht="15.75" thickBot="1">
      <c r="A10" s="1104"/>
      <c r="B10" s="1090" t="s">
        <v>446</v>
      </c>
      <c r="C10" s="1090"/>
      <c r="D10" s="134"/>
      <c r="E10" s="155">
        <f>'Income Tax Cal. Report'!S48</f>
        <v>413540</v>
      </c>
      <c r="G10" s="1084"/>
      <c r="H10" s="1084"/>
      <c r="I10" s="1084"/>
      <c r="J10" s="1084"/>
      <c r="K10" s="1084"/>
      <c r="L10" s="1084"/>
      <c r="M10" s="1084"/>
      <c r="N10" s="1084"/>
      <c r="O10" s="1084"/>
      <c r="P10" s="1084"/>
      <c r="Q10" s="1084"/>
      <c r="R10" s="1084"/>
      <c r="S10" s="1084"/>
      <c r="T10" s="1084"/>
      <c r="U10" s="1084"/>
      <c r="V10" s="1163"/>
      <c r="W10" s="1084"/>
      <c r="X10" s="1084"/>
      <c r="Y10" s="1084"/>
      <c r="Z10" s="1084"/>
      <c r="AA10" s="1084"/>
      <c r="AB10" s="1084"/>
      <c r="AC10" s="1084"/>
      <c r="AD10" s="1084"/>
      <c r="AE10" s="1084"/>
      <c r="AF10" s="1084"/>
      <c r="AG10" s="1084"/>
      <c r="AH10" s="1084"/>
      <c r="AI10" s="113"/>
      <c r="AJ10" s="113"/>
      <c r="AK10" s="1084"/>
      <c r="AL10" s="1084"/>
      <c r="AM10" s="1084"/>
      <c r="AN10" s="1132"/>
      <c r="AO10" s="1132"/>
      <c r="AP10" s="125">
        <v>2</v>
      </c>
      <c r="AQ10" s="126" t="s">
        <v>410</v>
      </c>
      <c r="AR10" s="1066">
        <f>U22</f>
        <v>0</v>
      </c>
      <c r="AS10" s="143"/>
      <c r="AT10" s="143"/>
      <c r="AU10" s="143"/>
      <c r="AV10" s="143">
        <f>IF(AR7&gt;1250000,250000,IF(AR7&gt;1000000,AR7-1000000,0))</f>
        <v>0</v>
      </c>
      <c r="AW10" s="143">
        <f>ROUND(AV10*0.2,0)</f>
        <v>0</v>
      </c>
      <c r="AX10" s="143"/>
      <c r="AY10" s="1132"/>
      <c r="AZ10" s="1108"/>
      <c r="BA10" s="1109"/>
      <c r="BB10" s="1109"/>
      <c r="BC10" s="1109"/>
      <c r="BD10" s="1109"/>
      <c r="BE10" s="1098"/>
      <c r="BF10" s="1097"/>
    </row>
    <row r="11" spans="1:58" ht="9" customHeight="1">
      <c r="A11" s="1104"/>
      <c r="B11" s="1091" t="s">
        <v>384</v>
      </c>
      <c r="C11" s="1091"/>
      <c r="D11" s="1091"/>
      <c r="E11" s="133"/>
      <c r="G11" s="1085"/>
      <c r="H11" s="1085"/>
      <c r="I11" s="1085"/>
      <c r="J11" s="1085"/>
      <c r="K11" s="1085"/>
      <c r="L11" s="1085"/>
      <c r="M11" s="1085"/>
      <c r="N11" s="1085"/>
      <c r="O11" s="1085"/>
      <c r="P11" s="1085"/>
      <c r="Q11" s="1085"/>
      <c r="R11" s="1085"/>
      <c r="S11" s="1085"/>
      <c r="T11" s="1085"/>
      <c r="U11" s="1085"/>
      <c r="V11" s="1164"/>
      <c r="W11" s="1085"/>
      <c r="X11" s="1085"/>
      <c r="Y11" s="1085"/>
      <c r="Z11" s="1085"/>
      <c r="AA11" s="1085"/>
      <c r="AB11" s="1085"/>
      <c r="AC11" s="1085"/>
      <c r="AD11" s="1085"/>
      <c r="AE11" s="1085"/>
      <c r="AF11" s="1085"/>
      <c r="AG11" s="1085"/>
      <c r="AH11" s="1085"/>
      <c r="AI11" s="114"/>
      <c r="AJ11" s="114"/>
      <c r="AK11" s="1085"/>
      <c r="AL11" s="1085"/>
      <c r="AM11" s="1085"/>
      <c r="AN11" s="1132"/>
      <c r="AO11" s="1132"/>
      <c r="AP11" s="123"/>
      <c r="AQ11" s="124"/>
      <c r="AR11" s="1068"/>
      <c r="AS11" s="143"/>
      <c r="AT11" s="143"/>
      <c r="AU11" s="143"/>
      <c r="AV11" s="143">
        <f>IF(AR7&gt;1500000,250000,IF(AR7&gt;1250000,AR7-1250000,0))</f>
        <v>0</v>
      </c>
      <c r="AW11" s="143">
        <f>ROUND(AV11*0.25,0)</f>
        <v>0</v>
      </c>
      <c r="AX11" s="143"/>
      <c r="AY11" s="1132"/>
      <c r="AZ11" s="1106" t="s">
        <v>425</v>
      </c>
      <c r="BA11" s="1107"/>
      <c r="BB11" s="1107"/>
      <c r="BC11" s="1107"/>
      <c r="BD11" s="1107"/>
      <c r="BE11" s="847"/>
      <c r="BF11" s="1099"/>
    </row>
    <row r="12" spans="1:58" s="129" customFormat="1" ht="22.5" customHeight="1">
      <c r="A12" s="1104"/>
      <c r="B12" s="156" t="s">
        <v>375</v>
      </c>
      <c r="C12" s="147" t="s">
        <v>385</v>
      </c>
      <c r="D12" s="147" t="s">
        <v>386</v>
      </c>
      <c r="E12" s="117"/>
      <c r="G12" s="116">
        <v>1</v>
      </c>
      <c r="H12" s="116">
        <v>2</v>
      </c>
      <c r="I12" s="116"/>
      <c r="J12" s="116"/>
      <c r="K12" s="116"/>
      <c r="L12" s="116"/>
      <c r="M12" s="116"/>
      <c r="N12" s="116"/>
      <c r="O12" s="116"/>
      <c r="P12" s="116"/>
      <c r="Q12" s="116"/>
      <c r="R12" s="116"/>
      <c r="S12" s="116"/>
      <c r="T12" s="116"/>
      <c r="U12" s="116">
        <v>3</v>
      </c>
      <c r="V12" s="116" t="s">
        <v>404</v>
      </c>
      <c r="W12" s="116"/>
      <c r="X12" s="116"/>
      <c r="Y12" s="116"/>
      <c r="Z12" s="116"/>
      <c r="AA12" s="116"/>
      <c r="AB12" s="116"/>
      <c r="AC12" s="116"/>
      <c r="AD12" s="116"/>
      <c r="AE12" s="116"/>
      <c r="AF12" s="116"/>
      <c r="AG12" s="116"/>
      <c r="AH12" s="116"/>
      <c r="AI12" s="116"/>
      <c r="AJ12" s="116"/>
      <c r="AK12" s="116">
        <v>5</v>
      </c>
      <c r="AL12" s="116">
        <v>6</v>
      </c>
      <c r="AM12" s="116">
        <v>7</v>
      </c>
      <c r="AN12" s="1132"/>
      <c r="AO12" s="1132"/>
      <c r="AP12" s="125">
        <v>3</v>
      </c>
      <c r="AQ12" s="126" t="s">
        <v>408</v>
      </c>
      <c r="AR12" s="1114">
        <f>E10</f>
        <v>413540</v>
      </c>
      <c r="AS12" s="144"/>
      <c r="AT12" s="144"/>
      <c r="AU12" s="144"/>
      <c r="AV12" s="143">
        <f>IF(AR7&gt;1500000,AR7-1500000,0)</f>
        <v>0</v>
      </c>
      <c r="AW12" s="143">
        <f>ROUND(AV12*0.3,0)</f>
        <v>0</v>
      </c>
      <c r="AX12" s="144"/>
      <c r="AY12" s="1132"/>
      <c r="AZ12" s="1141" t="s">
        <v>426</v>
      </c>
      <c r="BA12" s="1142"/>
      <c r="BB12" s="1142"/>
      <c r="BC12" s="1142"/>
      <c r="BD12" s="1142"/>
      <c r="BE12" s="1142"/>
      <c r="BF12" s="1143"/>
    </row>
    <row r="13" spans="1:58" ht="21.75" customHeight="1">
      <c r="A13" s="1104"/>
      <c r="B13" s="157" t="s">
        <v>377</v>
      </c>
      <c r="C13" s="150"/>
      <c r="D13" s="150"/>
      <c r="E13" s="108"/>
      <c r="G13" s="136" t="str">
        <f t="shared" ref="G13:G21" si="0">B13</f>
        <v>2021-22</v>
      </c>
      <c r="H13" s="137">
        <f t="shared" ref="H13:H21" si="1">C13</f>
        <v>0</v>
      </c>
      <c r="I13" s="139">
        <f>IF(H13&gt;500000,250000,IF(H13&gt;250000,H13-250000,0))</f>
        <v>0</v>
      </c>
      <c r="J13" s="137">
        <f>IF(H13&gt;1000000,500000,IF(H13&gt;500000,H13-500000,0))</f>
        <v>0</v>
      </c>
      <c r="K13" s="137">
        <f t="shared" ref="K13:K18" si="2">IF(H13&gt;1000000,H13-1000000,0)</f>
        <v>0</v>
      </c>
      <c r="L13" s="129">
        <f>IF(H13&gt;750000,250000,IF(H13&gt;500000,H13-500000,0))</f>
        <v>0</v>
      </c>
      <c r="M13" s="129">
        <f>IF(H13&gt;1000000,250000,IF(H13&gt;750000,H13-750000,0))</f>
        <v>0</v>
      </c>
      <c r="N13" s="137">
        <f>IF(H13&gt;1250000,250000,IF(H13&gt;1000000,H13-1000000,0))</f>
        <v>0</v>
      </c>
      <c r="O13" s="137">
        <f>IF(H13&gt;1500000,250000,IF(H13&gt;1250000,H13-1500000,0))</f>
        <v>0</v>
      </c>
      <c r="P13" s="137">
        <f>IF(H13&gt;1500000,H13-1500000,0)</f>
        <v>0</v>
      </c>
      <c r="Q13" s="137">
        <f t="shared" ref="Q13:Q18" si="3">ROUND(I13*0.05,0)+ROUND(J13*0.2,0)+ROUND(K13*0.3,0)</f>
        <v>0</v>
      </c>
      <c r="R13" s="137">
        <f>ROUND(I13*0.05,0)+ROUND(L13*0.1,0)+ROUND(M13*0.15,0)+ROUND(N13*0.2,0)+ROUND(O13*0.25,0)+ROUND(P13*0.3,0)</f>
        <v>0</v>
      </c>
      <c r="S13" s="137">
        <f>ROUND(Q13*1.04,-1)</f>
        <v>0</v>
      </c>
      <c r="T13" s="137">
        <f>ROUND(R13*1.04,-1)</f>
        <v>0</v>
      </c>
      <c r="U13" s="137">
        <f>D13</f>
        <v>0</v>
      </c>
      <c r="V13" s="137">
        <f t="shared" ref="V13:V21" si="4">H13+U13</f>
        <v>0</v>
      </c>
      <c r="W13" s="139">
        <f>IF(V13&gt;500000,250000,IF(V13&gt;250000,V13-250000,0))</f>
        <v>0</v>
      </c>
      <c r="X13" s="137">
        <f>IF(V13&gt;1000000,500000,IF(V13&gt;500000,V13-500000,0))</f>
        <v>0</v>
      </c>
      <c r="Y13" s="137">
        <f t="shared" ref="Y13:Y18" si="5">IF(V13&gt;1000000,V13-1000000,0)</f>
        <v>0</v>
      </c>
      <c r="Z13" s="129">
        <f>IF(V13&gt;750000,250000,IF(V13&gt;500000,V13-500000,0))</f>
        <v>0</v>
      </c>
      <c r="AA13" s="129">
        <f>IF(V13&gt;1000000,250000,IF(V13&gt;750000,V13-750000,0))</f>
        <v>0</v>
      </c>
      <c r="AB13" s="137">
        <f>IF(V13&gt;1250000,250000,IF(V13&gt;1000000,V13-1000000,0))</f>
        <v>0</v>
      </c>
      <c r="AC13" s="137">
        <f>IF(V13&gt;1500000,250000,IF(V13&gt;1250000,V13-1500000,0))</f>
        <v>0</v>
      </c>
      <c r="AD13" s="137">
        <f>IF(V13&gt;1500000,V13-1500000,0)</f>
        <v>0</v>
      </c>
      <c r="AE13" s="137">
        <f t="shared" ref="AE13:AE18" si="6">ROUND(W13*0.05,0)+ROUND(X13*0.2,0)+ROUND(Y13*0.3,0)</f>
        <v>0</v>
      </c>
      <c r="AF13" s="137">
        <f>ROUND(W13*0.05,0)+ROUND(Z13*0.1,0)+ROUND(AA13*0.15,0)+ROUND(AB13*0.2,0)+ROUND(AC13*0.25,0)+ROUND(AD13*0.3,0)</f>
        <v>0</v>
      </c>
      <c r="AG13" s="137">
        <f>ROUND(AE13*1.04,-1)</f>
        <v>0</v>
      </c>
      <c r="AH13" s="137">
        <f>ROUND(AF13*1.04,-1)</f>
        <v>0</v>
      </c>
      <c r="AI13" s="137">
        <f>IF($D$2="NO",S13,T13)</f>
        <v>0</v>
      </c>
      <c r="AJ13" s="137">
        <f>IF($D$2="NO",AG13,AH13)</f>
        <v>0</v>
      </c>
      <c r="AK13" s="136">
        <f>IF(AI13&lt;=12500,0,AI13)</f>
        <v>0</v>
      </c>
      <c r="AL13" s="136">
        <f>IF(AK13&lt;=12500,0,AJ13)</f>
        <v>0</v>
      </c>
      <c r="AM13" s="137">
        <f>AL13-AK13</f>
        <v>0</v>
      </c>
      <c r="AN13" s="1132"/>
      <c r="AO13" s="1132"/>
      <c r="AP13" s="123"/>
      <c r="AQ13" s="124" t="s">
        <v>411</v>
      </c>
      <c r="AR13" s="1115"/>
      <c r="AS13" s="144"/>
      <c r="AT13" s="144"/>
      <c r="AU13" s="144"/>
      <c r="AV13" s="144"/>
      <c r="AW13" s="144"/>
      <c r="AX13" s="144"/>
      <c r="AY13" s="1132"/>
      <c r="AZ13" s="1144" t="s">
        <v>436</v>
      </c>
      <c r="BA13" s="1145"/>
      <c r="BB13" s="1145"/>
      <c r="BC13" s="1145"/>
      <c r="BD13" s="1145"/>
      <c r="BE13" s="1145"/>
      <c r="BF13" s="1146"/>
    </row>
    <row r="14" spans="1:58" ht="21.75" customHeight="1">
      <c r="A14" s="1104"/>
      <c r="B14" s="157" t="s">
        <v>394</v>
      </c>
      <c r="C14" s="150"/>
      <c r="D14" s="150"/>
      <c r="E14" s="108"/>
      <c r="G14" s="136" t="str">
        <f t="shared" si="0"/>
        <v>2020-21</v>
      </c>
      <c r="H14" s="137">
        <f t="shared" si="1"/>
        <v>0</v>
      </c>
      <c r="I14" s="139">
        <f t="shared" ref="I14:I18" si="7">IF(H14&gt;500000,250000,IF(H14&gt;250000,H14-250000,0))</f>
        <v>0</v>
      </c>
      <c r="J14" s="137">
        <f t="shared" ref="J14:J17" si="8">IF(H14&gt;1000000,500000,IF(H14&gt;500000,H14-500000,0))</f>
        <v>0</v>
      </c>
      <c r="K14" s="137">
        <f t="shared" si="2"/>
        <v>0</v>
      </c>
      <c r="L14" s="129">
        <f t="shared" ref="L14:L15" si="9">IF(H14&gt;750000,250000,IF(H14&gt;500000,H14-500000,0))</f>
        <v>0</v>
      </c>
      <c r="M14" s="129">
        <f>IF(H14&gt;1000000,250000,IF(H14&gt;750000,H14-750000,0))</f>
        <v>0</v>
      </c>
      <c r="N14" s="137">
        <f>IF(H14&gt;1250000,250000,IF(H14&gt;1000000,H14-1000000,0))</f>
        <v>0</v>
      </c>
      <c r="O14" s="137">
        <f>IF(H14&gt;1500000,250000,IF(H14&gt;1250000,H14-1500000,0))</f>
        <v>0</v>
      </c>
      <c r="P14" s="137">
        <f>IF(H14&gt;1500000,H14-1500000,0)</f>
        <v>0</v>
      </c>
      <c r="Q14" s="137">
        <f t="shared" si="3"/>
        <v>0</v>
      </c>
      <c r="R14" s="137">
        <f>ROUND(I14*0.05,0)+ROUND(L14*0.1,0)+ROUND(M14*0.15,0)+ROUND(N14*0.2,0)+ROUND(O14*0.25,0)+ROUND(P14*0.3,0)</f>
        <v>0</v>
      </c>
      <c r="S14" s="137">
        <f>ROUND(Q14*1.04,-1)</f>
        <v>0</v>
      </c>
      <c r="T14" s="137">
        <f>ROUND(R14*1.04,-1)</f>
        <v>0</v>
      </c>
      <c r="U14" s="137">
        <f t="shared" ref="U14:U21" si="10">D14</f>
        <v>0</v>
      </c>
      <c r="V14" s="137">
        <f t="shared" si="4"/>
        <v>0</v>
      </c>
      <c r="W14" s="139">
        <f t="shared" ref="W14:W18" si="11">IF(V14&gt;500000,250000,IF(V14&gt;250000,V14-250000,0))</f>
        <v>0</v>
      </c>
      <c r="X14" s="137">
        <f t="shared" ref="X14:X19" si="12">IF(V14&gt;1000000,500000,IF(V14&gt;500000,V14-500000,0))</f>
        <v>0</v>
      </c>
      <c r="Y14" s="137">
        <f t="shared" si="5"/>
        <v>0</v>
      </c>
      <c r="Z14" s="129">
        <f t="shared" ref="Z14:Z17" si="13">IF(V14&gt;750000,250000,IF(V14&gt;500000,V14-500000,0))</f>
        <v>0</v>
      </c>
      <c r="AA14" s="129">
        <f>IF(V14&gt;1000000,250000,IF(V14&gt;750000,V14-750000,0))</f>
        <v>0</v>
      </c>
      <c r="AB14" s="137">
        <f>IF(V14&gt;1250000,250000,IF(V14&gt;1000000,V14-1000000,0))</f>
        <v>0</v>
      </c>
      <c r="AC14" s="137">
        <f>IF(V14&gt;1500000,250000,IF(V14&gt;1250000,V14-1500000,0))</f>
        <v>0</v>
      </c>
      <c r="AD14" s="137">
        <f>IF(V14&gt;1500000,V14-1500000,0)</f>
        <v>0</v>
      </c>
      <c r="AE14" s="137">
        <f t="shared" si="6"/>
        <v>0</v>
      </c>
      <c r="AF14" s="137">
        <f>ROUND(W14*0.05,0)+ROUND(Z14*0.1,0)+ROUND(AA14*0.15,0)+ROUND(AB14*0.2,0)+ROUND(AC14*0.25,0)+ROUND(AD14*0.3,0)</f>
        <v>0</v>
      </c>
      <c r="AG14" s="137">
        <f>ROUND(AE14*1.04,-1)</f>
        <v>0</v>
      </c>
      <c r="AH14" s="137">
        <f>ROUND(AF14*1.04,-1)</f>
        <v>0</v>
      </c>
      <c r="AI14" s="137">
        <f>IF($D$2="NO",S14,T14)</f>
        <v>0</v>
      </c>
      <c r="AJ14" s="137">
        <f>IF($D$2="NO",AG14,AH14)</f>
        <v>0</v>
      </c>
      <c r="AK14" s="136">
        <f t="shared" ref="AK14:AK16" si="14">IF(AI14&lt;=12500,0,AI14)</f>
        <v>0</v>
      </c>
      <c r="AL14" s="136">
        <f t="shared" ref="AL14:AL16" si="15">IF(AK14&lt;=12500,0,AJ14)</f>
        <v>0</v>
      </c>
      <c r="AM14" s="137">
        <f t="shared" ref="AM14:AM21" si="16">AL14-AK14</f>
        <v>0</v>
      </c>
      <c r="AN14" s="1132"/>
      <c r="AO14" s="1132"/>
      <c r="AP14" s="125"/>
      <c r="AQ14" s="126"/>
      <c r="AR14" s="1069">
        <f>IF(D2="No",AU14,AX14)</f>
        <v>0</v>
      </c>
      <c r="AS14" s="143">
        <f>IF(AR12&gt;500000,250000,IF(AR12&gt;250000,AR12-250000,0))</f>
        <v>163540</v>
      </c>
      <c r="AT14" s="143">
        <f>IF(AS14&gt;=250000,ROUND(AS14*0.05,0),0)</f>
        <v>0</v>
      </c>
      <c r="AU14" s="1094">
        <f>ROUND(SUM(AT14:AT16)*1.04,0)</f>
        <v>0</v>
      </c>
      <c r="AV14" s="143">
        <f>IF(AR12&gt;500000,250000,IF(AR12&gt;250000,AR12-250000,0))</f>
        <v>163540</v>
      </c>
      <c r="AW14" s="143">
        <f>IF(AV14&gt;=250000,ROUND(AV14*0.05,0),0)</f>
        <v>0</v>
      </c>
      <c r="AX14" s="1094">
        <f>ROUND(SUM(AW14:AW19)*1.04,0)</f>
        <v>0</v>
      </c>
      <c r="AY14" s="1132"/>
      <c r="AZ14" s="1135"/>
      <c r="BA14" s="1136"/>
      <c r="BB14" s="1136"/>
      <c r="BC14" s="1136"/>
      <c r="BD14" s="1136"/>
      <c r="BE14" s="1136"/>
      <c r="BF14" s="131" t="s">
        <v>427</v>
      </c>
    </row>
    <row r="15" spans="1:58" ht="21.75" customHeight="1">
      <c r="A15" s="1104"/>
      <c r="B15" s="157" t="s">
        <v>387</v>
      </c>
      <c r="C15" s="151"/>
      <c r="D15" s="151"/>
      <c r="E15" s="108"/>
      <c r="G15" s="136" t="str">
        <f t="shared" si="0"/>
        <v>2019-20</v>
      </c>
      <c r="H15" s="137">
        <f t="shared" si="1"/>
        <v>0</v>
      </c>
      <c r="I15" s="139">
        <f t="shared" si="7"/>
        <v>0</v>
      </c>
      <c r="J15" s="137">
        <f t="shared" si="8"/>
        <v>0</v>
      </c>
      <c r="K15" s="137">
        <f t="shared" si="2"/>
        <v>0</v>
      </c>
      <c r="L15" s="129">
        <f t="shared" si="9"/>
        <v>0</v>
      </c>
      <c r="M15" s="137"/>
      <c r="N15" s="137"/>
      <c r="O15" s="137"/>
      <c r="P15" s="137"/>
      <c r="Q15" s="137">
        <f t="shared" si="3"/>
        <v>0</v>
      </c>
      <c r="R15" s="137"/>
      <c r="S15" s="137">
        <f>ROUND(Q15*1.04,-1)</f>
        <v>0</v>
      </c>
      <c r="T15" s="137"/>
      <c r="U15" s="137">
        <f t="shared" si="10"/>
        <v>0</v>
      </c>
      <c r="V15" s="137">
        <f t="shared" si="4"/>
        <v>0</v>
      </c>
      <c r="W15" s="139">
        <f t="shared" si="11"/>
        <v>0</v>
      </c>
      <c r="X15" s="137">
        <f t="shared" si="12"/>
        <v>0</v>
      </c>
      <c r="Y15" s="137">
        <f t="shared" si="5"/>
        <v>0</v>
      </c>
      <c r="Z15" s="129">
        <f t="shared" si="13"/>
        <v>0</v>
      </c>
      <c r="AA15" s="137"/>
      <c r="AB15" s="137"/>
      <c r="AC15" s="137"/>
      <c r="AD15" s="137"/>
      <c r="AE15" s="137">
        <f t="shared" si="6"/>
        <v>0</v>
      </c>
      <c r="AF15" s="137"/>
      <c r="AG15" s="137">
        <f>ROUND(AE15*1.04,-1)</f>
        <v>0</v>
      </c>
      <c r="AH15" s="137"/>
      <c r="AI15" s="137">
        <f t="shared" ref="AI15:AI21" si="17">S15</f>
        <v>0</v>
      </c>
      <c r="AJ15" s="137">
        <f t="shared" ref="AJ15:AJ21" si="18">AG15</f>
        <v>0</v>
      </c>
      <c r="AK15" s="136">
        <f t="shared" si="14"/>
        <v>0</v>
      </c>
      <c r="AL15" s="136">
        <f t="shared" si="15"/>
        <v>0</v>
      </c>
      <c r="AM15" s="137">
        <f t="shared" si="16"/>
        <v>0</v>
      </c>
      <c r="AN15" s="1132"/>
      <c r="AO15" s="1132"/>
      <c r="AP15" s="121">
        <v>4</v>
      </c>
      <c r="AQ15" s="122" t="s">
        <v>412</v>
      </c>
      <c r="AR15" s="1092"/>
      <c r="AS15" s="143">
        <f>IF(AR12&gt;1000000,500000,IF(AR12&gt;500000,AR12-500000,0))</f>
        <v>0</v>
      </c>
      <c r="AT15" s="143">
        <f>ROUND(AS15*0.2,0)</f>
        <v>0</v>
      </c>
      <c r="AU15" s="1094"/>
      <c r="AV15" s="143">
        <f>IF(AR12&gt;750000,250000,IF(AR12&gt;500000,AR12-500000,0))</f>
        <v>0</v>
      </c>
      <c r="AW15" s="143">
        <f>ROUND(AV15*0.1,0)</f>
        <v>0</v>
      </c>
      <c r="AX15" s="1094"/>
      <c r="AY15" s="1132"/>
      <c r="AZ15" s="1133">
        <v>1</v>
      </c>
      <c r="BA15" s="1133" t="s">
        <v>334</v>
      </c>
      <c r="BB15" s="1133" t="s">
        <v>437</v>
      </c>
      <c r="BC15" s="1133"/>
      <c r="BD15" s="1133"/>
      <c r="BE15" s="1133"/>
      <c r="BF15" s="1157">
        <f>AR14</f>
        <v>0</v>
      </c>
    </row>
    <row r="16" spans="1:58" ht="21.75" customHeight="1">
      <c r="A16" s="1104"/>
      <c r="B16" s="157" t="s">
        <v>388</v>
      </c>
      <c r="C16" s="151"/>
      <c r="D16" s="151"/>
      <c r="E16" s="108"/>
      <c r="G16" s="136" t="str">
        <f t="shared" si="0"/>
        <v>2018-19</v>
      </c>
      <c r="H16" s="137">
        <f t="shared" si="1"/>
        <v>0</v>
      </c>
      <c r="I16" s="139">
        <f t="shared" si="7"/>
        <v>0</v>
      </c>
      <c r="J16" s="137">
        <f t="shared" si="8"/>
        <v>0</v>
      </c>
      <c r="K16" s="137">
        <f t="shared" si="2"/>
        <v>0</v>
      </c>
      <c r="M16" s="137"/>
      <c r="N16" s="137"/>
      <c r="O16" s="137"/>
      <c r="P16" s="137"/>
      <c r="Q16" s="137">
        <f t="shared" si="3"/>
        <v>0</v>
      </c>
      <c r="R16" s="137"/>
      <c r="S16" s="137">
        <f>ROUND(Q16*1.04,-1)</f>
        <v>0</v>
      </c>
      <c r="T16" s="137"/>
      <c r="U16" s="137">
        <f>D16</f>
        <v>0</v>
      </c>
      <c r="V16" s="137">
        <f t="shared" si="4"/>
        <v>0</v>
      </c>
      <c r="W16" s="139">
        <f t="shared" si="11"/>
        <v>0</v>
      </c>
      <c r="X16" s="137">
        <f t="shared" si="12"/>
        <v>0</v>
      </c>
      <c r="Y16" s="137">
        <f t="shared" si="5"/>
        <v>0</v>
      </c>
      <c r="Z16" s="129">
        <f t="shared" si="13"/>
        <v>0</v>
      </c>
      <c r="AA16" s="137"/>
      <c r="AB16" s="137"/>
      <c r="AC16" s="137"/>
      <c r="AD16" s="137"/>
      <c r="AE16" s="137">
        <f t="shared" si="6"/>
        <v>0</v>
      </c>
      <c r="AF16" s="137"/>
      <c r="AG16" s="137">
        <f>ROUND(AE16*1.04,-1)</f>
        <v>0</v>
      </c>
      <c r="AH16" s="137"/>
      <c r="AI16" s="137">
        <f t="shared" si="17"/>
        <v>0</v>
      </c>
      <c r="AJ16" s="137">
        <f t="shared" si="18"/>
        <v>0</v>
      </c>
      <c r="AK16" s="136">
        <f t="shared" si="14"/>
        <v>0</v>
      </c>
      <c r="AL16" s="136">
        <f t="shared" si="15"/>
        <v>0</v>
      </c>
      <c r="AM16" s="137">
        <f t="shared" si="16"/>
        <v>0</v>
      </c>
      <c r="AN16" s="1132"/>
      <c r="AO16" s="1132"/>
      <c r="AP16" s="123"/>
      <c r="AQ16" s="124"/>
      <c r="AR16" s="1093"/>
      <c r="AS16" s="143">
        <f>IF(AR12&gt;1000000,AR12-1000000,0)</f>
        <v>0</v>
      </c>
      <c r="AT16" s="143">
        <f>ROUND(AS16*0.3,0)</f>
        <v>0</v>
      </c>
      <c r="AU16" s="1094"/>
      <c r="AV16" s="143">
        <f>IF(AR12&gt;1000000,250000,IF(AR12&gt;750000,AR12-750000,0))</f>
        <v>0</v>
      </c>
      <c r="AW16" s="143">
        <f>ROUND(AV16*0.15,0)</f>
        <v>0</v>
      </c>
      <c r="AX16" s="1094"/>
      <c r="AY16" s="1132"/>
      <c r="AZ16" s="1133"/>
      <c r="BA16" s="1133"/>
      <c r="BB16" s="1133"/>
      <c r="BC16" s="1133"/>
      <c r="BD16" s="1133"/>
      <c r="BE16" s="1133"/>
      <c r="BF16" s="1158"/>
    </row>
    <row r="17" spans="1:58" ht="21.75" customHeight="1">
      <c r="A17" s="1104"/>
      <c r="B17" s="157" t="s">
        <v>389</v>
      </c>
      <c r="C17" s="151"/>
      <c r="D17" s="151"/>
      <c r="E17" s="108"/>
      <c r="G17" s="136" t="str">
        <f t="shared" si="0"/>
        <v>2017-18</v>
      </c>
      <c r="H17" s="137">
        <f t="shared" si="1"/>
        <v>0</v>
      </c>
      <c r="I17" s="139">
        <f t="shared" si="7"/>
        <v>0</v>
      </c>
      <c r="J17" s="137">
        <f t="shared" si="8"/>
        <v>0</v>
      </c>
      <c r="K17" s="137">
        <f t="shared" si="2"/>
        <v>0</v>
      </c>
      <c r="M17" s="137"/>
      <c r="N17" s="137"/>
      <c r="O17" s="137"/>
      <c r="P17" s="137"/>
      <c r="Q17" s="137">
        <f t="shared" si="3"/>
        <v>0</v>
      </c>
      <c r="R17" s="137"/>
      <c r="S17" s="137">
        <f>ROUND(Q17*1.03,-1)</f>
        <v>0</v>
      </c>
      <c r="T17" s="137"/>
      <c r="U17" s="137">
        <f t="shared" si="10"/>
        <v>0</v>
      </c>
      <c r="V17" s="137">
        <f t="shared" si="4"/>
        <v>0</v>
      </c>
      <c r="W17" s="139">
        <f t="shared" si="11"/>
        <v>0</v>
      </c>
      <c r="X17" s="137">
        <f t="shared" si="12"/>
        <v>0</v>
      </c>
      <c r="Y17" s="137">
        <f t="shared" si="5"/>
        <v>0</v>
      </c>
      <c r="Z17" s="129">
        <f t="shared" si="13"/>
        <v>0</v>
      </c>
      <c r="AA17" s="137"/>
      <c r="AB17" s="137"/>
      <c r="AC17" s="137"/>
      <c r="AD17" s="137"/>
      <c r="AE17" s="137">
        <f t="shared" si="6"/>
        <v>0</v>
      </c>
      <c r="AF17" s="137"/>
      <c r="AG17" s="137">
        <f>ROUND(AE17*1.03,-1)</f>
        <v>0</v>
      </c>
      <c r="AH17" s="137"/>
      <c r="AI17" s="137">
        <f t="shared" si="17"/>
        <v>0</v>
      </c>
      <c r="AJ17" s="137">
        <f t="shared" si="18"/>
        <v>0</v>
      </c>
      <c r="AK17" s="136">
        <f>IF(AI17&lt;=2500,0,AI17)</f>
        <v>0</v>
      </c>
      <c r="AL17" s="136">
        <f>IF(AK17&lt;=2500,0,AJ17)</f>
        <v>0</v>
      </c>
      <c r="AM17" s="137">
        <f t="shared" si="16"/>
        <v>0</v>
      </c>
      <c r="AN17" s="1132"/>
      <c r="AO17" s="1132"/>
      <c r="AP17" s="125">
        <v>5</v>
      </c>
      <c r="AQ17" s="126" t="s">
        <v>413</v>
      </c>
      <c r="AR17" s="1069">
        <f>IF(D2="NO",AU7,AX7)</f>
        <v>0</v>
      </c>
      <c r="AS17" s="143"/>
      <c r="AT17" s="143"/>
      <c r="AU17" s="143"/>
      <c r="AV17" s="143">
        <f>IF(AR12&gt;1250000,250000,IF(AR12&gt;1000000,AR12-1000000,0))</f>
        <v>0</v>
      </c>
      <c r="AW17" s="143">
        <f>ROUND(AV17*0.2,0)</f>
        <v>0</v>
      </c>
      <c r="AX17" s="143"/>
      <c r="AY17" s="1132"/>
      <c r="AZ17" s="1133"/>
      <c r="BA17" s="1133"/>
      <c r="BB17" s="1133"/>
      <c r="BC17" s="1133"/>
      <c r="BD17" s="1133"/>
      <c r="BE17" s="1133"/>
      <c r="BF17" s="1159"/>
    </row>
    <row r="18" spans="1:58" ht="21.75" customHeight="1" thickBot="1">
      <c r="A18" s="1105"/>
      <c r="B18" s="157" t="s">
        <v>390</v>
      </c>
      <c r="C18" s="151"/>
      <c r="D18" s="151"/>
      <c r="E18" s="108"/>
      <c r="G18" s="136" t="str">
        <f t="shared" si="0"/>
        <v>2016-17</v>
      </c>
      <c r="H18" s="137">
        <f t="shared" si="1"/>
        <v>0</v>
      </c>
      <c r="I18" s="139">
        <f t="shared" si="7"/>
        <v>0</v>
      </c>
      <c r="J18" s="137">
        <f t="shared" ref="J18" si="19">IF(H18&gt;1000000,500000,IF(H18&gt;500000,H18-500000,0))</f>
        <v>0</v>
      </c>
      <c r="K18" s="137">
        <f t="shared" si="2"/>
        <v>0</v>
      </c>
      <c r="M18" s="137"/>
      <c r="N18" s="137"/>
      <c r="O18" s="137"/>
      <c r="P18" s="137"/>
      <c r="Q18" s="137">
        <f t="shared" si="3"/>
        <v>0</v>
      </c>
      <c r="R18" s="137"/>
      <c r="S18" s="137">
        <f>ROUND(Q18*1.03,-1)</f>
        <v>0</v>
      </c>
      <c r="T18" s="137"/>
      <c r="U18" s="137">
        <f t="shared" si="10"/>
        <v>0</v>
      </c>
      <c r="V18" s="137">
        <f t="shared" si="4"/>
        <v>0</v>
      </c>
      <c r="W18" s="139">
        <f t="shared" si="11"/>
        <v>0</v>
      </c>
      <c r="X18" s="137">
        <f t="shared" si="12"/>
        <v>0</v>
      </c>
      <c r="Y18" s="137">
        <f t="shared" si="5"/>
        <v>0</v>
      </c>
      <c r="AA18" s="137"/>
      <c r="AB18" s="137"/>
      <c r="AC18" s="137"/>
      <c r="AD18" s="137"/>
      <c r="AE18" s="137">
        <f t="shared" si="6"/>
        <v>0</v>
      </c>
      <c r="AF18" s="137"/>
      <c r="AG18" s="137">
        <f>ROUND(AE18*1.03,-1)</f>
        <v>0</v>
      </c>
      <c r="AH18" s="137"/>
      <c r="AI18" s="137">
        <f t="shared" si="17"/>
        <v>0</v>
      </c>
      <c r="AJ18" s="137">
        <f t="shared" si="18"/>
        <v>0</v>
      </c>
      <c r="AK18" s="136">
        <f>IF(AI18&lt;=5000,0,IF(AI18&gt;5000,AI18-5000))</f>
        <v>0</v>
      </c>
      <c r="AL18" s="136">
        <f>IF(AJ18&lt;=5000,0,IF(AJ18&gt;5000,AJ18-5000))</f>
        <v>0</v>
      </c>
      <c r="AM18" s="137">
        <f t="shared" si="16"/>
        <v>0</v>
      </c>
      <c r="AN18" s="1132"/>
      <c r="AO18" s="1132"/>
      <c r="AP18" s="123"/>
      <c r="AQ18" s="124"/>
      <c r="AR18" s="1093"/>
      <c r="AS18" s="143"/>
      <c r="AT18" s="143"/>
      <c r="AU18" s="143"/>
      <c r="AV18" s="143">
        <f>IF(AR12&gt;1500000,250000,IF(AR12&gt;1250000,AR12-1250000,0))</f>
        <v>0</v>
      </c>
      <c r="AW18" s="143">
        <f>ROUND(AV18*0.25,0)</f>
        <v>0</v>
      </c>
      <c r="AX18" s="143"/>
      <c r="AY18" s="1132"/>
      <c r="AZ18" s="1133"/>
      <c r="BA18" s="1133" t="s">
        <v>335</v>
      </c>
      <c r="BB18" s="1133" t="s">
        <v>438</v>
      </c>
      <c r="BC18" s="1133"/>
      <c r="BD18" s="1133"/>
      <c r="BE18" s="1133"/>
      <c r="BF18" s="1129" t="s">
        <v>428</v>
      </c>
    </row>
    <row r="19" spans="1:58" ht="21.75" customHeight="1">
      <c r="B19" s="109" t="s">
        <v>391</v>
      </c>
      <c r="C19" s="151"/>
      <c r="D19" s="151"/>
      <c r="E19" s="108"/>
      <c r="G19" s="136" t="str">
        <f t="shared" si="0"/>
        <v>2015-16</v>
      </c>
      <c r="H19" s="137">
        <f t="shared" si="1"/>
        <v>0</v>
      </c>
      <c r="I19" s="139">
        <f>IF(H19&gt;500000,200000,IF(H19&gt;300000,H19-300000,0))</f>
        <v>0</v>
      </c>
      <c r="J19" s="137">
        <f t="shared" ref="J19" si="20">IF(H19&gt;1000000,500000,IF(H19&gt;500000,H19-500000,0))</f>
        <v>0</v>
      </c>
      <c r="K19" s="129">
        <f>IF(J19&gt;0,20000+(J19*0.2),0)</f>
        <v>0</v>
      </c>
      <c r="L19" s="137">
        <f>IF(H19&gt;1000000,H19-1000000,0)</f>
        <v>0</v>
      </c>
      <c r="M19" s="129">
        <f>IF(L19&gt;0,120000+(L19*0.3),0)</f>
        <v>0</v>
      </c>
      <c r="N19" s="137"/>
      <c r="O19" s="137"/>
      <c r="P19" s="137"/>
      <c r="Q19" s="137">
        <f>ROUND(I19*0.1,0)+K19+M19</f>
        <v>0</v>
      </c>
      <c r="R19" s="137"/>
      <c r="S19" s="137">
        <f>ROUND(Q19*1.03,-1)</f>
        <v>0</v>
      </c>
      <c r="T19" s="137"/>
      <c r="U19" s="137">
        <f t="shared" si="10"/>
        <v>0</v>
      </c>
      <c r="V19" s="137">
        <f t="shared" si="4"/>
        <v>0</v>
      </c>
      <c r="W19" s="139">
        <f>IF(V19&gt;500000,200000,IF(V19&gt;300000,V19-300000,0))</f>
        <v>0</v>
      </c>
      <c r="X19" s="137">
        <f t="shared" si="12"/>
        <v>0</v>
      </c>
      <c r="Y19" s="129">
        <f>IF(X19&gt;0,20000+(X19*0.2),0)</f>
        <v>0</v>
      </c>
      <c r="Z19" s="137">
        <f>IF(V19&gt;1000000,V19-1000000,0)</f>
        <v>0</v>
      </c>
      <c r="AA19" s="129">
        <f>IF(Z19&gt;0,120000+(Z19*0.3),0)</f>
        <v>0</v>
      </c>
      <c r="AB19" s="137"/>
      <c r="AC19" s="137"/>
      <c r="AD19" s="137"/>
      <c r="AE19" s="137">
        <f>ROUND(W19*0.1,0)+Y19+AA19</f>
        <v>0</v>
      </c>
      <c r="AF19" s="137"/>
      <c r="AG19" s="137">
        <f>ROUND(AE19*1.03,-1)</f>
        <v>0</v>
      </c>
      <c r="AH19" s="137"/>
      <c r="AI19" s="137">
        <f t="shared" si="17"/>
        <v>0</v>
      </c>
      <c r="AJ19" s="137">
        <f t="shared" si="18"/>
        <v>0</v>
      </c>
      <c r="AK19" s="136">
        <f t="shared" ref="AK19:AL21" si="21">IF(AI19&lt;=2000,0,IF(AI19&gt;2000,AI19-2000))</f>
        <v>0</v>
      </c>
      <c r="AL19" s="136">
        <f t="shared" si="21"/>
        <v>0</v>
      </c>
      <c r="AM19" s="137">
        <f t="shared" si="16"/>
        <v>0</v>
      </c>
      <c r="AN19" s="1132"/>
      <c r="AO19" s="1132"/>
      <c r="AP19" s="125">
        <v>6</v>
      </c>
      <c r="AQ19" s="126" t="s">
        <v>414</v>
      </c>
      <c r="AR19" s="1066">
        <f>AR14-AR17</f>
        <v>0</v>
      </c>
      <c r="AS19" s="144"/>
      <c r="AT19" s="144"/>
      <c r="AU19" s="144"/>
      <c r="AV19" s="143">
        <f>IF(AR12&gt;1500000,AR12-1500000,0)</f>
        <v>0</v>
      </c>
      <c r="AW19" s="143">
        <f>ROUND(AV19*0.3,0)</f>
        <v>0</v>
      </c>
      <c r="AX19" s="144"/>
      <c r="AY19" s="1132"/>
      <c r="AZ19" s="1133"/>
      <c r="BA19" s="1133"/>
      <c r="BB19" s="1133"/>
      <c r="BC19" s="1133"/>
      <c r="BD19" s="1133"/>
      <c r="BE19" s="1133"/>
      <c r="BF19" s="1160"/>
    </row>
    <row r="20" spans="1:58" ht="21.75" customHeight="1">
      <c r="B20" s="109" t="s">
        <v>392</v>
      </c>
      <c r="C20" s="151"/>
      <c r="D20" s="151"/>
      <c r="E20" s="108"/>
      <c r="G20" s="136" t="str">
        <f t="shared" si="0"/>
        <v>2014-15</v>
      </c>
      <c r="H20" s="137">
        <f t="shared" si="1"/>
        <v>0</v>
      </c>
      <c r="I20" s="139">
        <f>IF(H20&gt;500000,250000,IF(H20&gt;250000,H20-250000,0))</f>
        <v>0</v>
      </c>
      <c r="J20" s="137">
        <f t="shared" ref="J20:J21" si="22">IF(H20&gt;1000000,500000,IF(H20&gt;500000,H20-500000,0))</f>
        <v>0</v>
      </c>
      <c r="K20" s="129">
        <f>IF(J20&gt;0,25000+(J20*0.2),0)</f>
        <v>0</v>
      </c>
      <c r="L20" s="137">
        <f>IF(H20&gt;1000000,H20-1000000,0)</f>
        <v>0</v>
      </c>
      <c r="M20" s="129">
        <f>IF(L20&gt;0,125000+(L20*0.3),0)</f>
        <v>0</v>
      </c>
      <c r="N20" s="137"/>
      <c r="O20" s="137"/>
      <c r="P20" s="137"/>
      <c r="Q20" s="137">
        <f>ROUND(I20*0.1,0)+K20+M20</f>
        <v>0</v>
      </c>
      <c r="R20" s="137"/>
      <c r="S20" s="137">
        <f>ROUND(Q20*1.03,-1)</f>
        <v>0</v>
      </c>
      <c r="T20" s="137"/>
      <c r="U20" s="137">
        <f t="shared" si="10"/>
        <v>0</v>
      </c>
      <c r="V20" s="137">
        <f t="shared" si="4"/>
        <v>0</v>
      </c>
      <c r="W20" s="139">
        <f>IF(V20&gt;500000,250000,IF(V20&gt;250000,V20-250000,0))</f>
        <v>0</v>
      </c>
      <c r="X20" s="137">
        <f t="shared" ref="X20:X21" si="23">IF(V20&gt;1000000,500000,IF(V20&gt;500000,V20-500000,0))</f>
        <v>0</v>
      </c>
      <c r="Y20" s="129">
        <f>IF(X20&gt;0,25000+(X20*0.2),0)</f>
        <v>0</v>
      </c>
      <c r="Z20" s="137">
        <f>IF(V20&gt;1000000,V20-1000000,0)</f>
        <v>0</v>
      </c>
      <c r="AA20" s="129">
        <f>IF(Z20&gt;0,125000+(Z20*0.3),0)</f>
        <v>0</v>
      </c>
      <c r="AB20" s="137"/>
      <c r="AC20" s="137"/>
      <c r="AD20" s="137"/>
      <c r="AE20" s="137">
        <f>ROUND(W20*0.1,0)+Y20+AA20</f>
        <v>0</v>
      </c>
      <c r="AF20" s="137"/>
      <c r="AG20" s="137">
        <f>ROUND(AE20*1.03,-1)</f>
        <v>0</v>
      </c>
      <c r="AH20" s="137"/>
      <c r="AI20" s="137">
        <f t="shared" si="17"/>
        <v>0</v>
      </c>
      <c r="AJ20" s="137">
        <f t="shared" si="18"/>
        <v>0</v>
      </c>
      <c r="AK20" s="136">
        <f t="shared" si="21"/>
        <v>0</v>
      </c>
      <c r="AL20" s="136">
        <f t="shared" si="21"/>
        <v>0</v>
      </c>
      <c r="AM20" s="137">
        <f t="shared" si="16"/>
        <v>0</v>
      </c>
      <c r="AN20" s="1132"/>
      <c r="AO20" s="1132"/>
      <c r="AP20" s="121"/>
      <c r="AQ20" s="122" t="s">
        <v>415</v>
      </c>
      <c r="AR20" s="1067"/>
      <c r="AS20" s="143"/>
      <c r="AT20" s="143"/>
      <c r="AU20" s="143"/>
      <c r="AV20" s="143"/>
      <c r="AW20" s="143"/>
      <c r="AX20" s="143"/>
      <c r="AY20" s="1132"/>
      <c r="AZ20" s="1133"/>
      <c r="BA20" s="1133"/>
      <c r="BB20" s="1133"/>
      <c r="BC20" s="1133"/>
      <c r="BD20" s="1133"/>
      <c r="BE20" s="1133"/>
      <c r="BF20" s="1160"/>
    </row>
    <row r="21" spans="1:58" ht="21.75" customHeight="1">
      <c r="B21" s="109" t="s">
        <v>393</v>
      </c>
      <c r="C21" s="151"/>
      <c r="D21" s="151"/>
      <c r="E21" s="108"/>
      <c r="G21" s="136" t="str">
        <f t="shared" si="0"/>
        <v>2013-14</v>
      </c>
      <c r="H21" s="137">
        <f t="shared" si="1"/>
        <v>0</v>
      </c>
      <c r="I21" s="139">
        <f>IF(H21&gt;500000,300000,IF(H21&gt;200000,H21-200000,0))</f>
        <v>0</v>
      </c>
      <c r="J21" s="137">
        <f t="shared" si="22"/>
        <v>0</v>
      </c>
      <c r="K21" s="137">
        <f>IF(H21&gt;1000000,H21-1000000,0)</f>
        <v>0</v>
      </c>
      <c r="M21" s="137"/>
      <c r="N21" s="137"/>
      <c r="O21" s="137"/>
      <c r="P21" s="137"/>
      <c r="Q21" s="137">
        <f>ROUND(I21*0.1,0)+ROUND(J21*0.2,0)+ROUND(K21*0.3,0)</f>
        <v>0</v>
      </c>
      <c r="R21" s="137"/>
      <c r="S21" s="137">
        <f>ROUND(Q21*1.03,-1)</f>
        <v>0</v>
      </c>
      <c r="T21" s="137"/>
      <c r="U21" s="137">
        <f t="shared" si="10"/>
        <v>0</v>
      </c>
      <c r="V21" s="137">
        <f t="shared" si="4"/>
        <v>0</v>
      </c>
      <c r="W21" s="139">
        <f>IF(V21&gt;500000,300000,IF(V21&gt;200000,V21-200000,0))</f>
        <v>0</v>
      </c>
      <c r="X21" s="137">
        <f t="shared" si="23"/>
        <v>0</v>
      </c>
      <c r="Y21" s="137">
        <f>IF(V21&gt;1000000,V21-1000000,0)</f>
        <v>0</v>
      </c>
      <c r="AA21" s="137"/>
      <c r="AB21" s="137"/>
      <c r="AC21" s="137"/>
      <c r="AD21" s="137"/>
      <c r="AE21" s="137">
        <f>ROUND(W21*0.1,0)+ROUND(X21*0.2,0)+ROUND(Y21*0.3,0)</f>
        <v>0</v>
      </c>
      <c r="AF21" s="137"/>
      <c r="AG21" s="137">
        <f>ROUND(AE21*1.03,-1)</f>
        <v>0</v>
      </c>
      <c r="AH21" s="137"/>
      <c r="AI21" s="137">
        <f t="shared" si="17"/>
        <v>0</v>
      </c>
      <c r="AJ21" s="137">
        <f t="shared" si="18"/>
        <v>0</v>
      </c>
      <c r="AK21" s="136">
        <f t="shared" si="21"/>
        <v>0</v>
      </c>
      <c r="AL21" s="136">
        <f t="shared" si="21"/>
        <v>0</v>
      </c>
      <c r="AM21" s="137">
        <f t="shared" si="16"/>
        <v>0</v>
      </c>
      <c r="AN21" s="1132"/>
      <c r="AO21" s="1132"/>
      <c r="AP21" s="123"/>
      <c r="AQ21" s="124"/>
      <c r="AR21" s="1068"/>
      <c r="AS21" s="143"/>
      <c r="AT21" s="143"/>
      <c r="AU21" s="143"/>
      <c r="AV21" s="143"/>
      <c r="AW21" s="143"/>
      <c r="AX21" s="143"/>
      <c r="AY21" s="1132"/>
      <c r="AZ21" s="1133"/>
      <c r="BA21" s="1133"/>
      <c r="BB21" s="1133"/>
      <c r="BC21" s="1133"/>
      <c r="BD21" s="1133"/>
      <c r="BE21" s="1133"/>
      <c r="BF21" s="1130"/>
    </row>
    <row r="22" spans="1:58" ht="24" customHeight="1" thickBot="1">
      <c r="B22" s="141" t="s">
        <v>6</v>
      </c>
      <c r="C22" s="110">
        <f>SUM(C6:C21)</f>
        <v>0</v>
      </c>
      <c r="D22" s="110">
        <f>SUM(D6:D21)</f>
        <v>0</v>
      </c>
      <c r="E22" s="149"/>
      <c r="G22" s="115" t="s">
        <v>6</v>
      </c>
      <c r="H22" s="138">
        <f>SUM(H13:H21)</f>
        <v>0</v>
      </c>
      <c r="I22" s="138"/>
      <c r="J22" s="138"/>
      <c r="K22" s="138"/>
      <c r="L22" s="138"/>
      <c r="M22" s="138"/>
      <c r="N22" s="138"/>
      <c r="O22" s="138"/>
      <c r="P22" s="138"/>
      <c r="Q22" s="138"/>
      <c r="R22" s="138"/>
      <c r="S22" s="138"/>
      <c r="T22" s="138"/>
      <c r="U22" s="138">
        <f>SUM(U13:U21)</f>
        <v>0</v>
      </c>
      <c r="V22" s="138">
        <f>SUM(V13:V21)</f>
        <v>0</v>
      </c>
      <c r="W22" s="138"/>
      <c r="X22" s="138"/>
      <c r="Y22" s="138"/>
      <c r="Z22" s="138"/>
      <c r="AA22" s="138"/>
      <c r="AB22" s="138"/>
      <c r="AC22" s="138"/>
      <c r="AD22" s="138"/>
      <c r="AE22" s="138"/>
      <c r="AF22" s="138"/>
      <c r="AG22" s="138"/>
      <c r="AH22" s="138"/>
      <c r="AI22" s="138"/>
      <c r="AJ22" s="138"/>
      <c r="AK22" s="138">
        <f t="shared" ref="AK22:AL22" si="24">SUM(AK13:AK21)</f>
        <v>0</v>
      </c>
      <c r="AL22" s="138">
        <f t="shared" si="24"/>
        <v>0</v>
      </c>
      <c r="AM22" s="138">
        <f t="shared" ref="AM22" si="25">SUM(AM13:AM21)</f>
        <v>0</v>
      </c>
      <c r="AN22" s="1132"/>
      <c r="AO22" s="1132"/>
      <c r="AP22" s="125">
        <v>7</v>
      </c>
      <c r="AQ22" s="126" t="s">
        <v>416</v>
      </c>
      <c r="AR22" s="1069">
        <f>AM22</f>
        <v>0</v>
      </c>
      <c r="AS22" s="118"/>
      <c r="AT22" s="118"/>
      <c r="AU22" s="118"/>
      <c r="AV22" s="118"/>
      <c r="AW22" s="118"/>
      <c r="AX22" s="118"/>
      <c r="AY22" s="1132"/>
      <c r="AZ22" s="1133"/>
      <c r="BA22" s="1133" t="s">
        <v>429</v>
      </c>
      <c r="BB22" s="1133" t="s">
        <v>439</v>
      </c>
      <c r="BC22" s="1133"/>
      <c r="BD22" s="1133"/>
      <c r="BE22" s="1133"/>
      <c r="BF22" s="1129" t="s">
        <v>428</v>
      </c>
    </row>
    <row r="23" spans="1:58" ht="16.5" customHeight="1">
      <c r="G23" s="1081"/>
      <c r="H23" s="1081"/>
      <c r="I23" s="1081"/>
      <c r="J23" s="1081"/>
      <c r="K23" s="1081"/>
      <c r="L23" s="1081"/>
      <c r="M23" s="1081"/>
      <c r="N23" s="1081"/>
      <c r="O23" s="1081"/>
      <c r="P23" s="1081"/>
      <c r="Q23" s="1081"/>
      <c r="R23" s="1081"/>
      <c r="S23" s="1081"/>
      <c r="T23" s="1081"/>
      <c r="U23" s="1081"/>
      <c r="V23" s="1081"/>
      <c r="W23" s="1081"/>
      <c r="X23" s="1081"/>
      <c r="Y23" s="1081"/>
      <c r="Z23" s="1081"/>
      <c r="AA23" s="1081"/>
      <c r="AB23" s="1081"/>
      <c r="AC23" s="1081"/>
      <c r="AD23" s="1081"/>
      <c r="AE23" s="1081"/>
      <c r="AF23" s="1081"/>
      <c r="AG23" s="1081"/>
      <c r="AH23" s="1081"/>
      <c r="AI23" s="1081"/>
      <c r="AJ23" s="1081"/>
      <c r="AK23" s="1081"/>
      <c r="AL23" s="1081"/>
      <c r="AM23" s="1081"/>
      <c r="AN23" s="1132"/>
      <c r="AO23" s="1132"/>
      <c r="AP23" s="121"/>
      <c r="AQ23" s="122" t="s">
        <v>417</v>
      </c>
      <c r="AR23" s="1070"/>
      <c r="AS23" s="118"/>
      <c r="AT23" s="118"/>
      <c r="AU23" s="118"/>
      <c r="AV23" s="118"/>
      <c r="AW23" s="118"/>
      <c r="AX23" s="118"/>
      <c r="AY23" s="1132"/>
      <c r="AZ23" s="1133"/>
      <c r="BA23" s="1133"/>
      <c r="BB23" s="1133"/>
      <c r="BC23" s="1133"/>
      <c r="BD23" s="1133"/>
      <c r="BE23" s="1133"/>
      <c r="BF23" s="1160"/>
    </row>
    <row r="24" spans="1:58" ht="16.5" customHeight="1">
      <c r="G24" s="1082"/>
      <c r="H24" s="1082"/>
      <c r="I24" s="1082"/>
      <c r="J24" s="1082"/>
      <c r="K24" s="1082"/>
      <c r="L24" s="1082"/>
      <c r="M24" s="1082"/>
      <c r="N24" s="1082"/>
      <c r="O24" s="1082"/>
      <c r="P24" s="1082"/>
      <c r="Q24" s="1082"/>
      <c r="R24" s="1082"/>
      <c r="S24" s="1082"/>
      <c r="T24" s="1082"/>
      <c r="U24" s="1082"/>
      <c r="V24" s="1082"/>
      <c r="W24" s="1082"/>
      <c r="X24" s="1082"/>
      <c r="Y24" s="1082"/>
      <c r="Z24" s="1082"/>
      <c r="AA24" s="1082"/>
      <c r="AB24" s="1082"/>
      <c r="AC24" s="1082"/>
      <c r="AD24" s="1082"/>
      <c r="AE24" s="1082"/>
      <c r="AF24" s="1082"/>
      <c r="AG24" s="1082"/>
      <c r="AH24" s="1082"/>
      <c r="AI24" s="1082"/>
      <c r="AJ24" s="1082"/>
      <c r="AK24" s="1082"/>
      <c r="AL24" s="1082"/>
      <c r="AM24" s="1082"/>
      <c r="AN24" s="1132"/>
      <c r="AO24" s="1132"/>
      <c r="AP24" s="123"/>
      <c r="AQ24" s="124"/>
      <c r="AR24" s="1071"/>
      <c r="AS24" s="118"/>
      <c r="AT24" s="118"/>
      <c r="AU24" s="118"/>
      <c r="AV24" s="118"/>
      <c r="AW24" s="118"/>
      <c r="AX24" s="118"/>
      <c r="AY24" s="1132"/>
      <c r="AZ24" s="1133"/>
      <c r="BA24" s="1133"/>
      <c r="BB24" s="1133"/>
      <c r="BC24" s="1133"/>
      <c r="BD24" s="1133"/>
      <c r="BE24" s="1133"/>
      <c r="BF24" s="1160"/>
    </row>
    <row r="25" spans="1:58" ht="16.5" customHeight="1">
      <c r="G25" s="1082"/>
      <c r="H25" s="1082"/>
      <c r="I25" s="1082"/>
      <c r="J25" s="1082"/>
      <c r="K25" s="1082"/>
      <c r="L25" s="1082"/>
      <c r="M25" s="1082"/>
      <c r="N25" s="1082"/>
      <c r="O25" s="1082"/>
      <c r="P25" s="1082"/>
      <c r="Q25" s="1082"/>
      <c r="R25" s="1082"/>
      <c r="S25" s="1082"/>
      <c r="T25" s="1082"/>
      <c r="U25" s="1082"/>
      <c r="V25" s="1082"/>
      <c r="W25" s="1082"/>
      <c r="X25" s="1082"/>
      <c r="Y25" s="1082"/>
      <c r="Z25" s="1082"/>
      <c r="AA25" s="1082"/>
      <c r="AB25" s="1082"/>
      <c r="AC25" s="1082"/>
      <c r="AD25" s="1082"/>
      <c r="AE25" s="1082"/>
      <c r="AF25" s="1082"/>
      <c r="AG25" s="1082"/>
      <c r="AH25" s="1082"/>
      <c r="AI25" s="1082"/>
      <c r="AJ25" s="1082"/>
      <c r="AK25" s="1082"/>
      <c r="AL25" s="1082"/>
      <c r="AM25" s="1082"/>
      <c r="AN25" s="1132"/>
      <c r="AO25" s="1132"/>
      <c r="AP25" s="121">
        <v>8</v>
      </c>
      <c r="AQ25" s="122" t="s">
        <v>418</v>
      </c>
      <c r="AR25" s="158"/>
      <c r="AS25" s="118"/>
      <c r="AT25" s="118"/>
      <c r="AU25" s="118"/>
      <c r="AV25" s="118"/>
      <c r="AW25" s="118"/>
      <c r="AX25" s="118"/>
      <c r="AY25" s="1132"/>
      <c r="AZ25" s="1133"/>
      <c r="BA25" s="1133"/>
      <c r="BB25" s="1133"/>
      <c r="BC25" s="1133"/>
      <c r="BD25" s="1133"/>
      <c r="BE25" s="1133"/>
      <c r="BF25" s="1160"/>
    </row>
    <row r="26" spans="1:58" ht="16.5" customHeight="1">
      <c r="G26" s="1082"/>
      <c r="H26" s="1082"/>
      <c r="I26" s="1082"/>
      <c r="J26" s="1082"/>
      <c r="K26" s="1082"/>
      <c r="L26" s="1082"/>
      <c r="M26" s="1082"/>
      <c r="N26" s="1082"/>
      <c r="O26" s="1082"/>
      <c r="P26" s="1082"/>
      <c r="Q26" s="1082"/>
      <c r="R26" s="1082"/>
      <c r="S26" s="1082"/>
      <c r="T26" s="1082"/>
      <c r="U26" s="1082"/>
      <c r="V26" s="1082"/>
      <c r="W26" s="1082"/>
      <c r="X26" s="1082"/>
      <c r="Y26" s="1082"/>
      <c r="Z26" s="1082"/>
      <c r="AA26" s="1082"/>
      <c r="AB26" s="1082"/>
      <c r="AC26" s="1082"/>
      <c r="AD26" s="1082"/>
      <c r="AE26" s="1082"/>
      <c r="AF26" s="1082"/>
      <c r="AG26" s="1082"/>
      <c r="AH26" s="1082"/>
      <c r="AI26" s="1082"/>
      <c r="AJ26" s="1082"/>
      <c r="AK26" s="1082"/>
      <c r="AL26" s="1082"/>
      <c r="AM26" s="1082"/>
      <c r="AN26" s="1132"/>
      <c r="AO26" s="1132"/>
      <c r="AP26" s="121"/>
      <c r="AQ26" s="122" t="s">
        <v>419</v>
      </c>
      <c r="AR26" s="160">
        <f>AR19-AR22</f>
        <v>0</v>
      </c>
      <c r="AS26" s="118"/>
      <c r="AT26" s="118"/>
      <c r="AU26" s="118"/>
      <c r="AV26" s="118"/>
      <c r="AW26" s="118"/>
      <c r="AX26" s="118"/>
      <c r="AY26" s="1132"/>
      <c r="AZ26" s="1133"/>
      <c r="BA26" s="1133"/>
      <c r="BB26" s="1133"/>
      <c r="BC26" s="1133"/>
      <c r="BD26" s="1133"/>
      <c r="BE26" s="1133"/>
      <c r="BF26" s="1160"/>
    </row>
    <row r="27" spans="1:58" ht="16.5" customHeight="1" thickBot="1">
      <c r="G27" s="1082"/>
      <c r="H27" s="1082"/>
      <c r="I27" s="1082"/>
      <c r="J27" s="1082"/>
      <c r="K27" s="1082"/>
      <c r="L27" s="1082"/>
      <c r="M27" s="1082"/>
      <c r="N27" s="1082"/>
      <c r="O27" s="1082"/>
      <c r="P27" s="1082"/>
      <c r="Q27" s="1082"/>
      <c r="R27" s="1082"/>
      <c r="S27" s="1082"/>
      <c r="T27" s="1082"/>
      <c r="U27" s="1082"/>
      <c r="V27" s="1082"/>
      <c r="W27" s="1082"/>
      <c r="X27" s="1082"/>
      <c r="Y27" s="1082"/>
      <c r="Z27" s="1082"/>
      <c r="AA27" s="1082"/>
      <c r="AB27" s="1082"/>
      <c r="AC27" s="1082"/>
      <c r="AD27" s="1082"/>
      <c r="AE27" s="1082"/>
      <c r="AF27" s="1082"/>
      <c r="AG27" s="1082"/>
      <c r="AH27" s="1082"/>
      <c r="AI27" s="1082"/>
      <c r="AJ27" s="1082"/>
      <c r="AK27" s="1082"/>
      <c r="AL27" s="1082"/>
      <c r="AM27" s="1082"/>
      <c r="AN27" s="1132"/>
      <c r="AO27" s="1132"/>
      <c r="AP27" s="127"/>
      <c r="AQ27" s="128" t="s">
        <v>420</v>
      </c>
      <c r="AR27" s="159"/>
      <c r="AS27" s="118"/>
      <c r="AT27" s="118"/>
      <c r="AU27" s="118"/>
      <c r="AV27" s="118"/>
      <c r="AW27" s="118"/>
      <c r="AX27" s="118"/>
      <c r="AY27" s="1132"/>
      <c r="AZ27" s="1133"/>
      <c r="BA27" s="1133"/>
      <c r="BB27" s="1133"/>
      <c r="BC27" s="1133"/>
      <c r="BD27" s="1133"/>
      <c r="BE27" s="1133"/>
      <c r="BF27" s="1130"/>
    </row>
    <row r="28" spans="1:58" ht="16.5" customHeight="1">
      <c r="G28" s="1082"/>
      <c r="H28" s="1082"/>
      <c r="I28" s="1082"/>
      <c r="J28" s="1082"/>
      <c r="K28" s="1082"/>
      <c r="L28" s="1082"/>
      <c r="M28" s="1082"/>
      <c r="N28" s="1082"/>
      <c r="O28" s="1082"/>
      <c r="P28" s="1082"/>
      <c r="Q28" s="1082"/>
      <c r="R28" s="1082"/>
      <c r="S28" s="1082"/>
      <c r="T28" s="1082"/>
      <c r="U28" s="1082"/>
      <c r="V28" s="1082"/>
      <c r="W28" s="1082"/>
      <c r="X28" s="1082"/>
      <c r="Y28" s="1082"/>
      <c r="Z28" s="1082"/>
      <c r="AA28" s="1082"/>
      <c r="AB28" s="1082"/>
      <c r="AC28" s="1082"/>
      <c r="AD28" s="1082"/>
      <c r="AE28" s="1082"/>
      <c r="AF28" s="1082"/>
      <c r="AG28" s="1082"/>
      <c r="AH28" s="1082"/>
      <c r="AI28" s="1082"/>
      <c r="AJ28" s="1082"/>
      <c r="AK28" s="1082"/>
      <c r="AL28" s="1082"/>
      <c r="AM28" s="1082"/>
      <c r="AN28" s="1132"/>
      <c r="AO28" s="1132"/>
      <c r="AP28" s="1148"/>
      <c r="AQ28" s="1148"/>
      <c r="AR28" s="1148"/>
      <c r="AS28" s="118"/>
      <c r="AT28" s="118"/>
      <c r="AU28" s="118"/>
      <c r="AV28" s="118"/>
      <c r="AW28" s="118"/>
      <c r="AX28" s="118"/>
      <c r="AY28" s="1132"/>
      <c r="AZ28" s="1133"/>
      <c r="BA28" s="1133" t="s">
        <v>430</v>
      </c>
      <c r="BB28" s="1133" t="s">
        <v>440</v>
      </c>
      <c r="BC28" s="1133"/>
      <c r="BD28" s="1133"/>
      <c r="BE28" s="1133"/>
      <c r="BF28" s="1129" t="s">
        <v>428</v>
      </c>
    </row>
    <row r="29" spans="1:58" ht="16.5" customHeight="1">
      <c r="G29" s="1082"/>
      <c r="H29" s="1082"/>
      <c r="I29" s="1082"/>
      <c r="J29" s="1082"/>
      <c r="K29" s="1082"/>
      <c r="L29" s="1082"/>
      <c r="M29" s="1082"/>
      <c r="N29" s="1082"/>
      <c r="O29" s="1082"/>
      <c r="P29" s="1082"/>
      <c r="Q29" s="1082"/>
      <c r="R29" s="1082"/>
      <c r="S29" s="1082"/>
      <c r="T29" s="1082"/>
      <c r="U29" s="1082"/>
      <c r="V29" s="1082"/>
      <c r="W29" s="1082"/>
      <c r="X29" s="1082"/>
      <c r="Y29" s="1082"/>
      <c r="Z29" s="1082"/>
      <c r="AA29" s="1082"/>
      <c r="AB29" s="1082"/>
      <c r="AC29" s="1082"/>
      <c r="AD29" s="1082"/>
      <c r="AE29" s="1082"/>
      <c r="AF29" s="1082"/>
      <c r="AG29" s="1082"/>
      <c r="AH29" s="1082"/>
      <c r="AI29" s="1082"/>
      <c r="AJ29" s="1082"/>
      <c r="AK29" s="1082"/>
      <c r="AL29" s="1082"/>
      <c r="AM29" s="1082"/>
      <c r="AN29" s="1132"/>
      <c r="AO29" s="1132"/>
      <c r="AP29" s="1076"/>
      <c r="AQ29" s="1076"/>
      <c r="AR29" s="1076"/>
      <c r="AS29" s="118"/>
      <c r="AT29" s="118"/>
      <c r="AU29" s="118"/>
      <c r="AV29" s="118"/>
      <c r="AW29" s="118"/>
      <c r="AX29" s="118"/>
      <c r="AY29" s="1132"/>
      <c r="AZ29" s="1133"/>
      <c r="BA29" s="1133"/>
      <c r="BB29" s="1133"/>
      <c r="BC29" s="1133"/>
      <c r="BD29" s="1133"/>
      <c r="BE29" s="1133"/>
      <c r="BF29" s="1160"/>
    </row>
    <row r="30" spans="1:58" ht="16.5" customHeight="1">
      <c r="G30" s="1082"/>
      <c r="H30" s="1082"/>
      <c r="I30" s="1082"/>
      <c r="J30" s="1082"/>
      <c r="K30" s="1082"/>
      <c r="L30" s="1082"/>
      <c r="M30" s="1082"/>
      <c r="N30" s="1082"/>
      <c r="O30" s="1082"/>
      <c r="P30" s="1082"/>
      <c r="Q30" s="1082"/>
      <c r="R30" s="1082"/>
      <c r="S30" s="1082"/>
      <c r="T30" s="1082"/>
      <c r="U30" s="1082"/>
      <c r="V30" s="1082"/>
      <c r="W30" s="1082"/>
      <c r="X30" s="1082"/>
      <c r="Y30" s="1082"/>
      <c r="Z30" s="1082"/>
      <c r="AA30" s="1082"/>
      <c r="AB30" s="1082"/>
      <c r="AC30" s="1082"/>
      <c r="AD30" s="1082"/>
      <c r="AE30" s="1082"/>
      <c r="AF30" s="1082"/>
      <c r="AG30" s="1082"/>
      <c r="AH30" s="1082"/>
      <c r="AI30" s="1082"/>
      <c r="AJ30" s="1082"/>
      <c r="AK30" s="1082"/>
      <c r="AL30" s="1082"/>
      <c r="AM30" s="1082"/>
      <c r="AN30" s="1132"/>
      <c r="AO30" s="1132"/>
      <c r="AP30" s="1076"/>
      <c r="AQ30" s="1076"/>
      <c r="AR30" s="1076"/>
      <c r="AS30" s="118"/>
      <c r="AT30" s="118"/>
      <c r="AU30" s="118"/>
      <c r="AV30" s="118"/>
      <c r="AW30" s="118"/>
      <c r="AX30" s="118"/>
      <c r="AY30" s="1132"/>
      <c r="AZ30" s="1133"/>
      <c r="BA30" s="1133"/>
      <c r="BB30" s="1133"/>
      <c r="BC30" s="1133"/>
      <c r="BD30" s="1133"/>
      <c r="BE30" s="1133"/>
      <c r="BF30" s="1130"/>
    </row>
    <row r="31" spans="1:58" ht="16.5" customHeight="1">
      <c r="G31" s="1082"/>
      <c r="H31" s="1082"/>
      <c r="I31" s="1082"/>
      <c r="J31" s="1082"/>
      <c r="K31" s="1082"/>
      <c r="L31" s="1082"/>
      <c r="M31" s="1082"/>
      <c r="N31" s="1082"/>
      <c r="O31" s="1082"/>
      <c r="P31" s="1082"/>
      <c r="Q31" s="1082"/>
      <c r="R31" s="1082"/>
      <c r="S31" s="1082"/>
      <c r="T31" s="1082"/>
      <c r="U31" s="1082"/>
      <c r="V31" s="1082"/>
      <c r="W31" s="1082"/>
      <c r="X31" s="1082"/>
      <c r="Y31" s="1082"/>
      <c r="Z31" s="1082"/>
      <c r="AA31" s="1082"/>
      <c r="AB31" s="1082"/>
      <c r="AC31" s="1082"/>
      <c r="AD31" s="1082"/>
      <c r="AE31" s="1082"/>
      <c r="AF31" s="1082"/>
      <c r="AG31" s="1082"/>
      <c r="AH31" s="1082"/>
      <c r="AI31" s="1082"/>
      <c r="AJ31" s="1082"/>
      <c r="AK31" s="1082"/>
      <c r="AL31" s="1082"/>
      <c r="AM31" s="1082"/>
      <c r="AN31" s="1132"/>
      <c r="AO31" s="1132"/>
      <c r="AP31" s="1076"/>
      <c r="AQ31" s="1076"/>
      <c r="AR31" s="1076"/>
      <c r="AS31" s="118"/>
      <c r="AT31" s="118"/>
      <c r="AU31" s="118"/>
      <c r="AV31" s="118"/>
      <c r="AW31" s="118"/>
      <c r="AX31" s="118"/>
      <c r="AY31" s="1132"/>
      <c r="AZ31" s="1133">
        <v>2</v>
      </c>
      <c r="BA31" s="1133"/>
      <c r="BB31" s="1137" t="s">
        <v>441</v>
      </c>
      <c r="BC31" s="1137"/>
      <c r="BD31" s="1137"/>
      <c r="BE31" s="1137"/>
      <c r="BF31" s="1129"/>
    </row>
    <row r="32" spans="1:58" ht="16.5" customHeight="1">
      <c r="G32" s="1082"/>
      <c r="H32" s="1082"/>
      <c r="I32" s="1082"/>
      <c r="J32" s="1082"/>
      <c r="K32" s="1082"/>
      <c r="L32" s="1082"/>
      <c r="M32" s="1082"/>
      <c r="N32" s="1082"/>
      <c r="O32" s="1082"/>
      <c r="P32" s="1082"/>
      <c r="Q32" s="1082"/>
      <c r="R32" s="1082"/>
      <c r="S32" s="1082"/>
      <c r="T32" s="1082"/>
      <c r="U32" s="1082"/>
      <c r="V32" s="1082"/>
      <c r="W32" s="1082"/>
      <c r="X32" s="1082"/>
      <c r="Y32" s="1082"/>
      <c r="Z32" s="1082"/>
      <c r="AA32" s="1082"/>
      <c r="AB32" s="1082"/>
      <c r="AC32" s="1082"/>
      <c r="AD32" s="1082"/>
      <c r="AE32" s="1082"/>
      <c r="AF32" s="1082"/>
      <c r="AG32" s="1082"/>
      <c r="AH32" s="1082"/>
      <c r="AI32" s="1082"/>
      <c r="AJ32" s="1082"/>
      <c r="AK32" s="1082"/>
      <c r="AL32" s="1082"/>
      <c r="AM32" s="1082"/>
      <c r="AN32" s="1132"/>
      <c r="AO32" s="1132"/>
      <c r="AP32" s="1076"/>
      <c r="AQ32" s="1076"/>
      <c r="AR32" s="1076"/>
      <c r="AS32" s="118"/>
      <c r="AT32" s="118"/>
      <c r="AU32" s="118"/>
      <c r="AV32" s="118"/>
      <c r="AW32" s="118"/>
      <c r="AX32" s="118"/>
      <c r="AY32" s="1132"/>
      <c r="AZ32" s="1133"/>
      <c r="BA32" s="1133"/>
      <c r="BB32" s="1137"/>
      <c r="BC32" s="1137"/>
      <c r="BD32" s="1137"/>
      <c r="BE32" s="1137"/>
      <c r="BF32" s="1130"/>
    </row>
    <row r="33" spans="7:58" ht="15.75" customHeight="1">
      <c r="G33" s="1082"/>
      <c r="H33" s="1082"/>
      <c r="I33" s="1082"/>
      <c r="J33" s="1082"/>
      <c r="K33" s="1082"/>
      <c r="L33" s="1082"/>
      <c r="M33" s="1082"/>
      <c r="N33" s="1082"/>
      <c r="O33" s="1082"/>
      <c r="P33" s="1082"/>
      <c r="Q33" s="1082"/>
      <c r="R33" s="1082"/>
      <c r="S33" s="1082"/>
      <c r="T33" s="1082"/>
      <c r="U33" s="1082"/>
      <c r="V33" s="1082"/>
      <c r="W33" s="1082"/>
      <c r="X33" s="1082"/>
      <c r="Y33" s="1082"/>
      <c r="Z33" s="1082"/>
      <c r="AA33" s="1082"/>
      <c r="AB33" s="1082"/>
      <c r="AC33" s="1082"/>
      <c r="AD33" s="1082"/>
      <c r="AE33" s="1082"/>
      <c r="AF33" s="1082"/>
      <c r="AG33" s="1082"/>
      <c r="AH33" s="1082"/>
      <c r="AI33" s="1082"/>
      <c r="AJ33" s="1082"/>
      <c r="AK33" s="1082"/>
      <c r="AL33" s="1082"/>
      <c r="AM33" s="1082"/>
      <c r="AN33" s="1132"/>
      <c r="AO33" s="1132"/>
      <c r="AP33" s="1076"/>
      <c r="AQ33" s="1076"/>
      <c r="AR33" s="1076"/>
      <c r="AS33" s="118"/>
      <c r="AT33" s="118"/>
      <c r="AU33" s="118"/>
      <c r="AV33" s="118"/>
      <c r="AW33" s="118"/>
      <c r="AX33" s="118"/>
      <c r="AY33" s="1132"/>
      <c r="AZ33" s="1131"/>
      <c r="BA33" s="1131"/>
      <c r="BB33" s="1131"/>
      <c r="BC33" s="1131"/>
      <c r="BD33" s="1131"/>
      <c r="BE33" s="1131"/>
      <c r="BF33" s="1131"/>
    </row>
    <row r="34" spans="7:58" ht="15.75" customHeight="1">
      <c r="G34" s="1082"/>
      <c r="H34" s="1082"/>
      <c r="I34" s="1082"/>
      <c r="J34" s="1082"/>
      <c r="K34" s="1082"/>
      <c r="L34" s="1082"/>
      <c r="M34" s="1082"/>
      <c r="N34" s="1082"/>
      <c r="O34" s="1082"/>
      <c r="P34" s="1082"/>
      <c r="Q34" s="1082"/>
      <c r="R34" s="1082"/>
      <c r="S34" s="1082"/>
      <c r="T34" s="1082"/>
      <c r="U34" s="1082"/>
      <c r="V34" s="1082"/>
      <c r="W34" s="1082"/>
      <c r="X34" s="1082"/>
      <c r="Y34" s="1082"/>
      <c r="Z34" s="1082"/>
      <c r="AA34" s="1082"/>
      <c r="AB34" s="1082"/>
      <c r="AC34" s="1082"/>
      <c r="AD34" s="1082"/>
      <c r="AE34" s="1082"/>
      <c r="AF34" s="1082"/>
      <c r="AG34" s="1082"/>
      <c r="AH34" s="1082"/>
      <c r="AI34" s="1082"/>
      <c r="AJ34" s="1082"/>
      <c r="AK34" s="1082"/>
      <c r="AL34" s="1082"/>
      <c r="AM34" s="1082"/>
      <c r="AN34" s="1132"/>
      <c r="AO34" s="1132"/>
      <c r="AP34" s="1076"/>
      <c r="AQ34" s="1076"/>
      <c r="AR34" s="1076"/>
      <c r="AS34" s="118"/>
      <c r="AT34" s="118"/>
      <c r="AU34" s="118"/>
      <c r="AV34" s="118"/>
      <c r="AW34" s="118"/>
      <c r="AX34" s="118"/>
      <c r="AY34" s="1132"/>
      <c r="AZ34" s="1132"/>
      <c r="BA34" s="1132"/>
      <c r="BB34" s="1132"/>
      <c r="BC34" s="1132"/>
      <c r="BD34" s="1132"/>
      <c r="BE34" s="1132"/>
      <c r="BF34" s="1132"/>
    </row>
    <row r="35" spans="7:58" ht="15.75" customHeight="1">
      <c r="G35" s="1082"/>
      <c r="H35" s="1082"/>
      <c r="I35" s="1082"/>
      <c r="J35" s="1082"/>
      <c r="K35" s="1082"/>
      <c r="L35" s="1082"/>
      <c r="M35" s="1082"/>
      <c r="N35" s="1082"/>
      <c r="O35" s="1082"/>
      <c r="P35" s="1082"/>
      <c r="Q35" s="1082"/>
      <c r="R35" s="1082"/>
      <c r="S35" s="1082"/>
      <c r="T35" s="1082"/>
      <c r="U35" s="1082"/>
      <c r="V35" s="1082"/>
      <c r="W35" s="1082"/>
      <c r="X35" s="1082"/>
      <c r="Y35" s="1082"/>
      <c r="Z35" s="1082"/>
      <c r="AA35" s="1082"/>
      <c r="AB35" s="1082"/>
      <c r="AC35" s="1082"/>
      <c r="AD35" s="1082"/>
      <c r="AE35" s="1082"/>
      <c r="AF35" s="1082"/>
      <c r="AG35" s="1082"/>
      <c r="AH35" s="1082"/>
      <c r="AI35" s="1082"/>
      <c r="AJ35" s="1082"/>
      <c r="AK35" s="1082"/>
      <c r="AL35" s="1082"/>
      <c r="AM35" s="1082"/>
      <c r="AN35" s="1132"/>
      <c r="AO35" s="1132"/>
      <c r="AP35" s="1076"/>
      <c r="AQ35" s="1076"/>
      <c r="AR35" s="1076"/>
      <c r="AS35" s="118"/>
      <c r="AT35" s="118"/>
      <c r="AU35" s="118"/>
      <c r="AV35" s="118"/>
      <c r="AW35" s="118"/>
      <c r="AX35" s="118"/>
      <c r="AY35" s="1132"/>
      <c r="AZ35" s="1132"/>
      <c r="BA35" s="1132"/>
      <c r="BB35" s="1132"/>
      <c r="BC35" s="1132"/>
      <c r="BD35" s="1132"/>
      <c r="BE35" s="1132"/>
      <c r="BF35" s="1132"/>
    </row>
    <row r="36" spans="7:58" ht="15.75" customHeight="1">
      <c r="G36" s="1082"/>
      <c r="H36" s="1082"/>
      <c r="I36" s="1082"/>
      <c r="J36" s="1082"/>
      <c r="K36" s="1082"/>
      <c r="L36" s="1082"/>
      <c r="M36" s="1082"/>
      <c r="N36" s="1082"/>
      <c r="O36" s="1082"/>
      <c r="P36" s="1082"/>
      <c r="Q36" s="1082"/>
      <c r="R36" s="1082"/>
      <c r="S36" s="1082"/>
      <c r="T36" s="1082"/>
      <c r="U36" s="1082"/>
      <c r="V36" s="1082"/>
      <c r="W36" s="1082"/>
      <c r="X36" s="1082"/>
      <c r="Y36" s="1082"/>
      <c r="Z36" s="1082"/>
      <c r="AA36" s="1082"/>
      <c r="AB36" s="1082"/>
      <c r="AC36" s="1082"/>
      <c r="AD36" s="1082"/>
      <c r="AE36" s="1082"/>
      <c r="AF36" s="1082"/>
      <c r="AG36" s="1082"/>
      <c r="AH36" s="1082"/>
      <c r="AI36" s="1082"/>
      <c r="AJ36" s="1082"/>
      <c r="AK36" s="1082"/>
      <c r="AL36" s="1082"/>
      <c r="AM36" s="1082"/>
      <c r="AN36" s="1132"/>
      <c r="AO36" s="1132"/>
      <c r="AP36" s="1076"/>
      <c r="AQ36" s="1076"/>
      <c r="AR36" s="1076"/>
      <c r="AS36" s="118"/>
      <c r="AT36" s="118"/>
      <c r="AU36" s="118"/>
      <c r="AV36" s="118"/>
      <c r="AW36" s="118"/>
      <c r="AX36" s="118"/>
      <c r="AY36" s="1132"/>
      <c r="BE36" s="1132" t="s">
        <v>431</v>
      </c>
      <c r="BF36" s="1132"/>
    </row>
    <row r="37" spans="7:58" ht="15.75" customHeight="1">
      <c r="G37" s="1082"/>
      <c r="H37" s="1082"/>
      <c r="I37" s="1082"/>
      <c r="J37" s="1082"/>
      <c r="K37" s="1082"/>
      <c r="L37" s="1082"/>
      <c r="M37" s="1082"/>
      <c r="N37" s="1082"/>
      <c r="O37" s="1082"/>
      <c r="P37" s="1082"/>
      <c r="Q37" s="1082"/>
      <c r="R37" s="1082"/>
      <c r="S37" s="1082"/>
      <c r="T37" s="1082"/>
      <c r="U37" s="1082"/>
      <c r="V37" s="1082"/>
      <c r="W37" s="1082"/>
      <c r="X37" s="1082"/>
      <c r="Y37" s="1082"/>
      <c r="Z37" s="1082"/>
      <c r="AA37" s="1082"/>
      <c r="AB37" s="1082"/>
      <c r="AC37" s="1082"/>
      <c r="AD37" s="1082"/>
      <c r="AE37" s="1082"/>
      <c r="AF37" s="1082"/>
      <c r="AG37" s="1082"/>
      <c r="AH37" s="1082"/>
      <c r="AI37" s="1082"/>
      <c r="AJ37" s="1082"/>
      <c r="AK37" s="1082"/>
      <c r="AL37" s="1082"/>
      <c r="AM37" s="1082"/>
      <c r="AN37" s="1132"/>
      <c r="AO37" s="1132"/>
      <c r="AP37" s="1076"/>
      <c r="AQ37" s="1076"/>
      <c r="AR37" s="1076"/>
      <c r="AS37" s="118"/>
      <c r="AT37" s="118"/>
      <c r="AU37" s="118"/>
      <c r="AV37" s="118"/>
      <c r="AW37" s="118"/>
      <c r="AX37" s="118"/>
      <c r="AY37" s="1132"/>
      <c r="AZ37" s="1152" t="s">
        <v>286</v>
      </c>
      <c r="BA37" s="1152"/>
      <c r="BB37" s="1152"/>
      <c r="BC37" s="1152"/>
      <c r="BD37" s="1152"/>
      <c r="BE37" s="1152"/>
      <c r="BF37" s="1152"/>
    </row>
    <row r="38" spans="7:58" ht="15.75" customHeight="1">
      <c r="G38" s="1082"/>
      <c r="H38" s="1082"/>
      <c r="I38" s="1082"/>
      <c r="J38" s="1082"/>
      <c r="K38" s="1082"/>
      <c r="L38" s="1082"/>
      <c r="M38" s="1082"/>
      <c r="N38" s="1082"/>
      <c r="O38" s="1082"/>
      <c r="P38" s="1082"/>
      <c r="Q38" s="1082"/>
      <c r="R38" s="1082"/>
      <c r="S38" s="1082"/>
      <c r="T38" s="1082"/>
      <c r="U38" s="1082"/>
      <c r="V38" s="1082"/>
      <c r="W38" s="1082"/>
      <c r="X38" s="1082"/>
      <c r="Y38" s="1082"/>
      <c r="Z38" s="1082"/>
      <c r="AA38" s="1082"/>
      <c r="AB38" s="1082"/>
      <c r="AC38" s="1082"/>
      <c r="AD38" s="1082"/>
      <c r="AE38" s="1082"/>
      <c r="AF38" s="1082"/>
      <c r="AG38" s="1082"/>
      <c r="AH38" s="1082"/>
      <c r="AI38" s="1082"/>
      <c r="AJ38" s="1082"/>
      <c r="AK38" s="1082"/>
      <c r="AL38" s="1082"/>
      <c r="AM38" s="1082"/>
      <c r="AN38" s="1132"/>
      <c r="AO38" s="1132"/>
      <c r="AP38" s="1076"/>
      <c r="AQ38" s="1076"/>
      <c r="AR38" s="1076"/>
      <c r="AS38" s="118"/>
      <c r="AT38" s="118"/>
      <c r="AU38" s="118"/>
      <c r="AV38" s="118"/>
      <c r="AW38" s="118"/>
      <c r="AX38" s="118"/>
      <c r="AY38" s="1132"/>
      <c r="AZ38" s="1152"/>
      <c r="BA38" s="1152"/>
      <c r="BB38" s="1152"/>
      <c r="BC38" s="1152"/>
      <c r="BD38" s="1152"/>
      <c r="BE38" s="1152"/>
      <c r="BF38" s="1152"/>
    </row>
    <row r="39" spans="7:58" ht="15.75" customHeight="1">
      <c r="G39" s="1082"/>
      <c r="H39" s="1082"/>
      <c r="I39" s="1082"/>
      <c r="J39" s="1082"/>
      <c r="K39" s="1082"/>
      <c r="L39" s="1082"/>
      <c r="M39" s="1082"/>
      <c r="N39" s="1082"/>
      <c r="O39" s="1082"/>
      <c r="P39" s="1082"/>
      <c r="Q39" s="1082"/>
      <c r="R39" s="1082"/>
      <c r="S39" s="1082"/>
      <c r="T39" s="1082"/>
      <c r="U39" s="1082"/>
      <c r="V39" s="1082"/>
      <c r="W39" s="1082"/>
      <c r="X39" s="1082"/>
      <c r="Y39" s="1082"/>
      <c r="Z39" s="1082"/>
      <c r="AA39" s="1082"/>
      <c r="AB39" s="1082"/>
      <c r="AC39" s="1082"/>
      <c r="AD39" s="1082"/>
      <c r="AE39" s="1082"/>
      <c r="AF39" s="1082"/>
      <c r="AG39" s="1082"/>
      <c r="AH39" s="1082"/>
      <c r="AI39" s="1082"/>
      <c r="AJ39" s="1082"/>
      <c r="AK39" s="1082"/>
      <c r="AL39" s="1082"/>
      <c r="AM39" s="1082"/>
      <c r="AN39" s="1132"/>
      <c r="AO39" s="1132"/>
      <c r="AP39" s="1076"/>
      <c r="AQ39" s="1076"/>
      <c r="AR39" s="1076"/>
      <c r="AS39" s="118"/>
      <c r="AT39" s="118"/>
      <c r="AU39" s="118"/>
      <c r="AV39" s="118"/>
      <c r="AW39" s="118"/>
      <c r="AX39" s="118"/>
      <c r="AY39" s="1132"/>
    </row>
    <row r="40" spans="7:58" ht="15.75" customHeight="1">
      <c r="G40" s="1082"/>
      <c r="H40" s="1082"/>
      <c r="I40" s="1082"/>
      <c r="J40" s="1082"/>
      <c r="K40" s="1082"/>
      <c r="L40" s="1082"/>
      <c r="M40" s="1082"/>
      <c r="N40" s="1082"/>
      <c r="O40" s="1082"/>
      <c r="P40" s="1082"/>
      <c r="Q40" s="1082"/>
      <c r="R40" s="1082"/>
      <c r="S40" s="1082"/>
      <c r="T40" s="1082"/>
      <c r="U40" s="1082"/>
      <c r="V40" s="1082"/>
      <c r="W40" s="1082"/>
      <c r="X40" s="1082"/>
      <c r="Y40" s="1082"/>
      <c r="Z40" s="1082"/>
      <c r="AA40" s="1082"/>
      <c r="AB40" s="1082"/>
      <c r="AC40" s="1082"/>
      <c r="AD40" s="1082"/>
      <c r="AE40" s="1082"/>
      <c r="AF40" s="1082"/>
      <c r="AG40" s="1082"/>
      <c r="AH40" s="1082"/>
      <c r="AI40" s="1082"/>
      <c r="AJ40" s="1082"/>
      <c r="AK40" s="1082"/>
      <c r="AL40" s="1082"/>
      <c r="AM40" s="1082"/>
      <c r="AN40" s="1132"/>
      <c r="AO40" s="1132"/>
      <c r="AP40" s="1076"/>
      <c r="AQ40" s="1076"/>
      <c r="AR40" s="1076"/>
      <c r="AS40" s="118"/>
      <c r="AT40" s="118"/>
      <c r="AU40" s="118"/>
      <c r="AV40" s="118"/>
      <c r="AW40" s="118"/>
      <c r="AX40" s="118"/>
      <c r="AY40" s="1132"/>
      <c r="AZ40" s="130"/>
      <c r="BA40" s="10" t="s">
        <v>432</v>
      </c>
      <c r="BB40" s="1132">
        <f>'Basic Deta'!M6</f>
        <v>0</v>
      </c>
      <c r="BC40" s="1132"/>
      <c r="BD40" s="1153" t="s">
        <v>442</v>
      </c>
      <c r="BE40" s="1153"/>
      <c r="BF40" s="1153"/>
    </row>
    <row r="41" spans="7:58" ht="15.75" customHeight="1">
      <c r="G41" s="1082"/>
      <c r="H41" s="1082"/>
      <c r="I41" s="1082"/>
      <c r="J41" s="1082"/>
      <c r="K41" s="1082"/>
      <c r="L41" s="1082"/>
      <c r="M41" s="1082"/>
      <c r="N41" s="1082"/>
      <c r="O41" s="1082"/>
      <c r="P41" s="1082"/>
      <c r="Q41" s="1082"/>
      <c r="R41" s="1082"/>
      <c r="S41" s="1082"/>
      <c r="T41" s="1082"/>
      <c r="U41" s="1082"/>
      <c r="V41" s="1082"/>
      <c r="W41" s="1082"/>
      <c r="X41" s="1082"/>
      <c r="Y41" s="1082"/>
      <c r="Z41" s="1082"/>
      <c r="AA41" s="1082"/>
      <c r="AB41" s="1082"/>
      <c r="AC41" s="1082"/>
      <c r="AD41" s="1082"/>
      <c r="AE41" s="1082"/>
      <c r="AF41" s="1082"/>
      <c r="AG41" s="1082"/>
      <c r="AH41" s="1082"/>
      <c r="AI41" s="1082"/>
      <c r="AJ41" s="1082"/>
      <c r="AK41" s="1082"/>
      <c r="AL41" s="1082"/>
      <c r="AM41" s="1082"/>
      <c r="AN41" s="1132"/>
      <c r="AO41" s="1132"/>
      <c r="AP41" s="1076"/>
      <c r="AQ41" s="1076"/>
      <c r="AR41" s="1076"/>
      <c r="AS41" s="118"/>
      <c r="AT41" s="118"/>
      <c r="AU41" s="118"/>
      <c r="AV41" s="118"/>
      <c r="AW41" s="118"/>
      <c r="AX41" s="118"/>
      <c r="AY41" s="1132"/>
      <c r="BA41" s="1156" t="s">
        <v>443</v>
      </c>
      <c r="BB41" s="1156"/>
      <c r="BC41" s="1156"/>
      <c r="BD41" s="1156"/>
      <c r="BE41" s="1156"/>
      <c r="BF41" s="1156"/>
    </row>
    <row r="42" spans="7:58" ht="15.75" customHeight="1">
      <c r="G42" s="1082"/>
      <c r="H42" s="1082"/>
      <c r="I42" s="1082"/>
      <c r="J42" s="1082"/>
      <c r="K42" s="1082"/>
      <c r="L42" s="1082"/>
      <c r="M42" s="1082"/>
      <c r="N42" s="1082"/>
      <c r="O42" s="1082"/>
      <c r="P42" s="1082"/>
      <c r="Q42" s="1082"/>
      <c r="R42" s="1082"/>
      <c r="S42" s="1082"/>
      <c r="T42" s="1082"/>
      <c r="U42" s="1082"/>
      <c r="V42" s="1082"/>
      <c r="W42" s="1082"/>
      <c r="X42" s="1082"/>
      <c r="Y42" s="1082"/>
      <c r="Z42" s="1082"/>
      <c r="AA42" s="1082"/>
      <c r="AB42" s="1082"/>
      <c r="AC42" s="1082"/>
      <c r="AD42" s="1082"/>
      <c r="AE42" s="1082"/>
      <c r="AF42" s="1082"/>
      <c r="AG42" s="1082"/>
      <c r="AH42" s="1082"/>
      <c r="AI42" s="1082"/>
      <c r="AJ42" s="1082"/>
      <c r="AK42" s="1082"/>
      <c r="AL42" s="1082"/>
      <c r="AM42" s="1082"/>
      <c r="AN42" s="1132"/>
      <c r="AO42" s="1132"/>
      <c r="AP42" s="1076"/>
      <c r="AQ42" s="1076"/>
      <c r="AR42" s="1076"/>
      <c r="AS42" s="118"/>
      <c r="AT42" s="118"/>
      <c r="AU42" s="118"/>
      <c r="AV42" s="118"/>
      <c r="AW42" s="118"/>
      <c r="AX42" s="118"/>
      <c r="AY42" s="1132"/>
      <c r="BA42" s="1156"/>
      <c r="BB42" s="1156"/>
      <c r="BC42" s="1156"/>
      <c r="BD42" s="1156"/>
      <c r="BE42" s="1156"/>
      <c r="BF42" s="1156"/>
    </row>
    <row r="43" spans="7:58" ht="15.75" customHeight="1">
      <c r="G43" s="1082"/>
      <c r="H43" s="1082"/>
      <c r="I43" s="1082"/>
      <c r="J43" s="1082"/>
      <c r="K43" s="1082"/>
      <c r="L43" s="1082"/>
      <c r="M43" s="1082"/>
      <c r="N43" s="1082"/>
      <c r="O43" s="1082"/>
      <c r="P43" s="1082"/>
      <c r="Q43" s="1082"/>
      <c r="R43" s="1082"/>
      <c r="S43" s="1082"/>
      <c r="T43" s="1082"/>
      <c r="U43" s="1082"/>
      <c r="V43" s="1082"/>
      <c r="W43" s="1082"/>
      <c r="X43" s="1082"/>
      <c r="Y43" s="1082"/>
      <c r="Z43" s="1082"/>
      <c r="AA43" s="1082"/>
      <c r="AB43" s="1082"/>
      <c r="AC43" s="1082"/>
      <c r="AD43" s="1082"/>
      <c r="AE43" s="1082"/>
      <c r="AF43" s="1082"/>
      <c r="AG43" s="1082"/>
      <c r="AH43" s="1082"/>
      <c r="AI43" s="1082"/>
      <c r="AJ43" s="1082"/>
      <c r="AK43" s="1082"/>
      <c r="AL43" s="1082"/>
      <c r="AM43" s="1082"/>
      <c r="AN43" s="1132"/>
      <c r="AO43" s="1132"/>
      <c r="AP43" s="1076"/>
      <c r="AQ43" s="1076"/>
      <c r="AR43" s="1076"/>
      <c r="AS43" s="118"/>
      <c r="AT43" s="118"/>
      <c r="AU43" s="118"/>
      <c r="AV43" s="118"/>
      <c r="AW43" s="118"/>
      <c r="AX43" s="118"/>
      <c r="AY43" s="1132"/>
      <c r="BA43" s="1156"/>
      <c r="BB43" s="1156"/>
      <c r="BC43" s="1156"/>
      <c r="BD43" s="1156"/>
      <c r="BE43" s="1156"/>
      <c r="BF43" s="1156"/>
    </row>
    <row r="44" spans="7:58" ht="15.75" customHeight="1">
      <c r="G44" s="1082"/>
      <c r="H44" s="1082"/>
      <c r="I44" s="1082"/>
      <c r="J44" s="1082"/>
      <c r="K44" s="1082"/>
      <c r="L44" s="1082"/>
      <c r="M44" s="1082"/>
      <c r="N44" s="1082"/>
      <c r="O44" s="1082"/>
      <c r="P44" s="1082"/>
      <c r="Q44" s="1082"/>
      <c r="R44" s="1082"/>
      <c r="S44" s="1082"/>
      <c r="T44" s="1082"/>
      <c r="U44" s="1082"/>
      <c r="V44" s="1082"/>
      <c r="W44" s="1082"/>
      <c r="X44" s="1082"/>
      <c r="Y44" s="1082"/>
      <c r="Z44" s="1082"/>
      <c r="AA44" s="1082"/>
      <c r="AB44" s="1082"/>
      <c r="AC44" s="1082"/>
      <c r="AD44" s="1082"/>
      <c r="AE44" s="1082"/>
      <c r="AF44" s="1082"/>
      <c r="AG44" s="1082"/>
      <c r="AH44" s="1082"/>
      <c r="AI44" s="1082"/>
      <c r="AJ44" s="1082"/>
      <c r="AK44" s="1082"/>
      <c r="AL44" s="1082"/>
      <c r="AM44" s="1082"/>
      <c r="AN44" s="1132"/>
      <c r="AO44" s="1132"/>
      <c r="AP44" s="1076"/>
      <c r="AQ44" s="1076"/>
      <c r="AR44" s="1076"/>
      <c r="AS44" s="118"/>
      <c r="AT44" s="118"/>
      <c r="AU44" s="118"/>
      <c r="AV44" s="118"/>
      <c r="AW44" s="118"/>
      <c r="AX44" s="118"/>
      <c r="AY44" s="1132"/>
      <c r="BA44" s="1156"/>
      <c r="BB44" s="1156"/>
      <c r="BC44" s="1156"/>
      <c r="BD44" s="1156"/>
      <c r="BE44" s="1156"/>
      <c r="BF44" s="1156"/>
    </row>
    <row r="45" spans="7:58" s="146" customFormat="1" ht="15.75" customHeight="1">
      <c r="G45" s="1082"/>
      <c r="H45" s="1082"/>
      <c r="I45" s="1082"/>
      <c r="J45" s="1082"/>
      <c r="K45" s="1082"/>
      <c r="L45" s="1082"/>
      <c r="M45" s="1082"/>
      <c r="N45" s="1082"/>
      <c r="O45" s="1082"/>
      <c r="P45" s="1082"/>
      <c r="Q45" s="1082"/>
      <c r="R45" s="1082"/>
      <c r="S45" s="1082"/>
      <c r="T45" s="1082"/>
      <c r="U45" s="1082"/>
      <c r="V45" s="1082"/>
      <c r="W45" s="1082"/>
      <c r="X45" s="1082"/>
      <c r="Y45" s="1082"/>
      <c r="Z45" s="1082"/>
      <c r="AA45" s="1082"/>
      <c r="AB45" s="1082"/>
      <c r="AC45" s="1082"/>
      <c r="AD45" s="1082"/>
      <c r="AE45" s="1082"/>
      <c r="AF45" s="1082"/>
      <c r="AG45" s="1082"/>
      <c r="AH45" s="1082"/>
      <c r="AI45" s="1082"/>
      <c r="AJ45" s="1082"/>
      <c r="AK45" s="1082"/>
      <c r="AL45" s="1082"/>
      <c r="AM45" s="1082"/>
      <c r="AN45" s="1132"/>
      <c r="AO45" s="1132"/>
      <c r="AP45" s="1076"/>
      <c r="AQ45" s="1076"/>
      <c r="AR45" s="1076"/>
      <c r="AS45" s="145"/>
      <c r="AT45" s="145"/>
      <c r="AU45" s="145"/>
      <c r="AV45" s="145"/>
      <c r="AW45" s="145"/>
      <c r="AX45" s="145"/>
      <c r="AY45" s="1132"/>
      <c r="BA45" s="1134" t="s">
        <v>433</v>
      </c>
      <c r="BB45" s="1134"/>
      <c r="BC45" s="1154" t="str">
        <f>'Exemp.(HRA+Other) &amp; Other incom'!A1</f>
        <v>District Education Officer, Education Department Primary Education of Bihar</v>
      </c>
      <c r="BD45" s="1154"/>
      <c r="BE45" s="1132"/>
      <c r="BF45" s="1132"/>
    </row>
    <row r="46" spans="7:58" ht="15.75" customHeight="1">
      <c r="G46" s="1082"/>
      <c r="H46" s="1082"/>
      <c r="I46" s="1082"/>
      <c r="J46" s="1082"/>
      <c r="K46" s="1082"/>
      <c r="L46" s="1082"/>
      <c r="M46" s="1082"/>
      <c r="N46" s="1082"/>
      <c r="O46" s="1082"/>
      <c r="P46" s="1082"/>
      <c r="Q46" s="1082"/>
      <c r="R46" s="1082"/>
      <c r="S46" s="1082"/>
      <c r="T46" s="1082"/>
      <c r="U46" s="1082"/>
      <c r="V46" s="1082"/>
      <c r="W46" s="1082"/>
      <c r="X46" s="1082"/>
      <c r="Y46" s="1082"/>
      <c r="Z46" s="1082"/>
      <c r="AA46" s="1082"/>
      <c r="AB46" s="1082"/>
      <c r="AC46" s="1082"/>
      <c r="AD46" s="1082"/>
      <c r="AE46" s="1082"/>
      <c r="AF46" s="1082"/>
      <c r="AG46" s="1082"/>
      <c r="AH46" s="1082"/>
      <c r="AI46" s="1082"/>
      <c r="AJ46" s="1082"/>
      <c r="AK46" s="1082"/>
      <c r="AL46" s="1082"/>
      <c r="AM46" s="1082"/>
      <c r="AN46" s="1132"/>
      <c r="AO46" s="1132"/>
      <c r="AP46" s="1076"/>
      <c r="AQ46" s="1076"/>
      <c r="AR46" s="1076"/>
      <c r="AS46" s="118"/>
      <c r="AT46" s="118"/>
      <c r="AU46" s="118"/>
      <c r="AV46" s="118"/>
      <c r="AW46" s="118"/>
      <c r="AX46" s="118"/>
      <c r="AY46" s="1132"/>
      <c r="BA46" s="1132" t="s">
        <v>434</v>
      </c>
      <c r="BB46" s="1132"/>
      <c r="BC46" s="1155">
        <f ca="1">TODAY()</f>
        <v>44976</v>
      </c>
      <c r="BD46" s="1155"/>
      <c r="BE46" s="1132"/>
      <c r="BF46" s="1132"/>
    </row>
  </sheetData>
  <sheetProtection password="E8FA" sheet="1" objects="1" scenarios="1" formatCells="0" formatColumns="0" formatRows="0" selectLockedCells="1"/>
  <mergeCells count="111">
    <mergeCell ref="G2:AM2"/>
    <mergeCell ref="G3:AM3"/>
    <mergeCell ref="G4:G11"/>
    <mergeCell ref="H4:H11"/>
    <mergeCell ref="U4:U11"/>
    <mergeCell ref="V4:V11"/>
    <mergeCell ref="AA4:AA11"/>
    <mergeCell ref="AB4:AB11"/>
    <mergeCell ref="AC4:AC11"/>
    <mergeCell ref="AD4:AD11"/>
    <mergeCell ref="L4:L11"/>
    <mergeCell ref="M4:M11"/>
    <mergeCell ref="N4:N11"/>
    <mergeCell ref="T4:T11"/>
    <mergeCell ref="G1:AM1"/>
    <mergeCell ref="AN1:AO46"/>
    <mergeCell ref="AP28:AR46"/>
    <mergeCell ref="AY1:AY46"/>
    <mergeCell ref="AP1:AR3"/>
    <mergeCell ref="AZ1:BF1"/>
    <mergeCell ref="J4:J11"/>
    <mergeCell ref="BE36:BF36"/>
    <mergeCell ref="AZ37:BF38"/>
    <mergeCell ref="BB40:BC40"/>
    <mergeCell ref="BD40:BF40"/>
    <mergeCell ref="BC45:BD45"/>
    <mergeCell ref="BC46:BD46"/>
    <mergeCell ref="Q4:Q11"/>
    <mergeCell ref="W4:W11"/>
    <mergeCell ref="O4:O11"/>
    <mergeCell ref="R4:R11"/>
    <mergeCell ref="Z4:Z11"/>
    <mergeCell ref="BA41:BF44"/>
    <mergeCell ref="BE45:BF46"/>
    <mergeCell ref="BF15:BF17"/>
    <mergeCell ref="BF18:BF21"/>
    <mergeCell ref="BF22:BF27"/>
    <mergeCell ref="BF28:BF30"/>
    <mergeCell ref="BF31:BF32"/>
    <mergeCell ref="AZ33:BF35"/>
    <mergeCell ref="BB18:BE21"/>
    <mergeCell ref="BB15:BE17"/>
    <mergeCell ref="BB22:BE27"/>
    <mergeCell ref="BB28:BE30"/>
    <mergeCell ref="BA45:BB45"/>
    <mergeCell ref="BA46:BB46"/>
    <mergeCell ref="AK4:AK11"/>
    <mergeCell ref="AL4:AL11"/>
    <mergeCell ref="AM4:AM11"/>
    <mergeCell ref="AZ14:BE14"/>
    <mergeCell ref="AZ31:AZ32"/>
    <mergeCell ref="BB31:BE32"/>
    <mergeCell ref="BA31:BA32"/>
    <mergeCell ref="AZ6:BF6"/>
    <mergeCell ref="AZ12:BF12"/>
    <mergeCell ref="AZ13:BF13"/>
    <mergeCell ref="BA15:BA17"/>
    <mergeCell ref="AZ15:AZ30"/>
    <mergeCell ref="BA18:BA21"/>
    <mergeCell ref="BA22:BA27"/>
    <mergeCell ref="BA28:BA30"/>
    <mergeCell ref="AZ7:BD8"/>
    <mergeCell ref="BE9:BF10"/>
    <mergeCell ref="BE11:BF11"/>
    <mergeCell ref="A2:A8"/>
    <mergeCell ref="A9:A18"/>
    <mergeCell ref="AU14:AU16"/>
    <mergeCell ref="AX14:AX16"/>
    <mergeCell ref="AE4:AE11"/>
    <mergeCell ref="AF4:AF11"/>
    <mergeCell ref="AG4:AG11"/>
    <mergeCell ref="AH4:AH11"/>
    <mergeCell ref="AZ11:BD11"/>
    <mergeCell ref="AZ9:BD10"/>
    <mergeCell ref="BE7:BF8"/>
    <mergeCell ref="AR7:AR9"/>
    <mergeCell ref="AR10:AR11"/>
    <mergeCell ref="AR12:AR13"/>
    <mergeCell ref="AZ2:BF2"/>
    <mergeCell ref="AZ3:BF3"/>
    <mergeCell ref="AZ4:BF5"/>
    <mergeCell ref="B2:C2"/>
    <mergeCell ref="D3:E3"/>
    <mergeCell ref="D2:E2"/>
    <mergeCell ref="I4:I11"/>
    <mergeCell ref="B3:C3"/>
    <mergeCell ref="D4:E4"/>
    <mergeCell ref="D5:E5"/>
    <mergeCell ref="B9:C9"/>
    <mergeCell ref="B10:C10"/>
    <mergeCell ref="B11:D11"/>
    <mergeCell ref="AR14:AR16"/>
    <mergeCell ref="AR17:AR18"/>
    <mergeCell ref="AU7:AU9"/>
    <mergeCell ref="AX7:AX9"/>
    <mergeCell ref="B4:C4"/>
    <mergeCell ref="B5:C5"/>
    <mergeCell ref="B6:C6"/>
    <mergeCell ref="B7:C7"/>
    <mergeCell ref="B8:C8"/>
    <mergeCell ref="AR19:AR21"/>
    <mergeCell ref="AR22:AR24"/>
    <mergeCell ref="AP4:AR4"/>
    <mergeCell ref="AP5:AR5"/>
    <mergeCell ref="AP6:AR6"/>
    <mergeCell ref="G23:AM46"/>
    <mergeCell ref="P4:P11"/>
    <mergeCell ref="S4:S11"/>
    <mergeCell ref="X4:X11"/>
    <mergeCell ref="Y4:Y11"/>
    <mergeCell ref="K4:K11"/>
  </mergeCells>
  <dataValidations count="4">
    <dataValidation type="list" allowBlank="1" showInputMessage="1" showErrorMessage="1" sqref="D2">
      <formula1>Yes</formula1>
    </dataValidation>
    <dataValidation type="textLength" operator="equal" allowBlank="1" showInputMessage="1" showErrorMessage="1" errorTitle="PAN less than 10 digits" error="PAN Should be 10 Digits" prompt="PAN Should be 10 Digits" sqref="E6">
      <formula1>10</formula1>
    </dataValidation>
    <dataValidation type="list" allowBlank="1" showInputMessage="1" showErrorMessage="1" errorTitle="Select" error="Select from the drop down menu" promptTitle="Residential Status" prompt="Select from the drop down menu" sqref="E9">
      <formula1>rstatus</formula1>
    </dataValidation>
    <dataValidation type="list" allowBlank="1" showInputMessage="1" showErrorMessage="1" sqref="E8">
      <formula1>"Male,Female"</formula1>
    </dataValidation>
  </dataValidations>
  <pageMargins left="0.12" right="0.12" top="0.13" bottom="0.15" header="0.12" footer="0.11"/>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For Help</vt:lpstr>
      <vt:lpstr>Basic Deta</vt:lpstr>
      <vt:lpstr>Exemp.(HRA+Other) &amp; Other incom</vt:lpstr>
      <vt:lpstr>Table (Income-Deduction)</vt:lpstr>
      <vt:lpstr>Income Tax Cal. Report</vt:lpstr>
      <vt:lpstr>Form-16</vt:lpstr>
      <vt:lpstr>OLD REGIME</vt:lpstr>
      <vt:lpstr>NEW REGIME</vt:lpstr>
      <vt:lpstr>10 E Us 89(1) </vt:lpstr>
      <vt:lpstr>HRA Receipt</vt:lpstr>
      <vt:lpstr>'10 E Us 89(1) '!Print_Area</vt:lpstr>
      <vt:lpstr>'Exemp.(HRA+Other) &amp; Other incom'!Print_Area</vt:lpstr>
      <vt:lpstr>'HRA Receipt'!Print_Area</vt:lpstr>
      <vt:lpstr>'Income Tax Cal. Report'!Print_Area</vt:lpstr>
      <vt:lpstr>'Table (Income-Deduction)'!Print_Area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2023-02-19T12:58:49Z</cp:lastPrinted>
  <dcterms:created xsi:type="dcterms:W3CDTF">2022-11-02T01:51:38Z</dcterms:created>
  <dcterms:modified xsi:type="dcterms:W3CDTF">2023-02-19T13:10:09Z</dcterms:modified>
</cp:coreProperties>
</file>