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13_ncr:1_{B38FAB19-B934-4A6D-8DEA-CCBBF1B68F62}" xr6:coauthVersionLast="47" xr6:coauthVersionMax="47" xr10:uidLastSave="{00000000-0000-0000-0000-000000000000}"/>
  <workbookProtection workbookPassword="CAAF" lockStructure="1"/>
  <bookViews>
    <workbookView xWindow="-120" yWindow="-120" windowWidth="20730" windowHeight="11310" activeTab="1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Old Regime)" sheetId="3" r:id="rId5"/>
    <sheet name="Tax (New Regime)" sheetId="7" r:id="rId6"/>
  </sheets>
  <definedNames>
    <definedName name="_tds1" localSheetId="5">#REF!</definedName>
    <definedName name="_tds1">#REF!</definedName>
    <definedName name="_tds2" localSheetId="5">#REF!</definedName>
    <definedName name="_tds2">#REF!</definedName>
    <definedName name="AIR.Code001" localSheetId="5">#REF!</definedName>
    <definedName name="AIR.Code001">#REF!</definedName>
    <definedName name="AIR.Code002" localSheetId="5">#REF!</definedName>
    <definedName name="AIR.Code002">#REF!</definedName>
    <definedName name="AIR.Code003" localSheetId="5">#REF!</definedName>
    <definedName name="AIR.Code003">#REF!</definedName>
    <definedName name="AIR.Code004" localSheetId="5">#REF!</definedName>
    <definedName name="AIR.Code004">#REF!</definedName>
    <definedName name="AIR.Code005" localSheetId="5">#REF!</definedName>
    <definedName name="AIR.Code005">#REF!</definedName>
    <definedName name="AIR.Code006" localSheetId="5">#REF!</definedName>
    <definedName name="AIR.Code006">#REF!</definedName>
    <definedName name="AIR.Code007" localSheetId="5">#REF!</definedName>
    <definedName name="AIR.Code007">#REF!</definedName>
    <definedName name="AIR.Code008" localSheetId="5">#REF!</definedName>
    <definedName name="AIR.Code008">#REF!</definedName>
    <definedName name="AIR.TaxExmpIntInc" localSheetId="5">#REF!</definedName>
    <definedName name="AIR.TaxExmpIntInc">#REF!</definedName>
    <definedName name="Bank1" localSheetId="5">#REF!</definedName>
    <definedName name="Bank1">#REF!</definedName>
    <definedName name="Bank10" localSheetId="5">#REF!</definedName>
    <definedName name="Bank10">#REF!</definedName>
    <definedName name="Bank11" localSheetId="5">#REF!</definedName>
    <definedName name="Bank11">#REF!</definedName>
    <definedName name="Bank12" localSheetId="5">#REF!</definedName>
    <definedName name="Bank12">#REF!</definedName>
    <definedName name="Bank2" localSheetId="5">#REF!</definedName>
    <definedName name="Bank2">#REF!</definedName>
    <definedName name="Bank3" localSheetId="5">#REF!</definedName>
    <definedName name="Bank3">#REF!</definedName>
    <definedName name="Bank4" localSheetId="5">#REF!</definedName>
    <definedName name="Bank4">#REF!</definedName>
    <definedName name="Bank5" localSheetId="5">#REF!</definedName>
    <definedName name="Bank5">#REF!</definedName>
    <definedName name="Bank6" localSheetId="5">#REF!</definedName>
    <definedName name="Bank6">#REF!</definedName>
    <definedName name="Bank6PCAR" localSheetId="5">#REF!</definedName>
    <definedName name="Bank6PCAR">#REF!</definedName>
    <definedName name="Bank7" localSheetId="5">#REF!</definedName>
    <definedName name="Bank7">#REF!</definedName>
    <definedName name="Bank8" localSheetId="5">#REF!</definedName>
    <definedName name="Bank8">#REF!</definedName>
    <definedName name="Bank9" localSheetId="5">#REF!</definedName>
    <definedName name="Bank9">#REF!</definedName>
    <definedName name="BankAccNo" localSheetId="5">#REF!</definedName>
    <definedName name="BankAccNo">#REF!</definedName>
    <definedName name="BankArrear" localSheetId="5">#REF!</definedName>
    <definedName name="BankArrear">#REF!</definedName>
    <definedName name="BankArrear0" localSheetId="5">#REF!</definedName>
    <definedName name="BankArrear0">#REF!</definedName>
    <definedName name="BankArrear1" localSheetId="5">#REF!</definedName>
    <definedName name="BankArrear1">#REF!</definedName>
    <definedName name="BankArrear2" localSheetId="5">#REF!</definedName>
    <definedName name="BankArrear2">#REF!</definedName>
    <definedName name="BankArrear3" localSheetId="5">#REF!</definedName>
    <definedName name="BankArrear3">#REF!</definedName>
    <definedName name="BankBonus" localSheetId="5">#REF!</definedName>
    <definedName name="BankBonus">#REF!</definedName>
    <definedName name="BankDA10" localSheetId="5">#REF!</definedName>
    <definedName name="BankDA10">#REF!</definedName>
    <definedName name="BankDA5" localSheetId="5">#REF!</definedName>
    <definedName name="BankDA5">#REF!</definedName>
    <definedName name="BankDA6" localSheetId="5">#REF!</definedName>
    <definedName name="BankDA6">#REF!</definedName>
    <definedName name="BankDA8" localSheetId="5">#REF!</definedName>
    <definedName name="BankDA8">#REF!</definedName>
    <definedName name="BankPL" localSheetId="5">#REF!</definedName>
    <definedName name="BankPL">#REF!</definedName>
    <definedName name="cmb_IncD.BankAccountType" localSheetId="5">#REF!</definedName>
    <definedName name="cmb_IncD.BankAccountType">#REF!</definedName>
    <definedName name="cmb_IncD.EcsRequired" localSheetId="5">#REF!</definedName>
    <definedName name="cmb_IncD.EcsRequired">#REF!</definedName>
    <definedName name="cmb_TDSal.StateCode" localSheetId="5">#REF!</definedName>
    <definedName name="cmb_TDSal.StateCode">#REF!</definedName>
    <definedName name="cmb_TDSoth.StateCode" localSheetId="5">#REF!</definedName>
    <definedName name="cmb_TDSoth.StateCode">#REF!</definedName>
    <definedName name="i_general" localSheetId="5">#REF!</definedName>
    <definedName name="i_general">#REF!</definedName>
    <definedName name="i_general2" localSheetId="5">#REF!</definedName>
    <definedName name="i_general2">#REF!</definedName>
    <definedName name="i_tds" localSheetId="5">#REF!</definedName>
    <definedName name="i_tds">#REF!</definedName>
    <definedName name="IncD.AdvanceTax" localSheetId="5">#REF!</definedName>
    <definedName name="IncD.AdvanceTax">#REF!</definedName>
    <definedName name="IncD.AggregateIncome" localSheetId="5">#REF!</definedName>
    <definedName name="IncD.AggregateIncome">#REF!</definedName>
    <definedName name="IncD.BalTaxPayable" localSheetId="5">#REF!</definedName>
    <definedName name="IncD.BalTaxPayable">#REF!</definedName>
    <definedName name="IncD.BankAccountNumber" localSheetId="5">#REF!</definedName>
    <definedName name="IncD.BankAccountNumber">#REF!</definedName>
    <definedName name="IncD.BankAccountType" localSheetId="5">#REF!</definedName>
    <definedName name="IncD.BankAccountType">#REF!</definedName>
    <definedName name="IncD.EcsRequired" localSheetId="5">#REF!</definedName>
    <definedName name="IncD.EcsRequired">#REF!</definedName>
    <definedName name="IncD.EducationCess" localSheetId="5">#REF!</definedName>
    <definedName name="IncD.EducationCess">#REF!</definedName>
    <definedName name="IncD.FamPension" localSheetId="5">#REF!</definedName>
    <definedName name="IncD.FamPension">#REF!</definedName>
    <definedName name="IncD.GrossTaxLiability" localSheetId="5">#REF!</definedName>
    <definedName name="IncD.GrossTaxLiability">#REF!</definedName>
    <definedName name="IncD.GrossTotIncome" localSheetId="5">#REF!</definedName>
    <definedName name="IncD.GrossTotIncome">#REF!</definedName>
    <definedName name="IncD.IncomeFromOS" localSheetId="5">#REF!</definedName>
    <definedName name="IncD.IncomeFromOS">#REF!</definedName>
    <definedName name="IncD.IncomeFromSal" localSheetId="5">#REF!</definedName>
    <definedName name="IncD.IncomeFromSal">#REF!</definedName>
    <definedName name="IncD.IndInterest" localSheetId="5">#REF!</definedName>
    <definedName name="IncD.IndInterest">#REF!</definedName>
    <definedName name="IncD.IntrstPayUs234A" localSheetId="5">#REF!</definedName>
    <definedName name="IncD.IntrstPayUs234A">#REF!</definedName>
    <definedName name="IncD.IntrstPayUs234B" localSheetId="5">#REF!</definedName>
    <definedName name="IncD.IntrstPayUs234B">#REF!</definedName>
    <definedName name="IncD.IntrstPayUs234C" localSheetId="5">#REF!</definedName>
    <definedName name="IncD.IntrstPayUs234C">#REF!</definedName>
    <definedName name="IncD.MICRCode" localSheetId="5">#REF!</definedName>
    <definedName name="IncD.MICRCode">#REF!</definedName>
    <definedName name="IncD.NetAgriculturalIncome" localSheetId="5">#REF!</definedName>
    <definedName name="IncD.NetAgriculturalIncome">#REF!</definedName>
    <definedName name="IncD.NetTaxLiability" localSheetId="5">#REF!</definedName>
    <definedName name="IncD.NetTaxLiability">#REF!</definedName>
    <definedName name="IncD.RebateOnAgriInc" localSheetId="5">#REF!</definedName>
    <definedName name="IncD.RebateOnAgriInc">#REF!</definedName>
    <definedName name="IncD.RefundDue" localSheetId="5">#REF!</definedName>
    <definedName name="IncD.RefundDue">#REF!</definedName>
    <definedName name="IncD.Section80C" localSheetId="5">#REF!</definedName>
    <definedName name="IncD.Section80C">#REF!</definedName>
    <definedName name="IncD.Section80CCC" localSheetId="5">#REF!</definedName>
    <definedName name="IncD.Section80CCC">#REF!</definedName>
    <definedName name="IncD.Section80CCD" localSheetId="5">#REF!</definedName>
    <definedName name="IncD.Section80CCD">#REF!</definedName>
    <definedName name="IncD.Section80D" localSheetId="5">#REF!</definedName>
    <definedName name="IncD.Section80D">#REF!</definedName>
    <definedName name="IncD.Section80DD" localSheetId="5">#REF!</definedName>
    <definedName name="IncD.Section80DD">#REF!</definedName>
    <definedName name="IncD.Section80DDB" localSheetId="5">#REF!</definedName>
    <definedName name="IncD.Section80DDB">#REF!</definedName>
    <definedName name="IncD.Section80E" localSheetId="5">#REF!</definedName>
    <definedName name="IncD.Section80E">#REF!</definedName>
    <definedName name="IncD.Section80G" localSheetId="5">#REF!</definedName>
    <definedName name="IncD.Section80G">#REF!</definedName>
    <definedName name="IncD.Section80GG" localSheetId="5">#REF!</definedName>
    <definedName name="IncD.Section80GG">#REF!</definedName>
    <definedName name="IncD.Section80GGA" localSheetId="5">#REF!</definedName>
    <definedName name="IncD.Section80GGA">#REF!</definedName>
    <definedName name="IncD.Section80GGC" localSheetId="5">#REF!</definedName>
    <definedName name="IncD.Section80GGC">#REF!</definedName>
    <definedName name="IncD.Section80U" localSheetId="5">#REF!</definedName>
    <definedName name="IncD.Section80U">#REF!</definedName>
    <definedName name="IncD.Section89" localSheetId="5">#REF!</definedName>
    <definedName name="IncD.Section89">#REF!</definedName>
    <definedName name="IncD.Section90and91" localSheetId="5">#REF!</definedName>
    <definedName name="IncD.Section90and91">#REF!</definedName>
    <definedName name="IncD.SelfAssessmentTax" localSheetId="5">#REF!</definedName>
    <definedName name="IncD.SelfAssessmentTax">#REF!</definedName>
    <definedName name="IncD.SurchargeOnTaxPayable" localSheetId="5">#REF!</definedName>
    <definedName name="IncD.SurchargeOnTaxPayable">#REF!</definedName>
    <definedName name="IncD.TaxOnAggregateInc" localSheetId="5">#REF!</definedName>
    <definedName name="IncD.TaxOnAggregateInc">#REF!</definedName>
    <definedName name="IncD.TDS" localSheetId="5">#REF!</definedName>
    <definedName name="IncD.TDS">#REF!</definedName>
    <definedName name="IncD.TotalChapVIADeductions" localSheetId="5">#REF!</definedName>
    <definedName name="IncD.TotalChapVIADeductions">#REF!</definedName>
    <definedName name="IncD.TotalIncome" localSheetId="5">#REF!</definedName>
    <definedName name="IncD.TotalIncome">#REF!</definedName>
    <definedName name="IncD.TotalIntrstPay" localSheetId="5">#REF!</definedName>
    <definedName name="IncD.TotalIntrstPay">#REF!</definedName>
    <definedName name="IncD.TotalTaxesPaid" localSheetId="5">#REF!</definedName>
    <definedName name="IncD.TotalTaxesPaid">#REF!</definedName>
    <definedName name="IncD.TotalTaxPayable" localSheetId="5">#REF!</definedName>
    <definedName name="IncD.TotalTaxPayable">#REF!</definedName>
    <definedName name="IncD.TotTaxPlusIntrstPay" localSheetId="5">#REF!</definedName>
    <definedName name="IncD.TotTaxPlusIntrstPay">#REF!</definedName>
    <definedName name="IT.Amt" localSheetId="5">#REF!</definedName>
    <definedName name="IT.Amt">#REF!</definedName>
    <definedName name="IT.FormulaOFS" localSheetId="5">#REF!</definedName>
    <definedName name="IT.FormulaOFS">#REF!</definedName>
    <definedName name="_xlnm.Print_Area" localSheetId="2">GA55A!$C$2:$AC$34</definedName>
    <definedName name="_xlnm.Print_Area" localSheetId="1">Master!$A$1:$D$16</definedName>
    <definedName name="_xlnm.Print_Area" localSheetId="3">'Other Deduction'!$C$1:$J$36</definedName>
    <definedName name="_xlnm.Print_Area" localSheetId="5">'Tax (New Regime)'!$B$1:$Q$59</definedName>
    <definedName name="_xlnm.Print_Area" localSheetId="4">'Tax (Old Regime)'!$B$1:$Q$66</definedName>
    <definedName name="Sex" localSheetId="5">'Other Deduction'!#REF!</definedName>
    <definedName name="Sex">'Other Deduction'!#REF!</definedName>
    <definedName name="sheet1.CityOrTownOrDistrict" localSheetId="5">#REF!</definedName>
    <definedName name="sheet1.CityOrTownOrDistrict">#REF!</definedName>
    <definedName name="sheet1.DOB" localSheetId="5">#REF!</definedName>
    <definedName name="sheet1.DOB">#REF!</definedName>
    <definedName name="sheet1.EmployerCategory1" localSheetId="5">#REF!</definedName>
    <definedName name="sheet1.EmployerCategory1">#REF!</definedName>
    <definedName name="sheet1.FirstName" localSheetId="5">#REF!</definedName>
    <definedName name="sheet1.FirstName">#REF!</definedName>
    <definedName name="sheet1.Gender1" localSheetId="5">#REF!</definedName>
    <definedName name="sheet1.Gender1">#REF!</definedName>
    <definedName name="sheet1.LocalityOrArea" localSheetId="5">#REF!</definedName>
    <definedName name="sheet1.LocalityOrArea">#REF!</definedName>
    <definedName name="sheet1.MiddleName" localSheetId="5">#REF!</definedName>
    <definedName name="sheet1.MiddleName">#REF!</definedName>
    <definedName name="sheet1.newstcode" localSheetId="5">#REF!</definedName>
    <definedName name="sheet1.newstcode">#REF!</definedName>
    <definedName name="sheet1.OrigRetFiledDate" localSheetId="5">#REF!</definedName>
    <definedName name="sheet1.OrigRetFiledDate">#REF!</definedName>
    <definedName name="sheet1.PAN" localSheetId="5">#REF!</definedName>
    <definedName name="sheet1.PAN">#REF!</definedName>
    <definedName name="sheet1.PhoneNo" localSheetId="5">#REF!</definedName>
    <definedName name="sheet1.PhoneNo">#REF!</definedName>
    <definedName name="sheet1.PinCode" localSheetId="5">#REF!</definedName>
    <definedName name="sheet1.PinCode">#REF!</definedName>
    <definedName name="sheet1.ReceiptNo" localSheetId="5">#REF!</definedName>
    <definedName name="sheet1.ReceiptNo">#REF!</definedName>
    <definedName name="sheet1.ResidenceName" localSheetId="5">#REF!</definedName>
    <definedName name="sheet1.ResidenceName">#REF!</definedName>
    <definedName name="sheet1.ResidenceNo" localSheetId="5">#REF!</definedName>
    <definedName name="sheet1.ResidenceNo">#REF!</definedName>
    <definedName name="sheet1.ResidentialStatus" localSheetId="5">#REF!</definedName>
    <definedName name="sheet1.ResidentialStatus">#REF!</definedName>
    <definedName name="sheet1.ResidentialStatus1" localSheetId="5">#REF!</definedName>
    <definedName name="sheet1.ResidentialStatus1">#REF!</definedName>
    <definedName name="sheet1.ReturnFileSec" localSheetId="5">#REF!</definedName>
    <definedName name="sheet1.ReturnFileSec">#REF!</definedName>
    <definedName name="sheet1.ReturnFileSec1" localSheetId="5">#REF!</definedName>
    <definedName name="sheet1.ReturnFileSec1">#REF!</definedName>
    <definedName name="sheet1.ReturnType" localSheetId="5">#REF!</definedName>
    <definedName name="sheet1.ReturnType">#REF!</definedName>
    <definedName name="sheet1.ReturnType1" localSheetId="5">#REF!</definedName>
    <definedName name="sheet1.ReturnType1">#REF!</definedName>
    <definedName name="sheet1.RoadOrStreet" localSheetId="5">#REF!</definedName>
    <definedName name="sheet1.RoadOrStreet">#REF!</definedName>
    <definedName name="sheet1.StateCode" localSheetId="5">#REF!</definedName>
    <definedName name="sheet1.StateCode">#REF!</definedName>
    <definedName name="sheet1.StateCode1" localSheetId="5">#REF!</definedName>
    <definedName name="sheet1.StateCode1">#REF!</definedName>
    <definedName name="sheet1.Status" localSheetId="5">#REF!</definedName>
    <definedName name="sheet1.Status">#REF!</definedName>
    <definedName name="sheet1.Status1" localSheetId="5">#REF!</definedName>
    <definedName name="sheet1.Status1">#REF!</definedName>
    <definedName name="sheet1.STDcode" localSheetId="5">#REF!</definedName>
    <definedName name="sheet1.STDcode">#REF!</definedName>
    <definedName name="sheet1.SurNameOrOrgName" localSheetId="5">#REF!</definedName>
    <definedName name="sheet1.SurNameOrOrgName">#REF!</definedName>
    <definedName name="sheet1.SwVersionNo" localSheetId="5">#REF!</definedName>
    <definedName name="sheet1.SwVersionNo">#REF!</definedName>
    <definedName name="TaxP.Amt" localSheetId="5">#REF!</definedName>
    <definedName name="TaxP.Amt">#REF!</definedName>
    <definedName name="TaxP.BSRCode" localSheetId="5">#REF!</definedName>
    <definedName name="TaxP.BSRCode">#REF!</definedName>
    <definedName name="TaxP.DateDep" localSheetId="5">#REF!</definedName>
    <definedName name="TaxP.DateDep">#REF!</definedName>
    <definedName name="TaxP.NameOfBank" localSheetId="5">#REF!</definedName>
    <definedName name="TaxP.NameOfBank">#REF!</definedName>
    <definedName name="TaxP.NameOfBranch" localSheetId="5">#REF!</definedName>
    <definedName name="TaxP.NameOfBranch">#REF!</definedName>
    <definedName name="TaxP.SrlNoOfChaln" localSheetId="5">#REF!</definedName>
    <definedName name="TaxP.SrlNoOfChaln">#REF!</definedName>
    <definedName name="TDS_Sum" localSheetId="5">#REF!</definedName>
    <definedName name="TDS_Sum">#REF!</definedName>
    <definedName name="TDS1.TotalTDSSal" localSheetId="5">#REF!</definedName>
    <definedName name="TDS1.TotalTDSSal">#REF!</definedName>
    <definedName name="TDS2_sum" localSheetId="5">#REF!</definedName>
    <definedName name="TDS2_sum">#REF!</definedName>
    <definedName name="TDSal.AddrDetail" localSheetId="5">#REF!</definedName>
    <definedName name="TDSal.AddrDetail">#REF!</definedName>
    <definedName name="TDSal.CityOrTownOrDistrict" localSheetId="5">#REF!</definedName>
    <definedName name="TDSal.CityOrTownOrDistrict">#REF!</definedName>
    <definedName name="TDSal.DeductUnderChapVIA" localSheetId="5">#REF!</definedName>
    <definedName name="TDSal.DeductUnderChapVIA">#REF!</definedName>
    <definedName name="TDSal.EmployerOrDeductorOrCollecterName" localSheetId="5">#REF!</definedName>
    <definedName name="TDSal.EmployerOrDeductorOrCollecterName">#REF!</definedName>
    <definedName name="TDSal.IncChrgSal" localSheetId="5">#REF!</definedName>
    <definedName name="TDSal.IncChrgSal">#REF!</definedName>
    <definedName name="TDSal.PinCode" localSheetId="5">#REF!</definedName>
    <definedName name="TDSal.PinCode">#REF!</definedName>
    <definedName name="TDSal.StateCode" localSheetId="5">#REF!</definedName>
    <definedName name="TDSal.StateCode">#REF!</definedName>
    <definedName name="TDSal.TAN" localSheetId="5">#REF!</definedName>
    <definedName name="TDSal.TAN">#REF!</definedName>
    <definedName name="TDSal.TaxPayIncluSurchEdnCes" localSheetId="5">#REF!</definedName>
    <definedName name="TDSal.TaxPayIncluSurchEdnCes">#REF!</definedName>
    <definedName name="TDSal.TaxPayRefund" localSheetId="5">#REF!</definedName>
    <definedName name="TDSal.TaxPayRefund">#REF!</definedName>
    <definedName name="TDSal.TotalTDSSal" localSheetId="5">#REF!</definedName>
    <definedName name="TDSal.TotalTDSSal">#REF!</definedName>
    <definedName name="TDSoth.AddrDetail" localSheetId="5">#REF!</definedName>
    <definedName name="TDSoth.AddrDetail">#REF!</definedName>
    <definedName name="TDSoth.AmtPaid" localSheetId="5">#REF!</definedName>
    <definedName name="TDSoth.AmtPaid">#REF!</definedName>
    <definedName name="TDSoth.CityOrTownOrDistrict" localSheetId="5">#REF!</definedName>
    <definedName name="TDSoth.CityOrTownOrDistrict">#REF!</definedName>
    <definedName name="TDSoth.ClaimOutOfTotTDSOnAmtPaid" localSheetId="5">#REF!</definedName>
    <definedName name="TDSoth.ClaimOutOfTotTDSOnAmtPaid">#REF!</definedName>
    <definedName name="TDSoth.DatePayCred" localSheetId="5">#REF!</definedName>
    <definedName name="TDSoth.DatePayCred">#REF!</definedName>
    <definedName name="TDSoth.EmployerOrDeductorOrCollecterName" localSheetId="5">#REF!</definedName>
    <definedName name="TDSoth.EmployerOrDeductorOrCollecterName">#REF!</definedName>
    <definedName name="TDSoth.PinCode" localSheetId="5">#REF!</definedName>
    <definedName name="TDSoth.PinCode">#REF!</definedName>
    <definedName name="TDSoth.StateCode" localSheetId="5">#REF!</definedName>
    <definedName name="TDSoth.StateCode">#REF!</definedName>
    <definedName name="TDSoth.TAN" localSheetId="5">#REF!</definedName>
    <definedName name="TDSoth.TAN">#REF!</definedName>
    <definedName name="TDSoth.TotTDSOnAmtPaid" localSheetId="5">#REF!</definedName>
    <definedName name="TDSoth.TotTDSOnAmtPaid">#REF!</definedName>
    <definedName name="tp" localSheetId="5">#REF!</definedName>
    <definedName name="tp">#REF!</definedName>
    <definedName name="Ver.AssesseeVerName" localSheetId="5">#REF!</definedName>
    <definedName name="Ver.AssesseeVerName">#REF!</definedName>
    <definedName name="Ver.Date" localSheetId="5">#REF!</definedName>
    <definedName name="Ver.Date">#REF!</definedName>
    <definedName name="Ver.FatherName" localSheetId="5">#REF!</definedName>
    <definedName name="Ver.FatherName">#REF!</definedName>
    <definedName name="Ver.IdentificationNoOfTRP" localSheetId="5">#REF!</definedName>
    <definedName name="Ver.IdentificationNoOfTRP">#REF!</definedName>
    <definedName name="Ver.NameOfTRP" localSheetId="5">#REF!</definedName>
    <definedName name="Ver.NameOfTRP">#REF!</definedName>
    <definedName name="Ver.Place" localSheetId="5">#REF!</definedName>
    <definedName name="Ver.Place">#REF!</definedName>
    <definedName name="Ver.ReImbFrmGov" localSheetId="5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Deduction'!$J:$XFD</definedName>
    <definedName name="Z_01E6FF9C_BB30_4C32_9D09_6DB93F11503E_.wvu.Cols" localSheetId="5" hidden="1">'Tax (New Regime)'!$S:$XFD</definedName>
    <definedName name="Z_01E6FF9C_BB30_4C32_9D09_6DB93F11503E_.wvu.Cols" localSheetId="4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5" hidden="1">'Tax (New Regime)'!$B$1:$Q$61</definedName>
    <definedName name="Z_01E6FF9C_BB30_4C32_9D09_6DB93F11503E_.wvu.PrintArea" localSheetId="4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5" hidden="1">'Tax (New Regime)'!$62:$1048576,'Tax (New Regime)'!#REF!</definedName>
    <definedName name="Z_01E6FF9C_BB30_4C32_9D09_6DB93F11503E_.wvu.Rows" localSheetId="4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Deduction'!$J:$XFD</definedName>
    <definedName name="Z_483AFC7C_A53B_4837_A853_31CBC6C9ED1B_.wvu.Cols" localSheetId="5" hidden="1">'Tax (New Regime)'!$S:$XFD</definedName>
    <definedName name="Z_483AFC7C_A53B_4837_A853_31CBC6C9ED1B_.wvu.Cols" localSheetId="4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5" hidden="1">'Tax (New Regime)'!$B$1:$Q$61</definedName>
    <definedName name="Z_483AFC7C_A53B_4837_A853_31CBC6C9ED1B_.wvu.PrintArea" localSheetId="4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5" hidden="1">'Tax (New Regime)'!$62:$1048576,'Tax (New Regime)'!#REF!</definedName>
    <definedName name="Z_483AFC7C_A53B_4837_A853_31CBC6C9ED1B_.wvu.Rows" localSheetId="4" hidden="1">'Tax (Old Regime)'!$76:$1048576,'Tax (Old Regime)'!$72:$75</definedName>
  </definedNames>
  <calcPr calcId="181029"/>
  <customWorkbookViews>
    <customWorkbookView name="x - Personal View" guid="{483AFC7C-A53B-4837-A853-31CBC6C9ED1B}" mergeInterval="0" personalView="1" maximized="1" xWindow="1" yWindow="1" windowWidth="800" windowHeight="382" activeSheetId="1"/>
    <customWorkbookView name="Kalu Ram Kumawat - Personal View" guid="{01E6FF9C-BB30-4C32-9D09-6DB93F11503E}" mergeInterval="0" personalView="1" maximized="1" xWindow="1" yWindow="1" windowWidth="1024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3" l="1"/>
  <c r="P23" i="2"/>
  <c r="Y27" i="2"/>
  <c r="Y26" i="2"/>
  <c r="Y25" i="2"/>
  <c r="Y24" i="2"/>
  <c r="Y22" i="2"/>
  <c r="Y21" i="2"/>
  <c r="Y20" i="2"/>
  <c r="Y15" i="2"/>
  <c r="M8" i="2"/>
  <c r="M7" i="2"/>
  <c r="AB34" i="2"/>
  <c r="M12" i="7"/>
  <c r="P15" i="7" s="1"/>
  <c r="E34" i="2"/>
  <c r="L19" i="2"/>
  <c r="Y19" i="2" s="1"/>
  <c r="L18" i="2"/>
  <c r="Y18" i="2" s="1"/>
  <c r="L17" i="2"/>
  <c r="Y17" i="2" s="1"/>
  <c r="L16" i="2"/>
  <c r="Y16" i="2" s="1"/>
  <c r="L15" i="2"/>
  <c r="L14" i="2"/>
  <c r="Y14" i="2" s="1"/>
  <c r="L13" i="2"/>
  <c r="Y13" i="2" s="1"/>
  <c r="L12" i="2"/>
  <c r="Y12" i="2" s="1"/>
  <c r="L11" i="2"/>
  <c r="Y11" i="2" s="1"/>
  <c r="L10" i="2"/>
  <c r="Y10" i="2" s="1"/>
  <c r="L9" i="2"/>
  <c r="Y9" i="2" s="1"/>
  <c r="Y7" i="2"/>
  <c r="L7" i="2"/>
  <c r="L8" i="2"/>
  <c r="Y8" i="2" s="1"/>
  <c r="W17" i="2"/>
  <c r="R9" i="2" l="1"/>
  <c r="AA27" i="2"/>
  <c r="AA26" i="2"/>
  <c r="AA25" i="2"/>
  <c r="AA24" i="2"/>
  <c r="AA21" i="2"/>
  <c r="AA20" i="2"/>
  <c r="N27" i="2"/>
  <c r="N26" i="2"/>
  <c r="N25" i="2"/>
  <c r="N24" i="2"/>
  <c r="AB27" i="2" l="1"/>
  <c r="AB25" i="2"/>
  <c r="AB26" i="2"/>
  <c r="AB24" i="2"/>
  <c r="U9" i="2"/>
  <c r="I19" i="1"/>
  <c r="Q8" i="2"/>
  <c r="Q9" i="2"/>
  <c r="R19" i="2"/>
  <c r="R18" i="2"/>
  <c r="R17" i="2"/>
  <c r="R16" i="2"/>
  <c r="R15" i="2"/>
  <c r="R14" i="2"/>
  <c r="R13" i="2"/>
  <c r="R12" i="2"/>
  <c r="R11" i="2"/>
  <c r="R10" i="2"/>
  <c r="D8" i="2"/>
  <c r="R28" i="2" l="1"/>
  <c r="D9" i="2"/>
  <c r="X3" i="1" s="1"/>
  <c r="X2" i="1"/>
  <c r="S8" i="1"/>
  <c r="S8" i="2"/>
  <c r="Z9" i="2"/>
  <c r="P7" i="2"/>
  <c r="R6" i="2"/>
  <c r="S9" i="2" l="1"/>
  <c r="S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X28" i="2" l="1"/>
  <c r="H15" i="1" s="1"/>
  <c r="Z28" i="2"/>
  <c r="D6" i="2" l="1"/>
  <c r="L3" i="7" s="1"/>
  <c r="P5" i="7"/>
  <c r="P34" i="7"/>
  <c r="V9" i="2"/>
  <c r="U28" i="2"/>
  <c r="P52" i="7"/>
  <c r="P43" i="3"/>
  <c r="P42" i="3"/>
  <c r="L13" i="1"/>
  <c r="L11" i="1"/>
  <c r="D22" i="2"/>
  <c r="H29" i="3"/>
  <c r="H14" i="3"/>
  <c r="M6" i="2"/>
  <c r="AB6" i="2"/>
  <c r="AB5" i="2"/>
  <c r="T6" i="2"/>
  <c r="S5" i="2"/>
  <c r="M5" i="2"/>
  <c r="P3" i="7" s="1"/>
  <c r="D5" i="2"/>
  <c r="E3" i="7" s="1"/>
  <c r="C2" i="2"/>
  <c r="B1" i="7" s="1"/>
  <c r="O7" i="2"/>
  <c r="P5" i="3"/>
  <c r="P60" i="3"/>
  <c r="P44" i="3"/>
  <c r="P41" i="3"/>
  <c r="P39" i="3"/>
  <c r="P38" i="3"/>
  <c r="P37" i="3"/>
  <c r="P36" i="3"/>
  <c r="P33" i="3"/>
  <c r="M8" i="3"/>
  <c r="N22" i="2" l="1"/>
  <c r="O22" i="2"/>
  <c r="P22" i="2"/>
  <c r="V10" i="2"/>
  <c r="I8" i="2"/>
  <c r="Z2" i="1" s="1"/>
  <c r="H8" i="2"/>
  <c r="Y2" i="1" s="1"/>
  <c r="H9" i="2"/>
  <c r="I9" i="2"/>
  <c r="Z3" i="1" s="1"/>
  <c r="N29" i="3"/>
  <c r="N28" i="3"/>
  <c r="N27" i="3"/>
  <c r="N26" i="3"/>
  <c r="N25" i="3"/>
  <c r="N24" i="3"/>
  <c r="N23" i="3"/>
  <c r="H30" i="3"/>
  <c r="H28" i="3"/>
  <c r="H25" i="3"/>
  <c r="H24" i="3"/>
  <c r="H23" i="3"/>
  <c r="M6" i="1"/>
  <c r="M5" i="1"/>
  <c r="L3" i="3"/>
  <c r="M9" i="3"/>
  <c r="J10" i="2"/>
  <c r="N5" i="1" l="1"/>
  <c r="AA22" i="2"/>
  <c r="AB22" i="2" s="1"/>
  <c r="V11" i="2"/>
  <c r="T9" i="1"/>
  <c r="U9" i="1" s="1"/>
  <c r="Y3" i="1"/>
  <c r="T8" i="1"/>
  <c r="U8" i="1" s="1"/>
  <c r="O8" i="2"/>
  <c r="O9" i="2"/>
  <c r="P17" i="3"/>
  <c r="P17" i="7"/>
  <c r="P3" i="3"/>
  <c r="K9" i="2"/>
  <c r="V12" i="2" l="1"/>
  <c r="O63" i="3"/>
  <c r="K10" i="2"/>
  <c r="K11" i="2" s="1"/>
  <c r="K12" i="2" s="1"/>
  <c r="K13" i="2" s="1"/>
  <c r="K14" i="2" s="1"/>
  <c r="K15" i="2" s="1"/>
  <c r="K16" i="2" s="1"/>
  <c r="K17" i="2" s="1"/>
  <c r="K18" i="2" s="1"/>
  <c r="K19" i="2" s="1"/>
  <c r="H27" i="3"/>
  <c r="V13" i="2" l="1"/>
  <c r="O55" i="7"/>
  <c r="K28" i="2"/>
  <c r="AA8" i="2"/>
  <c r="V14" i="2" l="1"/>
  <c r="T9" i="2"/>
  <c r="P9" i="2"/>
  <c r="B2" i="1"/>
  <c r="K14" i="3"/>
  <c r="M12" i="3"/>
  <c r="E14" i="3" s="1"/>
  <c r="E3" i="3"/>
  <c r="B1" i="3"/>
  <c r="J11" i="2"/>
  <c r="J12" i="2" s="1"/>
  <c r="J13" i="2" s="1"/>
  <c r="J14" i="2" s="1"/>
  <c r="J15" i="2" s="1"/>
  <c r="J16" i="2" s="1"/>
  <c r="J17" i="2" s="1"/>
  <c r="J18" i="2" s="1"/>
  <c r="J19" i="2" s="1"/>
  <c r="J9" i="2"/>
  <c r="M9" i="2"/>
  <c r="G9" i="2"/>
  <c r="F9" i="2"/>
  <c r="E9" i="2"/>
  <c r="E10" i="2"/>
  <c r="E11" i="2"/>
  <c r="E12" i="2"/>
  <c r="E13" i="2"/>
  <c r="E14" i="2"/>
  <c r="E15" i="2"/>
  <c r="E16" i="2"/>
  <c r="E17" i="2"/>
  <c r="E18" i="2"/>
  <c r="E19" i="2"/>
  <c r="AA9" i="2" l="1"/>
  <c r="V15" i="2"/>
  <c r="J28" i="2"/>
  <c r="E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Q10" i="2"/>
  <c r="F10" i="2"/>
  <c r="F11" i="2" s="1"/>
  <c r="F12" i="2" s="1"/>
  <c r="F13" i="2" s="1"/>
  <c r="F14" i="2" s="1"/>
  <c r="F15" i="2" s="1"/>
  <c r="F16" i="2" s="1"/>
  <c r="F17" i="2" s="1"/>
  <c r="F18" i="2" s="1"/>
  <c r="F19" i="2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X4" i="1" s="1"/>
  <c r="N8" i="2"/>
  <c r="M10" i="2"/>
  <c r="M11" i="2" s="1"/>
  <c r="M12" i="2" s="1"/>
  <c r="M13" i="2" s="1"/>
  <c r="M14" i="2" s="1"/>
  <c r="M15" i="2" s="1"/>
  <c r="M16" i="2" s="1"/>
  <c r="M17" i="2" s="1"/>
  <c r="M18" i="2" s="1"/>
  <c r="M19" i="2" s="1"/>
  <c r="V16" i="2" l="1"/>
  <c r="S10" i="2"/>
  <c r="S10" i="1"/>
  <c r="F28" i="2"/>
  <c r="M28" i="2"/>
  <c r="T28" i="2"/>
  <c r="G28" i="2"/>
  <c r="Q11" i="2"/>
  <c r="Q12" i="2" s="1"/>
  <c r="Q13" i="2" s="1"/>
  <c r="Q14" i="2" s="1"/>
  <c r="Q15" i="2" s="1"/>
  <c r="Q16" i="2" s="1"/>
  <c r="Q17" i="2" s="1"/>
  <c r="Q18" i="2" s="1"/>
  <c r="Q19" i="2" s="1"/>
  <c r="I10" i="2"/>
  <c r="Z4" i="1" s="1"/>
  <c r="H10" i="2"/>
  <c r="Y4" i="1" s="1"/>
  <c r="D11" i="2"/>
  <c r="X5" i="1" s="1"/>
  <c r="N9" i="2"/>
  <c r="AB9" i="2" s="1"/>
  <c r="V17" i="2" l="1"/>
  <c r="S11" i="2"/>
  <c r="S11" i="1"/>
  <c r="O10" i="2"/>
  <c r="AA10" i="2" s="1"/>
  <c r="T10" i="1"/>
  <c r="U10" i="1" s="1"/>
  <c r="Q28" i="2"/>
  <c r="H21" i="3" s="1"/>
  <c r="F55" i="7"/>
  <c r="H22" i="3"/>
  <c r="I11" i="2"/>
  <c r="Z5" i="1" s="1"/>
  <c r="H11" i="2"/>
  <c r="Y5" i="1" s="1"/>
  <c r="D12" i="2"/>
  <c r="N10" i="2"/>
  <c r="F63" i="3"/>
  <c r="M14" i="3"/>
  <c r="P15" i="3" s="1"/>
  <c r="AF21" i="2" l="1"/>
  <c r="AG21" i="2" s="1"/>
  <c r="AB10" i="2"/>
  <c r="V18" i="2"/>
  <c r="S12" i="2"/>
  <c r="X6" i="1"/>
  <c r="S12" i="1"/>
  <c r="O11" i="2"/>
  <c r="AA11" i="2" s="1"/>
  <c r="T11" i="1"/>
  <c r="U11" i="1" s="1"/>
  <c r="I20" i="2"/>
  <c r="N20" i="2" s="1"/>
  <c r="AB20" i="2" s="1"/>
  <c r="H12" i="2"/>
  <c r="J55" i="7"/>
  <c r="I12" i="2"/>
  <c r="Z6" i="1" s="1"/>
  <c r="N11" i="2"/>
  <c r="D13" i="2"/>
  <c r="AF22" i="2" s="1"/>
  <c r="AG22" i="2" s="1"/>
  <c r="AH22" i="2" l="1"/>
  <c r="AB11" i="2"/>
  <c r="N12" i="2"/>
  <c r="V19" i="2"/>
  <c r="V28" i="2" s="1"/>
  <c r="L55" i="7"/>
  <c r="S13" i="2"/>
  <c r="X7" i="1"/>
  <c r="T12" i="1"/>
  <c r="U12" i="1" s="1"/>
  <c r="Y6" i="1"/>
  <c r="O12" i="2"/>
  <c r="AA12" i="2" s="1"/>
  <c r="S13" i="1"/>
  <c r="H13" i="2"/>
  <c r="I13" i="2"/>
  <c r="Z7" i="1" s="1"/>
  <c r="J63" i="3"/>
  <c r="D14" i="2"/>
  <c r="AF23" i="2" s="1"/>
  <c r="AG23" i="2" s="1"/>
  <c r="AH21" i="2" l="1"/>
  <c r="N13" i="2"/>
  <c r="AB12" i="2"/>
  <c r="M55" i="7"/>
  <c r="P55" i="7" s="1"/>
  <c r="S14" i="2"/>
  <c r="X8" i="1"/>
  <c r="T13" i="1"/>
  <c r="U13" i="1" s="1"/>
  <c r="Y7" i="1"/>
  <c r="O13" i="2"/>
  <c r="AA13" i="2" s="1"/>
  <c r="S14" i="1"/>
  <c r="I14" i="2"/>
  <c r="Z8" i="1" s="1"/>
  <c r="H14" i="2"/>
  <c r="Y8" i="1" s="1"/>
  <c r="M63" i="3"/>
  <c r="L63" i="3"/>
  <c r="I11" i="1"/>
  <c r="D15" i="2"/>
  <c r="H15" i="2" s="1"/>
  <c r="AH23" i="2" l="1"/>
  <c r="L23" i="2"/>
  <c r="Y23" i="2" s="1"/>
  <c r="AH25" i="2"/>
  <c r="P28" i="2" s="1"/>
  <c r="AG25" i="2"/>
  <c r="AB13" i="2"/>
  <c r="AF25" i="2"/>
  <c r="X9" i="1"/>
  <c r="N14" i="2"/>
  <c r="S15" i="2"/>
  <c r="D21" i="2"/>
  <c r="S15" i="1"/>
  <c r="O14" i="2"/>
  <c r="AA14" i="2" s="1"/>
  <c r="T14" i="1"/>
  <c r="U14" i="1" s="1"/>
  <c r="I15" i="2"/>
  <c r="Z9" i="1" s="1"/>
  <c r="Y9" i="1"/>
  <c r="P63" i="3"/>
  <c r="D16" i="2"/>
  <c r="H16" i="2" s="1"/>
  <c r="H21" i="2" l="1"/>
  <c r="N21" i="2" s="1"/>
  <c r="AB21" i="2" s="1"/>
  <c r="AF26" i="2"/>
  <c r="AB14" i="2"/>
  <c r="Y28" i="2"/>
  <c r="L28" i="2"/>
  <c r="N15" i="2"/>
  <c r="S16" i="2"/>
  <c r="X10" i="1"/>
  <c r="S16" i="1"/>
  <c r="O15" i="2"/>
  <c r="AA15" i="2" s="1"/>
  <c r="T15" i="1"/>
  <c r="U15" i="1" s="1"/>
  <c r="I16" i="2"/>
  <c r="Z10" i="1" s="1"/>
  <c r="Y10" i="1"/>
  <c r="AB8" i="2"/>
  <c r="D17" i="2"/>
  <c r="H17" i="2" s="1"/>
  <c r="H23" i="2" l="1"/>
  <c r="N23" i="2" s="1"/>
  <c r="O23" i="2"/>
  <c r="AA23" i="2" s="1"/>
  <c r="AB15" i="2"/>
  <c r="N16" i="2"/>
  <c r="S17" i="2"/>
  <c r="X11" i="1"/>
  <c r="S17" i="1"/>
  <c r="O16" i="2"/>
  <c r="AA16" i="2" s="1"/>
  <c r="T16" i="1"/>
  <c r="U16" i="1" s="1"/>
  <c r="Y11" i="1"/>
  <c r="I17" i="2"/>
  <c r="Z11" i="1" s="1"/>
  <c r="D18" i="2"/>
  <c r="H18" i="2" s="1"/>
  <c r="AB16" i="2" l="1"/>
  <c r="AB23" i="2"/>
  <c r="N17" i="2"/>
  <c r="S18" i="2"/>
  <c r="X12" i="1"/>
  <c r="O17" i="2"/>
  <c r="AA17" i="2" s="1"/>
  <c r="T17" i="1"/>
  <c r="U17" i="1" s="1"/>
  <c r="S18" i="1"/>
  <c r="Y12" i="1"/>
  <c r="I18" i="2"/>
  <c r="Z12" i="1" s="1"/>
  <c r="D19" i="2"/>
  <c r="H19" i="2" s="1"/>
  <c r="AB17" i="2" l="1"/>
  <c r="N18" i="2"/>
  <c r="S19" i="2"/>
  <c r="S28" i="2" s="1"/>
  <c r="X13" i="1"/>
  <c r="X14" i="1" s="1"/>
  <c r="S19" i="1"/>
  <c r="O18" i="2"/>
  <c r="AA18" i="2" s="1"/>
  <c r="T18" i="1"/>
  <c r="U18" i="1" s="1"/>
  <c r="I19" i="2"/>
  <c r="Y13" i="1"/>
  <c r="Y14" i="1" s="1"/>
  <c r="G26" i="1" s="1"/>
  <c r="D28" i="2"/>
  <c r="AB18" i="2" l="1"/>
  <c r="N19" i="2"/>
  <c r="N28" i="2" s="1"/>
  <c r="I28" i="2"/>
  <c r="L21" i="1" s="1"/>
  <c r="Z13" i="1"/>
  <c r="Z14" i="1" s="1"/>
  <c r="X16" i="1"/>
  <c r="G25" i="1"/>
  <c r="O19" i="2"/>
  <c r="T19" i="1"/>
  <c r="U19" i="1" s="1"/>
  <c r="U20" i="1" s="1"/>
  <c r="U21" i="1" s="1"/>
  <c r="L18" i="1" s="1"/>
  <c r="H28" i="2"/>
  <c r="G30" i="1" l="1"/>
  <c r="X25" i="1" s="1"/>
  <c r="O28" i="2"/>
  <c r="AA19" i="2"/>
  <c r="AB19" i="2" s="1"/>
  <c r="X19" i="1"/>
  <c r="X18" i="1"/>
  <c r="X27" i="1" s="1"/>
  <c r="G31" i="1" s="1"/>
  <c r="N9" i="1"/>
  <c r="H26" i="3" l="1"/>
  <c r="N4" i="1" s="1"/>
  <c r="G29" i="1"/>
  <c r="X26" i="1"/>
  <c r="X28" i="1" s="1"/>
  <c r="G33" i="1" s="1"/>
  <c r="G34" i="1" s="1"/>
  <c r="W28" i="2"/>
  <c r="P40" i="3" s="1"/>
  <c r="P45" i="3" s="1"/>
  <c r="P4" i="3" l="1"/>
  <c r="AA28" i="2"/>
  <c r="M9" i="1"/>
  <c r="I4" i="1" l="1"/>
  <c r="P4" i="7"/>
  <c r="P6" i="7" s="1"/>
  <c r="P10" i="7" s="1"/>
  <c r="P11" i="7" s="1"/>
  <c r="P16" i="7" s="1"/>
  <c r="P18" i="7" s="1"/>
  <c r="L9" i="1"/>
  <c r="AB28" i="2"/>
  <c r="P6" i="3"/>
  <c r="M7" i="3" s="1"/>
  <c r="P10" i="3" s="1"/>
  <c r="H9" i="1" l="1"/>
  <c r="P32" i="3"/>
  <c r="N6" i="1" s="1"/>
  <c r="N7" i="1" s="1"/>
  <c r="K7" i="1" s="1"/>
  <c r="K10" i="1" s="1"/>
  <c r="P21" i="7"/>
  <c r="P11" i="3"/>
  <c r="P16" i="3" s="1"/>
  <c r="P18" i="3" s="1"/>
  <c r="P23" i="7" l="1"/>
  <c r="P35" i="7" s="1"/>
  <c r="P36" i="7" s="1"/>
  <c r="P37" i="7" s="1"/>
  <c r="P45" i="7" s="1"/>
  <c r="P44" i="7" l="1"/>
  <c r="P46" i="7"/>
  <c r="P42" i="7"/>
  <c r="P43" i="7"/>
  <c r="P41" i="7"/>
  <c r="P48" i="7"/>
  <c r="P47" i="7" l="1"/>
  <c r="P49" i="7" s="1"/>
  <c r="P50" i="7" s="1"/>
  <c r="P51" i="7" s="1"/>
  <c r="N21" i="3"/>
  <c r="N30" i="3" s="1"/>
  <c r="P53" i="7" l="1"/>
  <c r="P31" i="3"/>
  <c r="C22" i="1"/>
  <c r="M10" i="1"/>
  <c r="G22" i="1" l="1"/>
  <c r="P34" i="3"/>
  <c r="P46" i="3" s="1"/>
  <c r="P47" i="3" s="1"/>
  <c r="P48" i="3" s="1"/>
  <c r="I15" i="1"/>
  <c r="I9" i="1"/>
  <c r="P56" i="7"/>
  <c r="B56" i="7"/>
  <c r="P54" i="3" l="1"/>
  <c r="P53" i="3"/>
  <c r="P52" i="3"/>
  <c r="P55" i="3" l="1"/>
  <c r="P56" i="3" l="1"/>
  <c r="P57" i="3" s="1"/>
  <c r="P58" i="3" s="1"/>
  <c r="P59" i="3" s="1"/>
  <c r="P61" i="3" l="1"/>
  <c r="B64" i="3" s="1"/>
  <c r="I7" i="1" l="1"/>
  <c r="P64" i="3"/>
  <c r="G21" i="1" s="1"/>
  <c r="C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 KURMI</author>
  </authors>
  <commentList>
    <comment ref="G2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CP KURMI:</t>
        </r>
        <r>
          <rPr>
            <sz val="9"/>
            <color indexed="81"/>
            <rFont val="Tahoma"/>
            <family val="2"/>
          </rPr>
          <t xml:space="preserve">
Fill Rent Paid by You</t>
        </r>
      </text>
    </comment>
  </commentList>
</comments>
</file>

<file path=xl/sharedStrings.xml><?xml version="1.0" encoding="utf-8"?>
<sst xmlns="http://schemas.openxmlformats.org/spreadsheetml/2006/main" count="417" uniqueCount="322">
  <si>
    <t>PS Aarampura</t>
  </si>
  <si>
    <t>SI LOAN + INT</t>
  </si>
  <si>
    <t>Basic Pay</t>
  </si>
  <si>
    <t>Dearness Pay</t>
  </si>
  <si>
    <t>UPS Pathraj Kala</t>
  </si>
  <si>
    <t>UPS Manda</t>
  </si>
  <si>
    <t>LIC</t>
  </si>
  <si>
    <t>UPS Ramsinghpura</t>
  </si>
  <si>
    <t>edku fdjk;k NwV ds fy, jlhn dh vko';drk</t>
  </si>
  <si>
    <t>Month</t>
  </si>
  <si>
    <t>SI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</si>
  <si>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</si>
  <si>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</si>
  <si>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</si>
  <si>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</si>
  <si>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</si>
  <si>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</si>
  <si>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</si>
  <si>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</si>
  <si>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PAN :</t>
  </si>
  <si>
    <t>Name :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</si>
  <si>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</si>
  <si>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</si>
  <si>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</si>
  <si>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</si>
  <si>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</si>
  <si>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</si>
  <si>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</si>
  <si>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</si>
  <si>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</si>
  <si>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</si>
  <si>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</si>
  <si>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</si>
  <si>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</si>
  <si>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</si>
  <si>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</si>
  <si>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</si>
  <si>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</si>
  <si>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</si>
  <si>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</si>
  <si>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</si>
  <si>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>TOTAL</t>
  </si>
  <si>
    <t>Signature of Employee</t>
  </si>
  <si>
    <t>Signature of DDO</t>
  </si>
  <si>
    <t>Tax Deposited</t>
  </si>
  <si>
    <t>Income Tax / TDS</t>
  </si>
  <si>
    <t>Chandra Prakash Kurmi</t>
  </si>
  <si>
    <t>Leave  Pay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</si>
  <si>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</si>
  <si>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</si>
  <si>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</si>
  <si>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</si>
  <si>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</si>
  <si>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</si>
  <si>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</si>
  <si>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</si>
  <si>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</si>
  <si>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</si>
  <si>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</si>
  <si>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</si>
  <si>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</si>
  <si>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</si>
  <si>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How to use this Utility</t>
  </si>
  <si>
    <t>GA 55 A Sheet</t>
  </si>
  <si>
    <t>Other Deduction Sheet</t>
  </si>
  <si>
    <t>Print</t>
  </si>
  <si>
    <t>(xviii)</t>
  </si>
  <si>
    <t>Mobile No. :</t>
  </si>
  <si>
    <t>(xix)</t>
  </si>
  <si>
    <t>Principal, Govt. Sr. Secondary School Todaraisingh (Tonk)</t>
  </si>
  <si>
    <t>MASTER DATA</t>
  </si>
  <si>
    <t>State Service</t>
  </si>
  <si>
    <t>CM Corona Relief</t>
  </si>
  <si>
    <t>Old Tax Regime</t>
  </si>
  <si>
    <t>5,00,001-7,50,000</t>
  </si>
  <si>
    <t>7,50,001 - 10,00,000</t>
  </si>
  <si>
    <t>10,00,001 - 12,50,000</t>
  </si>
  <si>
    <t>12,50,001 - 15,00,000</t>
  </si>
  <si>
    <t>NO</t>
  </si>
  <si>
    <t>AAAAXXXXXA</t>
  </si>
  <si>
    <t>9XXXXXXXX1</t>
  </si>
  <si>
    <t>AAAAAXXXXA</t>
  </si>
  <si>
    <t>74XXX7</t>
  </si>
  <si>
    <t>Master Sheet</t>
  </si>
  <si>
    <t>Computation Sheet (Old / New Tax Regime)</t>
  </si>
  <si>
    <t>L-13</t>
  </si>
  <si>
    <t>Hitkari Nidhi</t>
  </si>
  <si>
    <t>9XXXXXXXXXXXXX9</t>
  </si>
  <si>
    <t>Defer Salary
March 2020</t>
  </si>
  <si>
    <t>Salary Arrear</t>
  </si>
  <si>
    <t>RGHS / RPMF</t>
  </si>
  <si>
    <t>Rebate Under Section 80C, 80CCC, 80CCD(1)</t>
  </si>
  <si>
    <t>BASIC</t>
  </si>
  <si>
    <t>DA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</si>
  <si>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</si>
  <si>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</si>
  <si>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</si>
  <si>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</si>
  <si>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</si>
  <si>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</si>
  <si>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</si>
  <si>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</si>
  <si>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</si>
  <si>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</si>
  <si>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</si>
  <si>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</si>
  <si>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</si>
  <si>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</si>
  <si>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</si>
  <si>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</si>
  <si>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</si>
  <si>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</si>
  <si>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</si>
  <si>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</si>
  <si>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</si>
  <si>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</si>
  <si>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</si>
  <si>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</si>
  <si>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</si>
  <si>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Salary Arrear
HRA July 2021</t>
  </si>
  <si>
    <t xml:space="preserve">Surender
2021-22 </t>
  </si>
  <si>
    <t>Bonus
2020-21</t>
  </si>
  <si>
    <t>Other 1</t>
  </si>
  <si>
    <t>Other 2</t>
  </si>
  <si>
    <t>Salary and Deduction Detail for FY : 2021-22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</si>
  <si>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</si>
  <si>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</si>
  <si>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</si>
  <si>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</si>
  <si>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</si>
  <si>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</si>
  <si>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</si>
  <si>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</si>
  <si>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</si>
  <si>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</si>
  <si>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</si>
  <si>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</si>
  <si>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</si>
  <si>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</si>
  <si>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</si>
  <si>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t xml:space="preserve">     Post :</t>
  </si>
  <si>
    <t>SI No :</t>
  </si>
  <si>
    <t>80 c &amp; ccd</t>
  </si>
  <si>
    <t>8XXXXX8</t>
  </si>
  <si>
    <t>YES</t>
  </si>
  <si>
    <t>DA Arrear 7/21 to 9/21</t>
  </si>
  <si>
    <t>Other Deduction</t>
  </si>
  <si>
    <t>NA</t>
  </si>
  <si>
    <t>Nand Singh Tanwar</t>
  </si>
  <si>
    <t>सभी पीले सेल अवश्य भरें ।</t>
  </si>
  <si>
    <r>
      <t>वेतन के अतिरिक्त कटौतियाँ</t>
    </r>
    <r>
      <rPr>
        <b/>
        <sz val="20"/>
        <color rgb="FF002060"/>
        <rFont val="Calibri"/>
        <family val="2"/>
        <scheme val="minor"/>
      </rPr>
      <t>,</t>
    </r>
    <r>
      <rPr>
        <b/>
        <sz val="24"/>
        <color rgb="FF002060"/>
        <rFont val="DevLys 010"/>
      </rPr>
      <t xml:space="preserve"> आय </t>
    </r>
    <r>
      <rPr>
        <b/>
        <sz val="20"/>
        <color rgb="FF002060"/>
        <rFont val="Calibri"/>
        <family val="2"/>
        <scheme val="minor"/>
      </rPr>
      <t>/</t>
    </r>
    <r>
      <rPr>
        <b/>
        <sz val="24"/>
        <color rgb="FF002060"/>
        <rFont val="DevLys 010"/>
      </rPr>
      <t xml:space="preserve"> जमा राशि एवं छूट का विवरण</t>
    </r>
  </si>
  <si>
    <r>
      <t xml:space="preserve">गृह सम्पति से प्राप्त किराया </t>
    </r>
    <r>
      <rPr>
        <sz val="13"/>
        <rFont val="Calibri"/>
        <family val="2"/>
        <scheme val="minor"/>
      </rPr>
      <t>-</t>
    </r>
    <r>
      <rPr>
        <sz val="13"/>
        <rFont val="DevLys 010"/>
      </rPr>
      <t xml:space="preserve"> आय </t>
    </r>
  </si>
  <si>
    <r>
      <t xml:space="preserve">गृहकर </t>
    </r>
    <r>
      <rPr>
        <sz val="10"/>
        <rFont val="Calibri"/>
        <family val="2"/>
        <scheme val="minor"/>
      </rPr>
      <t>(House Tax)</t>
    </r>
  </si>
  <si>
    <r>
      <t xml:space="preserve">जीवन बीमा प्रीमियम </t>
    </r>
    <r>
      <rPr>
        <sz val="11"/>
        <rFont val="Calibri"/>
        <family val="2"/>
        <scheme val="minor"/>
      </rPr>
      <t>(</t>
    </r>
    <r>
      <rPr>
        <sz val="13"/>
        <rFont val="DevLys 010"/>
      </rPr>
      <t>जो वेतन से नही काटा गया</t>
    </r>
    <r>
      <rPr>
        <sz val="11"/>
        <rFont val="Calibri"/>
        <family val="2"/>
        <scheme val="minor"/>
      </rPr>
      <t>)</t>
    </r>
    <r>
      <rPr>
        <sz val="13"/>
        <rFont val="DevLys 010"/>
      </rPr>
      <t xml:space="preserve"> </t>
    </r>
    <r>
      <rPr>
        <b/>
        <sz val="11"/>
        <rFont val="Calibri"/>
        <family val="2"/>
        <scheme val="minor"/>
      </rPr>
      <t>LIC</t>
    </r>
  </si>
  <si>
    <r>
      <t xml:space="preserve">राष्ट्रीय बचत पत्र </t>
    </r>
    <r>
      <rPr>
        <b/>
        <sz val="10"/>
        <rFont val="Calibri"/>
        <family val="2"/>
        <scheme val="minor"/>
      </rPr>
      <t>(NSC)</t>
    </r>
  </si>
  <si>
    <r>
      <t xml:space="preserve">लोक भविष्य निधि </t>
    </r>
    <r>
      <rPr>
        <b/>
        <sz val="10"/>
        <rFont val="Calibri"/>
        <family val="2"/>
        <scheme val="minor"/>
      </rPr>
      <t>(PPF)</t>
    </r>
  </si>
  <si>
    <r>
      <t xml:space="preserve">सुकन्या समृद्धि योजना </t>
    </r>
    <r>
      <rPr>
        <b/>
        <sz val="10"/>
        <rFont val="Calibri"/>
        <family val="2"/>
        <scheme val="minor"/>
      </rPr>
      <t>(SSY)</t>
    </r>
  </si>
  <si>
    <r>
      <t xml:space="preserve">गृह ऋण किस्त मूलधन </t>
    </r>
    <r>
      <rPr>
        <sz val="10"/>
        <rFont val="Calibri"/>
        <family val="2"/>
        <scheme val="minor"/>
      </rPr>
      <t xml:space="preserve">(12 Month) </t>
    </r>
    <r>
      <rPr>
        <b/>
        <sz val="10"/>
        <rFont val="Calibri"/>
        <family val="2"/>
        <scheme val="minor"/>
      </rPr>
      <t>HBA Premium</t>
    </r>
  </si>
  <si>
    <r>
      <t xml:space="preserve">गृह ऋण किस्त ब्याज </t>
    </r>
    <r>
      <rPr>
        <sz val="10"/>
        <rFont val="Calibri"/>
        <family val="2"/>
        <scheme val="minor"/>
      </rPr>
      <t>(12 Month)</t>
    </r>
    <r>
      <rPr>
        <b/>
        <sz val="10"/>
        <rFont val="Calibri"/>
        <family val="2"/>
        <scheme val="minor"/>
      </rPr>
      <t xml:space="preserve"> HBA Interest</t>
    </r>
  </si>
  <si>
    <r>
      <t xml:space="preserve">टयूशन फीस </t>
    </r>
    <r>
      <rPr>
        <b/>
        <sz val="10"/>
        <rFont val="Calibri"/>
        <family val="2"/>
        <scheme val="minor"/>
      </rPr>
      <t>(Tution Fees)</t>
    </r>
  </si>
  <si>
    <r>
      <t xml:space="preserve">पीएलआई </t>
    </r>
    <r>
      <rPr>
        <sz val="10"/>
        <rFont val="Calibri"/>
        <family val="2"/>
        <scheme val="minor"/>
      </rPr>
      <t xml:space="preserve">(Postal Life Insurance) </t>
    </r>
    <r>
      <rPr>
        <b/>
        <sz val="11"/>
        <rFont val="Calibri"/>
        <family val="2"/>
        <scheme val="minor"/>
      </rPr>
      <t>PLI</t>
    </r>
  </si>
  <si>
    <r>
      <t xml:space="preserve">इक्विटी लिंक सेविंग स्कीम </t>
    </r>
    <r>
      <rPr>
        <sz val="10"/>
        <rFont val="Calibri"/>
        <family val="2"/>
        <scheme val="minor"/>
      </rPr>
      <t>(Equaty Link Saving Scheme)</t>
    </r>
  </si>
  <si>
    <r>
      <t xml:space="preserve">स्थगित वार्षिकी </t>
    </r>
    <r>
      <rPr>
        <sz val="10"/>
        <rFont val="Calibri"/>
        <family val="2"/>
        <scheme val="minor"/>
      </rPr>
      <t>(Defferred Anniuty)</t>
    </r>
  </si>
  <si>
    <r>
      <t xml:space="preserve">यू एल आई पी </t>
    </r>
    <r>
      <rPr>
        <sz val="11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(ULIP)</t>
    </r>
    <r>
      <rPr>
        <sz val="11"/>
        <rFont val="Calibri"/>
        <family val="2"/>
        <scheme val="minor"/>
      </rPr>
      <t xml:space="preserve"> / </t>
    </r>
    <r>
      <rPr>
        <sz val="13"/>
        <rFont val="DevLys 010"/>
      </rPr>
      <t xml:space="preserve">वार्षिक प्लान  </t>
    </r>
  </si>
  <si>
    <r>
      <t xml:space="preserve">राष्ट्रीय बचत पत्र पर अदत ब्याज </t>
    </r>
    <r>
      <rPr>
        <sz val="10"/>
        <rFont val="Calibri"/>
        <family val="2"/>
        <scheme val="minor"/>
      </rPr>
      <t>(NSC Interest)</t>
    </r>
  </si>
  <si>
    <r>
      <t xml:space="preserve">राष्ट्रीय बचत स्कीम </t>
    </r>
    <r>
      <rPr>
        <sz val="10"/>
        <rFont val="Calibri"/>
        <family val="2"/>
        <scheme val="minor"/>
      </rPr>
      <t>(NSS)</t>
    </r>
  </si>
  <si>
    <r>
      <t xml:space="preserve">व्यवयाय कर धारा </t>
    </r>
    <r>
      <rPr>
        <sz val="10"/>
        <rFont val="Calibri"/>
        <family val="2"/>
        <scheme val="minor"/>
      </rPr>
      <t>16 (iii)</t>
    </r>
    <r>
      <rPr>
        <sz val="13"/>
        <rFont val="DevLys 010"/>
      </rPr>
      <t xml:space="preserve"> के अन्तगर्त </t>
    </r>
    <r>
      <rPr>
        <sz val="10"/>
        <rFont val="Calibri"/>
        <family val="2"/>
        <scheme val="minor"/>
      </rPr>
      <t>(Business tax)</t>
    </r>
  </si>
  <si>
    <r>
      <t xml:space="preserve">मनोरंजन भता धारा </t>
    </r>
    <r>
      <rPr>
        <sz val="10"/>
        <rFont val="Calibri"/>
        <family val="2"/>
        <scheme val="minor"/>
      </rPr>
      <t>16 (ii)</t>
    </r>
    <r>
      <rPr>
        <sz val="13"/>
        <rFont val="DevLys 010"/>
      </rPr>
      <t xml:space="preserve"> </t>
    </r>
    <r>
      <rPr>
        <sz val="10"/>
        <rFont val="Calibri"/>
        <family val="2"/>
        <scheme val="minor"/>
      </rPr>
      <t>(Entertainment A\llowance)</t>
    </r>
  </si>
  <si>
    <r>
      <t xml:space="preserve">मकान किराया भत्ता </t>
    </r>
    <r>
      <rPr>
        <sz val="11"/>
        <rFont val="Calibri"/>
        <family val="2"/>
        <scheme val="minor"/>
      </rPr>
      <t>(</t>
    </r>
    <r>
      <rPr>
        <sz val="13"/>
        <rFont val="DevLys 010"/>
      </rPr>
      <t>छूट जो लेनी है</t>
    </r>
    <r>
      <rPr>
        <sz val="11"/>
        <rFont val="Calibri"/>
        <family val="2"/>
        <scheme val="minor"/>
      </rPr>
      <t xml:space="preserve">) </t>
    </r>
    <r>
      <rPr>
        <b/>
        <sz val="11"/>
        <rFont val="Calibri"/>
        <family val="2"/>
        <scheme val="minor"/>
      </rPr>
      <t>HRA</t>
    </r>
  </si>
  <si>
    <r>
      <t xml:space="preserve">स्टेण्डर्ड डिडेक्शन रूपये  </t>
    </r>
    <r>
      <rPr>
        <sz val="10"/>
        <rFont val="Calibri"/>
        <family val="2"/>
        <scheme val="minor"/>
      </rPr>
      <t>50,000 (</t>
    </r>
    <r>
      <rPr>
        <sz val="13"/>
        <rFont val="DevLys 010"/>
      </rPr>
      <t>अधिकतम</t>
    </r>
    <r>
      <rPr>
        <sz val="10"/>
        <rFont val="Calibri"/>
        <family val="2"/>
        <scheme val="minor"/>
      </rPr>
      <t>)</t>
    </r>
    <r>
      <rPr>
        <sz val="13"/>
        <rFont val="DevLys 010"/>
      </rPr>
      <t xml:space="preserve"> धारा </t>
    </r>
    <r>
      <rPr>
        <sz val="10"/>
        <rFont val="Calibri"/>
        <family val="2"/>
        <scheme val="minor"/>
      </rPr>
      <t>16 (ia)</t>
    </r>
  </si>
  <si>
    <r>
      <t xml:space="preserve">बचत खाते </t>
    </r>
    <r>
      <rPr>
        <sz val="10"/>
        <rFont val="Calibri"/>
        <family val="2"/>
        <scheme val="minor"/>
      </rPr>
      <t xml:space="preserve">(All Saving Accounts) </t>
    </r>
    <r>
      <rPr>
        <sz val="13"/>
        <rFont val="DevLys 010"/>
      </rPr>
      <t>की जमा राशि पर प्राप्त ब्याज</t>
    </r>
  </si>
  <si>
    <r>
      <t xml:space="preserve">ब्याज के अलावा अन्य आय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>विभिन्न स्त्रो़त्र से</t>
    </r>
    <r>
      <rPr>
        <sz val="10"/>
        <rFont val="Calibri"/>
        <family val="2"/>
        <scheme val="minor"/>
      </rPr>
      <t>)</t>
    </r>
    <r>
      <rPr>
        <sz val="13"/>
        <rFont val="DevLys 010"/>
      </rPr>
      <t xml:space="preserve"> </t>
    </r>
  </si>
  <si>
    <r>
      <rPr>
        <sz val="10"/>
        <rFont val="Calibri"/>
        <family val="2"/>
        <scheme val="minor"/>
      </rPr>
      <t xml:space="preserve">FD (Bank/ Post Office) </t>
    </r>
    <r>
      <rPr>
        <sz val="13"/>
        <rFont val="DevLys 010"/>
      </rPr>
      <t xml:space="preserve">आदि अन्य जमा राशि पर प्राप्त कुल ब्याज </t>
    </r>
    <r>
      <rPr>
        <sz val="10"/>
        <rFont val="Calibri"/>
        <family val="2"/>
        <scheme val="minor"/>
      </rPr>
      <t xml:space="preserve">(PPF </t>
    </r>
    <r>
      <rPr>
        <sz val="13"/>
        <rFont val="DevLys 010"/>
      </rPr>
      <t>को छोड़कर</t>
    </r>
    <r>
      <rPr>
        <sz val="10"/>
        <rFont val="Calibri"/>
        <family val="2"/>
        <scheme val="minor"/>
      </rPr>
      <t>)</t>
    </r>
  </si>
  <si>
    <r>
      <t xml:space="preserve">वेतन बिल के अलावा जमा कराया गया आयकर </t>
    </r>
    <r>
      <rPr>
        <sz val="10"/>
        <rFont val="Calibri"/>
        <family val="2"/>
        <scheme val="minor"/>
      </rPr>
      <t>(TDS)</t>
    </r>
  </si>
  <si>
    <r>
      <t xml:space="preserve">अन्य मद में जमा करायी गयी राशि यदि कोई हो तो </t>
    </r>
    <r>
      <rPr>
        <sz val="10"/>
        <rFont val="Calibri"/>
        <family val="2"/>
        <scheme val="minor"/>
      </rPr>
      <t>(</t>
    </r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80C</t>
    </r>
    <r>
      <rPr>
        <sz val="13"/>
        <rFont val="DevLys 010"/>
      </rPr>
      <t xml:space="preserve"> के अन्तर्गत</t>
    </r>
    <r>
      <rPr>
        <sz val="10"/>
        <rFont val="Calibri"/>
        <family val="2"/>
        <scheme val="minor"/>
      </rPr>
      <t xml:space="preserve">) </t>
    </r>
  </si>
  <si>
    <r>
      <rPr>
        <b/>
        <sz val="13"/>
        <rFont val="DevLys 010"/>
      </rPr>
      <t>धारा 80</t>
    </r>
    <r>
      <rPr>
        <b/>
        <sz val="10"/>
        <rFont val="Calibri"/>
        <family val="2"/>
        <scheme val="minor"/>
      </rPr>
      <t>CCC</t>
    </r>
    <r>
      <rPr>
        <sz val="13"/>
        <rFont val="DevLys 010"/>
      </rPr>
      <t xml:space="preserve"> पेंशन प्लान हेतु अंशदान </t>
    </r>
    <r>
      <rPr>
        <sz val="10"/>
        <rFont val="Calibri"/>
        <family val="2"/>
        <scheme val="minor"/>
      </rPr>
      <t xml:space="preserve">(NPS </t>
    </r>
    <r>
      <rPr>
        <sz val="13"/>
        <rFont val="DevLys 010"/>
      </rPr>
      <t>के अलावा</t>
    </r>
    <r>
      <rPr>
        <sz val="10"/>
        <rFont val="Calibri"/>
        <family val="2"/>
        <scheme val="minor"/>
      </rPr>
      <t>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</si>
  <si>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80CCD(1B)</t>
    </r>
    <r>
      <rPr>
        <sz val="10"/>
        <rFont val="Calibri"/>
        <family val="2"/>
        <scheme val="minor"/>
      </rPr>
      <t xml:space="preserve"> </t>
    </r>
    <r>
      <rPr>
        <sz val="13"/>
        <rFont val="DevLys 010"/>
      </rPr>
      <t xml:space="preserve">नवीन पेंशन योजना में अतिरिक्त अंशदान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>अधिकतम रू</t>
    </r>
    <r>
      <rPr>
        <sz val="10"/>
        <rFont val="Calibri"/>
        <family val="2"/>
        <scheme val="minor"/>
      </rPr>
      <t>. 50,000)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</si>
  <si>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80CCD(1</t>
    </r>
    <r>
      <rPr>
        <sz val="10"/>
        <rFont val="Calibri"/>
        <family val="2"/>
        <scheme val="minor"/>
      </rPr>
      <t>)</t>
    </r>
    <r>
      <rPr>
        <sz val="13"/>
        <rFont val="DevLys 010"/>
      </rPr>
      <t xml:space="preserve"> सरकारी पेंशन योजना में कर्मचारी का अंशदान अधिकतम वेतन का </t>
    </r>
    <r>
      <rPr>
        <sz val="10"/>
        <rFont val="Calibri"/>
        <family val="2"/>
        <scheme val="minor"/>
      </rPr>
      <t>10%</t>
    </r>
    <r>
      <rPr>
        <sz val="13"/>
        <rFont val="DevLys 010"/>
      </rPr>
      <t/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</si>
  <si>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</t>
    </r>
    <r>
      <rPr>
        <sz val="10"/>
        <rFont val="Calibri"/>
        <family val="2"/>
        <scheme val="minor"/>
      </rPr>
      <t xml:space="preserve"> -</t>
    </r>
    <r>
      <rPr>
        <sz val="13"/>
        <rFont val="DevLys 010"/>
      </rPr>
      <t xml:space="preserve">चिकित्सा बीमा प्रीमियम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>सामान्य 25000</t>
    </r>
    <r>
      <rPr>
        <sz val="10"/>
        <rFont val="Calibri"/>
        <family val="2"/>
        <scheme val="minor"/>
      </rPr>
      <t>,</t>
    </r>
    <r>
      <rPr>
        <sz val="13"/>
        <rFont val="DevLys 010"/>
      </rPr>
      <t xml:space="preserve"> वरिष्ठ नागरिक </t>
    </r>
    <r>
      <rPr>
        <sz val="10"/>
        <rFont val="Calibri"/>
        <family val="2"/>
        <scheme val="minor"/>
      </rPr>
      <t>50000)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</si>
  <si>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80DDB-</t>
    </r>
    <r>
      <rPr>
        <sz val="13"/>
        <rFont val="DevLys 010"/>
      </rPr>
      <t xml:space="preserve"> विशिष्ट रोगों के उपचार हेतु कटौती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सामान्य </t>
    </r>
    <r>
      <rPr>
        <sz val="10"/>
        <rFont val="Calibri"/>
        <family val="2"/>
        <scheme val="minor"/>
      </rPr>
      <t>40000,</t>
    </r>
    <r>
      <rPr>
        <sz val="13"/>
        <rFont val="DevLys 010"/>
      </rPr>
      <t xml:space="preserve"> वरिष्ठ नागरिक </t>
    </r>
    <r>
      <rPr>
        <sz val="10"/>
        <rFont val="Calibri"/>
        <family val="2"/>
        <scheme val="minor"/>
      </rPr>
      <t xml:space="preserve">1 </t>
    </r>
    <r>
      <rPr>
        <sz val="13"/>
        <rFont val="DevLys 010"/>
      </rPr>
      <t>लाख</t>
    </r>
    <r>
      <rPr>
        <sz val="10"/>
        <rFont val="Calibri"/>
        <family val="2"/>
        <scheme val="minor"/>
      </rPr>
      <t>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</si>
  <si>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80G-</t>
    </r>
    <r>
      <rPr>
        <sz val="13"/>
        <rFont val="DevLys 010"/>
      </rPr>
      <t>धर्मार्थ संस्थाओं आदि को दिये दान</t>
    </r>
    <r>
      <rPr>
        <sz val="10"/>
        <rFont val="Calibri"/>
        <family val="2"/>
        <scheme val="minor"/>
      </rPr>
      <t xml:space="preserve"> (</t>
    </r>
    <r>
      <rPr>
        <sz val="13"/>
        <rFont val="DevLys 010"/>
      </rPr>
      <t xml:space="preserve">क श्रेणी </t>
    </r>
    <r>
      <rPr>
        <sz val="10"/>
        <rFont val="Calibri"/>
        <family val="2"/>
        <scheme val="minor"/>
      </rPr>
      <t>100%,</t>
    </r>
    <r>
      <rPr>
        <sz val="13"/>
        <rFont val="DevLys 010"/>
      </rPr>
      <t xml:space="preserve"> एवं ख श्रेणी </t>
    </r>
    <r>
      <rPr>
        <sz val="10"/>
        <rFont val="Calibri"/>
        <family val="2"/>
        <scheme val="minor"/>
      </rPr>
      <t>50%)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</si>
  <si>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80GGA-</t>
    </r>
    <r>
      <rPr>
        <sz val="13"/>
        <rFont val="DevLys 010"/>
      </rPr>
      <t xml:space="preserve"> अनुमोदित वैज्ञानिक,सामाजिक,ग्रामीण विकास हेतु दिया गया दान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</si>
  <si>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80E-</t>
    </r>
    <r>
      <rPr>
        <sz val="13"/>
        <rFont val="DevLys 010"/>
      </rPr>
      <t xml:space="preserve"> उच्च शिक्षा हेतु लिए ऋण का ब्याज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</si>
  <si>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80DD-</t>
    </r>
    <r>
      <rPr>
        <sz val="13"/>
        <rFont val="DevLys 010"/>
      </rPr>
      <t xml:space="preserve">विकलांग आश्रितों के चिकित्सा उपचार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विकलांगता </t>
    </r>
    <r>
      <rPr>
        <sz val="10"/>
        <rFont val="Calibri"/>
        <family val="2"/>
        <scheme val="minor"/>
      </rPr>
      <t>40%-75000, 80%-125000)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</si>
  <si>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80U-</t>
    </r>
    <r>
      <rPr>
        <sz val="13"/>
        <rFont val="DevLys 010"/>
      </rPr>
      <t xml:space="preserve"> स्थाई शारीरिक विकलांगता </t>
    </r>
    <r>
      <rPr>
        <sz val="10"/>
        <rFont val="Calibri"/>
        <family val="2"/>
        <scheme val="minor"/>
      </rPr>
      <t>(</t>
    </r>
    <r>
      <rPr>
        <sz val="13"/>
        <rFont val="DevLys 010"/>
      </rPr>
      <t xml:space="preserve">अधिकतम </t>
    </r>
    <r>
      <rPr>
        <sz val="10"/>
        <rFont val="Calibri"/>
        <family val="2"/>
        <scheme val="minor"/>
      </rPr>
      <t>75000, 80%</t>
    </r>
    <r>
      <rPr>
        <sz val="13"/>
        <rFont val="DevLys 010"/>
      </rPr>
      <t xml:space="preserve"> विकलांगता </t>
    </r>
    <r>
      <rPr>
        <sz val="10"/>
        <rFont val="Calibri"/>
        <family val="2"/>
        <scheme val="minor"/>
      </rPr>
      <t>125000)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</si>
  <si>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89</t>
    </r>
    <r>
      <rPr>
        <sz val="13"/>
        <rFont val="DevLys 010"/>
      </rPr>
      <t xml:space="preserve"> के अन्तर्गत राहत</t>
    </r>
  </si>
  <si>
    <r>
      <rPr>
        <b/>
        <sz val="13"/>
        <rFont val="DevLys 010"/>
      </rPr>
      <t xml:space="preserve">धारा </t>
    </r>
    <r>
      <rPr>
        <b/>
        <sz val="10"/>
        <rFont val="Calibri"/>
        <family val="2"/>
        <scheme val="minor"/>
      </rPr>
      <t>10(14)</t>
    </r>
    <r>
      <rPr>
        <sz val="13"/>
        <rFont val="DevLys 010"/>
      </rPr>
      <t xml:space="preserve"> के अन्तर्गत भत्ते जो कर मुक्त है</t>
    </r>
  </si>
  <si>
    <r>
      <t xml:space="preserve">आयकर गणना प्रपत्र वर्ष </t>
    </r>
    <r>
      <rPr>
        <b/>
        <sz val="16"/>
        <color rgb="FFC00000"/>
        <rFont val="Calibri"/>
        <family val="2"/>
        <scheme val="minor"/>
      </rPr>
      <t>2021-22</t>
    </r>
    <r>
      <rPr>
        <b/>
        <sz val="20"/>
        <color rgb="FFC00000"/>
        <rFont val="Calibri"/>
        <family val="2"/>
        <scheme val="minor"/>
      </rPr>
      <t xml:space="preserve"> (</t>
    </r>
    <r>
      <rPr>
        <b/>
        <sz val="20"/>
        <color rgb="FFC00000"/>
        <rFont val="DevLys 010"/>
      </rPr>
      <t xml:space="preserve">कर निर्धारण वर्ष </t>
    </r>
    <r>
      <rPr>
        <b/>
        <sz val="16"/>
        <color rgb="FFC00000"/>
        <rFont val="Calibri"/>
        <family val="2"/>
        <scheme val="minor"/>
      </rPr>
      <t>2022-23</t>
    </r>
    <r>
      <rPr>
        <b/>
        <sz val="20"/>
        <color rgb="FFC00000"/>
        <rFont val="Calibri"/>
        <family val="2"/>
        <scheme val="minor"/>
      </rPr>
      <t>)</t>
    </r>
  </si>
  <si>
    <r>
      <t xml:space="preserve">नाम कर्मचारी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</si>
  <si>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 पदनाम</t>
    </r>
    <r>
      <rPr>
        <b/>
        <sz val="14"/>
        <color rgb="FF002060"/>
        <rFont val="Calibri"/>
        <family val="2"/>
        <scheme val="minor"/>
      </rPr>
      <t xml:space="preserve"> :</t>
    </r>
  </si>
  <si>
    <r>
      <t>गृह किराया</t>
    </r>
    <r>
      <rPr>
        <sz val="12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 xml:space="preserve">10 (13A) </t>
    </r>
    <r>
      <rPr>
        <sz val="12"/>
        <color rgb="FF002060"/>
        <rFont val="DevLys 010"/>
      </rPr>
      <t xml:space="preserve">के अन्तगर्त एवं धारा </t>
    </r>
    <r>
      <rPr>
        <sz val="10"/>
        <color rgb="FF002060"/>
        <rFont val="Calibri"/>
        <family val="2"/>
        <scheme val="minor"/>
      </rPr>
      <t>10 (14)</t>
    </r>
    <r>
      <rPr>
        <sz val="12"/>
        <color rgb="FF002060"/>
        <rFont val="DevLys 010"/>
      </rPr>
      <t xml:space="preserve"> के अन्तगर्त अन्य भते जो कर मुक्त्त है ।</t>
    </r>
  </si>
  <si>
    <r>
      <t xml:space="preserve">                                                              </t>
    </r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</si>
  <si>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आय </t>
    </r>
    <r>
      <rPr>
        <sz val="12"/>
        <color rgb="FF002060"/>
        <rFont val="Calibri"/>
        <family val="2"/>
        <scheme val="minor"/>
      </rPr>
      <t xml:space="preserve">: </t>
    </r>
    <r>
      <rPr>
        <sz val="12"/>
        <color rgb="FF002060"/>
        <rFont val="DevLys 010"/>
      </rPr>
      <t xml:space="preserve"> वित्तिय वर्ष </t>
    </r>
    <r>
      <rPr>
        <sz val="10"/>
        <color rgb="FF002060"/>
        <rFont val="Calibri"/>
        <family val="2"/>
        <scheme val="minor"/>
      </rPr>
      <t>2021-22</t>
    </r>
    <r>
      <rPr>
        <sz val="12"/>
        <color rgb="FF002060"/>
        <rFont val="DevLys 010"/>
      </rPr>
      <t xml:space="preserve"> में प्राप्त कुल वेतन</t>
    </r>
    <r>
      <rPr>
        <sz val="12"/>
        <color rgb="FF002060"/>
        <rFont val="Calibri"/>
        <family val="2"/>
        <scheme val="minor"/>
      </rPr>
      <t xml:space="preserve"> (</t>
    </r>
    <r>
      <rPr>
        <sz val="12"/>
        <color rgb="FF002060"/>
        <rFont val="DevLys 010"/>
      </rPr>
      <t xml:space="preserve"> कर योग्य सुविधाओं के मुल्य सहित</t>
    </r>
    <r>
      <rPr>
        <sz val="12"/>
        <color rgb="FF002060"/>
        <rFont val="Calibri"/>
        <family val="2"/>
        <scheme val="minor"/>
      </rPr>
      <t xml:space="preserve"> )</t>
    </r>
  </si>
  <si>
    <r>
      <rPr>
        <sz val="10"/>
        <color rgb="FF002060"/>
        <rFont val="Calibri"/>
        <family val="2"/>
        <scheme val="minor"/>
      </rPr>
      <t>(i)</t>
    </r>
    <r>
      <rPr>
        <sz val="12"/>
        <color rgb="FF002060"/>
        <rFont val="DevLys 010"/>
      </rPr>
      <t xml:space="preserve"> स्टेण्डर्ड डिडेक्शन </t>
    </r>
    <r>
      <rPr>
        <sz val="10"/>
        <color rgb="FF002060"/>
        <rFont val="Calibri"/>
        <family val="2"/>
        <scheme val="minor"/>
      </rPr>
      <t>(Standerd Deduction) Rs.50,000 (</t>
    </r>
    <r>
      <rPr>
        <sz val="12"/>
        <color rgb="FF002060"/>
        <rFont val="DevLys 010"/>
      </rPr>
      <t>अधिकतम</t>
    </r>
    <r>
      <rPr>
        <sz val="10"/>
        <color rgb="FF002060"/>
        <rFont val="Calibri"/>
        <family val="2"/>
        <scheme val="minor"/>
      </rPr>
      <t xml:space="preserve">) 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>16(ia)</t>
    </r>
  </si>
  <si>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(4-5)</t>
    </r>
  </si>
  <si>
    <r>
      <rPr>
        <b/>
        <sz val="14"/>
        <color rgb="FF0066CC"/>
        <rFont val="DevLys 010"/>
      </rPr>
      <t xml:space="preserve">योग </t>
    </r>
    <r>
      <rPr>
        <b/>
        <sz val="10"/>
        <color rgb="FF0066CC"/>
        <rFont val="Calibri"/>
        <family val="2"/>
        <scheme val="minor"/>
      </rPr>
      <t>(5)</t>
    </r>
  </si>
  <si>
    <r>
      <rPr>
        <b/>
        <sz val="10"/>
        <color rgb="FF002060"/>
        <rFont val="Calibri"/>
        <family val="2"/>
        <scheme val="minor"/>
      </rPr>
      <t>(</t>
    </r>
    <r>
      <rPr>
        <b/>
        <sz val="12"/>
        <color rgb="FF002060"/>
        <rFont val="DevLys 010"/>
      </rPr>
      <t>अ</t>
    </r>
    <r>
      <rPr>
        <b/>
        <sz val="10"/>
        <color rgb="FF002060"/>
        <rFont val="Calibri"/>
        <family val="2"/>
        <scheme val="minor"/>
      </rPr>
      <t>)</t>
    </r>
    <r>
      <rPr>
        <b/>
        <sz val="12"/>
        <color rgb="FF002060"/>
        <rFont val="DevLys 010"/>
      </rPr>
      <t xml:space="preserve"> गृह सम्पति से आयः </t>
    </r>
    <r>
      <rPr>
        <b/>
        <sz val="10"/>
        <color rgb="FF002060"/>
        <rFont val="Calibri"/>
        <family val="2"/>
        <scheme val="minor"/>
      </rPr>
      <t>(1)</t>
    </r>
    <r>
      <rPr>
        <b/>
        <sz val="12"/>
        <color rgb="FF002060"/>
        <rFont val="DevLys 010"/>
      </rPr>
      <t xml:space="preserve"> स्वंय के उपयोग में </t>
    </r>
    <r>
      <rPr>
        <b/>
        <sz val="12"/>
        <color rgb="FF002060"/>
        <rFont val="Calibri"/>
        <family val="2"/>
        <scheme val="minor"/>
      </rPr>
      <t xml:space="preserve">- </t>
    </r>
    <r>
      <rPr>
        <b/>
        <sz val="12"/>
        <color rgb="FF002060"/>
        <rFont val="DevLys 010"/>
      </rPr>
      <t>शून्य</t>
    </r>
  </si>
  <si>
    <r>
      <t xml:space="preserve"> किराये का </t>
    </r>
    <r>
      <rPr>
        <sz val="10"/>
        <color rgb="FF002060"/>
        <rFont val="Calibri"/>
        <family val="2"/>
        <scheme val="minor"/>
      </rPr>
      <t>30%</t>
    </r>
  </si>
  <si>
    <t xml:space="preserve"> गृह ऋण पर ब्याज </t>
  </si>
  <si>
    <t xml:space="preserve"> गृहकर  </t>
  </si>
  <si>
    <r>
      <t xml:space="preserve">  योग </t>
    </r>
    <r>
      <rPr>
        <sz val="10"/>
        <color rgb="FF002060"/>
        <rFont val="Calibri"/>
        <family val="2"/>
        <scheme val="minor"/>
      </rPr>
      <t>7</t>
    </r>
    <r>
      <rPr>
        <sz val="12"/>
        <color rgb="FF002060"/>
        <rFont val="Calibri"/>
        <family val="2"/>
        <scheme val="minor"/>
      </rPr>
      <t xml:space="preserve"> (</t>
    </r>
    <r>
      <rPr>
        <sz val="12"/>
        <color rgb="FF002060"/>
        <rFont val="DevLys 010"/>
      </rPr>
      <t>ब</t>
    </r>
    <r>
      <rPr>
        <sz val="12"/>
        <color rgb="FF002060"/>
        <rFont val="Calibri"/>
        <family val="2"/>
        <scheme val="minor"/>
      </rPr>
      <t>)</t>
    </r>
  </si>
  <si>
    <r>
      <rPr>
        <b/>
        <sz val="10"/>
        <color rgb="FF002060"/>
        <rFont val="Calibri"/>
        <family val="2"/>
        <scheme val="minor"/>
      </rPr>
      <t>(</t>
    </r>
    <r>
      <rPr>
        <b/>
        <sz val="12"/>
        <color rgb="FF002060"/>
        <rFont val="DevLys 010"/>
      </rPr>
      <t>ब</t>
    </r>
    <r>
      <rPr>
        <b/>
        <sz val="10"/>
        <color rgb="FF002060"/>
        <rFont val="Calibri"/>
        <family val="2"/>
        <scheme val="minor"/>
      </rPr>
      <t>)</t>
    </r>
    <r>
      <rPr>
        <b/>
        <sz val="12"/>
        <color rgb="FF002060"/>
        <rFont val="DevLys 010"/>
      </rPr>
      <t xml:space="preserve"> घटायें </t>
    </r>
  </si>
  <si>
    <t xml:space="preserve">अन्य आय </t>
  </si>
  <si>
    <r>
      <rPr>
        <b/>
        <sz val="14"/>
        <color rgb="FF0066CC"/>
        <rFont val="DevLys 010"/>
      </rPr>
      <t>घटाइये कटौतियाँ</t>
    </r>
    <r>
      <rPr>
        <b/>
        <sz val="14"/>
        <color rgb="FF0066CC"/>
        <rFont val="Calibri"/>
        <family val="2"/>
        <scheme val="minor"/>
      </rPr>
      <t>:-</t>
    </r>
    <r>
      <rPr>
        <b/>
        <sz val="14"/>
        <color rgb="FF0066CC"/>
        <rFont val="DevLys 010"/>
      </rPr>
      <t xml:space="preserve"> धारा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</si>
  <si>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अधिकतम सीमा </t>
    </r>
    <r>
      <rPr>
        <sz val="10"/>
        <color rgb="FF002060"/>
        <rFont val="Calibri"/>
        <family val="2"/>
        <scheme val="minor"/>
      </rPr>
      <t>1,50,000 /-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)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¼धारा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के अलावा</t>
    </r>
  </si>
  <si>
    <r>
      <t xml:space="preserve">यू एल आई पी </t>
    </r>
    <r>
      <rPr>
        <sz val="10"/>
        <color rgb="FF002060"/>
        <rFont val="Calibri"/>
        <family val="2"/>
        <scheme val="minor"/>
      </rPr>
      <t xml:space="preserve">/ </t>
    </r>
    <r>
      <rPr>
        <sz val="12"/>
        <color rgb="FF002060"/>
        <rFont val="DevLys 010"/>
      </rPr>
      <t>वार्षिक प्लान</t>
    </r>
  </si>
  <si>
    <t>सुकन्या समृद्धि योजना में जमा राशि</t>
  </si>
  <si>
    <r>
      <t xml:space="preserve">सरकारी पेंशन योजना में अंशदान </t>
    </r>
    <r>
      <rPr>
        <sz val="10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अधिकतम वेतन का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धारा </t>
    </r>
    <r>
      <rPr>
        <sz val="11"/>
        <color rgb="FF002060"/>
        <rFont val="Calibri"/>
        <family val="2"/>
        <scheme val="minor"/>
      </rPr>
      <t>80CCD(1)</t>
    </r>
  </si>
  <si>
    <r>
      <t xml:space="preserve">पेंशन प्लान हेतु अंशदान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>80CCC)</t>
    </r>
  </si>
  <si>
    <t>राष्ट्रीय बचत पत्र पर अदत ब्याज</t>
  </si>
  <si>
    <t xml:space="preserve">टयूशन फीस  </t>
  </si>
  <si>
    <t>इक्विटी लिंक सेविंग स्कीम</t>
  </si>
  <si>
    <r>
      <t xml:space="preserve">स्थगित वार्षिकी  </t>
    </r>
    <r>
      <rPr>
        <sz val="10"/>
        <color rgb="FF002060"/>
        <rFont val="Calibri"/>
        <family val="2"/>
        <scheme val="minor"/>
      </rPr>
      <t>(Defferred Annuty)</t>
    </r>
  </si>
  <si>
    <r>
      <t xml:space="preserve">अन्य जमा राशि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धारा 80 सी के अन्तर्गत</t>
    </r>
    <r>
      <rPr>
        <sz val="10"/>
        <color rgb="FF002060"/>
        <rFont val="Calibri"/>
        <family val="2"/>
        <scheme val="minor"/>
      </rPr>
      <t>)</t>
    </r>
  </si>
  <si>
    <r>
      <rPr>
        <b/>
        <sz val="13"/>
        <color rgb="FF002060"/>
        <rFont val="DevLys 010"/>
      </rPr>
      <t xml:space="preserve">योग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से</t>
    </r>
    <r>
      <rPr>
        <b/>
        <sz val="12"/>
        <color rgb="FF002060"/>
        <rFont val="Times New Roman"/>
        <family val="1"/>
      </rPr>
      <t xml:space="preserve"> xviii )</t>
    </r>
  </si>
  <si>
    <r>
      <rPr>
        <b/>
        <sz val="13"/>
        <color rgb="FF0066CC"/>
        <rFont val="DevLys 010"/>
      </rPr>
      <t>योग</t>
    </r>
    <r>
      <rPr>
        <b/>
        <sz val="12"/>
        <color rgb="FF0066CC"/>
        <rFont val="DevLys 010"/>
      </rPr>
      <t xml:space="preserve"> 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</si>
  <si>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घटाइये </t>
    </r>
    <r>
      <rPr>
        <sz val="12"/>
        <color rgb="FF002060"/>
        <rFont val="Calibri"/>
        <family val="2"/>
        <scheme val="minor"/>
      </rPr>
      <t>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नियोक्ता द्वारा पेंशन अंशदान की राशि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वेतन का </t>
    </r>
    <r>
      <rPr>
        <sz val="10"/>
        <color rgb="FF002060"/>
        <rFont val="Calibri"/>
        <family val="2"/>
        <scheme val="minor"/>
      </rPr>
      <t>10%)</t>
    </r>
    <r>
      <rPr>
        <sz val="12"/>
        <color rgb="FF002060"/>
        <rFont val="DevLys 010"/>
      </rPr>
      <t xml:space="preserve"> पृथक से छूट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</si>
  <si>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घटाइये </t>
    </r>
    <r>
      <rPr>
        <sz val="12"/>
        <color rgb="FF002060"/>
        <rFont val="Calibri"/>
        <family val="2"/>
        <scheme val="minor"/>
      </rPr>
      <t>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80CCD(1B)</t>
    </r>
    <r>
      <rPr>
        <sz val="12"/>
        <color rgb="FF002060"/>
        <rFont val="DevLys 010"/>
      </rPr>
      <t xml:space="preserve"> नवीन पेंशन योजना में अतिरिक्त अंशदान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अधिकतम रू</t>
    </r>
    <r>
      <rPr>
        <sz val="10"/>
        <color rgb="FF002060"/>
        <rFont val="Calibri"/>
        <family val="2"/>
        <scheme val="minor"/>
      </rPr>
      <t>. 50,000)</t>
    </r>
  </si>
  <si>
    <r>
      <t xml:space="preserve"> </t>
    </r>
    <r>
      <rPr>
        <b/>
        <sz val="14"/>
        <color rgb="FF0066CC"/>
        <rFont val="DevLys 010"/>
      </rPr>
      <t>अन्य कटौतियाँ</t>
    </r>
  </si>
  <si>
    <r>
      <rPr>
        <sz val="10"/>
        <color rgb="FF002060"/>
        <rFont val="Calibri"/>
        <family val="2"/>
        <scheme val="minor"/>
      </rPr>
      <t>1-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</t>
    </r>
    <r>
      <rPr>
        <sz val="10"/>
        <color rgb="FF002060"/>
        <rFont val="Calibri"/>
        <family val="2"/>
        <scheme val="minor"/>
      </rPr>
      <t>D</t>
    </r>
    <r>
      <rPr>
        <sz val="12"/>
        <color rgb="FF002060"/>
        <rFont val="DevLys 010"/>
      </rPr>
      <t xml:space="preserve"> चिकित्सा बीमा प्रीमियम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स्वयं</t>
    </r>
    <r>
      <rPr>
        <sz val="12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पति </t>
    </r>
    <r>
      <rPr>
        <sz val="9"/>
        <color rgb="FF002060"/>
        <rFont val="Calibri"/>
        <family val="2"/>
        <scheme val="minor"/>
      </rPr>
      <t xml:space="preserve">/ </t>
    </r>
    <r>
      <rPr>
        <sz val="12"/>
        <color rgb="FF002060"/>
        <rFont val="DevLys 010"/>
      </rPr>
      <t xml:space="preserve">पत्नी व बच्चों के लिए रू </t>
    </r>
    <r>
      <rPr>
        <sz val="10"/>
        <color rgb="FF002060"/>
        <rFont val="Calibri"/>
        <family val="2"/>
        <scheme val="minor"/>
      </rPr>
      <t>25000,</t>
    </r>
    <r>
      <rPr>
        <sz val="12"/>
        <color rgb="FF002060"/>
        <rFont val="DevLys 010"/>
      </rPr>
      <t xml:space="preserve"> माता-पिता के लिए रू </t>
    </r>
    <r>
      <rPr>
        <sz val="10"/>
        <color rgb="FF002060"/>
        <rFont val="Calibri"/>
        <family val="2"/>
        <scheme val="minor"/>
      </rPr>
      <t>25000,</t>
    </r>
    <r>
      <rPr>
        <sz val="12"/>
        <color rgb="FF002060"/>
        <rFont val="DevLys 010"/>
      </rPr>
      <t xml:space="preserve"> सीनियर सिटीजन रू </t>
    </r>
    <r>
      <rPr>
        <sz val="10"/>
        <color rgb="FF002060"/>
        <rFont val="Calibri"/>
        <family val="2"/>
        <scheme val="minor"/>
      </rPr>
      <t>50,000)</t>
    </r>
  </si>
  <si>
    <r>
      <rPr>
        <sz val="10"/>
        <color rgb="FF002060"/>
        <rFont val="Calibri"/>
        <family val="2"/>
        <scheme val="minor"/>
      </rPr>
      <t>3-</t>
    </r>
    <r>
      <rPr>
        <sz val="12"/>
        <color rgb="FF002060"/>
        <rFont val="Kruti Dev 010"/>
      </rPr>
      <t xml:space="preserve"> धारा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Kruti Dev 010"/>
      </rPr>
      <t xml:space="preserve"> विशिष्ट रोंगों के उपचार हेतु कटौती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Kruti Dev 010"/>
      </rPr>
      <t xml:space="preserve">अधिकतम रू </t>
    </r>
    <r>
      <rPr>
        <sz val="10"/>
        <color rgb="FF002060"/>
        <rFont val="Calibri"/>
        <family val="2"/>
        <scheme val="minor"/>
      </rPr>
      <t>40000,</t>
    </r>
    <r>
      <rPr>
        <sz val="12"/>
        <color rgb="FF002060"/>
        <rFont val="Kruti Dev 010"/>
      </rPr>
      <t xml:space="preserve"> सीनियर सिटीजन हेतु रू </t>
    </r>
    <r>
      <rPr>
        <sz val="10"/>
        <color rgb="FF002060"/>
        <rFont val="Calibri"/>
        <family val="2"/>
        <scheme val="minor"/>
      </rPr>
      <t>100,000)</t>
    </r>
  </si>
  <si>
    <r>
      <rPr>
        <sz val="10"/>
        <color rgb="FF002060"/>
        <rFont val="Calibri"/>
        <family val="2"/>
        <scheme val="minor"/>
      </rPr>
      <t>4-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उच्च शिक्षा हेतु लिए ऋण का ब्याज</t>
    </r>
  </si>
  <si>
    <r>
      <rPr>
        <sz val="10"/>
        <color rgb="FF002060"/>
        <rFont val="Calibri"/>
        <family val="2"/>
        <scheme val="minor"/>
      </rPr>
      <t>2-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विकलांग आश्रितों के चिकित्सा उपचार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तथा </t>
    </r>
    <r>
      <rPr>
        <sz val="10"/>
        <color rgb="FF002060"/>
        <rFont val="Calibri"/>
        <family val="2"/>
        <scheme val="minor"/>
      </rPr>
      <t>80%</t>
    </r>
    <r>
      <rPr>
        <sz val="12"/>
        <color rgb="FF002060"/>
        <rFont val="DevLys 010"/>
      </rPr>
      <t xml:space="preserve"> या अधिक विकलांगता </t>
    </r>
    <r>
      <rPr>
        <sz val="10"/>
        <color rgb="FF002060"/>
        <rFont val="Calibri"/>
        <family val="2"/>
        <scheme val="minor"/>
      </rPr>
      <t>125,000)</t>
    </r>
  </si>
  <si>
    <r>
      <rPr>
        <sz val="10"/>
        <color rgb="FF002060"/>
        <rFont val="Calibri"/>
        <family val="2"/>
        <scheme val="minor"/>
      </rPr>
      <t>6-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स्थाई रूप से शारीरिक असमर्थतता की दशा में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</t>
    </r>
    <r>
      <rPr>
        <sz val="10"/>
        <color rgb="FF002060"/>
        <rFont val="Calibri"/>
        <family val="2"/>
        <scheme val="minor"/>
      </rPr>
      <t>75,000</t>
    </r>
    <r>
      <rPr>
        <sz val="12"/>
        <color rgb="FF002060"/>
        <rFont val="DevLys 010"/>
      </rPr>
      <t xml:space="preserve"> तथा</t>
    </r>
    <r>
      <rPr>
        <sz val="10"/>
        <color rgb="FF002060"/>
        <rFont val="Calibri"/>
        <family val="2"/>
        <scheme val="minor"/>
      </rPr>
      <t xml:space="preserve"> 80%</t>
    </r>
    <r>
      <rPr>
        <sz val="12"/>
        <color rgb="FF002060"/>
        <rFont val="DevLys 010"/>
      </rPr>
      <t xml:space="preserve"> या अधिक विकलांगता </t>
    </r>
    <r>
      <rPr>
        <sz val="10"/>
        <color rgb="FF002060"/>
        <rFont val="Calibri"/>
        <family val="2"/>
        <scheme val="minor"/>
      </rPr>
      <t>125,000)</t>
    </r>
  </si>
  <si>
    <r>
      <rPr>
        <sz val="10"/>
        <color rgb="FF002060"/>
        <rFont val="Calibri"/>
        <family val="2"/>
        <scheme val="minor"/>
      </rPr>
      <t>7-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80TTA</t>
    </r>
    <r>
      <rPr>
        <sz val="12"/>
        <color rgb="FF002060"/>
        <rFont val="DevLys 010"/>
      </rPr>
      <t xml:space="preserve"> बचत खाते पर ब्याज की अधिकतम छूट रू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</t>
    </r>
    <r>
      <rPr>
        <sz val="9"/>
        <color rgb="FF002060"/>
        <rFont val="Calibri"/>
        <family val="2"/>
        <scheme val="minor"/>
      </rPr>
      <t>U/S 194(IA)</t>
    </r>
  </si>
  <si>
    <r>
      <rPr>
        <sz val="10"/>
        <color rgb="FF002060"/>
        <rFont val="Calibri"/>
        <family val="2"/>
        <scheme val="minor"/>
      </rPr>
      <t>8-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 xml:space="preserve">80TTB - </t>
    </r>
    <r>
      <rPr>
        <sz val="12"/>
        <color rgb="FF002060"/>
        <rFont val="DevLys 010"/>
      </rPr>
      <t xml:space="preserve">aवरिष्ठ नागरिकों को सभी प्रकार के ब्याज पर अधिकतम छूट-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रू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</si>
  <si>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rPr>
        <sz val="10"/>
        <color rgb="FF002060"/>
        <rFont val="Calibri"/>
        <family val="2"/>
        <scheme val="minor"/>
      </rPr>
      <t>9-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80GGA</t>
    </r>
    <r>
      <rPr>
        <sz val="12"/>
        <color rgb="FF002060"/>
        <rFont val="DevLys 010"/>
      </rPr>
      <t xml:space="preserve"> अनुमोदित वैज्ञानिक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सामाजिक</t>
    </r>
    <r>
      <rPr>
        <sz val="10"/>
        <color rgb="FF002060"/>
        <rFont val="Calibri"/>
        <family val="2"/>
        <scheme val="minor"/>
      </rPr>
      <t>,</t>
    </r>
    <r>
      <rPr>
        <sz val="12"/>
        <color rgb="FF002060"/>
        <rFont val="DevLys 010"/>
      </rPr>
      <t xml:space="preserve"> ग्रामीण विकास आदि हेतु दिया गया दान</t>
    </r>
  </si>
  <si>
    <r>
      <rPr>
        <b/>
        <sz val="13"/>
        <color rgb="FF002060"/>
        <rFont val="DevLys 010"/>
      </rPr>
      <t>कुल कटौती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( 11 + 12)</t>
    </r>
  </si>
  <si>
    <r>
      <rPr>
        <b/>
        <sz val="13"/>
        <color rgb="FF002060"/>
        <rFont val="DevLys 010"/>
      </rPr>
      <t>कर योग्य आय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( 10 - 13 )</t>
    </r>
  </si>
  <si>
    <r>
      <rPr>
        <sz val="10"/>
        <color rgb="FF002060"/>
        <rFont val="Calibri"/>
        <family val="2"/>
        <scheme val="minor"/>
      </rPr>
      <t>5-</t>
    </r>
    <r>
      <rPr>
        <sz val="12"/>
        <color rgb="FF002060"/>
        <rFont val="DevLys 010"/>
      </rPr>
      <t xml:space="preserve"> धारा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धर्मार्थ संस्थाओं आदि को दिये दान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>क श्रेणी में 100 प्रतिशत एवं ख श्रेणी में 50 प्रतिशत</t>
    </r>
    <r>
      <rPr>
        <sz val="10"/>
        <color rgb="FF002060"/>
        <rFont val="Calibri"/>
        <family val="2"/>
        <scheme val="minor"/>
      </rPr>
      <t>)</t>
    </r>
  </si>
  <si>
    <r>
      <rPr>
        <b/>
        <sz val="13"/>
        <color rgb="FF0066CC"/>
        <rFont val="DevLys 010"/>
      </rPr>
      <t>कुल आय की राशि को सम्पूर्ण करना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 xml:space="preserve">( </t>
    </r>
    <r>
      <rPr>
        <b/>
        <sz val="13"/>
        <color rgb="FF0066CC"/>
        <rFont val="DevLys 010"/>
      </rPr>
      <t>दस के गुणक में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)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>धारा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288 A</t>
    </r>
  </si>
  <si>
    <r>
      <t xml:space="preserve"> </t>
    </r>
    <r>
      <rPr>
        <b/>
        <sz val="13"/>
        <color rgb="FF002060"/>
        <rFont val="DevLys 010"/>
      </rPr>
      <t>आयकर की गणना उपरोक्त कालम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के आधार पर</t>
    </r>
  </si>
  <si>
    <t>एक व्यक्ति कर दाता</t>
  </si>
  <si>
    <r>
      <rPr>
        <b/>
        <sz val="13"/>
        <color rgb="FF002060"/>
        <rFont val="DevLys 010"/>
      </rPr>
      <t>वरिष्ठ नागरिक</t>
    </r>
    <r>
      <rPr>
        <b/>
        <sz val="11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(60</t>
    </r>
    <r>
      <rPr>
        <b/>
        <sz val="11"/>
        <color rgb="FF002060"/>
        <rFont val="DevLys 010"/>
      </rPr>
      <t xml:space="preserve"> </t>
    </r>
    <r>
      <rPr>
        <b/>
        <sz val="13"/>
        <color rgb="FF002060"/>
        <rFont val="DevLys 010"/>
      </rPr>
      <t>से</t>
    </r>
    <r>
      <rPr>
        <b/>
        <sz val="11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 xml:space="preserve">80 </t>
    </r>
    <r>
      <rPr>
        <b/>
        <sz val="13"/>
        <color rgb="FF002060"/>
        <rFont val="DevLys 010"/>
      </rPr>
      <t>वर्ष तक</t>
    </r>
    <r>
      <rPr>
        <b/>
        <sz val="10"/>
        <color rgb="FF002060"/>
        <rFont val="Calibri"/>
        <family val="2"/>
        <scheme val="minor"/>
      </rPr>
      <t>)</t>
    </r>
  </si>
  <si>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</t>
    </r>
    <r>
      <rPr>
        <b/>
        <sz val="13"/>
        <color rgb="FF002060"/>
        <rFont val="DevLys 010"/>
      </rPr>
      <t>वर्ष या अधिक आयु</t>
    </r>
  </si>
  <si>
    <r>
      <t>2,50,000</t>
    </r>
    <r>
      <rPr>
        <sz val="12"/>
        <color rgb="FF002060"/>
        <rFont val="Calibri"/>
        <family val="2"/>
        <scheme val="minor"/>
      </rPr>
      <t xml:space="preserve"> </t>
    </r>
    <r>
      <rPr>
        <sz val="13"/>
        <color rgb="FF002060"/>
        <rFont val="DevLys 010"/>
      </rPr>
      <t>तक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</si>
  <si>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3"/>
        <color rgb="FF002060"/>
        <rFont val="DevLys 010"/>
      </rPr>
      <t>से अधिक</t>
    </r>
  </si>
  <si>
    <r>
      <t xml:space="preserve">3,00,000 </t>
    </r>
    <r>
      <rPr>
        <sz val="13"/>
        <color rgb="FF002060"/>
        <rFont val="DevLys 010"/>
      </rPr>
      <t>तक</t>
    </r>
  </si>
  <si>
    <r>
      <t>10,00,000</t>
    </r>
    <r>
      <rPr>
        <sz val="12"/>
        <color rgb="FF002060"/>
        <rFont val="Calibri"/>
        <family val="2"/>
        <scheme val="minor"/>
      </rPr>
      <t xml:space="preserve"> </t>
    </r>
    <r>
      <rPr>
        <sz val="13"/>
        <color rgb="FF002060"/>
        <rFont val="DevLys 010"/>
      </rPr>
      <t>से अधिक</t>
    </r>
  </si>
  <si>
    <r>
      <t xml:space="preserve">5,00,000 </t>
    </r>
    <r>
      <rPr>
        <sz val="13"/>
        <color rgb="FF002060"/>
        <rFont val="DevLys 010"/>
      </rPr>
      <t>तक</t>
    </r>
  </si>
  <si>
    <r>
      <t xml:space="preserve">10,00,000 </t>
    </r>
    <r>
      <rPr>
        <sz val="13"/>
        <color rgb="FF002060"/>
        <rFont val="DevLys 010"/>
      </rPr>
      <t>से अधिक</t>
    </r>
  </si>
  <si>
    <r>
      <rPr>
        <b/>
        <sz val="10"/>
        <color rgb="FFC00000"/>
        <rFont val="Calibri"/>
        <family val="2"/>
        <scheme val="minor"/>
      </rPr>
      <t>(1)</t>
    </r>
    <r>
      <rPr>
        <b/>
        <sz val="12"/>
        <color rgb="FFC00000"/>
        <rFont val="DevLys 010"/>
      </rPr>
      <t xml:space="preserve"> </t>
    </r>
    <r>
      <rPr>
        <b/>
        <sz val="13"/>
        <color rgb="FFC00000"/>
        <rFont val="DevLys 010"/>
      </rPr>
      <t>योग आयकर</t>
    </r>
  </si>
  <si>
    <r>
      <rPr>
        <b/>
        <sz val="10"/>
        <color rgb="FF002060"/>
        <rFont val="Calibri"/>
        <family val="2"/>
        <scheme val="minor"/>
      </rPr>
      <t>(2)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 xml:space="preserve">छूट धारा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(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लाख से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लाख तक की कर योग्य आय पर आयकर की छूट अधिकतम रू</t>
    </r>
    <r>
      <rPr>
        <b/>
        <sz val="10"/>
        <color rgb="FF002060"/>
        <rFont val="Calibri"/>
        <family val="2"/>
        <scheme val="minor"/>
      </rPr>
      <t>. 12,500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तक</t>
    </r>
    <r>
      <rPr>
        <b/>
        <sz val="10"/>
        <color rgb="FF002060"/>
        <rFont val="Calibri"/>
        <family val="2"/>
        <scheme val="minor"/>
      </rPr>
      <t>)</t>
    </r>
  </si>
  <si>
    <r>
      <rPr>
        <b/>
        <sz val="10"/>
        <color rgb="FFC00000"/>
        <rFont val="Calibri"/>
        <family val="2"/>
        <scheme val="minor"/>
      </rPr>
      <t>(3)</t>
    </r>
    <r>
      <rPr>
        <b/>
        <sz val="12"/>
        <color rgb="FFC00000"/>
        <rFont val="DevLys 010"/>
      </rPr>
      <t xml:space="preserve"> </t>
    </r>
    <r>
      <rPr>
        <b/>
        <sz val="13"/>
        <color rgb="FFC00000"/>
        <rFont val="DevLys 010"/>
      </rPr>
      <t>शेष आयकर</t>
    </r>
    <r>
      <rPr>
        <b/>
        <sz val="12"/>
        <color rgb="FFC00000"/>
        <rFont val="DevLys 010"/>
      </rPr>
      <t xml:space="preserve"> </t>
    </r>
    <r>
      <rPr>
        <b/>
        <sz val="11"/>
        <color rgb="FFC00000"/>
        <rFont val="Calibri"/>
        <family val="2"/>
        <scheme val="minor"/>
      </rPr>
      <t>(1-2)</t>
    </r>
  </si>
  <si>
    <r>
      <rPr>
        <b/>
        <sz val="10"/>
        <color rgb="FF002060"/>
        <rFont val="Calibri"/>
        <family val="2"/>
        <scheme val="minor"/>
      </rPr>
      <t>(4)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शिक्षा उपकर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2%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एवं उच्च शिक्षा के लिए अधिभार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2%</t>
    </r>
    <r>
      <rPr>
        <b/>
        <sz val="10"/>
        <color rgb="FF002060"/>
        <rFont val="Arial"/>
        <family val="2"/>
      </rPr>
      <t xml:space="preserve"> </t>
    </r>
    <r>
      <rPr>
        <b/>
        <sz val="10"/>
        <color rgb="FF002060"/>
        <rFont val="Calibri"/>
        <family val="2"/>
        <scheme val="minor"/>
      </rPr>
      <t xml:space="preserve">  ( </t>
    </r>
    <r>
      <rPr>
        <b/>
        <sz val="13"/>
        <color rgb="FF002060"/>
        <rFont val="DevLys 010"/>
      </rPr>
      <t>योग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4% )</t>
    </r>
  </si>
  <si>
    <r>
      <rPr>
        <b/>
        <sz val="13"/>
        <color rgb="FF0066CC"/>
        <rFont val="DevLys 010"/>
      </rPr>
      <t>कुल आयकर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(3+4)</t>
    </r>
  </si>
  <si>
    <r>
      <rPr>
        <b/>
        <sz val="13"/>
        <color rgb="FF002060"/>
        <rFont val="DevLys 010"/>
      </rPr>
      <t>घटाइये :- राहत धारा</t>
    </r>
    <r>
      <rPr>
        <b/>
        <sz val="12"/>
        <color rgb="FF002060"/>
        <rFont val="DevLys 010"/>
      </rPr>
      <t xml:space="preserve">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 xml:space="preserve">के तहत </t>
    </r>
    <r>
      <rPr>
        <b/>
        <sz val="12"/>
        <color rgb="FF002060"/>
        <rFont val="DevLys 010"/>
      </rPr>
      <t xml:space="preserve"> </t>
    </r>
  </si>
  <si>
    <t>कुल शेष आयकर</t>
  </si>
  <si>
    <t>आयकर कटौती
 का विवरण</t>
  </si>
  <si>
    <r>
      <rPr>
        <b/>
        <sz val="13"/>
        <color rgb="FF002060"/>
        <rFont val="DevLys 010"/>
      </rPr>
      <t xml:space="preserve">सितम्बर </t>
    </r>
    <r>
      <rPr>
        <b/>
        <sz val="10"/>
        <color rgb="FF002060"/>
        <rFont val="Calibri"/>
        <family val="2"/>
        <scheme val="minor"/>
      </rPr>
      <t xml:space="preserve">2021 </t>
    </r>
    <r>
      <rPr>
        <b/>
        <sz val="13"/>
        <color rgb="FF002060"/>
        <rFont val="DevLys 010"/>
      </rPr>
      <t>तक  रूपये</t>
    </r>
  </si>
  <si>
    <r>
      <rPr>
        <b/>
        <sz val="13"/>
        <color rgb="FF002060"/>
        <rFont val="DevLys 010"/>
      </rPr>
      <t xml:space="preserve">अक्टूबर से दिसम्बर </t>
    </r>
    <r>
      <rPr>
        <b/>
        <sz val="10"/>
        <color rgb="FF002060"/>
        <rFont val="Calibri"/>
        <family val="2"/>
        <scheme val="minor"/>
      </rPr>
      <t>2021</t>
    </r>
    <r>
      <rPr>
        <b/>
        <sz val="12"/>
        <color rgb="FF002060"/>
        <rFont val="DevLys 010"/>
      </rPr>
      <t xml:space="preserve"> </t>
    </r>
    <r>
      <rPr>
        <b/>
        <sz val="13"/>
        <color rgb="FF002060"/>
        <rFont val="DevLys 010"/>
      </rPr>
      <t>रूपये</t>
    </r>
    <r>
      <rPr>
        <b/>
        <sz val="12"/>
        <color rgb="FF002060"/>
        <rFont val="DevLys 010"/>
      </rPr>
      <t xml:space="preserve">  </t>
    </r>
  </si>
  <si>
    <r>
      <rPr>
        <b/>
        <sz val="13"/>
        <color rgb="FF002060"/>
        <rFont val="DevLys 010"/>
      </rPr>
      <t xml:space="preserve">जनवरी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</t>
    </r>
    <r>
      <rPr>
        <b/>
        <sz val="13"/>
        <color rgb="FF002060"/>
        <rFont val="DevLys 010"/>
      </rPr>
      <t>रूपये</t>
    </r>
  </si>
  <si>
    <r>
      <rPr>
        <b/>
        <sz val="13"/>
        <color rgb="FF002060"/>
        <rFont val="DevLys 010"/>
      </rPr>
      <t xml:space="preserve">फरवरी </t>
    </r>
    <r>
      <rPr>
        <b/>
        <sz val="10"/>
        <color rgb="FF002060"/>
        <rFont val="Calibri"/>
        <family val="2"/>
        <scheme val="minor"/>
      </rPr>
      <t>2022</t>
    </r>
    <r>
      <rPr>
        <b/>
        <sz val="12"/>
        <color rgb="FF002060"/>
        <rFont val="DevLys 010"/>
      </rPr>
      <t xml:space="preserve">
</t>
    </r>
    <r>
      <rPr>
        <b/>
        <sz val="13"/>
        <color rgb="FF002060"/>
        <rFont val="DevLys 010"/>
      </rPr>
      <t>रूपये</t>
    </r>
  </si>
  <si>
    <t>टीडीएस
रूपये</t>
  </si>
  <si>
    <r>
      <t xml:space="preserve">कुल टैक्स कटौती
योग कॉलम </t>
    </r>
    <r>
      <rPr>
        <b/>
        <sz val="10"/>
        <rFont val="Calibri"/>
        <family val="2"/>
        <scheme val="minor"/>
      </rPr>
      <t>19</t>
    </r>
  </si>
  <si>
    <r>
      <t>यह वर्कबुक राजस्थान के शिक्षकों की उपयोगिता के लिए तैयार की गई है । संकलन एवं गणना में पूर्ण सावधानी रखी गई है । फिर भी त्रुटि</t>
    </r>
    <r>
      <rPr>
        <b/>
        <sz val="14"/>
        <color rgb="FF002060"/>
        <rFont val="Calibri"/>
        <family val="2"/>
        <scheme val="minor"/>
      </rPr>
      <t xml:space="preserve"> /</t>
    </r>
    <r>
      <rPr>
        <b/>
        <sz val="14"/>
        <color rgb="FF002060"/>
        <rFont val="DevLys 010"/>
      </rPr>
      <t xml:space="preserve"> किसी भी प्रकार की विभिन्नता की स्थिति में आयकर विभाग के नियम ही मान्य है। तैयारकर्ता का कोई उत्तरदायित्व नहीं होगा । त्रुटि </t>
    </r>
    <r>
      <rPr>
        <b/>
        <sz val="14"/>
        <color rgb="FF002060"/>
        <rFont val="Calibri"/>
        <family val="2"/>
        <scheme val="minor"/>
      </rPr>
      <t xml:space="preserve">/ </t>
    </r>
    <r>
      <rPr>
        <b/>
        <sz val="14"/>
        <color rgb="FF002060"/>
        <rFont val="DevLys 010"/>
      </rPr>
      <t xml:space="preserve">सुझाव के लिए </t>
    </r>
    <r>
      <rPr>
        <b/>
        <sz val="14"/>
        <color rgb="FF002060"/>
        <rFont val="Calibri"/>
        <family val="2"/>
        <scheme val="minor"/>
      </rPr>
      <t>cpkurmi@gmail.com</t>
    </r>
    <r>
      <rPr>
        <b/>
        <i/>
        <sz val="14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पर ईमेल करें ।</t>
    </r>
  </si>
  <si>
    <r>
      <rPr>
        <sz val="10"/>
        <color rgb="FF002060"/>
        <rFont val="Calibri"/>
        <family val="2"/>
        <scheme val="minor"/>
      </rPr>
      <t>(2)</t>
    </r>
    <r>
      <rPr>
        <sz val="12"/>
        <color rgb="FF002060"/>
        <rFont val="DevLys 010"/>
      </rPr>
      <t xml:space="preserve"> प्राप्त किराया रुपये </t>
    </r>
  </si>
  <si>
    <r>
      <rPr>
        <b/>
        <sz val="14"/>
        <color rgb="FF0066CC"/>
        <rFont val="DevLys 010"/>
      </rPr>
      <t>घटाइये कटौतियाँ</t>
    </r>
    <r>
      <rPr>
        <b/>
        <sz val="14"/>
        <color rgb="FF0066CC"/>
        <rFont val="Calibri"/>
        <family val="2"/>
        <scheme val="minor"/>
      </rPr>
      <t>:-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</si>
  <si>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धारा </t>
    </r>
    <r>
      <rPr>
        <sz val="10"/>
        <color rgb="FF002060"/>
        <rFont val="Calibri"/>
        <family val="2"/>
        <scheme val="minor"/>
      </rPr>
      <t xml:space="preserve"> US 80C, 80CCC,80CCD (1) </t>
    </r>
    <r>
      <rPr>
        <sz val="12"/>
        <color rgb="FF002060"/>
        <rFont val="DevLys 010"/>
      </rPr>
      <t xml:space="preserve">अधिकतम कटौती की राशि </t>
    </r>
  </si>
  <si>
    <r>
      <rPr>
        <b/>
        <sz val="13"/>
        <color rgb="FF0066CC"/>
        <rFont val="DevLys 010"/>
      </rPr>
      <t xml:space="preserve">एक व्यक्ति कर दाता </t>
    </r>
    <r>
      <rPr>
        <b/>
        <sz val="10"/>
        <color rgb="FF0066CC"/>
        <rFont val="Calibri"/>
        <family val="2"/>
        <scheme val="minor"/>
      </rPr>
      <t>(</t>
    </r>
    <r>
      <rPr>
        <b/>
        <sz val="13"/>
        <color rgb="FF0066CC"/>
        <rFont val="DevLys 010"/>
      </rPr>
      <t>आयु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वर्ष तक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</si>
  <si>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3"/>
        <color rgb="FF0066CC"/>
        <rFont val="DevLys 010"/>
      </rPr>
      <t>वरिष्ठ नागरिक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(60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से</t>
    </r>
    <r>
      <rPr>
        <b/>
        <sz val="11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 xml:space="preserve">80 </t>
    </r>
    <r>
      <rPr>
        <b/>
        <sz val="13"/>
        <color rgb="FF0066CC"/>
        <rFont val="DevLys 010"/>
      </rPr>
      <t>वर्ष तक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</si>
  <si>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वर्ष या अधिक आयु</t>
    </r>
  </si>
  <si>
    <r>
      <t xml:space="preserve">2,50,000  </t>
    </r>
    <r>
      <rPr>
        <sz val="13"/>
        <color rgb="FF002060"/>
        <rFont val="DevLys 010"/>
      </rPr>
      <t>तक</t>
    </r>
  </si>
  <si>
    <r>
      <t xml:space="preserve">15,00,000 </t>
    </r>
    <r>
      <rPr>
        <sz val="13"/>
        <color rgb="FF002060"/>
        <rFont val="DevLys 010"/>
      </rPr>
      <t>से अधिक</t>
    </r>
  </si>
  <si>
    <r>
      <t xml:space="preserve">कार्यालय का नाम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</si>
  <si>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कार्यालय का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</si>
  <si>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कार्मिक का नाम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</si>
  <si>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 पे लेवल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</si>
  <si>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कार्मिक का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</t>
    </r>
    <r>
      <rPr>
        <b/>
        <sz val="14"/>
        <color rgb="FF002060"/>
        <rFont val="Calibri"/>
        <family val="2"/>
        <scheme val="minor"/>
      </rPr>
      <t>:</t>
    </r>
  </si>
  <si>
    <r>
      <t>SI Number</t>
    </r>
    <r>
      <rPr>
        <b/>
        <sz val="14"/>
        <color rgb="FF002060"/>
        <rFont val="Calibri"/>
        <family val="2"/>
        <scheme val="minor"/>
      </rPr>
      <t xml:space="preserve"> :</t>
    </r>
  </si>
  <si>
    <r>
      <t xml:space="preserve">राज्य बीमा मासिक कटौती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</si>
  <si>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मार्च </t>
    </r>
    <r>
      <rPr>
        <b/>
        <sz val="12"/>
        <color rgb="FF002060"/>
        <rFont val="Calibri"/>
        <family val="2"/>
        <scheme val="minor"/>
      </rPr>
      <t>2021</t>
    </r>
    <r>
      <rPr>
        <b/>
        <sz val="14"/>
        <color rgb="FF002060"/>
        <rFont val="DevLys 010"/>
      </rPr>
      <t xml:space="preserve"> का मूल वेतन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</si>
  <si>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क्या आप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 xml:space="preserve">है  </t>
    </r>
    <r>
      <rPr>
        <b/>
        <sz val="14"/>
        <color rgb="FF0000FF"/>
        <rFont val="Calibri"/>
        <family val="2"/>
        <scheme val="minor"/>
      </rPr>
      <t>?</t>
    </r>
  </si>
  <si>
    <r>
      <t>क्या आपने वित्तिय वर्ष</t>
    </r>
    <r>
      <rPr>
        <b/>
        <sz val="12"/>
        <color rgb="FF002060"/>
        <rFont val="Calibri"/>
        <family val="2"/>
        <scheme val="minor"/>
      </rPr>
      <t xml:space="preserve"> 2021-22</t>
    </r>
    <r>
      <rPr>
        <b/>
        <sz val="14"/>
        <color rgb="FF002060"/>
        <rFont val="DevLys 010"/>
      </rPr>
      <t xml:space="preserve"> में सर्मिर्पत लिया है </t>
    </r>
    <r>
      <rPr>
        <b/>
        <sz val="14"/>
        <color rgb="FF002060"/>
        <rFont val="Calibri"/>
        <family val="2"/>
        <scheme val="minor"/>
      </rPr>
      <t>?</t>
    </r>
  </si>
  <si>
    <r>
      <t xml:space="preserve">क्या आपने </t>
    </r>
    <r>
      <rPr>
        <b/>
        <sz val="12"/>
        <color rgb="FF002060"/>
        <rFont val="Calibri"/>
        <family val="2"/>
        <scheme val="minor"/>
      </rPr>
      <t>RGHS</t>
    </r>
    <r>
      <rPr>
        <b/>
        <sz val="14"/>
        <color rgb="FF002060"/>
        <rFont val="Calibri"/>
        <family val="2"/>
        <scheme val="minor"/>
      </rPr>
      <t xml:space="preserve"> </t>
    </r>
    <r>
      <rPr>
        <b/>
        <sz val="14"/>
        <color rgb="FF002060"/>
        <rFont val="DevLys 010"/>
      </rPr>
      <t xml:space="preserve">कटौति का विकल्प लिया है </t>
    </r>
    <r>
      <rPr>
        <b/>
        <i/>
        <sz val="10"/>
        <color rgb="FF002060"/>
        <rFont val="Calibri"/>
        <family val="2"/>
        <scheme val="minor"/>
      </rPr>
      <t>(For NPS)</t>
    </r>
    <r>
      <rPr>
        <b/>
        <sz val="14"/>
        <color rgb="FF002060"/>
        <rFont val="Calibri"/>
        <family val="2"/>
        <scheme val="minor"/>
      </rPr>
      <t>?</t>
    </r>
  </si>
  <si>
    <r>
      <t xml:space="preserve">क्या आपको वेतन </t>
    </r>
    <r>
      <rPr>
        <b/>
        <sz val="12"/>
        <color rgb="FF0000FF"/>
        <rFont val="Calibri"/>
        <family val="2"/>
        <scheme val="minor"/>
      </rPr>
      <t>PD</t>
    </r>
    <r>
      <rPr>
        <b/>
        <sz val="13"/>
        <color rgb="FF0000FF"/>
        <rFont val="Calibri"/>
        <family val="2"/>
        <scheme val="minor"/>
      </rPr>
      <t xml:space="preserve"> </t>
    </r>
    <r>
      <rPr>
        <b/>
        <sz val="14"/>
        <color rgb="FF0000FF"/>
        <rFont val="DevLys 010"/>
      </rPr>
      <t xml:space="preserve">हेड से मिलता है </t>
    </r>
    <r>
      <rPr>
        <b/>
        <sz val="14"/>
        <color rgb="FF0000FF"/>
        <rFont val="Calibri"/>
        <family val="2"/>
        <scheme val="minor"/>
      </rPr>
      <t>?</t>
    </r>
  </si>
  <si>
    <r>
      <t>क्या आप वरिष्ठ नागरिक</t>
    </r>
    <r>
      <rPr>
        <b/>
        <sz val="12"/>
        <color rgb="FF002060"/>
        <rFont val="Calibri"/>
        <family val="2"/>
        <scheme val="minor"/>
      </rPr>
      <t xml:space="preserve"> (60-80) </t>
    </r>
    <r>
      <rPr>
        <b/>
        <sz val="14"/>
        <color rgb="FF002060"/>
        <rFont val="DevLys 010"/>
      </rPr>
      <t xml:space="preserve">आयुवर्ग में आते है </t>
    </r>
    <r>
      <rPr>
        <b/>
        <sz val="14"/>
        <color rgb="FF002060"/>
        <rFont val="Calibri"/>
        <family val="2"/>
        <scheme val="minor"/>
      </rPr>
      <t>?</t>
    </r>
  </si>
  <si>
    <r>
      <rPr>
        <b/>
        <sz val="16"/>
        <rFont val="DevLys 010"/>
      </rPr>
      <t>यह वर्कबुक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</t>
    </r>
    <r>
      <rPr>
        <b/>
        <sz val="16"/>
        <rFont val="DevLys 010"/>
      </rPr>
      <t xml:space="preserve">पर उपलब्ध है </t>
    </r>
    <r>
      <rPr>
        <b/>
        <sz val="14"/>
        <rFont val="DevLys 010"/>
      </rPr>
      <t xml:space="preserve">। 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6"/>
        <color rgb="FF0000FF"/>
        <rFont val="DevLys 010"/>
      </rPr>
      <t xml:space="preserve">किसी भी प्रकार की तकनीकी समस्या </t>
    </r>
    <r>
      <rPr>
        <b/>
        <sz val="16"/>
        <color rgb="FF0000FF"/>
        <rFont val="Calibri"/>
        <family val="2"/>
        <scheme val="minor"/>
      </rPr>
      <t xml:space="preserve">/ </t>
    </r>
    <r>
      <rPr>
        <b/>
        <sz val="16"/>
        <color rgb="FF0000FF"/>
        <rFont val="DevLys 010"/>
      </rPr>
      <t xml:space="preserve">सुझाव के लिए ईमेल करें </t>
    </r>
    <r>
      <rPr>
        <b/>
        <sz val="16"/>
        <color rgb="FF0000FF"/>
        <rFont val="Vcal"/>
      </rPr>
      <t>:</t>
    </r>
    <r>
      <rPr>
        <b/>
        <sz val="14"/>
        <color rgb="FF0000FF"/>
        <rFont val="DevLys 010"/>
      </rPr>
      <t xml:space="preserve">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</si>
  <si>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</si>
  <si>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कार्मिक का पद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</si>
  <si>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सेवा का नाम </t>
    </r>
    <r>
      <rPr>
        <b/>
        <sz val="12"/>
        <color rgb="FF002060"/>
        <rFont val="Calibri"/>
        <family val="2"/>
        <scheme val="minor"/>
      </rPr>
      <t>(</t>
    </r>
    <r>
      <rPr>
        <b/>
        <sz val="14"/>
        <color rgb="FF002060"/>
        <rFont val="DevLys 010"/>
      </rPr>
      <t xml:space="preserve">कैडर </t>
    </r>
    <r>
      <rPr>
        <b/>
        <sz val="12"/>
        <color rgb="FF002060"/>
        <rFont val="Calibri"/>
        <family val="2"/>
        <scheme val="minor"/>
      </rPr>
      <t xml:space="preserve">/ </t>
    </r>
    <r>
      <rPr>
        <b/>
        <sz val="14"/>
        <color rgb="FF002060"/>
        <rFont val="DevLys 010"/>
      </rPr>
      <t>संवर्ग</t>
    </r>
    <r>
      <rPr>
        <b/>
        <sz val="12"/>
        <color rgb="FF002060"/>
        <rFont val="Calibri"/>
        <family val="2"/>
        <scheme val="minor"/>
      </rPr>
      <t>)</t>
    </r>
    <r>
      <rPr>
        <b/>
        <sz val="14"/>
        <color rgb="FF002060"/>
        <rFont val="DevLys 010"/>
      </rPr>
      <t xml:space="preserve">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</si>
  <si>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बैंक खाता संख्या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</si>
  <si>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GPF / PRAN No. </t>
    </r>
    <r>
      <rPr>
        <b/>
        <sz val="14"/>
        <color rgb="FF002060"/>
        <rFont val="Times New Roman"/>
        <family val="1"/>
      </rPr>
      <t>:</t>
    </r>
  </si>
  <si>
    <r>
      <t xml:space="preserve">Mobile No. </t>
    </r>
    <r>
      <rPr>
        <b/>
        <sz val="14"/>
        <color rgb="FF002060"/>
        <rFont val="Times New Roman"/>
        <family val="1"/>
      </rPr>
      <t>:</t>
    </r>
  </si>
  <si>
    <r>
      <t xml:space="preserve"> Rate of HRA in March 21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</si>
  <si>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क्या आपको बोनस मिला है </t>
    </r>
    <r>
      <rPr>
        <b/>
        <sz val="14"/>
        <color rgb="FF002060"/>
        <rFont val="Calibri"/>
        <family val="2"/>
        <scheme val="minor"/>
      </rPr>
      <t>?</t>
    </r>
  </si>
  <si>
    <r>
      <t xml:space="preserve">सर्मिर्पत बिल का माह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</si>
  <si>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समूह दुर्घटना बीमा प्रीमियम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</si>
  <si>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क्या हितकारी निधि कटौति करनी है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</si>
  <si>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शहरी क्षतिपूर्ति भत्ता </t>
    </r>
    <r>
      <rPr>
        <b/>
        <sz val="12"/>
        <color rgb="FF002060"/>
        <rFont val="Calibri"/>
        <family val="2"/>
        <scheme val="minor"/>
      </rPr>
      <t xml:space="preserve">(CCA) </t>
    </r>
    <r>
      <rPr>
        <b/>
        <sz val="14"/>
        <color rgb="FF002060"/>
        <rFont val="Calibri"/>
        <family val="2"/>
        <scheme val="minor"/>
      </rPr>
      <t>:</t>
    </r>
  </si>
  <si>
    <r>
      <t xml:space="preserve">साभार: चन्द्र प्रकाश कुर्मी  </t>
    </r>
    <r>
      <rPr>
        <b/>
        <sz val="14"/>
        <color rgb="FF002060"/>
        <rFont val="Calibri"/>
        <family val="2"/>
        <scheme val="minor"/>
      </rPr>
      <t>(</t>
    </r>
    <r>
      <rPr>
        <b/>
        <sz val="17"/>
        <color rgb="FF002060"/>
        <rFont val="DevLys 010"/>
      </rPr>
      <t>प्राध्यापक भौतिक विज्ञान</t>
    </r>
    <r>
      <rPr>
        <b/>
        <sz val="14"/>
        <color rgb="FF002060"/>
        <rFont val="Calibri"/>
        <family val="2"/>
        <scheme val="minor"/>
      </rPr>
      <t>)</t>
    </r>
    <r>
      <rPr>
        <b/>
        <sz val="17"/>
        <color rgb="FF002060"/>
        <rFont val="DevLys 010"/>
      </rPr>
      <t xml:space="preserve"> राउमावि टोडारायसिंह</t>
    </r>
    <r>
      <rPr>
        <b/>
        <sz val="14"/>
        <color rgb="FF002060"/>
        <rFont val="Calibri"/>
        <family val="2"/>
        <scheme val="minor"/>
      </rPr>
      <t>,</t>
    </r>
    <r>
      <rPr>
        <b/>
        <sz val="17"/>
        <color rgb="FF002060"/>
        <rFont val="DevLys 010"/>
      </rPr>
      <t xml:space="preserve"> टोंक
किसी भी प्रकार की तकनीकी समस्या </t>
    </r>
    <r>
      <rPr>
        <b/>
        <sz val="14"/>
        <color rgb="FF002060"/>
        <rFont val="Calibri"/>
        <family val="2"/>
        <scheme val="minor"/>
      </rPr>
      <t xml:space="preserve">/ </t>
    </r>
    <r>
      <rPr>
        <b/>
        <sz val="17"/>
        <color rgb="FF002060"/>
        <rFont val="DevLys 010"/>
      </rPr>
      <t>सुझाव के लिए ईमेल करें</t>
    </r>
    <r>
      <rPr>
        <b/>
        <sz val="14"/>
        <color rgb="FF002060"/>
        <rFont val="Calibri"/>
        <family val="2"/>
        <scheme val="minor"/>
      </rPr>
      <t>:-</t>
    </r>
    <r>
      <rPr>
        <b/>
        <sz val="17"/>
        <color rgb="FF002060"/>
        <rFont val="DevLys 010"/>
      </rPr>
      <t xml:space="preserve"> </t>
    </r>
    <r>
      <rPr>
        <b/>
        <sz val="17"/>
        <color rgb="FF002060"/>
        <rFont val="Calibri"/>
        <family val="2"/>
        <scheme val="minor"/>
      </rPr>
      <t xml:space="preserve"> </t>
    </r>
    <r>
      <rPr>
        <b/>
        <sz val="14"/>
        <color rgb="FF0066CC"/>
        <rFont val="Calibri"/>
        <family val="2"/>
        <scheme val="minor"/>
      </rPr>
      <t>cpkurmi@gmail.com</t>
    </r>
  </si>
  <si>
    <r>
      <rPr>
        <sz val="10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मनोरंजन भता धारा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के अन्तर्गत </t>
    </r>
    <r>
      <rPr>
        <sz val="10"/>
        <color rgb="FF002060"/>
        <rFont val="Calibri"/>
        <family val="2"/>
        <scheme val="minor"/>
      </rPr>
      <t>(</t>
    </r>
    <r>
      <rPr>
        <sz val="12"/>
        <color rgb="FF002060"/>
        <rFont val="DevLys 010"/>
      </rPr>
      <t xml:space="preserve">अधिकतम सीमा रू </t>
    </r>
    <r>
      <rPr>
        <sz val="10"/>
        <color rgb="FF002060"/>
        <rFont val="Calibri"/>
        <family val="2"/>
        <scheme val="minor"/>
      </rPr>
      <t>5,000)</t>
    </r>
  </si>
  <si>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व्यवसाय कर धारा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के अन्तर्गत</t>
    </r>
  </si>
  <si>
    <r>
      <t xml:space="preserve">राज्य बीमा </t>
    </r>
    <r>
      <rPr>
        <sz val="11"/>
        <color rgb="FF002060"/>
        <rFont val="Calibri"/>
        <family val="2"/>
        <scheme val="minor"/>
      </rPr>
      <t>(SI)</t>
    </r>
  </si>
  <si>
    <r>
      <t xml:space="preserve">जीवन बीमा प्रीमियम </t>
    </r>
    <r>
      <rPr>
        <sz val="11"/>
        <color rgb="FF002060"/>
        <rFont val="Calibri"/>
        <family val="2"/>
        <scheme val="minor"/>
      </rPr>
      <t>(LIC)</t>
    </r>
  </si>
  <si>
    <r>
      <t xml:space="preserve">लोक भविष्य निधि  </t>
    </r>
    <r>
      <rPr>
        <sz val="11"/>
        <color rgb="FF002060"/>
        <rFont val="Calibri"/>
        <family val="2"/>
        <scheme val="minor"/>
      </rPr>
      <t>(PPF)</t>
    </r>
  </si>
  <si>
    <r>
      <t xml:space="preserve">सामूहिक बीमा प्रीमियम </t>
    </r>
    <r>
      <rPr>
        <sz val="11"/>
        <color rgb="FF002060"/>
        <rFont val="Calibri"/>
        <family val="2"/>
        <scheme val="minor"/>
      </rPr>
      <t>(G.Ins.)</t>
    </r>
  </si>
  <si>
    <r>
      <t xml:space="preserve">राष्ट्रीय बचत स्कीम </t>
    </r>
    <r>
      <rPr>
        <sz val="11"/>
        <color rgb="FF002060"/>
        <rFont val="Calibri"/>
        <family val="2"/>
        <scheme val="minor"/>
      </rPr>
      <t>(NSS)</t>
    </r>
  </si>
  <si>
    <r>
      <t xml:space="preserve">गृह ऋण किस्त </t>
    </r>
    <r>
      <rPr>
        <sz val="11"/>
        <color rgb="FF002060"/>
        <rFont val="Calibri"/>
        <family val="2"/>
        <scheme val="minor"/>
      </rPr>
      <t>(HBA Premium)</t>
    </r>
  </si>
  <si>
    <r>
      <t xml:space="preserve">पी एल आई </t>
    </r>
    <r>
      <rPr>
        <sz val="10"/>
        <color rgb="FF002060"/>
        <rFont val="Calibri"/>
        <family val="2"/>
        <scheme val="minor"/>
      </rPr>
      <t>(PLI)</t>
    </r>
  </si>
  <si>
    <r>
      <t xml:space="preserve">आयकर गणना प्रपत्र वर्ष </t>
    </r>
    <r>
      <rPr>
        <b/>
        <sz val="18"/>
        <color rgb="FFFF0000"/>
        <rFont val="Calibri"/>
        <family val="2"/>
        <scheme val="minor"/>
      </rPr>
      <t>2021-22</t>
    </r>
    <r>
      <rPr>
        <b/>
        <sz val="20"/>
        <color rgb="FFFF0000"/>
        <rFont val="DevLys 010"/>
      </rPr>
      <t xml:space="preserve"> </t>
    </r>
    <r>
      <rPr>
        <b/>
        <sz val="18"/>
        <color rgb="FFFF0000"/>
        <rFont val="Calibri"/>
        <family val="2"/>
        <scheme val="minor"/>
      </rPr>
      <t>(</t>
    </r>
    <r>
      <rPr>
        <b/>
        <sz val="20"/>
        <color rgb="FFFF0000"/>
        <rFont val="DevLys 010"/>
      </rPr>
      <t xml:space="preserve">कर निर्धारण वर्ष </t>
    </r>
    <r>
      <rPr>
        <b/>
        <sz val="18"/>
        <color rgb="FFFF0000"/>
        <rFont val="Calibri"/>
        <family val="2"/>
        <scheme val="minor"/>
      </rPr>
      <t>2022-23)</t>
    </r>
    <r>
      <rPr>
        <b/>
        <sz val="20"/>
        <color rgb="FFFF0000"/>
        <rFont val="DevLys 010"/>
      </rPr>
      <t xml:space="preserve"> </t>
    </r>
    <r>
      <rPr>
        <b/>
        <sz val="18"/>
        <color rgb="FFFF0000"/>
        <rFont val="Calibri"/>
        <family val="2"/>
        <scheme val="minor"/>
      </rPr>
      <t>MS-EXCEL UTILITY</t>
    </r>
  </si>
  <si>
    <r>
      <t xml:space="preserve">आपको जितने कार्मिकों की आयकर गणना करनी है, सर्वप्रथम उतनी बार वर्कबुक को उनके नाम से </t>
    </r>
    <r>
      <rPr>
        <sz val="12"/>
        <rFont val="Calibri"/>
        <family val="2"/>
        <scheme val="minor"/>
      </rPr>
      <t>Save as</t>
    </r>
    <r>
      <rPr>
        <sz val="14"/>
        <rFont val="DevLys 010"/>
      </rPr>
      <t xml:space="preserve"> कर लेवें ।</t>
    </r>
  </si>
  <si>
    <t>मास्टर शीट में सभी पीले सेल की पूर्ति अवश्य करें ।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</si>
  <si>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के लिए </t>
    </r>
    <r>
      <rPr>
        <sz val="12"/>
        <rFont val="Calibri"/>
        <family val="2"/>
        <scheme val="minor"/>
      </rPr>
      <t xml:space="preserve">Tax Sheet </t>
    </r>
    <r>
      <rPr>
        <sz val="14"/>
        <rFont val="DevLys 010"/>
      </rPr>
      <t>की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में</t>
    </r>
    <r>
      <rPr>
        <sz val="12"/>
        <rFont val="Calibri"/>
        <family val="2"/>
        <scheme val="minor"/>
      </rPr>
      <t xml:space="preserve"> Govt. Contribution Fund </t>
    </r>
    <r>
      <rPr>
        <sz val="14"/>
        <rFont val="DevLys 010"/>
      </rPr>
      <t xml:space="preserve"> की राशि जोड़ी गयी है ।</t>
    </r>
  </si>
  <si>
    <r>
      <t xml:space="preserve">दो या दो से अधिक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के अधीन सेवा होने पर फॉर्म नंबर </t>
    </r>
    <r>
      <rPr>
        <b/>
        <sz val="12"/>
        <color rgb="FF7030A0"/>
        <rFont val="Calibri"/>
        <family val="2"/>
        <scheme val="minor"/>
      </rPr>
      <t>16</t>
    </r>
    <r>
      <rPr>
        <b/>
        <sz val="14"/>
        <color rgb="FF7030A0"/>
        <rFont val="DevLys 010"/>
      </rPr>
      <t xml:space="preserve"> अलग अलग प्राप्त करने के लिए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अलग अलग तैयार करना होगा। इसके लिए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 में आवश्यक पूर्ति करते हुए शेष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को खाली छोड़ दें ।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में</t>
    </r>
    <r>
      <rPr>
        <b/>
        <sz val="12"/>
        <color rgb="FF7030A0"/>
        <rFont val="Calibri"/>
        <family val="2"/>
        <scheme val="minor"/>
      </rPr>
      <t xml:space="preserve"> Standard Deduction</t>
    </r>
    <r>
      <rPr>
        <b/>
        <sz val="14"/>
        <color rgb="FF7030A0"/>
        <rFont val="DevLys 010"/>
      </rPr>
      <t xml:space="preserve"> </t>
    </r>
    <r>
      <rPr>
        <b/>
        <sz val="12"/>
        <color rgb="FF7030A0"/>
        <rFont val="Calibri"/>
        <family val="2"/>
        <scheme val="minor"/>
      </rPr>
      <t>0</t>
    </r>
    <r>
      <rPr>
        <b/>
        <sz val="14"/>
        <color rgb="FF7030A0"/>
        <rFont val="DevLys 010"/>
      </rPr>
      <t xml:space="preserve"> या </t>
    </r>
    <r>
      <rPr>
        <b/>
        <sz val="12"/>
        <color rgb="FF7030A0"/>
        <rFont val="Calibri"/>
        <family val="2"/>
        <scheme val="minor"/>
      </rPr>
      <t>50000</t>
    </r>
    <r>
      <rPr>
        <b/>
        <sz val="14"/>
        <color rgb="FF7030A0"/>
        <rFont val="DevLys 010"/>
      </rPr>
      <t xml:space="preserve"> चुनें । </t>
    </r>
  </si>
  <si>
    <r>
      <t>इस शीट में वेतन के अतिरिक्त आय</t>
    </r>
    <r>
      <rPr>
        <sz val="12"/>
        <rFont val="Calibri"/>
        <family val="2"/>
        <scheme val="minor"/>
      </rPr>
      <t>,</t>
    </r>
    <r>
      <rPr>
        <sz val="14"/>
        <rFont val="DevLys 010"/>
      </rPr>
      <t xml:space="preserve"> विभिन्न कटौतियाँ, विभिन्न जमा राशि </t>
    </r>
    <r>
      <rPr>
        <sz val="12"/>
        <rFont val="Calibri"/>
        <family val="2"/>
        <scheme val="minor"/>
      </rPr>
      <t xml:space="preserve">/ </t>
    </r>
    <r>
      <rPr>
        <sz val="14"/>
        <rFont val="DevLys 010"/>
      </rPr>
      <t>छूट</t>
    </r>
    <r>
      <rPr>
        <sz val="12"/>
        <rFont val="Calibri"/>
        <family val="2"/>
        <scheme val="minor"/>
      </rPr>
      <t>,</t>
    </r>
    <r>
      <rPr>
        <sz val="14"/>
        <rFont val="DevLys 010"/>
      </rPr>
      <t xml:space="preserve"> वेतन के अलावा काटा गया आयकर आदि विवरण लिखा जाना है ।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</si>
  <si>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 xml:space="preserve">को पेपर साइज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पर </t>
    </r>
    <r>
      <rPr>
        <sz val="12"/>
        <rFont val="Calibri"/>
        <family val="2"/>
        <scheme val="minor"/>
      </rPr>
      <t xml:space="preserve">Page Setup </t>
    </r>
    <r>
      <rPr>
        <sz val="14"/>
        <rFont val="DevLys 010"/>
      </rPr>
      <t>किया हुआ है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में से जिसमें आपको फायदा हो उसे चुने । सीधे दोनों शीट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का आगे पीछे प्रिंट लें ।</t>
    </r>
  </si>
  <si>
    <r>
      <t xml:space="preserve">यह वर्कबुक विशेषकर राजस्थान के शिक्षकों की उपयोगिता के लिए तैयार की गई है। संकलन एवं गणना में पूर्ण सावधानी रखी गई है। फिर भी त्रुटि </t>
    </r>
    <r>
      <rPr>
        <b/>
        <sz val="12"/>
        <color rgb="FF0000FF"/>
        <rFont val="Calibri"/>
        <family val="2"/>
        <scheme val="minor"/>
      </rPr>
      <t>/</t>
    </r>
    <r>
      <rPr>
        <b/>
        <sz val="14"/>
        <color rgb="FF0000FF"/>
        <rFont val="DevLys 010"/>
      </rPr>
      <t xml:space="preserve"> किसी भी प्रकार की विभिन्नता की स्थिति में आयकर विभाग के नियम ही मान्य है । तैयारकर्ता का कोई उत्तरदायित्व नहीं होगा ।</t>
    </r>
  </si>
  <si>
    <r>
      <t xml:space="preserve">आपने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में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का प्रयोग किया है तो अगले कार्मिक के लिए फ्रेश शीट काम में लें ।</t>
    </r>
  </si>
  <si>
    <r>
      <t xml:space="preserve">GA55A Sheet </t>
    </r>
    <r>
      <rPr>
        <sz val="14"/>
        <rFont val="DevLys 010"/>
      </rPr>
      <t xml:space="preserve">में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के सेल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है</t>
    </r>
    <r>
      <rPr>
        <sz val="12"/>
        <rFont val="Calibri"/>
        <family val="2"/>
        <scheme val="minor"/>
      </rPr>
      <t>,</t>
    </r>
    <r>
      <rPr>
        <sz val="14"/>
        <rFont val="DevLys 010"/>
      </rPr>
      <t xml:space="preserve"> इनका नाम परिवर्तित किया जा सकता है ।</t>
    </r>
  </si>
  <si>
    <r>
      <t xml:space="preserve">DA arrear  </t>
    </r>
    <r>
      <rPr>
        <sz val="14"/>
        <rFont val="DevLys 010"/>
      </rPr>
      <t>में</t>
    </r>
    <r>
      <rPr>
        <sz val="12"/>
        <rFont val="Calibri"/>
        <family val="2"/>
        <scheme val="minor"/>
      </rPr>
      <t xml:space="preserve">  PL Arrear </t>
    </r>
    <r>
      <rPr>
        <sz val="14"/>
        <rFont val="DevLys 010"/>
      </rPr>
      <t xml:space="preserve">भी जोड़ा गया है । बोनस के नीचे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है</t>
    </r>
    <r>
      <rPr>
        <sz val="12"/>
        <rFont val="Calibri"/>
        <family val="2"/>
        <scheme val="minor"/>
      </rPr>
      <t>,</t>
    </r>
    <r>
      <rPr>
        <sz val="14"/>
        <rFont val="DevLys 010"/>
      </rPr>
      <t xml:space="preserve"> इनका नाम परिवर्तित किया जा सकता है ।</t>
    </r>
  </si>
  <si>
    <r>
      <t xml:space="preserve">पे मैनेजर से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निकालकर अथवा पे पोस्टिंग से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 xml:space="preserve">का मिलान कर लेवें । अन्तर आने पर </t>
    </r>
    <r>
      <rPr>
        <sz val="12"/>
        <rFont val="Calibri"/>
        <family val="2"/>
        <scheme val="minor"/>
      </rPr>
      <t xml:space="preserve">GA55A Sheet </t>
    </r>
    <r>
      <rPr>
        <sz val="14"/>
        <rFont val="DevLys 010"/>
      </rPr>
      <t>में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 मेन्यूअल रूप से डाटा बदल लें ।</t>
    </r>
  </si>
  <si>
    <r>
      <t xml:space="preserve">इस शीट में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तथा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का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स्वतः आयेगा । इस शीट में आपकोs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की अनुमति नहीं है। जो भी परिवर्तन करना है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तथा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शीट में ही करे ।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लिए सकल आय में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की राशि जोड़ी गयी है ।</t>
    </r>
  </si>
  <si>
    <r>
      <rPr>
        <b/>
        <sz val="13"/>
        <color rgb="FF0066CC"/>
        <rFont val="DevLys 010"/>
      </rPr>
      <t xml:space="preserve">कुल शेष </t>
    </r>
    <r>
      <rPr>
        <b/>
        <sz val="13"/>
        <color rgb="FF0066CC"/>
        <rFont val="Calibri"/>
        <family val="2"/>
        <scheme val="minor"/>
      </rPr>
      <t xml:space="preserve">- </t>
    </r>
    <r>
      <rPr>
        <b/>
        <sz val="11"/>
        <color rgb="FF0066CC"/>
        <rFont val="Calibri"/>
        <family val="2"/>
        <scheme val="minor"/>
      </rPr>
      <t xml:space="preserve">/ </t>
    </r>
    <r>
      <rPr>
        <b/>
        <sz val="13"/>
        <color rgb="FF0066CC"/>
        <rFont val="Calibri"/>
        <family val="2"/>
        <scheme val="minor"/>
      </rPr>
      <t>+</t>
    </r>
    <r>
      <rPr>
        <b/>
        <sz val="13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(6</t>
    </r>
    <r>
      <rPr>
        <b/>
        <sz val="11"/>
        <color rgb="FF0066CC"/>
        <rFont val="DevLys 010"/>
      </rPr>
      <t xml:space="preserve"> </t>
    </r>
    <r>
      <rPr>
        <b/>
        <sz val="13"/>
        <color rgb="FF0066CC"/>
        <rFont val="DevLys 010"/>
      </rPr>
      <t>एवं</t>
    </r>
    <r>
      <rPr>
        <b/>
        <sz val="11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7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</si>
  <si>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3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 xml:space="preserve">-/+ 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7 (</t>
    </r>
    <r>
      <rPr>
        <b/>
        <sz val="13"/>
        <color rgb="FF0066CC"/>
        <rFont val="DevLys 010"/>
      </rPr>
      <t>अ</t>
    </r>
    <r>
      <rPr>
        <b/>
        <sz val="10"/>
        <color rgb="FF0066CC"/>
        <rFont val="Calibri"/>
        <family val="2"/>
        <scheme val="minor"/>
      </rPr>
      <t>)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>एवं योग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7(</t>
    </r>
    <r>
      <rPr>
        <b/>
        <sz val="13"/>
        <color rgb="FF0066CC"/>
        <rFont val="DevLys 010"/>
      </rPr>
      <t>ब</t>
    </r>
    <r>
      <rPr>
        <b/>
        <sz val="10"/>
        <color rgb="FF0066CC"/>
        <rFont val="Calibri"/>
        <family val="2"/>
        <scheme val="minor"/>
      </rPr>
      <t>)</t>
    </r>
    <r>
      <rPr>
        <b/>
        <sz val="12"/>
        <color rgb="FF0066CC"/>
        <rFont val="DevLys 010"/>
      </rPr>
      <t xml:space="preserve">  </t>
    </r>
  </si>
  <si>
    <r>
      <t xml:space="preserve">राष्ट्रीय बचत पत्र </t>
    </r>
    <r>
      <rPr>
        <sz val="12"/>
        <color rgb="FF002060"/>
        <rFont val="Calibri"/>
        <family val="2"/>
        <scheme val="minor"/>
      </rPr>
      <t>(NSC)</t>
    </r>
  </si>
  <si>
    <r>
      <rPr>
        <b/>
        <sz val="13"/>
        <color rgb="FF0066CC"/>
        <rFont val="DevLys 010"/>
      </rPr>
      <t>कुल योग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(1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 xml:space="preserve">से </t>
    </r>
    <r>
      <rPr>
        <b/>
        <sz val="12"/>
        <color rgb="FF0066CC"/>
        <rFont val="DevLys 010"/>
      </rPr>
      <t xml:space="preserve">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</t>
    </r>
    <r>
      <rPr>
        <b/>
        <sz val="13"/>
        <color rgb="FF0066CC"/>
        <rFont val="DevLys 010"/>
      </rPr>
      <t>तक</t>
    </r>
    <r>
      <rPr>
        <b/>
        <sz val="10"/>
        <color rgb="FF0066CC"/>
        <rFont val="Calibri"/>
        <family val="2"/>
        <scheme val="minor"/>
      </rPr>
      <t>)</t>
    </r>
  </si>
  <si>
    <r>
      <rPr>
        <b/>
        <sz val="14"/>
        <color rgb="FF0066CC"/>
        <rFont val="DevLys 010"/>
      </rPr>
      <t>शेष</t>
    </r>
    <r>
      <rPr>
        <b/>
        <sz val="12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</si>
  <si>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अधिकतम कटौती की राशि </t>
    </r>
    <r>
      <rPr>
        <b/>
        <sz val="11"/>
        <color rgb="FF0066CC"/>
        <rFont val="Calibri"/>
        <family val="2"/>
        <scheme val="minor"/>
      </rPr>
      <t>1.5</t>
    </r>
    <r>
      <rPr>
        <b/>
        <sz val="13"/>
        <color rgb="FF0066CC"/>
        <rFont val="DevLys 010"/>
      </rPr>
      <t xml:space="preserve"> लाख रुपए तक </t>
    </r>
  </si>
  <si>
    <r>
      <rPr>
        <b/>
        <sz val="13"/>
        <color rgb="FF0066CC"/>
        <rFont val="DevLys 010"/>
      </rPr>
      <t xml:space="preserve"> कुल शेष </t>
    </r>
    <r>
      <rPr>
        <b/>
        <sz val="13"/>
        <color rgb="FF0066CC"/>
        <rFont val="Calibri"/>
        <family val="2"/>
        <scheme val="minor"/>
      </rPr>
      <t xml:space="preserve">- </t>
    </r>
    <r>
      <rPr>
        <b/>
        <sz val="11"/>
        <color rgb="FF0066CC"/>
        <rFont val="Calibri"/>
        <family val="2"/>
        <scheme val="minor"/>
      </rPr>
      <t xml:space="preserve">/ </t>
    </r>
    <r>
      <rPr>
        <b/>
        <sz val="13"/>
        <color rgb="FF0066CC"/>
        <rFont val="Calibri"/>
        <family val="2"/>
        <scheme val="minor"/>
      </rPr>
      <t>+</t>
    </r>
    <r>
      <rPr>
        <b/>
        <sz val="13"/>
        <color rgb="FF0066CC"/>
        <rFont val="DevLys 010"/>
      </rPr>
      <t xml:space="preserve"> </t>
    </r>
    <r>
      <rPr>
        <b/>
        <sz val="11"/>
        <color rgb="FF0066CC"/>
        <rFont val="Calibri"/>
        <family val="2"/>
        <scheme val="minor"/>
      </rPr>
      <t>(6</t>
    </r>
    <r>
      <rPr>
        <b/>
        <sz val="11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1"/>
        <color rgb="FF0066CC"/>
        <rFont val="DevLys 010"/>
      </rPr>
      <t>½</t>
    </r>
  </si>
  <si>
    <r>
      <t xml:space="preserve">सकल आय                                                                                                                 योग </t>
    </r>
    <r>
      <rPr>
        <b/>
        <sz val="12"/>
        <color rgb="FF0066CC"/>
        <rFont val="Calibri"/>
        <family val="2"/>
        <scheme val="minor"/>
      </rPr>
      <t xml:space="preserve">(8+9) </t>
    </r>
  </si>
  <si>
    <r>
      <rPr>
        <b/>
        <sz val="16"/>
        <rFont val="DevLys 010"/>
      </rPr>
      <t>यह वर्कबुक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Calibri"/>
        <family val="2"/>
        <scheme val="minor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पर उपलब्ध है ।</t>
    </r>
    <r>
      <rPr>
        <b/>
        <sz val="16"/>
        <color rgb="FF0000FF"/>
        <rFont val="DevLys 010"/>
      </rPr>
      <t xml:space="preserve">
साभार </t>
    </r>
    <r>
      <rPr>
        <b/>
        <sz val="14"/>
        <color rgb="FF0000FF"/>
        <rFont val="Calibri"/>
        <family val="2"/>
        <scheme val="minor"/>
      </rPr>
      <t>:</t>
    </r>
    <r>
      <rPr>
        <b/>
        <sz val="16"/>
        <color rgb="FF0000FF"/>
        <rFont val="DevLys 010"/>
      </rPr>
      <t xml:space="preserve"> चन्द्र प्रकाश कुर्मी</t>
    </r>
    <r>
      <rPr>
        <b/>
        <sz val="12"/>
        <color rgb="FF0000FF"/>
        <rFont val="Calibri"/>
        <family val="2"/>
        <scheme val="minor"/>
      </rPr>
      <t>,</t>
    </r>
    <r>
      <rPr>
        <b/>
        <sz val="16"/>
        <color rgb="FF0000FF"/>
        <rFont val="DevLys 010"/>
      </rPr>
      <t xml:space="preserve"> प्राध्यापक भौतिकी</t>
    </r>
    <r>
      <rPr>
        <b/>
        <sz val="12"/>
        <color rgb="FF0000FF"/>
        <rFont val="Calibri"/>
        <family val="2"/>
        <scheme val="minor"/>
      </rPr>
      <t>,</t>
    </r>
    <r>
      <rPr>
        <b/>
        <sz val="16"/>
        <color rgb="FF0000FF"/>
        <rFont val="DevLys 010"/>
      </rPr>
      <t xml:space="preserve"> राउमावि टोडारायसिंह </t>
    </r>
    <r>
      <rPr>
        <b/>
        <sz val="12"/>
        <color rgb="FF0000FF"/>
        <rFont val="Calibri"/>
        <family val="2"/>
        <scheme val="minor"/>
      </rPr>
      <t>(</t>
    </r>
    <r>
      <rPr>
        <b/>
        <sz val="16"/>
        <color rgb="FF0000FF"/>
        <rFont val="DevLys 010"/>
      </rPr>
      <t>टोंक</t>
    </r>
    <r>
      <rPr>
        <b/>
        <sz val="12"/>
        <color rgb="FF0000FF"/>
        <rFont val="Calibri"/>
        <family val="2"/>
        <scheme val="minor"/>
      </rPr>
      <t>)</t>
    </r>
    <r>
      <rPr>
        <b/>
        <sz val="16"/>
        <color rgb="FF0000FF"/>
        <rFont val="DevLys 010"/>
      </rPr>
      <t xml:space="preserve"> 
</t>
    </r>
    <r>
      <rPr>
        <b/>
        <sz val="14"/>
        <rFont val="DevLys 010"/>
      </rPr>
      <t xml:space="preserve">किसी भी प्रकार की तकनीकी समस्या </t>
    </r>
    <r>
      <rPr>
        <b/>
        <sz val="12"/>
        <rFont val="Calibri"/>
        <family val="2"/>
        <scheme val="minor"/>
      </rPr>
      <t xml:space="preserve">/ </t>
    </r>
    <r>
      <rPr>
        <b/>
        <sz val="14"/>
        <rFont val="DevLys 010"/>
      </rPr>
      <t xml:space="preserve">सुझाव के लिए ईमेल करें-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</si>
</sst>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70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1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i/>
      <sz val="11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Kruti Dev 010"/>
    </font>
    <font>
      <b/>
      <sz val="10"/>
      <color rgb="FF002060"/>
      <name val="DevLys 010"/>
    </font>
    <font>
      <b/>
      <sz val="11"/>
      <color rgb="FF002060"/>
      <name val="DevLys 010"/>
      <family val="2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0"/>
      <color rgb="FF00206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i/>
      <sz val="11"/>
      <color rgb="FF0000FF"/>
      <name val="Times New Roman"/>
      <family val="1"/>
    </font>
    <font>
      <b/>
      <sz val="16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20"/>
      <color rgb="FF002060"/>
      <name val="Calibri"/>
      <family val="2"/>
      <scheme val="minor"/>
    </font>
    <font>
      <i/>
      <sz val="18"/>
      <color rgb="FF0066FF"/>
      <name val="Times New Roman"/>
      <family val="1"/>
    </font>
    <font>
      <sz val="13"/>
      <name val="DevLys 010"/>
      <family val="2"/>
    </font>
    <font>
      <b/>
      <sz val="20"/>
      <color rgb="FFC00000"/>
      <name val="DevLys 010"/>
    </font>
    <font>
      <b/>
      <sz val="20"/>
      <color rgb="FFC00000"/>
      <name val="Calibri"/>
      <family val="2"/>
      <scheme val="minor"/>
    </font>
    <font>
      <sz val="12"/>
      <color rgb="FF002060"/>
      <name val="DevLys 010"/>
      <family val="2"/>
    </font>
    <font>
      <b/>
      <sz val="12"/>
      <color rgb="FF002060"/>
      <name val="DevLys 010"/>
      <family val="2"/>
    </font>
    <font>
      <b/>
      <sz val="13"/>
      <color rgb="FF0066CC"/>
      <name val="DevLys 010"/>
    </font>
    <font>
      <sz val="10"/>
      <color rgb="FF002060"/>
      <name val="Calibri"/>
      <family val="2"/>
    </font>
    <font>
      <sz val="12"/>
      <color rgb="FF002060"/>
      <name val="Kruti Dev 010"/>
      <family val="2"/>
    </font>
    <font>
      <sz val="13"/>
      <color rgb="FF002060"/>
      <name val="DevLys 010"/>
    </font>
    <font>
      <b/>
      <sz val="10"/>
      <color rgb="FFC00000"/>
      <name val="Calibri"/>
      <family val="2"/>
      <scheme val="minor"/>
    </font>
    <font>
      <b/>
      <sz val="12"/>
      <color rgb="FFC00000"/>
      <name val="DevLys 010"/>
      <family val="2"/>
    </font>
    <font>
      <b/>
      <sz val="13"/>
      <color rgb="FFC00000"/>
      <name val="DevLys 010"/>
    </font>
    <font>
      <b/>
      <sz val="15"/>
      <color rgb="FF0066CC"/>
      <name val="DevLys 010"/>
    </font>
    <font>
      <b/>
      <i/>
      <sz val="14"/>
      <color rgb="FF002060"/>
      <name val="Times New Roman"/>
      <family val="1"/>
    </font>
    <font>
      <b/>
      <sz val="16"/>
      <color rgb="FF0000FF"/>
      <name val="Calibri"/>
      <family val="2"/>
      <scheme val="minor"/>
    </font>
    <font>
      <b/>
      <sz val="16"/>
      <color rgb="FF0000FF"/>
      <name val="Vcal"/>
    </font>
    <font>
      <b/>
      <sz val="14"/>
      <color rgb="FF002060"/>
      <name val="Times New Roman"/>
      <family val="1"/>
    </font>
    <font>
      <b/>
      <i/>
      <sz val="14"/>
      <color rgb="FFC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58" fillId="0" borderId="0" applyFont="0" applyFill="0" applyBorder="0" applyAlignment="0" applyProtection="0"/>
    <xf numFmtId="164" fontId="77" fillId="0" borderId="0" applyFont="0" applyFill="0" applyBorder="0" applyAlignment="0" applyProtection="0"/>
    <xf numFmtId="44" fontId="77" fillId="0" borderId="0" applyFont="0" applyFill="0" applyBorder="0" applyAlignment="0" applyProtection="0"/>
  </cellStyleXfs>
  <cellXfs count="536">
    <xf numFmtId="0" fontId="0" fillId="0" borderId="0" xfId="0"/>
    <xf numFmtId="2" fontId="1" fillId="0" borderId="0" xfId="0" applyNumberFormat="1" applyFont="1" applyBorder="1" applyAlignment="1"/>
    <xf numFmtId="0" fontId="2" fillId="0" borderId="0" xfId="0" applyFont="1"/>
    <xf numFmtId="0" fontId="4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 textRotation="90"/>
    </xf>
    <xf numFmtId="0" fontId="25" fillId="0" borderId="0" xfId="37" applyFont="1" applyBorder="1"/>
    <xf numFmtId="0" fontId="24" fillId="0" borderId="0" xfId="37" applyFont="1" applyBorder="1" applyAlignment="1">
      <alignment horizontal="right"/>
    </xf>
    <xf numFmtId="0" fontId="25" fillId="0" borderId="0" xfId="37" applyFont="1" applyBorder="1" applyAlignment="1">
      <alignment horizontal="right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 applyAlignment="1">
      <alignment horizontal="center" vertical="center" textRotation="90"/>
    </xf>
    <xf numFmtId="0" fontId="27" fillId="0" borderId="0" xfId="37" applyFont="1" applyBorder="1" applyAlignment="1">
      <alignment horizontal="right" vertical="center"/>
    </xf>
    <xf numFmtId="0" fontId="1" fillId="0" borderId="0" xfId="37" applyFont="1" applyBorder="1" applyAlignment="1">
      <alignment horizontal="right" vertical="center"/>
    </xf>
    <xf numFmtId="2" fontId="29" fillId="0" borderId="0" xfId="37" applyNumberFormat="1" applyFont="1" applyBorder="1" applyAlignment="1">
      <alignment horizontal="right" vertical="center"/>
    </xf>
    <xf numFmtId="0" fontId="4" fillId="25" borderId="0" xfId="0" applyNumberFormat="1" applyFont="1" applyFill="1" applyBorder="1" applyAlignment="1">
      <alignment horizontal="left" vertical="top"/>
    </xf>
    <xf numFmtId="0" fontId="39" fillId="25" borderId="0" xfId="0" applyNumberFormat="1" applyFont="1" applyFill="1" applyBorder="1" applyAlignment="1">
      <alignment horizontal="left" vertical="top"/>
    </xf>
    <xf numFmtId="0" fontId="38" fillId="25" borderId="0" xfId="0" applyNumberFormat="1" applyFont="1" applyFill="1" applyBorder="1" applyAlignment="1" applyProtection="1">
      <alignment horizontal="center" vertical="center"/>
      <protection locked="0"/>
    </xf>
    <xf numFmtId="0" fontId="39" fillId="25" borderId="0" xfId="0" applyNumberFormat="1" applyFont="1" applyFill="1" applyBorder="1" applyAlignment="1">
      <alignment horizontal="left" vertical="top" indent="1"/>
    </xf>
    <xf numFmtId="0" fontId="43" fillId="25" borderId="0" xfId="0" applyNumberFormat="1" applyFont="1" applyFill="1" applyBorder="1" applyAlignment="1">
      <alignment horizontal="center"/>
    </xf>
    <xf numFmtId="0" fontId="37" fillId="25" borderId="0" xfId="0" applyNumberFormat="1" applyFont="1" applyFill="1" applyBorder="1" applyAlignment="1">
      <alignment horizontal="left" vertical="top"/>
    </xf>
    <xf numFmtId="0" fontId="23" fillId="25" borderId="0" xfId="0" applyNumberFormat="1" applyFont="1" applyFill="1" applyBorder="1" applyAlignment="1" applyProtection="1">
      <alignment horizontal="center" vertical="center"/>
      <protection locked="0"/>
    </xf>
    <xf numFmtId="0" fontId="4" fillId="25" borderId="0" xfId="0" applyNumberFormat="1" applyFont="1" applyFill="1" applyBorder="1" applyAlignment="1">
      <alignment vertical="top"/>
    </xf>
    <xf numFmtId="0" fontId="30" fillId="25" borderId="0" xfId="0" applyNumberFormat="1" applyFont="1" applyFill="1" applyBorder="1" applyAlignment="1">
      <alignment vertical="center"/>
    </xf>
    <xf numFmtId="0" fontId="34" fillId="25" borderId="0" xfId="0" applyNumberFormat="1" applyFont="1" applyFill="1" applyBorder="1" applyAlignment="1">
      <alignment horizontal="center" vertical="center" textRotation="90"/>
    </xf>
    <xf numFmtId="0" fontId="3" fillId="25" borderId="0" xfId="0" applyNumberFormat="1" applyFont="1" applyFill="1" applyBorder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0" fontId="0" fillId="0" borderId="0" xfId="0" applyFill="1"/>
    <xf numFmtId="0" fontId="25" fillId="0" borderId="0" xfId="37" applyFont="1" applyFill="1" applyBorder="1"/>
    <xf numFmtId="0" fontId="25" fillId="0" borderId="0" xfId="37" applyFont="1" applyFill="1"/>
    <xf numFmtId="0" fontId="0" fillId="0" borderId="0" xfId="0" applyFill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/>
    <xf numFmtId="2" fontId="29" fillId="0" borderId="0" xfId="0" applyNumberFormat="1" applyFont="1" applyBorder="1" applyAlignment="1"/>
    <xf numFmtId="1" fontId="29" fillId="0" borderId="0" xfId="0" applyNumberFormat="1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NumberFormat="1" applyFont="1" applyFill="1" applyBorder="1" applyAlignment="1">
      <alignment horizontal="center" textRotation="90" wrapText="1"/>
    </xf>
    <xf numFmtId="0" fontId="34" fillId="0" borderId="0" xfId="0" applyNumberFormat="1" applyFont="1" applyFill="1" applyBorder="1" applyAlignment="1">
      <alignment horizontal="center" textRotation="90" wrapText="1"/>
    </xf>
    <xf numFmtId="2" fontId="1" fillId="32" borderId="0" xfId="0" applyNumberFormat="1" applyFont="1" applyFill="1" applyBorder="1" applyAlignment="1"/>
    <xf numFmtId="2" fontId="29" fillId="32" borderId="0" xfId="0" applyNumberFormat="1" applyFont="1" applyFill="1" applyBorder="1" applyAlignment="1"/>
    <xf numFmtId="0" fontId="54" fillId="0" borderId="0" xfId="37" applyFont="1" applyFill="1" applyAlignment="1">
      <alignment vertical="top"/>
    </xf>
    <xf numFmtId="0" fontId="23" fillId="0" borderId="0" xfId="0" applyNumberFormat="1" applyFont="1" applyFill="1" applyBorder="1" applyAlignment="1" applyProtection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3" fillId="0" borderId="0" xfId="0" applyFont="1" applyFill="1" applyAlignment="1">
      <alignment horizontal="center"/>
    </xf>
    <xf numFmtId="0" fontId="31" fillId="0" borderId="0" xfId="0" applyFont="1" applyAlignment="1"/>
    <xf numFmtId="0" fontId="63" fillId="0" borderId="0" xfId="0" applyFont="1"/>
    <xf numFmtId="0" fontId="63" fillId="0" borderId="0" xfId="0" applyFont="1" applyFill="1" applyBorder="1" applyAlignment="1">
      <alignment horizontal="center"/>
    </xf>
    <xf numFmtId="0" fontId="64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6" fillId="34" borderId="22" xfId="0" applyFont="1" applyFill="1" applyBorder="1" applyAlignment="1">
      <alignment horizontal="center" vertical="top"/>
    </xf>
    <xf numFmtId="0" fontId="56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4" fillId="0" borderId="0" xfId="37" applyFont="1" applyFill="1" applyAlignment="1">
      <alignment vertical="top" wrapText="1"/>
    </xf>
    <xf numFmtId="0" fontId="65" fillId="0" borderId="0" xfId="0" applyFont="1"/>
    <xf numFmtId="0" fontId="36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0" fontId="74" fillId="26" borderId="10" xfId="0" applyFont="1" applyFill="1" applyBorder="1" applyAlignment="1" applyProtection="1">
      <alignment horizontal="left" vertical="center" indent="1"/>
      <protection locked="0"/>
    </xf>
    <xf numFmtId="1" fontId="29" fillId="0" borderId="0" xfId="0" applyNumberFormat="1" applyFont="1" applyBorder="1" applyAlignment="1"/>
    <xf numFmtId="2" fontId="1" fillId="0" borderId="0" xfId="0" applyNumberFormat="1" applyFont="1" applyFill="1" applyBorder="1" applyAlignment="1"/>
    <xf numFmtId="1" fontId="29" fillId="0" borderId="0" xfId="0" applyNumberFormat="1" applyFont="1" applyBorder="1" applyAlignment="1">
      <alignment horizontal="right"/>
    </xf>
    <xf numFmtId="1" fontId="29" fillId="0" borderId="0" xfId="0" applyNumberFormat="1" applyFont="1" applyBorder="1" applyAlignment="1">
      <alignment horizontal="right" vertical="center"/>
    </xf>
    <xf numFmtId="1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/>
    <xf numFmtId="2" fontId="29" fillId="32" borderId="10" xfId="0" applyNumberFormat="1" applyFont="1" applyFill="1" applyBorder="1" applyAlignment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/>
    <xf numFmtId="1" fontId="75" fillId="32" borderId="10" xfId="0" applyNumberFormat="1" applyFont="1" applyFill="1" applyBorder="1" applyAlignment="1"/>
    <xf numFmtId="1" fontId="76" fillId="32" borderId="0" xfId="0" applyNumberFormat="1" applyFont="1" applyFill="1" applyBorder="1" applyAlignment="1">
      <alignment vertical="center"/>
    </xf>
    <xf numFmtId="0" fontId="78" fillId="0" borderId="0" xfId="37" applyFont="1" applyBorder="1"/>
    <xf numFmtId="0" fontId="78" fillId="0" borderId="0" xfId="37" applyFont="1" applyFill="1" applyBorder="1"/>
    <xf numFmtId="0" fontId="78" fillId="0" borderId="0" xfId="37" applyFont="1" applyFill="1"/>
    <xf numFmtId="0" fontId="78" fillId="25" borderId="0" xfId="37" applyFont="1" applyFill="1"/>
    <xf numFmtId="0" fontId="78" fillId="0" borderId="0" xfId="37" applyFont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2" fillId="0" borderId="22" xfId="0" applyNumberFormat="1" applyFont="1" applyFill="1" applyBorder="1" applyAlignment="1" applyProtection="1">
      <alignment horizontal="center" vertical="center" wrapText="1"/>
      <protection locked="0"/>
    </xf>
    <xf numFmtId="17" fontId="82" fillId="0" borderId="22" xfId="0" applyNumberFormat="1" applyFont="1" applyFill="1" applyBorder="1" applyAlignment="1" applyProtection="1">
      <alignment horizontal="center" vertical="center"/>
      <protection locked="0"/>
    </xf>
    <xf numFmtId="0" fontId="34" fillId="32" borderId="29" xfId="0" applyNumberFormat="1" applyFont="1" applyFill="1" applyBorder="1" applyAlignment="1" applyProtection="1">
      <alignment horizontal="center" vertical="center" textRotation="90"/>
      <protection hidden="1"/>
    </xf>
    <xf numFmtId="0" fontId="49" fillId="25" borderId="0" xfId="0" applyNumberFormat="1" applyFont="1" applyFill="1" applyBorder="1" applyAlignment="1">
      <alignment vertical="top"/>
    </xf>
    <xf numFmtId="0" fontId="49" fillId="0" borderId="0" xfId="0" applyNumberFormat="1" applyFont="1" applyFill="1" applyBorder="1" applyAlignment="1">
      <alignment vertical="top"/>
    </xf>
    <xf numFmtId="3" fontId="84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84" fillId="32" borderId="27" xfId="0" applyNumberFormat="1" applyFont="1" applyFill="1" applyBorder="1" applyAlignment="1">
      <alignment horizontal="center" vertical="center" textRotation="90"/>
    </xf>
    <xf numFmtId="167" fontId="85" fillId="0" borderId="10" xfId="0" applyNumberFormat="1" applyFont="1" applyFill="1" applyBorder="1" applyAlignment="1" applyProtection="1">
      <alignment horizontal="center" vertical="center"/>
      <protection hidden="1"/>
    </xf>
    <xf numFmtId="3" fontId="85" fillId="0" borderId="10" xfId="0" applyNumberFormat="1" applyFont="1" applyFill="1" applyBorder="1" applyAlignment="1" applyProtection="1">
      <alignment horizontal="center" vertical="center"/>
      <protection hidden="1"/>
    </xf>
    <xf numFmtId="0" fontId="49" fillId="25" borderId="0" xfId="0" applyNumberFormat="1" applyFont="1" applyFill="1" applyBorder="1" applyAlignment="1">
      <alignment vertical="center"/>
    </xf>
    <xf numFmtId="0" fontId="49" fillId="0" borderId="0" xfId="0" applyNumberFormat="1" applyFont="1" applyFill="1" applyBorder="1" applyAlignment="1">
      <alignment vertical="center"/>
    </xf>
    <xf numFmtId="0" fontId="59" fillId="0" borderId="0" xfId="0" applyNumberFormat="1" applyFont="1" applyFill="1" applyBorder="1" applyAlignment="1" applyProtection="1">
      <alignment horizontal="right" vertical="center"/>
    </xf>
    <xf numFmtId="0" fontId="59" fillId="0" borderId="0" xfId="0" applyNumberFormat="1" applyFont="1" applyFill="1" applyBorder="1" applyAlignment="1" applyProtection="1">
      <alignment vertical="center"/>
    </xf>
    <xf numFmtId="2" fontId="81" fillId="32" borderId="0" xfId="0" applyNumberFormat="1" applyFont="1" applyFill="1" applyBorder="1" applyAlignment="1">
      <alignment horizontal="left"/>
    </xf>
    <xf numFmtId="2" fontId="76" fillId="32" borderId="0" xfId="0" applyNumberFormat="1" applyFont="1" applyFill="1" applyBorder="1" applyAlignment="1">
      <alignment horizontal="left"/>
    </xf>
    <xf numFmtId="0" fontId="59" fillId="0" borderId="0" xfId="0" applyNumberFormat="1" applyFont="1" applyFill="1" applyBorder="1" applyAlignment="1" applyProtection="1">
      <alignment horizontal="left" vertical="center"/>
    </xf>
    <xf numFmtId="1" fontId="88" fillId="39" borderId="39" xfId="0" applyNumberFormat="1" applyFont="1" applyFill="1" applyBorder="1" applyAlignment="1">
      <alignment horizontal="center" vertical="center"/>
    </xf>
    <xf numFmtId="3" fontId="75" fillId="0" borderId="21" xfId="0" applyNumberFormat="1" applyFont="1" applyFill="1" applyBorder="1" applyAlignment="1">
      <alignment horizontal="center" vertical="center"/>
    </xf>
    <xf numFmtId="3" fontId="57" fillId="0" borderId="21" xfId="0" applyNumberFormat="1" applyFont="1" applyFill="1" applyBorder="1" applyAlignment="1">
      <alignment horizontal="center" vertical="center"/>
    </xf>
    <xf numFmtId="1" fontId="57" fillId="0" borderId="21" xfId="0" applyNumberFormat="1" applyFont="1" applyFill="1" applyBorder="1" applyAlignment="1">
      <alignment horizontal="center" vertical="center"/>
    </xf>
    <xf numFmtId="3" fontId="53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/>
    </xf>
    <xf numFmtId="2" fontId="29" fillId="0" borderId="0" xfId="0" applyNumberFormat="1" applyFont="1" applyFill="1" applyBorder="1" applyAlignment="1"/>
    <xf numFmtId="2" fontId="29" fillId="0" borderId="0" xfId="0" applyNumberFormat="1" applyFont="1" applyBorder="1" applyAlignment="1">
      <alignment horizontal="center" vertical="center"/>
    </xf>
    <xf numFmtId="0" fontId="2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Fill="1" applyBorder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NumberFormat="1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 applyAlignment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 applyFill="1" applyBorder="1" applyAlignment="1"/>
    <xf numFmtId="2" fontId="52" fillId="0" borderId="0" xfId="0" applyNumberFormat="1" applyFont="1" applyFill="1" applyBorder="1" applyAlignment="1"/>
    <xf numFmtId="0" fontId="99" fillId="0" borderId="10" xfId="37" applyFont="1" applyBorder="1" applyAlignment="1">
      <alignment horizontal="center" vertical="center" wrapText="1"/>
    </xf>
    <xf numFmtId="0" fontId="100" fillId="0" borderId="10" xfId="37" applyFont="1" applyBorder="1" applyAlignment="1">
      <alignment horizontal="center" vertical="center"/>
    </xf>
    <xf numFmtId="1" fontId="100" fillId="0" borderId="10" xfId="37" applyNumberFormat="1" applyFont="1" applyBorder="1" applyAlignment="1">
      <alignment horizontal="center" vertical="center" wrapText="1"/>
    </xf>
    <xf numFmtId="0" fontId="106" fillId="0" borderId="10" xfId="37" applyFont="1" applyBorder="1" applyAlignment="1">
      <alignment horizontal="center" vertical="center"/>
    </xf>
    <xf numFmtId="9" fontId="106" fillId="0" borderId="10" xfId="37" applyNumberFormat="1" applyFont="1" applyBorder="1" applyAlignment="1">
      <alignment horizontal="center" vertical="center"/>
    </xf>
    <xf numFmtId="0" fontId="114" fillId="0" borderId="32" xfId="37" applyFont="1" applyBorder="1" applyAlignment="1">
      <alignment horizontal="right" vertical="center"/>
    </xf>
    <xf numFmtId="0" fontId="34" fillId="0" borderId="0" xfId="37" applyFont="1" applyBorder="1" applyAlignment="1">
      <alignment horizontal="right" vertical="center"/>
    </xf>
    <xf numFmtId="0" fontId="114" fillId="0" borderId="30" xfId="37" applyFont="1" applyBorder="1" applyAlignment="1">
      <alignment horizontal="center" vertical="center"/>
    </xf>
    <xf numFmtId="0" fontId="114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 applyBorder="1"/>
    <xf numFmtId="0" fontId="34" fillId="0" borderId="0" xfId="37" applyFont="1" applyFill="1" applyBorder="1"/>
    <xf numFmtId="0" fontId="34" fillId="0" borderId="0" xfId="37" applyFont="1"/>
    <xf numFmtId="0" fontId="125" fillId="0" borderId="30" xfId="37" applyFont="1" applyBorder="1" applyAlignment="1">
      <alignment horizontal="center" vertical="center"/>
    </xf>
    <xf numFmtId="0" fontId="125" fillId="0" borderId="22" xfId="37" applyFont="1" applyBorder="1" applyAlignment="1">
      <alignment horizontal="center" vertical="center"/>
    </xf>
    <xf numFmtId="0" fontId="130" fillId="0" borderId="10" xfId="37" applyFont="1" applyBorder="1" applyAlignment="1">
      <alignment horizontal="center" vertical="center" wrapText="1"/>
    </xf>
    <xf numFmtId="2" fontId="89" fillId="30" borderId="18" xfId="0" applyNumberFormat="1" applyFont="1" applyFill="1" applyBorder="1" applyAlignment="1">
      <alignment vertical="center"/>
    </xf>
    <xf numFmtId="2" fontId="89" fillId="30" borderId="19" xfId="0" applyNumberFormat="1" applyFont="1" applyFill="1" applyBorder="1" applyAlignment="1">
      <alignment vertical="center"/>
    </xf>
    <xf numFmtId="2" fontId="89" fillId="30" borderId="34" xfId="0" applyNumberFormat="1" applyFont="1" applyFill="1" applyBorder="1" applyAlignment="1">
      <alignment vertical="center"/>
    </xf>
    <xf numFmtId="2" fontId="89" fillId="30" borderId="33" xfId="0" applyNumberFormat="1" applyFont="1" applyFill="1" applyBorder="1" applyAlignment="1">
      <alignment vertical="center"/>
    </xf>
    <xf numFmtId="2" fontId="89" fillId="30" borderId="16" xfId="0" applyNumberFormat="1" applyFont="1" applyFill="1" applyBorder="1" applyAlignment="1">
      <alignment vertical="center"/>
    </xf>
    <xf numFmtId="2" fontId="89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3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57" fillId="0" borderId="56" xfId="0" applyNumberFormat="1" applyFont="1" applyFill="1" applyBorder="1" applyAlignment="1">
      <alignment horizontal="center" vertical="center"/>
    </xf>
    <xf numFmtId="0" fontId="134" fillId="32" borderId="53" xfId="0" applyNumberFormat="1" applyFont="1" applyFill="1" applyBorder="1" applyAlignment="1" applyProtection="1">
      <alignment horizontal="center" textRotation="90" wrapText="1"/>
      <protection locked="0"/>
    </xf>
    <xf numFmtId="167" fontId="97" fillId="0" borderId="10" xfId="0" applyNumberFormat="1" applyFont="1" applyFill="1" applyBorder="1" applyAlignment="1" applyProtection="1">
      <alignment horizontal="center" vertical="center"/>
      <protection locked="0" hidden="1"/>
    </xf>
    <xf numFmtId="3" fontId="94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97" fillId="0" borderId="10" xfId="0" applyNumberFormat="1" applyFont="1" applyFill="1" applyBorder="1" applyAlignment="1" applyProtection="1">
      <alignment horizontal="center" vertical="center"/>
      <protection hidden="1"/>
    </xf>
    <xf numFmtId="0" fontId="131" fillId="32" borderId="52" xfId="0" applyNumberFormat="1" applyFont="1" applyFill="1" applyBorder="1" applyAlignment="1">
      <alignment horizontal="center" vertical="center" wrapText="1"/>
    </xf>
    <xf numFmtId="0" fontId="131" fillId="32" borderId="53" xfId="0" applyNumberFormat="1" applyFont="1" applyFill="1" applyBorder="1" applyAlignment="1">
      <alignment horizontal="center" textRotation="90" wrapText="1"/>
    </xf>
    <xf numFmtId="0" fontId="131" fillId="32" borderId="53" xfId="0" applyNumberFormat="1" applyFont="1" applyFill="1" applyBorder="1" applyAlignment="1" applyProtection="1">
      <alignment horizontal="center" textRotation="90" wrapText="1"/>
      <protection locked="0"/>
    </xf>
    <xf numFmtId="0" fontId="131" fillId="32" borderId="53" xfId="0" applyNumberFormat="1" applyFont="1" applyFill="1" applyBorder="1" applyAlignment="1" applyProtection="1">
      <alignment horizontal="center" textRotation="90" wrapText="1"/>
    </xf>
    <xf numFmtId="0" fontId="131" fillId="32" borderId="54" xfId="0" applyNumberFormat="1" applyFont="1" applyFill="1" applyBorder="1" applyAlignment="1" applyProtection="1">
      <alignment horizontal="center" vertical="center" wrapText="1"/>
      <protection locked="0"/>
    </xf>
    <xf numFmtId="3" fontId="91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13" fillId="0" borderId="22" xfId="0" applyNumberFormat="1" applyFont="1" applyFill="1" applyBorder="1" applyAlignment="1">
      <alignment horizontal="center" vertical="center"/>
    </xf>
    <xf numFmtId="17" fontId="113" fillId="0" borderId="22" xfId="0" applyNumberFormat="1" applyFont="1" applyFill="1" applyBorder="1" applyAlignment="1" applyProtection="1">
      <alignment horizontal="center" vertical="center" wrapText="1"/>
      <protection hidden="1"/>
    </xf>
    <xf numFmtId="17" fontId="113" fillId="0" borderId="22" xfId="0" applyNumberFormat="1" applyFont="1" applyFill="1" applyBorder="1" applyAlignment="1" applyProtection="1">
      <alignment horizontal="center" vertical="center" wrapText="1"/>
    </xf>
    <xf numFmtId="167" fontId="112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00" fillId="0" borderId="10" xfId="0" applyNumberFormat="1" applyFont="1" applyFill="1" applyBorder="1" applyAlignment="1" applyProtection="1">
      <alignment horizontal="center" vertical="center"/>
      <protection locked="0" hidden="1"/>
    </xf>
    <xf numFmtId="167" fontId="112" fillId="0" borderId="10" xfId="0" applyNumberFormat="1" applyFont="1" applyFill="1" applyBorder="1" applyAlignment="1" applyProtection="1">
      <alignment vertical="center"/>
      <protection locked="0"/>
    </xf>
    <xf numFmtId="0" fontId="141" fillId="0" borderId="0" xfId="0" applyNumberFormat="1" applyFont="1" applyFill="1" applyBorder="1" applyAlignment="1" applyProtection="1">
      <alignment horizontal="right" vertical="center"/>
    </xf>
    <xf numFmtId="3" fontId="141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41" fillId="30" borderId="28" xfId="0" applyFont="1" applyFill="1" applyBorder="1" applyAlignment="1" applyProtection="1">
      <alignment horizontal="left" vertical="center" indent="1"/>
      <protection locked="0"/>
    </xf>
    <xf numFmtId="0" fontId="132" fillId="32" borderId="10" xfId="0" applyFont="1" applyFill="1" applyBorder="1" applyAlignment="1">
      <alignment horizontal="right" vertical="center" indent="1"/>
    </xf>
    <xf numFmtId="49" fontId="14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41" fillId="32" borderId="10" xfId="0" applyFont="1" applyFill="1" applyBorder="1" applyAlignment="1">
      <alignment horizontal="right" vertical="center" indent="1"/>
    </xf>
    <xf numFmtId="1" fontId="141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41" fillId="30" borderId="21" xfId="0" applyNumberFormat="1" applyFont="1" applyFill="1" applyBorder="1" applyAlignment="1" applyProtection="1">
      <alignment horizontal="left" vertical="center" indent="1"/>
      <protection locked="0"/>
    </xf>
    <xf numFmtId="9" fontId="141" fillId="30" borderId="21" xfId="44" applyFont="1" applyFill="1" applyBorder="1" applyAlignment="1" applyProtection="1">
      <alignment horizontal="left" vertical="center" indent="1"/>
      <protection locked="0"/>
    </xf>
    <xf numFmtId="0" fontId="132" fillId="32" borderId="10" xfId="0" applyFont="1" applyFill="1" applyBorder="1" applyAlignment="1">
      <alignment horizontal="right" indent="1"/>
    </xf>
    <xf numFmtId="166" fontId="141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32" fillId="32" borderId="52" xfId="0" applyFont="1" applyFill="1" applyBorder="1" applyAlignment="1">
      <alignment horizontal="right" vertical="center" indent="1"/>
    </xf>
    <xf numFmtId="0" fontId="132" fillId="32" borderId="22" xfId="0" applyFont="1" applyFill="1" applyBorder="1" applyAlignment="1">
      <alignment horizontal="right" vertical="center" indent="1"/>
    </xf>
    <xf numFmtId="0" fontId="100" fillId="32" borderId="22" xfId="0" applyFont="1" applyFill="1" applyBorder="1" applyAlignment="1">
      <alignment horizontal="right" vertical="center" indent="1"/>
    </xf>
    <xf numFmtId="0" fontId="132" fillId="32" borderId="22" xfId="0" applyFont="1" applyFill="1" applyBorder="1" applyAlignment="1">
      <alignment horizontal="right" indent="1"/>
    </xf>
    <xf numFmtId="0" fontId="132" fillId="32" borderId="27" xfId="0" applyFont="1" applyFill="1" applyBorder="1" applyAlignment="1">
      <alignment horizontal="right" indent="1"/>
    </xf>
    <xf numFmtId="0" fontId="144" fillId="0" borderId="0" xfId="0" applyNumberFormat="1" applyFont="1" applyFill="1" applyBorder="1" applyAlignment="1">
      <alignment horizontal="center" vertical="top"/>
    </xf>
    <xf numFmtId="0" fontId="145" fillId="0" borderId="0" xfId="0" applyNumberFormat="1" applyFont="1" applyFill="1" applyBorder="1" applyAlignment="1">
      <alignment horizontal="center" vertical="top"/>
    </xf>
    <xf numFmtId="0" fontId="140" fillId="0" borderId="0" xfId="0" applyNumberFormat="1" applyFont="1" applyFill="1" applyBorder="1" applyAlignment="1" applyProtection="1">
      <alignment vertical="center"/>
    </xf>
    <xf numFmtId="0" fontId="97" fillId="0" borderId="0" xfId="0" applyNumberFormat="1" applyFont="1" applyFill="1" applyBorder="1" applyAlignment="1" applyProtection="1">
      <alignment vertical="center"/>
      <protection locked="0" hidden="1"/>
    </xf>
    <xf numFmtId="2" fontId="29" fillId="26" borderId="0" xfId="0" applyNumberFormat="1" applyFont="1" applyFill="1" applyBorder="1" applyAlignment="1">
      <alignment horizontal="center" vertical="center"/>
    </xf>
    <xf numFmtId="1" fontId="75" fillId="26" borderId="10" xfId="0" applyNumberFormat="1" applyFont="1" applyFill="1" applyBorder="1" applyAlignment="1"/>
    <xf numFmtId="1" fontId="57" fillId="29" borderId="10" xfId="0" applyNumberFormat="1" applyFont="1" applyFill="1" applyBorder="1" applyAlignment="1">
      <alignment horizontal="center"/>
    </xf>
    <xf numFmtId="1" fontId="147" fillId="29" borderId="10" xfId="0" applyNumberFormat="1" applyFont="1" applyFill="1" applyBorder="1" applyAlignment="1">
      <alignment horizontal="center"/>
    </xf>
    <xf numFmtId="0" fontId="30" fillId="0" borderId="10" xfId="0" applyNumberFormat="1" applyFont="1" applyFill="1" applyBorder="1" applyAlignment="1">
      <alignment vertical="center"/>
    </xf>
    <xf numFmtId="167" fontId="112" fillId="0" borderId="0" xfId="0" applyNumberFormat="1" applyFont="1" applyFill="1" applyBorder="1" applyAlignment="1" applyProtection="1">
      <alignment vertical="center"/>
      <protection locked="0" hidden="1"/>
    </xf>
    <xf numFmtId="0" fontId="141" fillId="30" borderId="10" xfId="0" applyFont="1" applyFill="1" applyBorder="1" applyAlignment="1" applyProtection="1">
      <alignment horizontal="left" vertical="center" indent="1"/>
      <protection locked="0"/>
    </xf>
    <xf numFmtId="0" fontId="141" fillId="30" borderId="21" xfId="0" applyFont="1" applyFill="1" applyBorder="1" applyAlignment="1" applyProtection="1">
      <alignment horizontal="left" vertical="center" indent="1"/>
      <protection locked="0"/>
    </xf>
    <xf numFmtId="0" fontId="133" fillId="0" borderId="0" xfId="0" applyNumberFormat="1" applyFont="1" applyFill="1" applyBorder="1" applyAlignment="1">
      <alignment horizontal="center" vertical="top"/>
    </xf>
    <xf numFmtId="0" fontId="133" fillId="0" borderId="0" xfId="0" applyNumberFormat="1" applyFont="1" applyFill="1" applyBorder="1" applyAlignment="1">
      <alignment vertical="top"/>
    </xf>
    <xf numFmtId="14" fontId="133" fillId="0" borderId="0" xfId="0" applyNumberFormat="1" applyFont="1" applyFill="1" applyBorder="1" applyAlignment="1">
      <alignment vertical="top"/>
    </xf>
    <xf numFmtId="0" fontId="141" fillId="30" borderId="21" xfId="0" applyFont="1" applyFill="1" applyBorder="1" applyAlignment="1" applyProtection="1">
      <alignment horizontal="left" vertical="center" indent="1"/>
      <protection locked="0"/>
    </xf>
    <xf numFmtId="0" fontId="133" fillId="0" borderId="0" xfId="0" applyNumberFormat="1" applyFont="1" applyFill="1" applyBorder="1" applyAlignment="1">
      <alignment horizontal="center" vertical="top"/>
    </xf>
    <xf numFmtId="0" fontId="132" fillId="32" borderId="28" xfId="0" quotePrefix="1" applyFont="1" applyFill="1" applyBorder="1" applyAlignment="1" applyProtection="1">
      <alignment horizontal="right" vertical="center" indent="1"/>
    </xf>
    <xf numFmtId="2" fontId="25" fillId="0" borderId="0" xfId="0" applyNumberFormat="1" applyFont="1" applyBorder="1" applyAlignment="1"/>
    <xf numFmtId="2" fontId="25" fillId="0" borderId="0" xfId="0" applyNumberFormat="1" applyFont="1" applyFill="1" applyBorder="1" applyAlignment="1"/>
    <xf numFmtId="1" fontId="30" fillId="29" borderId="10" xfId="0" applyNumberFormat="1" applyFont="1" applyFill="1" applyBorder="1" applyAlignment="1">
      <alignment horizontal="center"/>
    </xf>
    <xf numFmtId="3" fontId="28" fillId="29" borderId="10" xfId="0" applyNumberFormat="1" applyFont="1" applyFill="1" applyBorder="1" applyAlignment="1" applyProtection="1">
      <alignment horizontal="right" vertical="center" indent="1"/>
      <protection locked="0"/>
    </xf>
    <xf numFmtId="1" fontId="30" fillId="28" borderId="10" xfId="0" applyNumberFormat="1" applyFont="1" applyFill="1" applyBorder="1" applyAlignment="1">
      <alignment horizontal="center" vertical="center"/>
    </xf>
    <xf numFmtId="2" fontId="48" fillId="28" borderId="10" xfId="0" applyNumberFormat="1" applyFont="1" applyFill="1" applyBorder="1" applyAlignment="1">
      <alignment horizontal="left" vertical="center" indent="1"/>
    </xf>
    <xf numFmtId="3" fontId="28" fillId="28" borderId="10" xfId="0" applyNumberFormat="1" applyFont="1" applyFill="1" applyBorder="1" applyAlignment="1" applyProtection="1">
      <alignment horizontal="right" vertical="center" indent="1"/>
      <protection locked="0"/>
    </xf>
    <xf numFmtId="2" fontId="48" fillId="29" borderId="10" xfId="0" applyNumberFormat="1" applyFont="1" applyFill="1" applyBorder="1" applyAlignment="1">
      <alignment horizontal="left" vertical="center" indent="1"/>
    </xf>
    <xf numFmtId="2" fontId="48" fillId="28" borderId="10" xfId="0" applyNumberFormat="1" applyFont="1" applyFill="1" applyBorder="1" applyAlignment="1">
      <alignment horizontal="left" indent="1"/>
    </xf>
    <xf numFmtId="0" fontId="30" fillId="29" borderId="10" xfId="0" applyNumberFormat="1" applyFont="1" applyFill="1" applyBorder="1" applyAlignment="1">
      <alignment horizontal="center"/>
    </xf>
    <xf numFmtId="3" fontId="28" fillId="29" borderId="10" xfId="0" applyNumberFormat="1" applyFont="1" applyFill="1" applyBorder="1" applyAlignment="1" applyProtection="1">
      <alignment horizontal="right" indent="1"/>
      <protection locked="0"/>
    </xf>
    <xf numFmtId="1" fontId="30" fillId="28" borderId="10" xfId="0" applyNumberFormat="1" applyFont="1" applyFill="1" applyBorder="1" applyAlignment="1">
      <alignment horizontal="center" vertical="center" wrapText="1"/>
    </xf>
    <xf numFmtId="2" fontId="48" fillId="28" borderId="10" xfId="0" applyNumberFormat="1" applyFont="1" applyFill="1" applyBorder="1" applyAlignment="1">
      <alignment horizontal="left" vertical="center" wrapText="1" indent="1"/>
    </xf>
    <xf numFmtId="3" fontId="28" fillId="28" borderId="10" xfId="0" applyNumberFormat="1" applyFont="1" applyFill="1" applyBorder="1" applyAlignment="1" applyProtection="1">
      <alignment horizontal="right" indent="1"/>
      <protection locked="0"/>
    </xf>
    <xf numFmtId="2" fontId="1" fillId="30" borderId="0" xfId="0" applyNumberFormat="1" applyFont="1" applyFill="1" applyBorder="1" applyAlignment="1"/>
    <xf numFmtId="2" fontId="41" fillId="30" borderId="0" xfId="0" applyNumberFormat="1" applyFont="1" applyFill="1" applyBorder="1" applyAlignment="1"/>
    <xf numFmtId="2" fontId="52" fillId="30" borderId="0" xfId="0" applyNumberFormat="1" applyFont="1" applyFill="1" applyBorder="1" applyAlignment="1"/>
    <xf numFmtId="2" fontId="89" fillId="30" borderId="0" xfId="0" applyNumberFormat="1" applyFont="1" applyFill="1" applyBorder="1" applyAlignment="1">
      <alignment vertical="center"/>
    </xf>
    <xf numFmtId="2" fontId="28" fillId="30" borderId="0" xfId="0" applyNumberFormat="1" applyFont="1" applyFill="1" applyBorder="1" applyAlignment="1" applyProtection="1">
      <alignment horizontal="left"/>
    </xf>
    <xf numFmtId="2" fontId="152" fillId="29" borderId="10" xfId="0" applyNumberFormat="1" applyFont="1" applyFill="1" applyBorder="1" applyAlignment="1">
      <alignment horizontal="left" vertical="center" indent="1"/>
    </xf>
    <xf numFmtId="2" fontId="48" fillId="29" borderId="10" xfId="0" applyNumberFormat="1" applyFont="1" applyFill="1" applyBorder="1" applyAlignment="1">
      <alignment horizontal="left" vertical="center" wrapText="1" indent="1"/>
    </xf>
    <xf numFmtId="9" fontId="106" fillId="0" borderId="10" xfId="37" applyNumberFormat="1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center"/>
    </xf>
    <xf numFmtId="0" fontId="106" fillId="0" borderId="12" xfId="37" applyFont="1" applyBorder="1" applyAlignment="1">
      <alignment horizontal="center" vertical="center"/>
    </xf>
    <xf numFmtId="0" fontId="99" fillId="0" borderId="10" xfId="37" applyFont="1" applyBorder="1" applyAlignment="1">
      <alignment horizontal="center" vertical="center" wrapText="1"/>
    </xf>
    <xf numFmtId="0" fontId="132" fillId="0" borderId="32" xfId="37" applyFont="1" applyBorder="1" applyAlignment="1">
      <alignment horizontal="center" vertical="center"/>
    </xf>
    <xf numFmtId="0" fontId="56" fillId="34" borderId="23" xfId="0" applyFont="1" applyFill="1" applyBorder="1" applyAlignment="1">
      <alignment horizontal="center" vertical="top"/>
    </xf>
    <xf numFmtId="0" fontId="67" fillId="26" borderId="35" xfId="0" applyFont="1" applyFill="1" applyBorder="1" applyAlignment="1">
      <alignment horizontal="center"/>
    </xf>
    <xf numFmtId="0" fontId="67" fillId="26" borderId="36" xfId="0" applyFont="1" applyFill="1" applyBorder="1" applyAlignment="1">
      <alignment horizontal="center"/>
    </xf>
    <xf numFmtId="0" fontId="67" fillId="26" borderId="37" xfId="0" applyFont="1" applyFill="1" applyBorder="1" applyAlignment="1">
      <alignment horizontal="center"/>
    </xf>
    <xf numFmtId="0" fontId="62" fillId="36" borderId="22" xfId="0" applyFont="1" applyFill="1" applyBorder="1" applyAlignment="1">
      <alignment horizontal="center" vertical="center"/>
    </xf>
    <xf numFmtId="0" fontId="62" fillId="36" borderId="10" xfId="0" applyFont="1" applyFill="1" applyBorder="1" applyAlignment="1">
      <alignment horizontal="center" vertical="center"/>
    </xf>
    <xf numFmtId="0" fontId="62" fillId="36" borderId="21" xfId="0" applyFont="1" applyFill="1" applyBorder="1" applyAlignment="1">
      <alignment horizontal="center" vertical="center"/>
    </xf>
    <xf numFmtId="0" fontId="68" fillId="35" borderId="22" xfId="0" applyFont="1" applyFill="1" applyBorder="1" applyAlignment="1">
      <alignment horizontal="left" indent="3"/>
    </xf>
    <xf numFmtId="0" fontId="68" fillId="35" borderId="10" xfId="0" applyFont="1" applyFill="1" applyBorder="1" applyAlignment="1">
      <alignment horizontal="left" indent="3"/>
    </xf>
    <xf numFmtId="0" fontId="68" fillId="35" borderId="21" xfId="0" applyFont="1" applyFill="1" applyBorder="1" applyAlignment="1">
      <alignment horizontal="left" indent="3"/>
    </xf>
    <xf numFmtId="0" fontId="71" fillId="35" borderId="41" xfId="0" applyFont="1" applyFill="1" applyBorder="1" applyAlignment="1">
      <alignment horizontal="left" indent="3"/>
    </xf>
    <xf numFmtId="0" fontId="71" fillId="35" borderId="13" xfId="0" applyFont="1" applyFill="1" applyBorder="1" applyAlignment="1">
      <alignment horizontal="left" indent="3"/>
    </xf>
    <xf numFmtId="0" fontId="71" fillId="35" borderId="26" xfId="0" applyFont="1" applyFill="1" applyBorder="1" applyAlignment="1">
      <alignment horizontal="left" indent="3"/>
    </xf>
    <xf numFmtId="0" fontId="71" fillId="35" borderId="41" xfId="0" applyFont="1" applyFill="1" applyBorder="1" applyAlignment="1">
      <alignment horizontal="left" vertical="top" indent="4"/>
    </xf>
    <xf numFmtId="0" fontId="71" fillId="35" borderId="13" xfId="0" applyFont="1" applyFill="1" applyBorder="1" applyAlignment="1">
      <alignment horizontal="left" vertical="top" indent="4"/>
    </xf>
    <xf numFmtId="0" fontId="71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72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47" fillId="34" borderId="10" xfId="0" applyFont="1" applyFill="1" applyBorder="1" applyAlignment="1">
      <alignment horizontal="left" wrapText="1" indent="1"/>
    </xf>
    <xf numFmtId="0" fontId="68" fillId="35" borderId="41" xfId="0" applyFont="1" applyFill="1" applyBorder="1" applyAlignment="1">
      <alignment horizontal="left" vertical="center" indent="3"/>
    </xf>
    <xf numFmtId="0" fontId="68" fillId="35" borderId="13" xfId="0" applyFont="1" applyFill="1" applyBorder="1" applyAlignment="1">
      <alignment horizontal="left" vertical="center" indent="3"/>
    </xf>
    <xf numFmtId="0" fontId="68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0" fontId="69" fillId="34" borderId="12" xfId="0" applyFont="1" applyFill="1" applyBorder="1" applyAlignment="1">
      <alignment horizontal="left" vertical="center" wrapText="1"/>
    </xf>
    <xf numFmtId="0" fontId="69" fillId="34" borderId="13" xfId="0" applyFont="1" applyFill="1" applyBorder="1" applyAlignment="1">
      <alignment horizontal="left" vertical="center" wrapText="1"/>
    </xf>
    <xf numFmtId="0" fontId="69" fillId="34" borderId="26" xfId="0" applyFont="1" applyFill="1" applyBorder="1" applyAlignment="1">
      <alignment horizontal="left" vertical="center" wrapText="1"/>
    </xf>
    <xf numFmtId="2" fontId="51" fillId="31" borderId="42" xfId="0" applyNumberFormat="1" applyFont="1" applyFill="1" applyBorder="1" applyAlignment="1">
      <alignment horizontal="center" vertical="top" wrapText="1"/>
    </xf>
    <xf numFmtId="2" fontId="51" fillId="31" borderId="43" xfId="0" applyNumberFormat="1" applyFont="1" applyFill="1" applyBorder="1" applyAlignment="1">
      <alignment horizontal="center" vertical="top" wrapText="1"/>
    </xf>
    <xf numFmtId="2" fontId="51" fillId="31" borderId="44" xfId="0" applyNumberFormat="1" applyFont="1" applyFill="1" applyBorder="1" applyAlignment="1">
      <alignment horizontal="center" vertical="top" wrapText="1"/>
    </xf>
    <xf numFmtId="0" fontId="72" fillId="34" borderId="10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vertical="top" wrapText="1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141" fillId="30" borderId="53" xfId="0" applyFont="1" applyFill="1" applyBorder="1" applyAlignment="1" applyProtection="1">
      <alignment horizontal="left" vertical="center" indent="1"/>
      <protection locked="0"/>
    </xf>
    <xf numFmtId="0" fontId="141" fillId="30" borderId="54" xfId="0" applyFont="1" applyFill="1" applyBorder="1" applyAlignment="1" applyProtection="1">
      <alignment horizontal="left" vertical="center" indent="1"/>
      <protection locked="0"/>
    </xf>
    <xf numFmtId="0" fontId="80" fillId="31" borderId="35" xfId="0" applyFont="1" applyFill="1" applyBorder="1" applyAlignment="1">
      <alignment horizontal="center" vertical="center"/>
    </xf>
    <xf numFmtId="0" fontId="80" fillId="31" borderId="36" xfId="0" applyFont="1" applyFill="1" applyBorder="1" applyAlignment="1">
      <alignment horizontal="center" vertical="center"/>
    </xf>
    <xf numFmtId="0" fontId="80" fillId="31" borderId="37" xfId="0" applyFont="1" applyFill="1" applyBorder="1" applyAlignment="1">
      <alignment horizontal="center" vertical="center"/>
    </xf>
    <xf numFmtId="0" fontId="73" fillId="31" borderId="38" xfId="0" applyFont="1" applyFill="1" applyBorder="1" applyAlignment="1">
      <alignment horizontal="center" vertical="center"/>
    </xf>
    <xf numFmtId="0" fontId="60" fillId="31" borderId="0" xfId="0" applyFont="1" applyFill="1" applyBorder="1" applyAlignment="1">
      <alignment horizontal="center" vertical="center"/>
    </xf>
    <xf numFmtId="0" fontId="60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33" fillId="0" borderId="0" xfId="0" applyNumberFormat="1" applyFont="1" applyFill="1" applyBorder="1" applyAlignment="1">
      <alignment horizontal="center" vertical="top"/>
    </xf>
    <xf numFmtId="0" fontId="141" fillId="0" borderId="0" xfId="0" applyNumberFormat="1" applyFont="1" applyFill="1" applyBorder="1" applyAlignment="1" applyProtection="1">
      <alignment horizontal="center" vertical="center"/>
    </xf>
    <xf numFmtId="1" fontId="134" fillId="0" borderId="0" xfId="0" applyNumberFormat="1" applyFont="1" applyFill="1" applyBorder="1" applyAlignment="1" applyProtection="1">
      <alignment horizontal="left" vertical="center"/>
    </xf>
    <xf numFmtId="0" fontId="134" fillId="0" borderId="0" xfId="0" applyNumberFormat="1" applyFont="1" applyFill="1" applyBorder="1" applyAlignment="1" applyProtection="1">
      <alignment horizontal="left" vertical="center" indent="1"/>
    </xf>
    <xf numFmtId="0" fontId="87" fillId="0" borderId="0" xfId="0" applyNumberFormat="1" applyFont="1" applyFill="1" applyBorder="1" applyAlignment="1" applyProtection="1">
      <alignment horizontal="center" vertical="top"/>
    </xf>
    <xf numFmtId="0" fontId="86" fillId="0" borderId="0" xfId="0" applyNumberFormat="1" applyFont="1" applyFill="1" applyBorder="1" applyAlignment="1" applyProtection="1">
      <alignment horizontal="center" vertical="center"/>
    </xf>
    <xf numFmtId="0" fontId="134" fillId="0" borderId="0" xfId="0" applyNumberFormat="1" applyFont="1" applyFill="1" applyBorder="1" applyAlignment="1" applyProtection="1">
      <alignment horizontal="left" vertical="center"/>
    </xf>
    <xf numFmtId="0" fontId="134" fillId="0" borderId="48" xfId="0" applyNumberFormat="1" applyFont="1" applyFill="1" applyBorder="1" applyAlignment="1" applyProtection="1">
      <alignment horizontal="left" vertical="center"/>
    </xf>
    <xf numFmtId="0" fontId="141" fillId="0" borderId="48" xfId="0" applyNumberFormat="1" applyFont="1" applyFill="1" applyBorder="1" applyAlignment="1" applyProtection="1">
      <alignment horizontal="center" vertical="center"/>
    </xf>
    <xf numFmtId="0" fontId="141" fillId="0" borderId="48" xfId="0" applyNumberFormat="1" applyFont="1" applyFill="1" applyBorder="1" applyAlignment="1" applyProtection="1">
      <alignment horizontal="left" vertical="center" indent="1"/>
    </xf>
    <xf numFmtId="1" fontId="134" fillId="0" borderId="48" xfId="0" applyNumberFormat="1" applyFont="1" applyFill="1" applyBorder="1" applyAlignment="1" applyProtection="1">
      <alignment horizontal="left" vertical="center"/>
    </xf>
    <xf numFmtId="2" fontId="89" fillId="30" borderId="12" xfId="0" applyNumberFormat="1" applyFont="1" applyFill="1" applyBorder="1" applyAlignment="1">
      <alignment horizontal="center" vertical="center" wrapText="1"/>
    </xf>
    <xf numFmtId="2" fontId="89" fillId="30" borderId="13" xfId="0" applyNumberFormat="1" applyFont="1" applyFill="1" applyBorder="1" applyAlignment="1">
      <alignment horizontal="center" vertical="center" wrapText="1"/>
    </xf>
    <xf numFmtId="2" fontId="89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40" fillId="40" borderId="15" xfId="0" applyNumberFormat="1" applyFont="1" applyFill="1" applyBorder="1" applyAlignment="1">
      <alignment horizontal="right" indent="1"/>
    </xf>
    <xf numFmtId="2" fontId="40" fillId="40" borderId="10" xfId="0" applyNumberFormat="1" applyFont="1" applyFill="1" applyBorder="1" applyAlignment="1">
      <alignment horizontal="right" indent="1"/>
    </xf>
    <xf numFmtId="2" fontId="89" fillId="30" borderId="12" xfId="0" applyNumberFormat="1" applyFont="1" applyFill="1" applyBorder="1" applyAlignment="1">
      <alignment horizontal="center" vertical="center"/>
    </xf>
    <xf numFmtId="2" fontId="89" fillId="30" borderId="13" xfId="0" applyNumberFormat="1" applyFont="1" applyFill="1" applyBorder="1" applyAlignment="1">
      <alignment horizontal="center" vertical="center"/>
    </xf>
    <xf numFmtId="2" fontId="83" fillId="29" borderId="10" xfId="0" applyNumberFormat="1" applyFont="1" applyFill="1" applyBorder="1" applyAlignment="1">
      <alignment horizontal="right" indent="1"/>
    </xf>
    <xf numFmtId="2" fontId="135" fillId="36" borderId="12" xfId="0" applyNumberFormat="1" applyFont="1" applyFill="1" applyBorder="1" applyAlignment="1">
      <alignment horizontal="center" vertical="center" wrapText="1"/>
    </xf>
    <xf numFmtId="2" fontId="135" fillId="36" borderId="13" xfId="0" applyNumberFormat="1" applyFont="1" applyFill="1" applyBorder="1" applyAlignment="1">
      <alignment horizontal="center" vertical="center" wrapText="1"/>
    </xf>
    <xf numFmtId="2" fontId="135" fillId="36" borderId="14" xfId="0" applyNumberFormat="1" applyFont="1" applyFill="1" applyBorder="1" applyAlignment="1">
      <alignment horizontal="center" vertical="center" wrapText="1"/>
    </xf>
    <xf numFmtId="2" fontId="5" fillId="24" borderId="34" xfId="0" applyNumberFormat="1" applyFont="1" applyFill="1" applyBorder="1" applyAlignment="1">
      <alignment horizontal="right" indent="1"/>
    </xf>
    <xf numFmtId="2" fontId="5" fillId="24" borderId="0" xfId="0" applyNumberFormat="1" applyFont="1" applyFill="1" applyBorder="1" applyAlignment="1">
      <alignment horizontal="right" indent="1"/>
    </xf>
    <xf numFmtId="1" fontId="53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3" fillId="37" borderId="57" xfId="0" applyNumberFormat="1" applyFont="1" applyFill="1" applyBorder="1" applyAlignment="1">
      <alignment horizontal="center" vertical="center" wrapText="1"/>
    </xf>
    <xf numFmtId="1" fontId="53" fillId="37" borderId="55" xfId="0" applyNumberFormat="1" applyFont="1" applyFill="1" applyBorder="1" applyAlignment="1">
      <alignment horizontal="center" vertical="center" wrapText="1"/>
    </xf>
    <xf numFmtId="2" fontId="139" fillId="30" borderId="0" xfId="0" applyNumberFormat="1" applyFont="1" applyFill="1" applyBorder="1" applyAlignment="1">
      <alignment horizontal="center" vertical="center"/>
    </xf>
    <xf numFmtId="2" fontId="139" fillId="30" borderId="33" xfId="0" applyNumberFormat="1" applyFont="1" applyFill="1" applyBorder="1" applyAlignment="1">
      <alignment horizontal="center" vertical="center"/>
    </xf>
    <xf numFmtId="2" fontId="151" fillId="37" borderId="10" xfId="0" applyNumberFormat="1" applyFont="1" applyFill="1" applyBorder="1" applyAlignment="1">
      <alignment horizontal="center" vertical="center"/>
    </xf>
    <xf numFmtId="170" fontId="85" fillId="0" borderId="12" xfId="46" applyNumberFormat="1" applyFont="1" applyBorder="1" applyAlignment="1">
      <alignment horizontal="center" vertical="center"/>
    </xf>
    <xf numFmtId="170" fontId="85" fillId="0" borderId="26" xfId="46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170" fontId="97" fillId="0" borderId="12" xfId="46" applyNumberFormat="1" applyFont="1" applyBorder="1" applyAlignment="1">
      <alignment horizontal="center" vertical="center"/>
    </xf>
    <xf numFmtId="170" fontId="97" fillId="0" borderId="26" xfId="46" applyNumberFormat="1" applyFont="1" applyBorder="1" applyAlignment="1">
      <alignment horizontal="center" vertical="center"/>
    </xf>
    <xf numFmtId="170" fontId="97" fillId="0" borderId="12" xfId="46" applyNumberFormat="1" applyFont="1" applyBorder="1" applyAlignment="1">
      <alignment horizontal="left" vertical="center" wrapText="1"/>
    </xf>
    <xf numFmtId="170" fontId="97" fillId="0" borderId="26" xfId="46" applyNumberFormat="1" applyFont="1" applyBorder="1" applyAlignment="1">
      <alignment horizontal="left" vertical="center" wrapText="1"/>
    </xf>
    <xf numFmtId="170" fontId="85" fillId="0" borderId="58" xfId="46" applyNumberFormat="1" applyFont="1" applyBorder="1" applyAlignment="1">
      <alignment horizontal="center" vertical="center" wrapText="1"/>
    </xf>
    <xf numFmtId="170" fontId="85" fillId="0" borderId="44" xfId="46" applyNumberFormat="1" applyFont="1" applyBorder="1" applyAlignment="1">
      <alignment horizontal="center" vertical="center" wrapText="1"/>
    </xf>
    <xf numFmtId="0" fontId="127" fillId="0" borderId="12" xfId="37" applyFont="1" applyBorder="1" applyAlignment="1">
      <alignment horizontal="center" vertical="center"/>
    </xf>
    <xf numFmtId="0" fontId="127" fillId="0" borderId="26" xfId="37" applyFont="1" applyBorder="1" applyAlignment="1">
      <alignment horizontal="center" vertical="center"/>
    </xf>
    <xf numFmtId="170" fontId="112" fillId="0" borderId="12" xfId="46" applyNumberFormat="1" applyFont="1" applyBorder="1" applyAlignment="1">
      <alignment horizontal="center" vertical="center"/>
    </xf>
    <xf numFmtId="170" fontId="112" fillId="0" borderId="26" xfId="46" applyNumberFormat="1" applyFont="1" applyBorder="1" applyAlignment="1">
      <alignment horizontal="center" vertical="center"/>
    </xf>
    <xf numFmtId="170" fontId="112" fillId="0" borderId="12" xfId="46" applyNumberFormat="1" applyFont="1" applyBorder="1" applyAlignment="1" applyProtection="1">
      <alignment horizontal="center" vertical="center"/>
      <protection hidden="1"/>
    </xf>
    <xf numFmtId="170" fontId="112" fillId="0" borderId="26" xfId="46" applyNumberFormat="1" applyFont="1" applyBorder="1" applyAlignment="1" applyProtection="1">
      <alignment horizontal="center" vertical="center"/>
      <protection hidden="1"/>
    </xf>
    <xf numFmtId="42" fontId="106" fillId="0" borderId="12" xfId="46" applyNumberFormat="1" applyFont="1" applyBorder="1" applyAlignment="1">
      <alignment horizontal="left" vertical="center"/>
    </xf>
    <xf numFmtId="42" fontId="106" fillId="0" borderId="14" xfId="46" applyNumberFormat="1" applyFont="1" applyBorder="1" applyAlignment="1">
      <alignment horizontal="left" vertical="center"/>
    </xf>
    <xf numFmtId="42" fontId="106" fillId="0" borderId="18" xfId="46" applyNumberFormat="1" applyFont="1" applyBorder="1" applyAlignment="1">
      <alignment horizontal="center" vertical="center"/>
    </xf>
    <xf numFmtId="42" fontId="106" fillId="0" borderId="19" xfId="46" applyNumberFormat="1" applyFont="1" applyBorder="1" applyAlignment="1">
      <alignment horizontal="center" vertical="center"/>
    </xf>
    <xf numFmtId="42" fontId="106" fillId="0" borderId="16" xfId="46" applyNumberFormat="1" applyFont="1" applyBorder="1" applyAlignment="1">
      <alignment horizontal="center" vertical="center"/>
    </xf>
    <xf numFmtId="42" fontId="106" fillId="0" borderId="20" xfId="46" applyNumberFormat="1" applyFont="1" applyBorder="1" applyAlignment="1">
      <alignment horizontal="center" vertical="center"/>
    </xf>
    <xf numFmtId="42" fontId="113" fillId="0" borderId="12" xfId="46" applyNumberFormat="1" applyFont="1" applyBorder="1" applyAlignment="1">
      <alignment horizontal="left" vertical="center"/>
    </xf>
    <xf numFmtId="42" fontId="113" fillId="0" borderId="14" xfId="46" applyNumberFormat="1" applyFont="1" applyBorder="1" applyAlignment="1">
      <alignment horizontal="left" vertical="center"/>
    </xf>
    <xf numFmtId="0" fontId="99" fillId="0" borderId="10" xfId="37" applyFont="1" applyBorder="1" applyAlignment="1">
      <alignment horizontal="left" vertical="center"/>
    </xf>
    <xf numFmtId="0" fontId="109" fillId="0" borderId="10" xfId="37" applyFont="1" applyBorder="1" applyAlignment="1">
      <alignment horizontal="left" vertical="center"/>
    </xf>
    <xf numFmtId="0" fontId="106" fillId="0" borderId="10" xfId="37" applyFont="1" applyBorder="1" applyAlignment="1">
      <alignment horizontal="center" vertical="center"/>
    </xf>
    <xf numFmtId="0" fontId="106" fillId="0" borderId="12" xfId="37" applyFont="1" applyBorder="1" applyAlignment="1">
      <alignment horizontal="center" vertical="center"/>
    </xf>
    <xf numFmtId="0" fontId="106" fillId="0" borderId="13" xfId="37" applyFont="1" applyBorder="1" applyAlignment="1">
      <alignment horizontal="center" vertical="center"/>
    </xf>
    <xf numFmtId="0" fontId="106" fillId="0" borderId="14" xfId="37" applyFont="1" applyBorder="1" applyAlignment="1">
      <alignment horizontal="center" vertical="center"/>
    </xf>
    <xf numFmtId="0" fontId="101" fillId="0" borderId="10" xfId="37" applyFont="1" applyBorder="1" applyAlignment="1">
      <alignment horizontal="left" vertical="center"/>
    </xf>
    <xf numFmtId="0" fontId="104" fillId="0" borderId="12" xfId="37" applyFont="1" applyBorder="1" applyAlignment="1">
      <alignment horizontal="left" vertical="top" wrapText="1"/>
    </xf>
    <xf numFmtId="0" fontId="104" fillId="0" borderId="13" xfId="37" applyFont="1" applyBorder="1" applyAlignment="1">
      <alignment horizontal="left" vertical="top" wrapText="1"/>
    </xf>
    <xf numFmtId="0" fontId="104" fillId="0" borderId="14" xfId="37" applyFont="1" applyBorder="1" applyAlignment="1">
      <alignment horizontal="left" vertical="top" wrapText="1"/>
    </xf>
    <xf numFmtId="0" fontId="109" fillId="0" borderId="12" xfId="37" applyFont="1" applyBorder="1" applyAlignment="1">
      <alignment horizontal="right" indent="1"/>
    </xf>
    <xf numFmtId="0" fontId="109" fillId="0" borderId="13" xfId="37" applyFont="1" applyBorder="1" applyAlignment="1">
      <alignment horizontal="right" indent="1"/>
    </xf>
    <xf numFmtId="0" fontId="109" fillId="0" borderId="14" xfId="37" applyFont="1" applyBorder="1" applyAlignment="1">
      <alignment horizontal="right" indent="1"/>
    </xf>
    <xf numFmtId="0" fontId="155" fillId="0" borderId="12" xfId="37" applyFont="1" applyBorder="1" applyAlignment="1">
      <alignment horizontal="left" vertical="center"/>
    </xf>
    <xf numFmtId="0" fontId="101" fillId="0" borderId="13" xfId="37" applyFont="1" applyBorder="1" applyAlignment="1">
      <alignment horizontal="left" vertical="center"/>
    </xf>
    <xf numFmtId="0" fontId="101" fillId="0" borderId="14" xfId="37" applyFont="1" applyBorder="1" applyAlignment="1">
      <alignment horizontal="left" vertical="center"/>
    </xf>
    <xf numFmtId="0" fontId="125" fillId="0" borderId="23" xfId="37" applyFont="1" applyBorder="1" applyAlignment="1">
      <alignment horizontal="center" vertical="top"/>
    </xf>
    <xf numFmtId="0" fontId="125" fillId="0" borderId="24" xfId="37" applyFont="1" applyBorder="1" applyAlignment="1">
      <alignment horizontal="center" vertical="top"/>
    </xf>
    <xf numFmtId="0" fontId="125" fillId="0" borderId="25" xfId="37" applyFont="1" applyBorder="1" applyAlignment="1">
      <alignment horizontal="center" vertical="top"/>
    </xf>
    <xf numFmtId="0" fontId="109" fillId="0" borderId="21" xfId="37" applyFont="1" applyBorder="1" applyAlignment="1">
      <alignment horizontal="left" vertical="center"/>
    </xf>
    <xf numFmtId="0" fontId="155" fillId="0" borderId="12" xfId="37" applyFont="1" applyBorder="1" applyAlignment="1">
      <alignment horizontal="left" vertical="top"/>
    </xf>
    <xf numFmtId="0" fontId="101" fillId="0" borderId="13" xfId="37" applyFont="1" applyBorder="1" applyAlignment="1">
      <alignment horizontal="left" vertical="top"/>
    </xf>
    <xf numFmtId="0" fontId="101" fillId="0" borderId="14" xfId="37" applyFont="1" applyBorder="1" applyAlignment="1">
      <alignment horizontal="left" vertical="top"/>
    </xf>
    <xf numFmtId="0" fontId="155" fillId="0" borderId="10" xfId="37" applyFont="1" applyBorder="1" applyAlignment="1">
      <alignment horizontal="left" vertical="center"/>
    </xf>
    <xf numFmtId="0" fontId="159" fillId="0" borderId="10" xfId="37" applyFont="1" applyBorder="1" applyAlignment="1">
      <alignment horizontal="left" vertical="center"/>
    </xf>
    <xf numFmtId="0" fontId="126" fillId="0" borderId="10" xfId="37" applyFont="1" applyBorder="1" applyAlignment="1">
      <alignment horizontal="left" vertical="center"/>
    </xf>
    <xf numFmtId="0" fontId="109" fillId="0" borderId="10" xfId="37" applyFont="1" applyBorder="1" applyAlignment="1">
      <alignment horizontal="right" vertical="center"/>
    </xf>
    <xf numFmtId="170" fontId="100" fillId="0" borderId="12" xfId="46" applyNumberFormat="1" applyFont="1" applyBorder="1" applyAlignment="1">
      <alignment horizontal="center" vertical="center"/>
    </xf>
    <xf numFmtId="170" fontId="100" fillId="0" borderId="26" xfId="46" applyNumberFormat="1" applyFont="1" applyBorder="1" applyAlignment="1">
      <alignment horizontal="center" vertical="center"/>
    </xf>
    <xf numFmtId="0" fontId="35" fillId="0" borderId="0" xfId="37" applyFont="1" applyFill="1" applyBorder="1" applyAlignment="1">
      <alignment horizontal="center" vertical="center" wrapText="1"/>
    </xf>
    <xf numFmtId="2" fontId="162" fillId="0" borderId="12" xfId="0" applyNumberFormat="1" applyFont="1" applyBorder="1" applyAlignment="1">
      <alignment horizontal="left" vertical="center"/>
    </xf>
    <xf numFmtId="2" fontId="119" fillId="0" borderId="13" xfId="0" applyNumberFormat="1" applyFont="1" applyBorder="1" applyAlignment="1">
      <alignment horizontal="left" vertical="center"/>
    </xf>
    <xf numFmtId="2" fontId="119" fillId="0" borderId="14" xfId="0" applyNumberFormat="1" applyFont="1" applyBorder="1" applyAlignment="1">
      <alignment horizontal="left" vertical="center"/>
    </xf>
    <xf numFmtId="2" fontId="156" fillId="0" borderId="10" xfId="0" applyNumberFormat="1" applyFont="1" applyBorder="1" applyAlignment="1">
      <alignment horizontal="left" vertical="center"/>
    </xf>
    <xf numFmtId="2" fontId="99" fillId="0" borderId="10" xfId="0" applyNumberFormat="1" applyFont="1" applyBorder="1" applyAlignment="1">
      <alignment horizontal="left" vertical="center"/>
    </xf>
    <xf numFmtId="2" fontId="109" fillId="0" borderId="10" xfId="0" applyNumberFormat="1" applyFont="1" applyBorder="1" applyAlignment="1">
      <alignment horizontal="right" vertical="center"/>
    </xf>
    <xf numFmtId="0" fontId="99" fillId="0" borderId="21" xfId="37" applyFont="1" applyBorder="1" applyAlignment="1">
      <alignment horizontal="left" vertical="center"/>
    </xf>
    <xf numFmtId="0" fontId="130" fillId="0" borderId="10" xfId="37" applyFont="1" applyBorder="1" applyAlignment="1">
      <alignment horizontal="center" vertical="center"/>
    </xf>
    <xf numFmtId="0" fontId="105" fillId="0" borderId="10" xfId="37" applyFont="1" applyBorder="1" applyAlignment="1">
      <alignment horizontal="center" vertical="center"/>
    </xf>
    <xf numFmtId="0" fontId="128" fillId="0" borderId="12" xfId="37" applyFont="1" applyBorder="1" applyAlignment="1">
      <alignment horizontal="center" vertical="center"/>
    </xf>
    <xf numFmtId="0" fontId="105" fillId="0" borderId="13" xfId="37" applyFont="1" applyBorder="1" applyAlignment="1">
      <alignment horizontal="center" vertical="center"/>
    </xf>
    <xf numFmtId="0" fontId="105" fillId="0" borderId="14" xfId="37" applyFont="1" applyBorder="1" applyAlignment="1">
      <alignment horizontal="center" vertical="center"/>
    </xf>
    <xf numFmtId="0" fontId="118" fillId="0" borderId="12" xfId="37" applyFont="1" applyBorder="1" applyAlignment="1">
      <alignment horizontal="center" vertical="center"/>
    </xf>
    <xf numFmtId="0" fontId="118" fillId="0" borderId="13" xfId="37" applyFont="1" applyBorder="1" applyAlignment="1">
      <alignment horizontal="center" vertical="center"/>
    </xf>
    <xf numFmtId="0" fontId="118" fillId="0" borderId="14" xfId="37" applyFont="1" applyBorder="1" applyAlignment="1">
      <alignment horizontal="center" vertical="center"/>
    </xf>
    <xf numFmtId="9" fontId="106" fillId="0" borderId="10" xfId="37" applyNumberFormat="1" applyFont="1" applyBorder="1" applyAlignment="1">
      <alignment horizontal="center" vertical="center"/>
    </xf>
    <xf numFmtId="2" fontId="156" fillId="0" borderId="12" xfId="0" applyNumberFormat="1" applyFont="1" applyBorder="1" applyAlignment="1">
      <alignment horizontal="left" vertical="top"/>
    </xf>
    <xf numFmtId="2" fontId="99" fillId="0" borderId="13" xfId="0" applyNumberFormat="1" applyFont="1" applyBorder="1" applyAlignment="1">
      <alignment horizontal="left" vertical="top"/>
    </xf>
    <xf numFmtId="2" fontId="99" fillId="0" borderId="14" xfId="0" applyNumberFormat="1" applyFont="1" applyBorder="1" applyAlignment="1">
      <alignment horizontal="left" vertical="top"/>
    </xf>
    <xf numFmtId="0" fontId="129" fillId="0" borderId="12" xfId="37" applyFont="1" applyBorder="1" applyAlignment="1">
      <alignment horizontal="center" vertical="center" wrapText="1"/>
    </xf>
    <xf numFmtId="0" fontId="129" fillId="0" borderId="26" xfId="37" applyFont="1" applyBorder="1" applyAlignment="1">
      <alignment horizontal="center" vertical="center" wrapText="1"/>
    </xf>
    <xf numFmtId="0" fontId="100" fillId="0" borderId="10" xfId="37" applyFont="1" applyBorder="1" applyAlignment="1">
      <alignment horizontal="center" vertical="center" wrapText="1"/>
    </xf>
    <xf numFmtId="0" fontId="98" fillId="0" borderId="42" xfId="37" applyFont="1" applyBorder="1" applyAlignment="1">
      <alignment horizontal="right" vertical="center"/>
    </xf>
    <xf numFmtId="0" fontId="124" fillId="0" borderId="43" xfId="0" applyFont="1" applyBorder="1"/>
    <xf numFmtId="0" fontId="124" fillId="0" borderId="51" xfId="0" applyFont="1" applyBorder="1"/>
    <xf numFmtId="0" fontId="99" fillId="0" borderId="12" xfId="37" applyFont="1" applyBorder="1" applyAlignment="1">
      <alignment horizontal="left" vertical="center"/>
    </xf>
    <xf numFmtId="0" fontId="99" fillId="0" borderId="13" xfId="37" applyFont="1" applyBorder="1" applyAlignment="1">
      <alignment horizontal="left" vertical="center"/>
    </xf>
    <xf numFmtId="0" fontId="99" fillId="0" borderId="14" xfId="37" applyFont="1" applyBorder="1" applyAlignment="1">
      <alignment horizontal="left" vertical="center"/>
    </xf>
    <xf numFmtId="0" fontId="163" fillId="0" borderId="10" xfId="37" applyFont="1" applyBorder="1" applyAlignment="1">
      <alignment horizontal="left" vertical="center"/>
    </xf>
    <xf numFmtId="0" fontId="119" fillId="0" borderId="10" xfId="37" applyFont="1" applyBorder="1" applyAlignment="1">
      <alignment horizontal="left" vertical="center"/>
    </xf>
    <xf numFmtId="0" fontId="99" fillId="0" borderId="10" xfId="37" applyFont="1" applyBorder="1" applyAlignment="1">
      <alignment horizontal="center" vertical="center" wrapText="1"/>
    </xf>
    <xf numFmtId="0" fontId="99" fillId="0" borderId="12" xfId="37" applyFont="1" applyBorder="1" applyAlignment="1">
      <alignment horizontal="center" vertical="center" wrapText="1"/>
    </xf>
    <xf numFmtId="0" fontId="99" fillId="0" borderId="14" xfId="37" applyFont="1" applyBorder="1" applyAlignment="1">
      <alignment horizontal="center" vertical="center" wrapText="1"/>
    </xf>
    <xf numFmtId="0" fontId="164" fillId="0" borderId="17" xfId="37" applyFont="1" applyBorder="1" applyAlignment="1">
      <alignment horizontal="center" vertical="center" wrapText="1"/>
    </xf>
    <xf numFmtId="0" fontId="164" fillId="0" borderId="19" xfId="37" applyFont="1" applyBorder="1" applyAlignment="1">
      <alignment horizontal="center" vertical="center" wrapText="1"/>
    </xf>
    <xf numFmtId="0" fontId="164" fillId="0" borderId="11" xfId="37" applyFont="1" applyBorder="1" applyAlignment="1">
      <alignment horizontal="center" vertical="center" wrapText="1"/>
    </xf>
    <xf numFmtId="0" fontId="164" fillId="0" borderId="20" xfId="37" applyFont="1" applyBorder="1" applyAlignment="1">
      <alignment horizontal="center" vertical="center" wrapText="1"/>
    </xf>
    <xf numFmtId="2" fontId="112" fillId="0" borderId="10" xfId="37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09" fillId="0" borderId="12" xfId="37" applyFont="1" applyBorder="1" applyAlignment="1">
      <alignment horizontal="right" vertical="center" indent="1"/>
    </xf>
    <xf numFmtId="0" fontId="109" fillId="0" borderId="13" xfId="37" applyFont="1" applyBorder="1" applyAlignment="1">
      <alignment horizontal="right" vertical="center" indent="1"/>
    </xf>
    <xf numFmtId="0" fontId="109" fillId="0" borderId="14" xfId="37" applyFont="1" applyBorder="1" applyAlignment="1">
      <alignment horizontal="right" vertical="center" indent="1"/>
    </xf>
    <xf numFmtId="0" fontId="153" fillId="0" borderId="49" xfId="37" applyFont="1" applyBorder="1" applyAlignment="1">
      <alignment horizontal="right" vertical="center"/>
    </xf>
    <xf numFmtId="0" fontId="153" fillId="0" borderId="48" xfId="37" applyFont="1" applyBorder="1" applyAlignment="1">
      <alignment horizontal="right" vertical="center"/>
    </xf>
    <xf numFmtId="0" fontId="61" fillId="0" borderId="36" xfId="37" applyFont="1" applyBorder="1" applyAlignment="1">
      <alignment horizontal="center" vertical="center"/>
    </xf>
    <xf numFmtId="0" fontId="61" fillId="0" borderId="37" xfId="37" applyFont="1" applyBorder="1" applyAlignment="1">
      <alignment horizontal="center" vertical="center"/>
    </xf>
    <xf numFmtId="0" fontId="61" fillId="0" borderId="48" xfId="37" applyFont="1" applyBorder="1" applyAlignment="1">
      <alignment horizontal="center" vertical="center"/>
    </xf>
    <xf numFmtId="0" fontId="61" fillId="0" borderId="50" xfId="37" applyFont="1" applyBorder="1" applyAlignment="1">
      <alignment horizontal="center" vertical="center"/>
    </xf>
    <xf numFmtId="0" fontId="92" fillId="0" borderId="35" xfId="37" applyFont="1" applyBorder="1" applyAlignment="1">
      <alignment horizontal="right" vertical="center"/>
    </xf>
    <xf numFmtId="0" fontId="92" fillId="0" borderId="36" xfId="37" applyFont="1" applyBorder="1" applyAlignment="1">
      <alignment horizontal="right" vertical="center"/>
    </xf>
    <xf numFmtId="0" fontId="132" fillId="0" borderId="31" xfId="37" applyFont="1" applyBorder="1" applyAlignment="1">
      <alignment horizontal="left" vertical="center"/>
    </xf>
    <xf numFmtId="0" fontId="132" fillId="0" borderId="32" xfId="37" applyFont="1" applyBorder="1" applyAlignment="1">
      <alignment horizontal="left" vertical="center"/>
    </xf>
    <xf numFmtId="0" fontId="93" fillId="0" borderId="32" xfId="37" applyFont="1" applyFill="1" applyBorder="1" applyAlignment="1">
      <alignment horizontal="center" vertical="center"/>
    </xf>
    <xf numFmtId="0" fontId="93" fillId="0" borderId="46" xfId="37" applyFont="1" applyFill="1" applyBorder="1" applyAlignment="1">
      <alignment horizontal="center" vertical="center"/>
    </xf>
    <xf numFmtId="0" fontId="101" fillId="0" borderId="15" xfId="37" applyFont="1" applyBorder="1" applyAlignment="1">
      <alignment horizontal="left" vertical="center"/>
    </xf>
    <xf numFmtId="0" fontId="109" fillId="0" borderId="10" xfId="37" applyFont="1" applyBorder="1" applyAlignment="1">
      <alignment horizontal="right" vertical="center" indent="1"/>
    </xf>
    <xf numFmtId="0" fontId="96" fillId="0" borderId="32" xfId="38" applyFont="1" applyFill="1" applyBorder="1" applyAlignment="1">
      <alignment horizontal="left" vertical="center"/>
    </xf>
    <xf numFmtId="0" fontId="96" fillId="0" borderId="32" xfId="37" applyFont="1" applyFill="1" applyBorder="1" applyAlignment="1">
      <alignment horizontal="left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1" fillId="0" borderId="10" xfId="37" applyFont="1" applyBorder="1" applyAlignment="1">
      <alignment horizontal="center" vertical="center"/>
    </xf>
    <xf numFmtId="0" fontId="109" fillId="0" borderId="12" xfId="37" applyFont="1" applyBorder="1" applyAlignment="1">
      <alignment horizontal="right" vertical="center"/>
    </xf>
    <xf numFmtId="0" fontId="109" fillId="0" borderId="13" xfId="37" applyFont="1" applyBorder="1" applyAlignment="1">
      <alignment horizontal="right" vertical="center"/>
    </xf>
    <xf numFmtId="0" fontId="109" fillId="0" borderId="14" xfId="37" applyFont="1" applyBorder="1" applyAlignment="1">
      <alignment horizontal="right" vertical="center"/>
    </xf>
    <xf numFmtId="0" fontId="123" fillId="0" borderId="10" xfId="37" applyFont="1" applyBorder="1" applyAlignment="1">
      <alignment horizontal="left" vertical="center"/>
    </xf>
    <xf numFmtId="0" fontId="101" fillId="0" borderId="12" xfId="37" applyFont="1" applyBorder="1" applyAlignment="1">
      <alignment horizontal="left" vertical="center"/>
    </xf>
    <xf numFmtId="0" fontId="101" fillId="0" borderId="10" xfId="37" applyFont="1" applyFill="1" applyBorder="1" applyAlignment="1">
      <alignment horizontal="left" vertical="center"/>
    </xf>
    <xf numFmtId="0" fontId="104" fillId="0" borderId="10" xfId="37" applyFont="1" applyBorder="1" applyAlignment="1">
      <alignment horizontal="left" vertical="center"/>
    </xf>
    <xf numFmtId="0" fontId="104" fillId="0" borderId="21" xfId="37" applyFont="1" applyBorder="1" applyAlignment="1">
      <alignment horizontal="left" vertical="center"/>
    </xf>
    <xf numFmtId="0" fontId="101" fillId="0" borderId="10" xfId="37" applyFont="1" applyFill="1" applyBorder="1" applyAlignment="1">
      <alignment vertical="center"/>
    </xf>
    <xf numFmtId="0" fontId="101" fillId="0" borderId="18" xfId="37" applyFont="1" applyBorder="1" applyAlignment="1">
      <alignment horizontal="center" vertical="center"/>
    </xf>
    <xf numFmtId="0" fontId="101" fillId="0" borderId="45" xfId="37" applyFont="1" applyBorder="1" applyAlignment="1">
      <alignment horizontal="center" vertical="center"/>
    </xf>
    <xf numFmtId="0" fontId="101" fillId="0" borderId="34" xfId="37" applyFont="1" applyBorder="1" applyAlignment="1">
      <alignment horizontal="center" vertical="center"/>
    </xf>
    <xf numFmtId="0" fontId="101" fillId="0" borderId="39" xfId="37" applyFont="1" applyBorder="1" applyAlignment="1">
      <alignment horizontal="center" vertical="center"/>
    </xf>
    <xf numFmtId="0" fontId="106" fillId="0" borderId="12" xfId="37" applyFont="1" applyBorder="1" applyAlignment="1">
      <alignment horizontal="left" vertical="center"/>
    </xf>
    <xf numFmtId="0" fontId="106" fillId="0" borderId="13" xfId="37" applyFont="1" applyBorder="1" applyAlignment="1">
      <alignment horizontal="left" vertical="center"/>
    </xf>
    <xf numFmtId="0" fontId="106" fillId="0" borderId="14" xfId="37" applyFont="1" applyBorder="1" applyAlignment="1">
      <alignment horizontal="left" vertical="center"/>
    </xf>
    <xf numFmtId="42" fontId="106" fillId="0" borderId="12" xfId="46" applyNumberFormat="1" applyFont="1" applyBorder="1" applyAlignment="1">
      <alignment horizontal="center" vertical="center"/>
    </xf>
    <xf numFmtId="42" fontId="106" fillId="0" borderId="14" xfId="46" applyNumberFormat="1" applyFont="1" applyBorder="1" applyAlignment="1">
      <alignment horizontal="center" vertical="center"/>
    </xf>
    <xf numFmtId="0" fontId="132" fillId="33" borderId="10" xfId="0" applyFont="1" applyFill="1" applyBorder="1" applyAlignment="1">
      <alignment horizontal="center" wrapText="1"/>
    </xf>
    <xf numFmtId="0" fontId="125" fillId="0" borderId="22" xfId="37" applyFont="1" applyBorder="1" applyAlignment="1">
      <alignment horizontal="center" vertical="top"/>
    </xf>
    <xf numFmtId="0" fontId="156" fillId="0" borderId="10" xfId="37" applyFont="1" applyBorder="1" applyAlignment="1">
      <alignment horizontal="left" vertical="center"/>
    </xf>
    <xf numFmtId="0" fontId="155" fillId="0" borderId="10" xfId="37" applyFont="1" applyBorder="1" applyAlignment="1">
      <alignment horizontal="center" vertical="center"/>
    </xf>
    <xf numFmtId="2" fontId="112" fillId="0" borderId="12" xfId="37" applyNumberFormat="1" applyFont="1" applyBorder="1" applyAlignment="1">
      <alignment horizontal="center" vertical="center"/>
    </xf>
    <xf numFmtId="2" fontId="112" fillId="0" borderId="13" xfId="37" applyNumberFormat="1" applyFont="1" applyBorder="1" applyAlignment="1">
      <alignment horizontal="center" vertical="center"/>
    </xf>
    <xf numFmtId="2" fontId="112" fillId="0" borderId="14" xfId="37" applyNumberFormat="1" applyFont="1" applyBorder="1" applyAlignment="1">
      <alignment horizontal="center" vertical="center"/>
    </xf>
    <xf numFmtId="0" fontId="101" fillId="0" borderId="12" xfId="37" applyFont="1" applyBorder="1" applyAlignment="1">
      <alignment horizontal="center" vertical="center"/>
    </xf>
    <xf numFmtId="0" fontId="101" fillId="0" borderId="13" xfId="37" applyFont="1" applyBorder="1" applyAlignment="1">
      <alignment horizontal="center" vertical="center"/>
    </xf>
    <xf numFmtId="0" fontId="101" fillId="0" borderId="14" xfId="37" applyFont="1" applyBorder="1" applyAlignment="1">
      <alignment horizontal="center" vertical="center"/>
    </xf>
    <xf numFmtId="0" fontId="156" fillId="0" borderId="18" xfId="37" applyFont="1" applyBorder="1" applyAlignment="1">
      <alignment horizontal="left" vertical="center" wrapText="1"/>
    </xf>
    <xf numFmtId="0" fontId="99" fillId="0" borderId="19" xfId="37" applyFont="1" applyBorder="1" applyAlignment="1">
      <alignment horizontal="left" vertical="center" wrapText="1"/>
    </xf>
    <xf numFmtId="0" fontId="99" fillId="0" borderId="16" xfId="37" applyFont="1" applyBorder="1" applyAlignment="1">
      <alignment horizontal="left" vertical="center" wrapText="1"/>
    </xf>
    <xf numFmtId="0" fontId="99" fillId="0" borderId="20" xfId="37" applyFont="1" applyBorder="1" applyAlignment="1">
      <alignment horizontal="left" vertical="center" wrapText="1"/>
    </xf>
    <xf numFmtId="0" fontId="42" fillId="0" borderId="0" xfId="37" applyFont="1" applyFill="1" applyAlignment="1">
      <alignment horizontal="center"/>
    </xf>
    <xf numFmtId="0" fontId="99" fillId="0" borderId="12" xfId="37" applyFont="1" applyFill="1" applyBorder="1" applyAlignment="1">
      <alignment horizontal="right" vertical="center" indent="1"/>
    </xf>
    <xf numFmtId="0" fontId="99" fillId="0" borderId="13" xfId="37" applyFont="1" applyFill="1" applyBorder="1" applyAlignment="1">
      <alignment horizontal="right" vertical="center" indent="1"/>
    </xf>
    <xf numFmtId="0" fontId="99" fillId="0" borderId="14" xfId="37" applyFont="1" applyFill="1" applyBorder="1" applyAlignment="1">
      <alignment horizontal="right" vertical="center" indent="1"/>
    </xf>
    <xf numFmtId="0" fontId="157" fillId="0" borderId="10" xfId="37" applyFont="1" applyBorder="1" applyAlignment="1">
      <alignment horizontal="right" vertical="center" indent="1"/>
    </xf>
    <xf numFmtId="0" fontId="101" fillId="0" borderId="18" xfId="37" applyFont="1" applyFill="1" applyBorder="1" applyAlignment="1">
      <alignment horizontal="left" vertical="center" wrapText="1"/>
    </xf>
    <xf numFmtId="0" fontId="101" fillId="0" borderId="17" xfId="37" applyFont="1" applyFill="1" applyBorder="1" applyAlignment="1">
      <alignment horizontal="left" vertical="center" wrapText="1"/>
    </xf>
    <xf numFmtId="0" fontId="101" fillId="0" borderId="19" xfId="37" applyFont="1" applyFill="1" applyBorder="1" applyAlignment="1">
      <alignment horizontal="left" vertical="center" wrapText="1"/>
    </xf>
    <xf numFmtId="0" fontId="101" fillId="0" borderId="16" xfId="37" applyFont="1" applyFill="1" applyBorder="1" applyAlignment="1">
      <alignment horizontal="left" vertical="center" wrapText="1"/>
    </xf>
    <xf numFmtId="0" fontId="101" fillId="0" borderId="11" xfId="37" applyFont="1" applyFill="1" applyBorder="1" applyAlignment="1">
      <alignment horizontal="left" vertical="center" wrapText="1"/>
    </xf>
    <xf numFmtId="0" fontId="101" fillId="0" borderId="20" xfId="37" applyFont="1" applyFill="1" applyBorder="1" applyAlignment="1">
      <alignment horizontal="left" vertical="center" wrapText="1"/>
    </xf>
    <xf numFmtId="0" fontId="106" fillId="0" borderId="47" xfId="37" applyFont="1" applyBorder="1" applyAlignment="1">
      <alignment horizontal="center" vertical="top"/>
    </xf>
    <xf numFmtId="0" fontId="106" fillId="0" borderId="15" xfId="37" applyFont="1" applyBorder="1" applyAlignment="1">
      <alignment horizontal="center" vertical="top"/>
    </xf>
    <xf numFmtId="0" fontId="123" fillId="0" borderId="12" xfId="37" applyFont="1" applyBorder="1" applyAlignment="1">
      <alignment vertical="center"/>
    </xf>
    <xf numFmtId="0" fontId="123" fillId="0" borderId="13" xfId="37" applyFont="1" applyBorder="1" applyAlignment="1">
      <alignment vertical="center"/>
    </xf>
    <xf numFmtId="0" fontId="123" fillId="0" borderId="14" xfId="37" applyFont="1" applyBorder="1" applyAlignment="1">
      <alignment vertical="center"/>
    </xf>
    <xf numFmtId="170" fontId="112" fillId="0" borderId="12" xfId="46" applyNumberFormat="1" applyFont="1" applyBorder="1" applyAlignment="1">
      <alignment horizontal="left" vertical="center"/>
    </xf>
    <xf numFmtId="170" fontId="112" fillId="0" borderId="26" xfId="46" applyNumberFormat="1" applyFont="1" applyBorder="1" applyAlignment="1">
      <alignment horizontal="left" vertical="center"/>
    </xf>
    <xf numFmtId="170" fontId="97" fillId="0" borderId="12" xfId="46" applyNumberFormat="1" applyFont="1" applyBorder="1" applyAlignment="1">
      <alignment horizontal="left" vertical="center"/>
    </xf>
    <xf numFmtId="170" fontId="97" fillId="0" borderId="26" xfId="46" applyNumberFormat="1" applyFont="1" applyBorder="1" applyAlignment="1">
      <alignment horizontal="left" vertical="center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  <xf numFmtId="3" fontId="106" fillId="0" borderId="12" xfId="37" applyNumberFormat="1" applyFont="1" applyBorder="1" applyAlignment="1">
      <alignment horizontal="center" vertical="center"/>
    </xf>
    <xf numFmtId="3" fontId="106" fillId="0" borderId="13" xfId="37" applyNumberFormat="1" applyFont="1" applyBorder="1" applyAlignment="1">
      <alignment horizontal="center" vertical="center"/>
    </xf>
    <xf numFmtId="3" fontId="106" fillId="0" borderId="14" xfId="37" applyNumberFormat="1" applyFont="1" applyBorder="1" applyAlignment="1">
      <alignment horizontal="center" vertical="center"/>
    </xf>
    <xf numFmtId="9" fontId="106" fillId="0" borderId="12" xfId="37" applyNumberFormat="1" applyFont="1" applyBorder="1" applyAlignment="1">
      <alignment horizontal="center" vertical="center"/>
    </xf>
    <xf numFmtId="9" fontId="106" fillId="0" borderId="14" xfId="37" applyNumberFormat="1" applyFont="1" applyBorder="1" applyAlignment="1">
      <alignment horizontal="center" vertical="center"/>
    </xf>
    <xf numFmtId="170" fontId="85" fillId="0" borderId="12" xfId="37" applyNumberFormat="1" applyFont="1" applyBorder="1" applyAlignment="1">
      <alignment horizontal="center" vertical="center"/>
    </xf>
    <xf numFmtId="170" fontId="85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0" fontId="115" fillId="0" borderId="27" xfId="37" applyFont="1" applyBorder="1" applyAlignment="1">
      <alignment horizontal="right" vertical="center"/>
    </xf>
    <xf numFmtId="0" fontId="115" fillId="0" borderId="28" xfId="37" applyFont="1" applyBorder="1" applyAlignment="1">
      <alignment horizontal="right" vertical="center"/>
    </xf>
    <xf numFmtId="0" fontId="114" fillId="0" borderId="23" xfId="37" applyFont="1" applyBorder="1" applyAlignment="1">
      <alignment horizontal="center" vertical="top"/>
    </xf>
    <xf numFmtId="0" fontId="114" fillId="0" borderId="25" xfId="37" applyFont="1" applyBorder="1" applyAlignment="1">
      <alignment horizontal="center" vertical="top"/>
    </xf>
    <xf numFmtId="0" fontId="114" fillId="0" borderId="24" xfId="37" applyFont="1" applyBorder="1" applyAlignment="1">
      <alignment horizontal="center" vertical="top"/>
    </xf>
    <xf numFmtId="0" fontId="117" fillId="0" borderId="12" xfId="37" applyFont="1" applyBorder="1" applyAlignment="1">
      <alignment horizontal="center" vertical="center"/>
    </xf>
    <xf numFmtId="0" fontId="117" fillId="0" borderId="13" xfId="37" applyFont="1" applyBorder="1" applyAlignment="1">
      <alignment horizontal="center" vertical="center"/>
    </xf>
    <xf numFmtId="0" fontId="117" fillId="0" borderId="14" xfId="37" applyFont="1" applyBorder="1" applyAlignment="1">
      <alignment horizontal="center" vertical="center"/>
    </xf>
    <xf numFmtId="0" fontId="108" fillId="0" borderId="10" xfId="37" applyFont="1" applyBorder="1" applyAlignment="1">
      <alignment horizontal="center" vertical="center"/>
    </xf>
    <xf numFmtId="0" fontId="108" fillId="0" borderId="12" xfId="37" applyFont="1" applyBorder="1" applyAlignment="1">
      <alignment horizontal="center" vertical="center"/>
    </xf>
    <xf numFmtId="0" fontId="108" fillId="0" borderId="13" xfId="37" applyFont="1" applyBorder="1" applyAlignment="1">
      <alignment horizontal="center" vertical="center"/>
    </xf>
    <xf numFmtId="0" fontId="108" fillId="0" borderId="14" xfId="37" applyFont="1" applyBorder="1" applyAlignment="1">
      <alignment horizontal="center" vertical="center"/>
    </xf>
    <xf numFmtId="0" fontId="104" fillId="0" borderId="12" xfId="37" applyFont="1" applyBorder="1" applyAlignment="1">
      <alignment horizontal="left"/>
    </xf>
    <xf numFmtId="0" fontId="104" fillId="0" borderId="13" xfId="37" applyFont="1" applyBorder="1" applyAlignment="1">
      <alignment horizontal="left"/>
    </xf>
    <xf numFmtId="0" fontId="104" fillId="0" borderId="14" xfId="37" applyFont="1" applyBorder="1" applyAlignment="1">
      <alignment horizontal="left"/>
    </xf>
    <xf numFmtId="0" fontId="95" fillId="0" borderId="32" xfId="38" applyFont="1" applyFill="1" applyBorder="1" applyAlignment="1">
      <alignment horizontal="left" vertical="center"/>
    </xf>
    <xf numFmtId="0" fontId="93" fillId="0" borderId="32" xfId="37" applyFont="1" applyFill="1" applyBorder="1" applyAlignment="1">
      <alignment horizontal="left" vertical="center"/>
    </xf>
    <xf numFmtId="0" fontId="93" fillId="0" borderId="46" xfId="37" applyFont="1" applyFill="1" applyBorder="1" applyAlignment="1">
      <alignment horizontal="left" vertical="center"/>
    </xf>
    <xf numFmtId="0" fontId="102" fillId="0" borderId="45" xfId="0" applyFont="1" applyBorder="1"/>
    <xf numFmtId="0" fontId="102" fillId="0" borderId="34" xfId="0" applyFont="1" applyBorder="1"/>
    <xf numFmtId="0" fontId="102" fillId="0" borderId="39" xfId="0" applyFont="1" applyBorder="1"/>
    <xf numFmtId="0" fontId="102" fillId="0" borderId="16" xfId="0" applyFont="1" applyBorder="1"/>
    <xf numFmtId="0" fontId="102" fillId="0" borderId="40" xfId="0" applyFont="1" applyBorder="1"/>
    <xf numFmtId="0" fontId="114" fillId="0" borderId="22" xfId="37" applyFont="1" applyBorder="1" applyAlignment="1">
      <alignment horizontal="center" vertical="top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66CC"/>
      <color rgb="FF0066FF"/>
      <color rgb="FFFFFFCC"/>
      <color rgb="FF0000FF"/>
      <color rgb="FF16365C"/>
      <color rgb="FF33CCCC"/>
      <color rgb="FFCCFFCC"/>
      <color rgb="FF00FF00"/>
      <color rgb="FFFF66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1142999</xdr:colOff>
      <xdr:row>4</xdr:row>
      <xdr:rowOff>104771</xdr:rowOff>
    </xdr:from>
    <xdr:to>
      <xdr:col>9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240724</xdr:colOff>
      <xdr:row>27</xdr:row>
      <xdr:rowOff>57150</xdr:rowOff>
    </xdr:from>
    <xdr:to>
      <xdr:col>8</xdr:col>
      <xdr:colOff>897949</xdr:colOff>
      <xdr:row>34</xdr:row>
      <xdr:rowOff>323851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557906" y="5928014"/>
          <a:ext cx="1445202" cy="1833996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4693227</xdr:colOff>
      <xdr:row>23</xdr:row>
      <xdr:rowOff>95250</xdr:rowOff>
    </xdr:from>
    <xdr:to>
      <xdr:col>8</xdr:col>
      <xdr:colOff>1056409</xdr:colOff>
      <xdr:row>25</xdr:row>
      <xdr:rowOff>51956</xdr:rowOff>
    </xdr:to>
    <xdr:sp macro="" textlink="">
      <xdr:nvSpPr>
        <xdr:cNvPr id="4" name="Flowchart: Alternate Proces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DCADA9-A71F-4F36-89D7-0794FF217E7D}"/>
            </a:ext>
          </a:extLst>
        </xdr:cNvPr>
        <xdr:cNvSpPr/>
      </xdr:nvSpPr>
      <xdr:spPr>
        <a:xfrm>
          <a:off x="9187295" y="4814455"/>
          <a:ext cx="1974273" cy="675410"/>
        </a:xfrm>
        <a:prstGeom prst="flowChartAlternate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1400" b="1">
              <a:solidFill>
                <a:srgbClr val="7030A0"/>
              </a:solidFill>
            </a:rPr>
            <a:t>Calculate </a:t>
          </a:r>
          <a:r>
            <a:rPr lang="hi-IN" sz="1400" b="1">
              <a:solidFill>
                <a:srgbClr val="7030A0"/>
              </a:solidFill>
            </a:rPr>
            <a:t>Online</a:t>
          </a:r>
        </a:p>
        <a:p>
          <a:pPr algn="ctr"/>
          <a:r>
            <a:rPr lang="en-IN" sz="1400" b="1">
              <a:solidFill>
                <a:srgbClr val="7030A0"/>
              </a:solidFill>
            </a:rPr>
            <a:t> HRA Exemption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6"/>
  <sheetViews>
    <sheetView showGridLines="0" zoomScale="110" zoomScaleNormal="110" workbookViewId="0">
      <selection activeCell="B4" sqref="B4:P4"/>
    </sheetView>
  </sheetViews>
  <sheetFormatPr defaultColWidth="0" defaultRowHeight="12.75" zeroHeight="1"/>
  <cols>
    <col min="1" max="1" width="4" style="35" customWidth="1"/>
    <col min="2" max="2" width="4" style="39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/>
    <row r="2" spans="1:17" ht="25.5" customHeight="1">
      <c r="B2" s="237" t="s">
        <v>300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9"/>
    </row>
    <row r="3" spans="1:17" ht="22.5">
      <c r="B3" s="240" t="s">
        <v>62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2"/>
    </row>
    <row r="4" spans="1:17" ht="21" customHeight="1">
      <c r="B4" s="264" t="s">
        <v>83</v>
      </c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6"/>
    </row>
    <row r="5" spans="1:17" ht="21" customHeight="1">
      <c r="B5" s="63">
        <v>1</v>
      </c>
      <c r="C5" s="267" t="s">
        <v>301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9"/>
    </row>
    <row r="6" spans="1:17" ht="21" customHeight="1">
      <c r="B6" s="59">
        <v>2</v>
      </c>
      <c r="C6" s="267" t="s">
        <v>302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9"/>
    </row>
    <row r="7" spans="1:17" s="56" customFormat="1" ht="18.75">
      <c r="A7" s="54"/>
      <c r="B7" s="243" t="s">
        <v>63</v>
      </c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5"/>
      <c r="Q7" s="55"/>
    </row>
    <row r="8" spans="1:17" s="56" customFormat="1" ht="18.75">
      <c r="A8" s="57"/>
      <c r="B8" s="60">
        <v>1</v>
      </c>
      <c r="C8" s="255" t="s">
        <v>308</v>
      </c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6"/>
      <c r="Q8" s="58"/>
    </row>
    <row r="9" spans="1:17" ht="16.5">
      <c r="A9" s="38"/>
      <c r="B9" s="60">
        <v>2</v>
      </c>
      <c r="C9" s="270" t="s">
        <v>309</v>
      </c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1"/>
    </row>
    <row r="10" spans="1:17" ht="16.5">
      <c r="A10" s="38"/>
      <c r="B10" s="60">
        <v>3</v>
      </c>
      <c r="C10" s="252" t="s">
        <v>310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4"/>
    </row>
    <row r="11" spans="1:17" ht="38.25" customHeight="1">
      <c r="A11" s="38"/>
      <c r="B11" s="60">
        <v>4</v>
      </c>
      <c r="C11" s="260" t="s">
        <v>311</v>
      </c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2"/>
    </row>
    <row r="12" spans="1:17" s="40" customFormat="1" ht="18.75">
      <c r="A12" s="37"/>
      <c r="B12" s="61">
        <v>5</v>
      </c>
      <c r="C12" s="257" t="s">
        <v>303</v>
      </c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9"/>
    </row>
    <row r="13" spans="1:17" ht="18.75">
      <c r="B13" s="246" t="s">
        <v>64</v>
      </c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248"/>
    </row>
    <row r="14" spans="1:17" ht="18.75">
      <c r="A14" s="36"/>
      <c r="B14" s="62">
        <v>1</v>
      </c>
      <c r="C14" s="255" t="s">
        <v>305</v>
      </c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</row>
    <row r="15" spans="1:17" s="40" customFormat="1" ht="38.25" customHeight="1">
      <c r="A15" s="37"/>
      <c r="B15" s="236">
        <v>2</v>
      </c>
      <c r="C15" s="272" t="s">
        <v>304</v>
      </c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4"/>
    </row>
    <row r="16" spans="1:17" ht="18.75">
      <c r="B16" s="246" t="s">
        <v>84</v>
      </c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248"/>
    </row>
    <row r="17" spans="1:16" ht="18.75" customHeight="1">
      <c r="A17" s="36"/>
      <c r="B17" s="62">
        <v>1</v>
      </c>
      <c r="C17" s="263" t="s">
        <v>312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</row>
    <row r="18" spans="1:16" ht="18.75" customHeight="1">
      <c r="A18" s="36"/>
      <c r="B18" s="62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</row>
    <row r="19" spans="1:16" ht="18.75">
      <c r="B19" s="249" t="s">
        <v>65</v>
      </c>
      <c r="C19" s="250"/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1"/>
    </row>
    <row r="20" spans="1:16" ht="39" customHeight="1">
      <c r="A20" s="36"/>
      <c r="B20" s="62">
        <v>1</v>
      </c>
      <c r="C20" s="278" t="s">
        <v>306</v>
      </c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  <c r="P20" s="279"/>
    </row>
    <row r="21" spans="1:16" ht="42.75" customHeight="1">
      <c r="B21" s="280" t="s">
        <v>307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2"/>
    </row>
    <row r="22" spans="1:16" ht="67.5" customHeight="1" thickBot="1">
      <c r="B22" s="275" t="s">
        <v>321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7"/>
    </row>
    <row r="23" spans="1:16" ht="18.75" customHeight="1"/>
    <row r="24" spans="1:16"/>
    <row r="25" spans="1:16"/>
    <row r="26" spans="1:16"/>
  </sheetData>
  <sheetProtection algorithmName="SHA-512" hashValue="/jsWt4Z6rZitE0kAeUlgmTAfQwzmjHFwR61lbGnSc01jYC43eILBpfmkq9Gk13pWHVnaIWJtMIbzXe2nXjmAdw==" saltValue="2CUzH0Mu9RUKDbeD4DM7lw==" spinCount="100000" sheet="1" selectLockedCells="1"/>
  <mergeCells count="20">
    <mergeCell ref="C15:P15"/>
    <mergeCell ref="B22:P22"/>
    <mergeCell ref="C20:P20"/>
    <mergeCell ref="B21:P21"/>
    <mergeCell ref="B2:P2"/>
    <mergeCell ref="B3:P3"/>
    <mergeCell ref="B7:P7"/>
    <mergeCell ref="B13:P13"/>
    <mergeCell ref="B19:P19"/>
    <mergeCell ref="C10:P10"/>
    <mergeCell ref="C8:P8"/>
    <mergeCell ref="C12:P12"/>
    <mergeCell ref="C11:P11"/>
    <mergeCell ref="B16:P16"/>
    <mergeCell ref="C17:P18"/>
    <mergeCell ref="B4:P4"/>
    <mergeCell ref="C6:P6"/>
    <mergeCell ref="C5:P5"/>
    <mergeCell ref="C14:P14"/>
    <mergeCell ref="C9:P9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7"/>
  <sheetViews>
    <sheetView tabSelected="1" zoomScale="110" zoomScaleNormal="110" zoomScaleSheetLayoutView="80" workbookViewId="0">
      <selection activeCell="B11" sqref="B11"/>
    </sheetView>
  </sheetViews>
  <sheetFormatPr defaultColWidth="0" defaultRowHeight="15.75" zeroHeight="1"/>
  <cols>
    <col min="1" max="1" width="57.42578125" style="43" bestFit="1" customWidth="1"/>
    <col min="2" max="2" width="39" style="43" customWidth="1"/>
    <col min="3" max="3" width="37" style="44" customWidth="1"/>
    <col min="4" max="4" width="30" style="43" customWidth="1"/>
    <col min="5" max="5" width="11" style="43" customWidth="1"/>
    <col min="6" max="6" width="9.140625" style="51" hidden="1" customWidth="1"/>
    <col min="7" max="7" width="0" style="74" hidden="1" customWidth="1"/>
    <col min="8" max="16384" width="9.140625" style="74" hidden="1"/>
  </cols>
  <sheetData>
    <row r="1" spans="1:7" ht="28.5">
      <c r="A1" s="285" t="s">
        <v>70</v>
      </c>
      <c r="B1" s="286"/>
      <c r="C1" s="286"/>
      <c r="D1" s="287"/>
      <c r="E1" s="51"/>
      <c r="G1" s="87" t="s">
        <v>96</v>
      </c>
    </row>
    <row r="2" spans="1:7" ht="24" thickBot="1">
      <c r="A2" s="288" t="s">
        <v>149</v>
      </c>
      <c r="B2" s="289"/>
      <c r="C2" s="289"/>
      <c r="D2" s="290"/>
      <c r="E2" s="51"/>
      <c r="G2" s="87" t="s">
        <v>97</v>
      </c>
    </row>
    <row r="3" spans="1:7" ht="18.75">
      <c r="A3" s="187" t="s">
        <v>264</v>
      </c>
      <c r="B3" s="283" t="s">
        <v>69</v>
      </c>
      <c r="C3" s="283"/>
      <c r="D3" s="284"/>
      <c r="E3" s="51"/>
      <c r="G3" s="87" t="s">
        <v>98</v>
      </c>
    </row>
    <row r="4" spans="1:7" ht="18.75">
      <c r="A4" s="188" t="s">
        <v>265</v>
      </c>
      <c r="B4" s="202" t="s">
        <v>79</v>
      </c>
      <c r="C4" s="179" t="s">
        <v>278</v>
      </c>
      <c r="D4" s="207" t="s">
        <v>148</v>
      </c>
      <c r="E4" s="51"/>
      <c r="G4" s="87" t="s">
        <v>99</v>
      </c>
    </row>
    <row r="5" spans="1:7" ht="18.75">
      <c r="A5" s="188" t="s">
        <v>266</v>
      </c>
      <c r="B5" s="202" t="s">
        <v>46</v>
      </c>
      <c r="C5" s="179" t="s">
        <v>279</v>
      </c>
      <c r="D5" s="203" t="s">
        <v>54</v>
      </c>
      <c r="E5" s="51"/>
      <c r="G5" s="87" t="s">
        <v>100</v>
      </c>
    </row>
    <row r="6" spans="1:7" ht="18.75">
      <c r="A6" s="188" t="s">
        <v>267</v>
      </c>
      <c r="B6" s="202" t="s">
        <v>85</v>
      </c>
      <c r="C6" s="179" t="s">
        <v>280</v>
      </c>
      <c r="D6" s="203" t="s">
        <v>71</v>
      </c>
      <c r="E6" s="51"/>
      <c r="G6" s="87" t="s">
        <v>101</v>
      </c>
    </row>
    <row r="7" spans="1:7" ht="18.75">
      <c r="A7" s="188" t="s">
        <v>268</v>
      </c>
      <c r="B7" s="202" t="s">
        <v>81</v>
      </c>
      <c r="C7" s="179" t="s">
        <v>281</v>
      </c>
      <c r="D7" s="180" t="s">
        <v>87</v>
      </c>
      <c r="E7" s="51"/>
      <c r="G7" s="87" t="s">
        <v>102</v>
      </c>
    </row>
    <row r="8" spans="1:7" ht="18.75">
      <c r="A8" s="189" t="s">
        <v>269</v>
      </c>
      <c r="B8" s="202" t="s">
        <v>82</v>
      </c>
      <c r="C8" s="181" t="s">
        <v>282</v>
      </c>
      <c r="D8" s="182" t="s">
        <v>143</v>
      </c>
      <c r="E8" s="51"/>
      <c r="F8" s="86" t="s">
        <v>94</v>
      </c>
      <c r="G8" s="87" t="s">
        <v>103</v>
      </c>
    </row>
    <row r="9" spans="1:7" ht="18.75">
      <c r="A9" s="188" t="s">
        <v>270</v>
      </c>
      <c r="B9" s="177">
        <v>7000</v>
      </c>
      <c r="C9" s="181" t="s">
        <v>283</v>
      </c>
      <c r="D9" s="183" t="s">
        <v>80</v>
      </c>
      <c r="E9" s="51"/>
      <c r="F9" s="86">
        <v>220</v>
      </c>
      <c r="G9" s="87" t="s">
        <v>104</v>
      </c>
    </row>
    <row r="10" spans="1:7" ht="18.75">
      <c r="A10" s="188" t="s">
        <v>271</v>
      </c>
      <c r="B10" s="177">
        <v>77900</v>
      </c>
      <c r="C10" s="181" t="s">
        <v>284</v>
      </c>
      <c r="D10" s="184">
        <v>0.08</v>
      </c>
      <c r="E10" s="51"/>
      <c r="F10" s="86">
        <v>700</v>
      </c>
      <c r="G10" s="87" t="s">
        <v>105</v>
      </c>
    </row>
    <row r="11" spans="1:7" ht="18.75">
      <c r="A11" s="67" t="s">
        <v>272</v>
      </c>
      <c r="B11" s="202" t="s">
        <v>78</v>
      </c>
      <c r="C11" s="185" t="s">
        <v>285</v>
      </c>
      <c r="D11" s="203" t="s">
        <v>78</v>
      </c>
      <c r="E11" s="51"/>
      <c r="F11" s="86">
        <v>1400</v>
      </c>
      <c r="G11" s="87" t="s">
        <v>106</v>
      </c>
    </row>
    <row r="12" spans="1:7" ht="18.75">
      <c r="A12" s="190" t="s">
        <v>273</v>
      </c>
      <c r="B12" s="202" t="s">
        <v>78</v>
      </c>
      <c r="C12" s="179" t="s">
        <v>286</v>
      </c>
      <c r="D12" s="203" t="s">
        <v>147</v>
      </c>
      <c r="E12" s="51"/>
      <c r="F12" s="86">
        <v>2100</v>
      </c>
      <c r="G12" s="87" t="s">
        <v>107</v>
      </c>
    </row>
    <row r="13" spans="1:7" ht="18.75">
      <c r="A13" s="190" t="s">
        <v>274</v>
      </c>
      <c r="B13" s="202" t="s">
        <v>78</v>
      </c>
      <c r="C13" s="179" t="s">
        <v>287</v>
      </c>
      <c r="D13" s="186">
        <v>220</v>
      </c>
      <c r="E13" s="51"/>
      <c r="G13" s="87" t="s">
        <v>85</v>
      </c>
    </row>
    <row r="14" spans="1:7" ht="18.75">
      <c r="A14" s="67" t="s">
        <v>275</v>
      </c>
      <c r="B14" s="68" t="s">
        <v>78</v>
      </c>
      <c r="C14" s="179" t="s">
        <v>288</v>
      </c>
      <c r="D14" s="203" t="s">
        <v>144</v>
      </c>
      <c r="E14" s="51"/>
      <c r="G14" s="87"/>
    </row>
    <row r="15" spans="1:7" ht="19.5" thickBot="1">
      <c r="A15" s="191" t="s">
        <v>276</v>
      </c>
      <c r="B15" s="178" t="s">
        <v>78</v>
      </c>
      <c r="C15" s="209" t="s">
        <v>289</v>
      </c>
      <c r="D15" s="207" t="s">
        <v>147</v>
      </c>
      <c r="E15" s="51"/>
      <c r="G15" s="87" t="s">
        <v>108</v>
      </c>
    </row>
    <row r="16" spans="1:7" ht="65.25" customHeight="1">
      <c r="A16" s="291" t="s">
        <v>277</v>
      </c>
      <c r="B16" s="292"/>
      <c r="C16" s="292"/>
      <c r="D16" s="292"/>
      <c r="E16" s="51"/>
      <c r="G16" s="87" t="s">
        <v>109</v>
      </c>
    </row>
    <row r="17" spans="1:7" ht="18.75" hidden="1">
      <c r="A17" s="52"/>
      <c r="B17" s="52"/>
      <c r="C17" s="53"/>
      <c r="D17" s="51"/>
      <c r="E17" s="51"/>
      <c r="G17" s="87" t="s">
        <v>110</v>
      </c>
    </row>
    <row r="18" spans="1:7" ht="18.75" hidden="1">
      <c r="A18" s="52"/>
      <c r="B18" s="51"/>
      <c r="C18" s="53"/>
      <c r="D18" s="51"/>
      <c r="E18" s="51"/>
      <c r="G18" s="87" t="s">
        <v>111</v>
      </c>
    </row>
    <row r="19" spans="1:7" ht="18.75" hidden="1">
      <c r="A19" s="52"/>
      <c r="B19" s="51"/>
      <c r="C19" s="53"/>
      <c r="D19" s="51"/>
      <c r="E19" s="51"/>
      <c r="G19" s="87" t="s">
        <v>112</v>
      </c>
    </row>
    <row r="20" spans="1:7" ht="18.75" hidden="1">
      <c r="A20" s="52"/>
      <c r="B20" s="51"/>
      <c r="C20" s="53"/>
      <c r="D20" s="51"/>
      <c r="E20" s="51"/>
      <c r="G20" s="87" t="s">
        <v>113</v>
      </c>
    </row>
    <row r="21" spans="1:7" ht="18.75" hidden="1">
      <c r="A21" s="52"/>
      <c r="B21" s="51"/>
      <c r="C21" s="53"/>
      <c r="D21" s="51"/>
      <c r="E21" s="51"/>
      <c r="G21" s="87" t="s">
        <v>114</v>
      </c>
    </row>
    <row r="22" spans="1:7" ht="18.75" hidden="1">
      <c r="A22" s="52"/>
      <c r="B22" s="51"/>
      <c r="C22" s="53"/>
      <c r="D22" s="51"/>
      <c r="E22" s="51"/>
      <c r="G22" s="87" t="s">
        <v>115</v>
      </c>
    </row>
    <row r="23" spans="1:7" ht="18.75" hidden="1">
      <c r="A23" s="52"/>
      <c r="B23" s="51"/>
      <c r="C23" s="53"/>
      <c r="D23" s="51"/>
      <c r="E23" s="51"/>
      <c r="G23" s="87" t="s">
        <v>116</v>
      </c>
    </row>
    <row r="24" spans="1:7" ht="18.75" hidden="1">
      <c r="A24" s="52"/>
      <c r="B24" s="51"/>
      <c r="C24" s="53"/>
      <c r="D24" s="51"/>
      <c r="E24" s="51"/>
      <c r="G24" s="87" t="s">
        <v>117</v>
      </c>
    </row>
    <row r="25" spans="1:7" ht="18.75" hidden="1">
      <c r="A25" s="52"/>
      <c r="B25" s="51"/>
      <c r="C25" s="53"/>
      <c r="D25" s="51"/>
      <c r="E25" s="51"/>
      <c r="G25" s="87" t="s">
        <v>118</v>
      </c>
    </row>
    <row r="26" spans="1:7" ht="18.75" hidden="1">
      <c r="A26" s="52"/>
      <c r="B26" s="51"/>
      <c r="C26" s="53"/>
      <c r="D26" s="51"/>
      <c r="E26" s="51"/>
      <c r="G26" s="51"/>
    </row>
    <row r="27" spans="1:7" ht="18.75" hidden="1">
      <c r="A27" s="52"/>
      <c r="B27" s="51"/>
      <c r="C27" s="53"/>
      <c r="D27" s="51"/>
      <c r="E27" s="51"/>
      <c r="G27" s="51"/>
    </row>
  </sheetData>
  <sheetProtection algorithmName="SHA-512" hashValue="Bhfbme1TaPu8fmB4dG9q64evc1VOMtDNseCDza7yLB+W649iv5lJyRkwwU3rz4kQlBm4/i/37Wa8TEeQ51Q1RQ==" saltValue="1EK0nQmy8PJbFlvn8x75Bw==" spinCount="100000" sheet="1" selectLockedCells="1"/>
  <mergeCells count="4">
    <mergeCell ref="B3:D3"/>
    <mergeCell ref="A1:D1"/>
    <mergeCell ref="A2:D2"/>
    <mergeCell ref="A16:D16"/>
  </mergeCells>
  <phoneticPr fontId="79" type="noConversion"/>
  <dataValidations count="7">
    <dataValidation type="list" allowBlank="1" showInputMessage="1" showErrorMessage="1" sqref="D11 D14 B12:B15 B11" xr:uid="{00000000-0002-0000-0100-000000000000}">
      <formula1>"YES,NO"</formula1>
    </dataValidation>
    <dataValidation type="list" allowBlank="1" showInputMessage="1" showErrorMessage="1" sqref="D10" xr:uid="{00000000-0002-0000-0100-000001000000}">
      <formula1>"NA,8%,16%"</formula1>
    </dataValidation>
    <dataValidation type="list" allowBlank="1" showInputMessage="1" showErrorMessage="1" sqref="D6" xr:uid="{00000000-0002-0000-0100-000002000000}">
      <formula1>"State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B6" xr:uid="{00000000-0002-0000-0100-000004000000}">
      <formula1>$G$1:$G$25</formula1>
    </dataValidation>
    <dataValidation type="list" allowBlank="1" showInputMessage="1" showErrorMessage="1" sqref="D13:D14" xr:uid="{00000000-0002-0000-0100-000005000000}">
      <formula1>$F$9:$F$13</formula1>
    </dataValidation>
    <dataValidation type="list" allowBlank="1" showInputMessage="1" showErrorMessage="1" sqref="D15" xr:uid="{9DF01624-629F-4D5C-BD2F-9029B101E646}">
      <formula1>"NA,320,620,1000"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</sheetPr>
  <dimension ref="A1:AH35"/>
  <sheetViews>
    <sheetView showGridLines="0" zoomScaleNormal="100" zoomScaleSheetLayoutView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V21" sqref="V21"/>
    </sheetView>
  </sheetViews>
  <sheetFormatPr defaultColWidth="0" defaultRowHeight="12.75" zeroHeight="1"/>
  <cols>
    <col min="1" max="1" width="0.42578125" style="24" customWidth="1"/>
    <col min="2" max="2" width="0.42578125" style="3" hidden="1" customWidth="1"/>
    <col min="3" max="3" width="13.28515625" style="3" customWidth="1"/>
    <col min="4" max="4" width="9.5703125" style="3" customWidth="1"/>
    <col min="5" max="7" width="5" style="3" customWidth="1"/>
    <col min="8" max="8" width="7.85546875" style="3" customWidth="1"/>
    <col min="9" max="9" width="7.5703125" style="3" customWidth="1"/>
    <col min="10" max="10" width="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8554687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4" customWidth="1"/>
    <col min="31" max="31" width="9.140625" style="3" customWidth="1"/>
    <col min="32" max="16384" width="9.140625" style="3" hidden="1"/>
  </cols>
  <sheetData>
    <row r="1" spans="1:30" ht="2.25" customHeight="1">
      <c r="C1" s="17"/>
      <c r="D1" s="18"/>
      <c r="E1" s="18"/>
      <c r="F1" s="18"/>
      <c r="G1" s="18"/>
      <c r="H1" s="18"/>
      <c r="I1" s="18"/>
      <c r="J1" s="18"/>
      <c r="K1" s="18"/>
      <c r="L1" s="19"/>
      <c r="M1" s="19"/>
      <c r="N1" s="20"/>
      <c r="O1" s="20"/>
      <c r="P1" s="20"/>
      <c r="Q1" s="20"/>
      <c r="R1" s="20"/>
      <c r="S1" s="20"/>
      <c r="T1" s="21"/>
      <c r="U1" s="18"/>
      <c r="V1" s="22"/>
      <c r="W1" s="22"/>
      <c r="X1" s="22"/>
      <c r="Y1" s="22"/>
      <c r="Z1" s="22"/>
      <c r="AA1" s="23"/>
      <c r="AB1" s="24"/>
      <c r="AC1" s="24"/>
    </row>
    <row r="2" spans="1:30" ht="27">
      <c r="C2" s="297" t="str">
        <f>IF(Master!B3="","",CONCATENATE("Office of the"," ",Master!B3))</f>
        <v>Office of the Principal, Govt. Sr. Secondary School Todaraisingh (Tonk)</v>
      </c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30" ht="23.25">
      <c r="C3" s="298" t="s">
        <v>124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</row>
    <row r="4" spans="1:30" ht="3.75" customHeight="1"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30" s="98" customFormat="1" ht="21" customHeight="1">
      <c r="A5" s="97"/>
      <c r="C5" s="176" t="s">
        <v>20</v>
      </c>
      <c r="D5" s="299" t="str">
        <f>IF(Master!B5="","",Master!B5)</f>
        <v>Chandra Prakash Kurmi</v>
      </c>
      <c r="E5" s="299"/>
      <c r="F5" s="299"/>
      <c r="G5" s="299"/>
      <c r="H5" s="299"/>
      <c r="I5" s="299"/>
      <c r="J5" s="299"/>
      <c r="K5" s="294" t="s">
        <v>19</v>
      </c>
      <c r="L5" s="294"/>
      <c r="M5" s="299" t="str">
        <f>IF(Master!B7="","",Master!B7)</f>
        <v>AAAAAXXXXA</v>
      </c>
      <c r="N5" s="299"/>
      <c r="O5" s="299"/>
      <c r="P5" s="194"/>
      <c r="Q5" s="194"/>
      <c r="R5" s="176" t="s">
        <v>59</v>
      </c>
      <c r="S5" s="296" t="str">
        <f>IF(Master!B4="","",Master!B4)</f>
        <v>AAAAXXXXXA</v>
      </c>
      <c r="T5" s="296"/>
      <c r="U5" s="296"/>
      <c r="V5" s="296"/>
      <c r="Y5" s="103"/>
      <c r="Z5" s="294" t="s">
        <v>53</v>
      </c>
      <c r="AA5" s="294"/>
      <c r="AB5" s="295" t="str">
        <f>IF(Master!D7="","",Master!D7)</f>
        <v>9XXXXXXXXXXXXX9</v>
      </c>
      <c r="AC5" s="295"/>
      <c r="AD5" s="97"/>
    </row>
    <row r="6" spans="1:30" s="98" customFormat="1" ht="21" customHeight="1" thickBot="1">
      <c r="A6" s="97"/>
      <c r="C6" s="99" t="s">
        <v>140</v>
      </c>
      <c r="D6" s="300" t="str">
        <f>IF(Master!D5="","",CONCATENATE(Master!D5," ","(",Master!B6,")"))</f>
        <v>Lecturer (L-13)</v>
      </c>
      <c r="E6" s="300"/>
      <c r="F6" s="300"/>
      <c r="G6" s="300"/>
      <c r="H6" s="300"/>
      <c r="I6" s="300"/>
      <c r="J6" s="300"/>
      <c r="K6" s="301" t="s">
        <v>141</v>
      </c>
      <c r="L6" s="301"/>
      <c r="M6" s="300" t="str">
        <f>IF(Master!B8="","",Master!B8)</f>
        <v>74XXX7</v>
      </c>
      <c r="N6" s="300"/>
      <c r="O6" s="194"/>
      <c r="P6" s="194"/>
      <c r="R6" s="302" t="str">
        <f>IF(Master!B11="NO","GPF No:","Pran No:")</f>
        <v>GPF No:</v>
      </c>
      <c r="S6" s="302"/>
      <c r="T6" s="303" t="str">
        <f>IF(Master!D8="","",Master!D8)</f>
        <v>8XXXXX8</v>
      </c>
      <c r="U6" s="303"/>
      <c r="V6" s="303"/>
      <c r="W6" s="303"/>
      <c r="X6" s="100"/>
      <c r="Y6" s="100"/>
      <c r="Z6" s="294" t="s">
        <v>67</v>
      </c>
      <c r="AA6" s="294"/>
      <c r="AB6" s="295" t="str">
        <f>IF(Master!D9="","",Master!D9)</f>
        <v>9XXXXXXXX1</v>
      </c>
      <c r="AC6" s="295"/>
      <c r="AD6" s="97"/>
    </row>
    <row r="7" spans="1:30" s="46" customFormat="1" ht="114.75" customHeight="1">
      <c r="A7" s="45"/>
      <c r="C7" s="164" t="s">
        <v>9</v>
      </c>
      <c r="D7" s="165" t="s">
        <v>2</v>
      </c>
      <c r="E7" s="166" t="s">
        <v>3</v>
      </c>
      <c r="F7" s="166" t="s">
        <v>47</v>
      </c>
      <c r="G7" s="166" t="s">
        <v>17</v>
      </c>
      <c r="H7" s="165" t="s">
        <v>18</v>
      </c>
      <c r="I7" s="165" t="s">
        <v>61</v>
      </c>
      <c r="J7" s="166" t="s">
        <v>51</v>
      </c>
      <c r="K7" s="166" t="s">
        <v>57</v>
      </c>
      <c r="L7" s="160" t="str">
        <f>IF(AND(Master!$B$14="YES",Master!$B$11="Yes"),"Govt. NPS","Other Allowance" )</f>
        <v>Other Allowance</v>
      </c>
      <c r="M7" s="160" t="str">
        <f>IF(Master!D15="NA","Other Allowance","CCA")</f>
        <v>Other Allowance</v>
      </c>
      <c r="N7" s="165" t="s">
        <v>49</v>
      </c>
      <c r="O7" s="165" t="str">
        <f>IF(Master!B11="No","GPF","Emp. C.Pen.F.")</f>
        <v>GPF</v>
      </c>
      <c r="P7" s="167" t="str">
        <f>IF(Master!B11="No","GPF LOAN","GPF 2004")</f>
        <v>GPF LOAN</v>
      </c>
      <c r="Q7" s="165" t="s">
        <v>10</v>
      </c>
      <c r="R7" s="165" t="s">
        <v>1</v>
      </c>
      <c r="S7" s="165" t="s">
        <v>90</v>
      </c>
      <c r="T7" s="165" t="s">
        <v>6</v>
      </c>
      <c r="U7" s="165" t="s">
        <v>56</v>
      </c>
      <c r="V7" s="167" t="s">
        <v>45</v>
      </c>
      <c r="W7" s="166" t="s">
        <v>86</v>
      </c>
      <c r="X7" s="166" t="s">
        <v>72</v>
      </c>
      <c r="Y7" s="160" t="str">
        <f>IF(AND(Master!$B$14="YES",Master!$B$11="Yes"),"Govt. NPS","Other Deduction" )</f>
        <v>Other Deduction</v>
      </c>
      <c r="Z7" s="160" t="s">
        <v>146</v>
      </c>
      <c r="AA7" s="165" t="s">
        <v>48</v>
      </c>
      <c r="AB7" s="165" t="s">
        <v>58</v>
      </c>
      <c r="AC7" s="168" t="s">
        <v>50</v>
      </c>
      <c r="AD7" s="45"/>
    </row>
    <row r="8" spans="1:30" s="12" customFormat="1" ht="18" customHeight="1">
      <c r="A8" s="25"/>
      <c r="B8" s="12">
        <v>3</v>
      </c>
      <c r="C8" s="170">
        <v>44256</v>
      </c>
      <c r="D8" s="161">
        <f>Master!B10</f>
        <v>77900</v>
      </c>
      <c r="E8" s="173">
        <v>0</v>
      </c>
      <c r="F8" s="173">
        <v>0</v>
      </c>
      <c r="G8" s="173">
        <v>0</v>
      </c>
      <c r="H8" s="173">
        <f t="shared" ref="H8:H11" si="0">ROUND(17%*D8,0)</f>
        <v>13243</v>
      </c>
      <c r="I8" s="173">
        <f>IF(Master!$D$10="NA",0,IF(Master!$D$10=8%,ROUND(0.08*D8,0),ROUND(0.16*D8,0)))</f>
        <v>6232</v>
      </c>
      <c r="J8" s="173">
        <v>0</v>
      </c>
      <c r="K8" s="173">
        <v>0</v>
      </c>
      <c r="L8" s="173" t="str">
        <f>IF(AND(Master!$B$14="YES",Master!$B$11="Yes"),ROUND((D8+H8)*0.1,0),"")</f>
        <v/>
      </c>
      <c r="M8" s="173" t="str">
        <f>IF(Master!D15="NA","",Master!D15)</f>
        <v/>
      </c>
      <c r="N8" s="95">
        <f>SUM(D8:M8)</f>
        <v>97375</v>
      </c>
      <c r="O8" s="173">
        <f>IF(Master!$B$11="Yes",ROUND((D8+H8)*0.1,0),IF(D8&lt;23101,1450,IF(D8&lt;28501,1625,IF(D8&lt;38501,2100,IF(D8&lt;51501,2850,IF(D8&lt;62001,3575,IF(D8&lt;72001,4200,IF(D8&lt;80001,4800,IF(D8&lt;116001,6150,IF(D8&lt;167001,8900,10500))))))))))</f>
        <v>4800</v>
      </c>
      <c r="P8" s="173">
        <v>0</v>
      </c>
      <c r="Q8" s="173">
        <f>Master!$B$9</f>
        <v>7000</v>
      </c>
      <c r="R8" s="173">
        <v>0</v>
      </c>
      <c r="S8" s="173">
        <f>IF(Master!$B$11="No",IF(D8&lt;18001,265,IF(D8&lt;33501,440,IF(D8&lt;54001,658,875))),0)</f>
        <v>875</v>
      </c>
      <c r="T8" s="173">
        <v>0</v>
      </c>
      <c r="U8" s="173">
        <v>0</v>
      </c>
      <c r="V8" s="173">
        <v>0</v>
      </c>
      <c r="W8" s="173"/>
      <c r="X8" s="173"/>
      <c r="Y8" s="173" t="str">
        <f>IF(AND(Master!$B$14="YES",Master!$B$11="Yes"),L8,"")</f>
        <v/>
      </c>
      <c r="Z8" s="175"/>
      <c r="AA8" s="163">
        <f t="shared" ref="AA8" si="1">SUM(O8:Z8)</f>
        <v>12675</v>
      </c>
      <c r="AB8" s="96">
        <f t="shared" ref="AB8" si="2">N8-AA8</f>
        <v>84700</v>
      </c>
      <c r="AC8" s="66"/>
      <c r="AD8" s="25"/>
    </row>
    <row r="9" spans="1:30" s="12" customFormat="1" ht="18" customHeight="1">
      <c r="A9" s="25"/>
      <c r="B9" s="12">
        <v>4</v>
      </c>
      <c r="C9" s="170">
        <v>44287</v>
      </c>
      <c r="D9" s="161">
        <f t="shared" ref="D9:D11" si="3">D8</f>
        <v>77900</v>
      </c>
      <c r="E9" s="173">
        <f>IF(E$8=0,0,ROUND(D9/2,0))</f>
        <v>0</v>
      </c>
      <c r="F9" s="173">
        <f t="shared" ref="F9:G14" si="4">IF(F$8=0,0,F8)</f>
        <v>0</v>
      </c>
      <c r="G9" s="173">
        <f t="shared" si="4"/>
        <v>0</v>
      </c>
      <c r="H9" s="173">
        <f t="shared" si="0"/>
        <v>13243</v>
      </c>
      <c r="I9" s="173">
        <f>IF(Master!$D$10="NA",0,IF(Master!$D$10=8%,ROUND(0.08*D9,0),ROUND(0.16*D9,0)))</f>
        <v>6232</v>
      </c>
      <c r="J9" s="173">
        <f t="shared" ref="J9:J19" si="5">IF(J$8=0,0,J8)</f>
        <v>0</v>
      </c>
      <c r="K9" s="173">
        <f t="shared" ref="K9:K19" si="6">IF(K$8=0,0,K8)</f>
        <v>0</v>
      </c>
      <c r="L9" s="173" t="str">
        <f>IF(AND(Master!$B$14="YES",Master!$B$11="Yes"),ROUND((D9+H9)*0.1,0),"")</f>
        <v/>
      </c>
      <c r="M9" s="173" t="str">
        <f t="shared" ref="M9:M19" si="7">IF(M$8=0,0,M8)</f>
        <v/>
      </c>
      <c r="N9" s="95">
        <f t="shared" ref="N9:N27" si="8">SUM(D9:M9)</f>
        <v>97375</v>
      </c>
      <c r="O9" s="173">
        <f>IF(Master!$B$11="Yes",ROUND((D9+H9)*0.1,0),IF(D9&lt;23101,1450,IF(D9&lt;28501,1625,IF(D9&lt;38501,2100,IF(D9&lt;51501,2850,IF(D9&lt;62001,3575,IF(D9&lt;72001,4200,IF(D9&lt;80001,4800,IF(D9&lt;116001,6150,IF(D9&lt;167001,8900,10500))))))))))</f>
        <v>4800</v>
      </c>
      <c r="P9" s="173">
        <f>P8</f>
        <v>0</v>
      </c>
      <c r="Q9" s="173">
        <f>Master!$B$9</f>
        <v>7000</v>
      </c>
      <c r="R9" s="173">
        <f t="shared" ref="R9:R19" si="9">IF(R$8=0,0,R8)</f>
        <v>0</v>
      </c>
      <c r="S9" s="173">
        <f>IF(Master!$B$11="No",IF(D9&lt;18001,265,IF(D9&lt;33501,440,IF(D9&lt;54001,658,875))),0)</f>
        <v>875</v>
      </c>
      <c r="T9" s="173">
        <f>T8</f>
        <v>0</v>
      </c>
      <c r="U9" s="173">
        <f>Master!D13</f>
        <v>220</v>
      </c>
      <c r="V9" s="173">
        <f>V8</f>
        <v>0</v>
      </c>
      <c r="W9" s="173"/>
      <c r="X9" s="173"/>
      <c r="Y9" s="173" t="str">
        <f>IF(AND(Master!$B$14="YES",Master!$B$11="Yes"),L9,"")</f>
        <v/>
      </c>
      <c r="Z9" s="173">
        <f t="shared" ref="Z9:Z19" si="10">Z8</f>
        <v>0</v>
      </c>
      <c r="AA9" s="163">
        <f t="shared" ref="AA9:AA27" si="11">SUM(O9:Z9)</f>
        <v>12895</v>
      </c>
      <c r="AB9" s="96">
        <f t="shared" ref="AB9:AB27" si="12">N9-AA9</f>
        <v>84480</v>
      </c>
      <c r="AC9" s="66"/>
      <c r="AD9" s="25"/>
    </row>
    <row r="10" spans="1:30" s="12" customFormat="1" ht="18" customHeight="1">
      <c r="A10" s="25"/>
      <c r="B10" s="12">
        <v>5</v>
      </c>
      <c r="C10" s="170">
        <v>44317</v>
      </c>
      <c r="D10" s="161">
        <f t="shared" si="3"/>
        <v>77900</v>
      </c>
      <c r="E10" s="173">
        <f t="shared" ref="E10:E19" si="13">IF($E$8=0,0,ROUND(D10/2,0))</f>
        <v>0</v>
      </c>
      <c r="F10" s="173">
        <f t="shared" si="4"/>
        <v>0</v>
      </c>
      <c r="G10" s="173">
        <f t="shared" si="4"/>
        <v>0</v>
      </c>
      <c r="H10" s="173">
        <f t="shared" si="0"/>
        <v>13243</v>
      </c>
      <c r="I10" s="173">
        <f>IF(Master!$D$10="NA",0,IF(Master!$D$10=8%,ROUND(0.08*D10,0),ROUND(0.16*D10,0)))</f>
        <v>6232</v>
      </c>
      <c r="J10" s="173">
        <f t="shared" si="5"/>
        <v>0</v>
      </c>
      <c r="K10" s="173">
        <f t="shared" ref="K10" si="14">IF(K$8=0,0,K9)</f>
        <v>0</v>
      </c>
      <c r="L10" s="173" t="str">
        <f>IF(AND(Master!$B$14="YES",Master!$B$11="Yes"),ROUND((D10+H10)*0.1,0),"")</f>
        <v/>
      </c>
      <c r="M10" s="173" t="str">
        <f t="shared" si="7"/>
        <v/>
      </c>
      <c r="N10" s="95">
        <f t="shared" si="8"/>
        <v>97375</v>
      </c>
      <c r="O10" s="173">
        <f>IF(Master!$B$11="Yes",ROUND((D10+H10)*0.1,0),IF(D10&lt;23101,1450,IF(D10&lt;28501,1625,IF(D10&lt;38501,2100,IF(D10&lt;51501,2850,IF(D10&lt;62001,3575,IF(D10&lt;72001,4200,IF(D10&lt;80001,4800,IF(D10&lt;116001,6150,IF(D10&lt;167001,8900,10500))))))))))</f>
        <v>4800</v>
      </c>
      <c r="P10" s="173">
        <f t="shared" ref="P10:P19" si="15">P9</f>
        <v>0</v>
      </c>
      <c r="Q10" s="173">
        <f t="shared" ref="Q10:Q19" si="16">Q9</f>
        <v>7000</v>
      </c>
      <c r="R10" s="173">
        <f t="shared" si="9"/>
        <v>0</v>
      </c>
      <c r="S10" s="173">
        <f>IF(Master!$B$11="No",IF(D10&lt;18001,265,IF(D10&lt;33501,440,IF(D10&lt;54001,658,875))),0)</f>
        <v>875</v>
      </c>
      <c r="T10" s="173">
        <f t="shared" ref="T10:T19" si="17">T9</f>
        <v>0</v>
      </c>
      <c r="U10" s="173">
        <v>0</v>
      </c>
      <c r="V10" s="173">
        <f t="shared" ref="V10:V19" si="18">V9</f>
        <v>0</v>
      </c>
      <c r="W10" s="173"/>
      <c r="X10" s="173"/>
      <c r="Y10" s="173" t="str">
        <f>IF(AND(Master!$B$14="YES",Master!$B$11="Yes"),L10,"")</f>
        <v/>
      </c>
      <c r="Z10" s="173">
        <f t="shared" si="10"/>
        <v>0</v>
      </c>
      <c r="AA10" s="163">
        <f t="shared" si="11"/>
        <v>12675</v>
      </c>
      <c r="AB10" s="96">
        <f t="shared" si="12"/>
        <v>84700</v>
      </c>
      <c r="AC10" s="66"/>
      <c r="AD10" s="25"/>
    </row>
    <row r="11" spans="1:30" s="12" customFormat="1" ht="18" customHeight="1">
      <c r="A11" s="25"/>
      <c r="B11" s="12">
        <v>6</v>
      </c>
      <c r="C11" s="170">
        <v>44348</v>
      </c>
      <c r="D11" s="161">
        <f t="shared" si="3"/>
        <v>77900</v>
      </c>
      <c r="E11" s="173">
        <f t="shared" si="13"/>
        <v>0</v>
      </c>
      <c r="F11" s="173">
        <f t="shared" si="4"/>
        <v>0</v>
      </c>
      <c r="G11" s="173">
        <f t="shared" si="4"/>
        <v>0</v>
      </c>
      <c r="H11" s="173">
        <f t="shared" si="0"/>
        <v>13243</v>
      </c>
      <c r="I11" s="173">
        <f>IF(Master!$D$10="NA",0,IF(Master!$D$10=8%,ROUND(0.08*D11,0),ROUND(0.16*D11,0)))</f>
        <v>6232</v>
      </c>
      <c r="J11" s="173">
        <f t="shared" si="5"/>
        <v>0</v>
      </c>
      <c r="K11" s="173">
        <f t="shared" si="6"/>
        <v>0</v>
      </c>
      <c r="L11" s="173" t="str">
        <f>IF(AND(Master!$B$14="YES",Master!$B$11="Yes"),ROUND((D11+H11)*0.1,0),"")</f>
        <v/>
      </c>
      <c r="M11" s="173" t="str">
        <f t="shared" si="7"/>
        <v/>
      </c>
      <c r="N11" s="95">
        <f t="shared" si="8"/>
        <v>97375</v>
      </c>
      <c r="O11" s="173">
        <f>IF(Master!$B$11="Yes",ROUND((D11+H11)*0.1,0),IF(D11&lt;23101,1450,IF(D11&lt;28501,1625,IF(D11&lt;38501,2100,IF(D11&lt;51501,2850,IF(D11&lt;62001,3575,IF(D11&lt;72001,4200,IF(D11&lt;80001,4800,IF(D11&lt;116001,6150,IF(D11&lt;167001,8900,10500))))))))))</f>
        <v>4800</v>
      </c>
      <c r="P11" s="173">
        <f t="shared" si="15"/>
        <v>0</v>
      </c>
      <c r="Q11" s="173">
        <f t="shared" si="16"/>
        <v>7000</v>
      </c>
      <c r="R11" s="173">
        <f t="shared" si="9"/>
        <v>0</v>
      </c>
      <c r="S11" s="173">
        <f>IF(Master!$B$11="No",IF(D11&lt;18001,265,IF(D11&lt;33501,440,IF(D11&lt;54001,658,875))),0)</f>
        <v>875</v>
      </c>
      <c r="T11" s="173">
        <f t="shared" si="17"/>
        <v>0</v>
      </c>
      <c r="U11" s="173">
        <v>0</v>
      </c>
      <c r="V11" s="173">
        <f t="shared" si="18"/>
        <v>0</v>
      </c>
      <c r="W11" s="173"/>
      <c r="X11" s="173"/>
      <c r="Y11" s="173" t="str">
        <f>IF(AND(Master!$B$14="YES",Master!$B$11="Yes"),L11,"")</f>
        <v/>
      </c>
      <c r="Z11" s="173">
        <f t="shared" si="10"/>
        <v>0</v>
      </c>
      <c r="AA11" s="163">
        <f t="shared" si="11"/>
        <v>12675</v>
      </c>
      <c r="AB11" s="96">
        <f t="shared" si="12"/>
        <v>84700</v>
      </c>
      <c r="AC11" s="66"/>
      <c r="AD11" s="25"/>
    </row>
    <row r="12" spans="1:30" s="12" customFormat="1" ht="18" customHeight="1">
      <c r="A12" s="25"/>
      <c r="B12" s="12">
        <v>7</v>
      </c>
      <c r="C12" s="170">
        <v>44378</v>
      </c>
      <c r="D12" s="161">
        <f>MROUND(ROUND(1.03*D11,0),100)</f>
        <v>80200</v>
      </c>
      <c r="E12" s="173">
        <f t="shared" si="13"/>
        <v>0</v>
      </c>
      <c r="F12" s="173">
        <f>IF(F$8=0,0,F11)</f>
        <v>0</v>
      </c>
      <c r="G12" s="173">
        <f>IF(G$8=0,0,G11)</f>
        <v>0</v>
      </c>
      <c r="H12" s="173">
        <f>ROUND(28%*D12,0)</f>
        <v>22456</v>
      </c>
      <c r="I12" s="173">
        <f>IF(Master!$D$10="NA",0,IF(Master!$D$10=8%,ROUND(0.08*D12,0),ROUND(0.16*D12,0)))</f>
        <v>6416</v>
      </c>
      <c r="J12" s="173">
        <f>IF(J$8=0,0,J11)</f>
        <v>0</v>
      </c>
      <c r="K12" s="173">
        <f t="shared" ref="K12" si="19">IF(K$8=0,0,K11)</f>
        <v>0</v>
      </c>
      <c r="L12" s="173" t="str">
        <f>IF(AND(Master!$B$14="YES",Master!$B$11="Yes"),ROUND((D12+H12)*0.1,0),"")</f>
        <v/>
      </c>
      <c r="M12" s="173" t="str">
        <f>IF(M$8=0,0,M11)</f>
        <v/>
      </c>
      <c r="N12" s="95">
        <f t="shared" si="8"/>
        <v>109072</v>
      </c>
      <c r="O12" s="173">
        <f>IF(Master!$B$11="Yes",ROUND((D12+H12)*0.1,0),IF(D12&lt;23101,1450,IF(D12&lt;28501,1625,IF(D12&lt;38501,2100,IF(D12&lt;51501,2850,IF(D12&lt;62001,3575,IF(D12&lt;72001,4200,IF(D12&lt;80001,4800,IF(D12&lt;116001,6150,IF(D12&lt;167001,8900,10500))))))))))</f>
        <v>6150</v>
      </c>
      <c r="P12" s="173">
        <f>P11</f>
        <v>0</v>
      </c>
      <c r="Q12" s="173">
        <f>Q11</f>
        <v>7000</v>
      </c>
      <c r="R12" s="173">
        <f t="shared" si="9"/>
        <v>0</v>
      </c>
      <c r="S12" s="173">
        <f>IF(Master!$B$11="No",IF(D12&lt;18001,265,IF(D12&lt;33501,440,IF(D12&lt;54001,658,875))),IF(Master!$B$13="NO",0,IF(D12&lt;18001,135,IF(D12&lt;33501,220,IF(D12&lt;54001,330,440)))))</f>
        <v>875</v>
      </c>
      <c r="T12" s="173">
        <f>T11</f>
        <v>0</v>
      </c>
      <c r="U12" s="173">
        <v>0</v>
      </c>
      <c r="V12" s="173">
        <f t="shared" si="18"/>
        <v>0</v>
      </c>
      <c r="W12" s="173"/>
      <c r="X12" s="173"/>
      <c r="Y12" s="173" t="str">
        <f>IF(AND(Master!$B$14="YES",Master!$B$11="Yes"),L12,"")</f>
        <v/>
      </c>
      <c r="Z12" s="173">
        <f t="shared" si="10"/>
        <v>0</v>
      </c>
      <c r="AA12" s="163">
        <f t="shared" si="11"/>
        <v>14025</v>
      </c>
      <c r="AB12" s="96">
        <f t="shared" si="12"/>
        <v>95047</v>
      </c>
      <c r="AC12" s="66"/>
      <c r="AD12" s="25"/>
    </row>
    <row r="13" spans="1:30" s="12" customFormat="1" ht="18" customHeight="1">
      <c r="A13" s="25"/>
      <c r="B13" s="12">
        <v>8</v>
      </c>
      <c r="C13" s="170">
        <v>44409</v>
      </c>
      <c r="D13" s="161">
        <f t="shared" ref="D13:D19" si="20">D12</f>
        <v>80200</v>
      </c>
      <c r="E13" s="173">
        <f t="shared" si="13"/>
        <v>0</v>
      </c>
      <c r="F13" s="173">
        <f t="shared" si="4"/>
        <v>0</v>
      </c>
      <c r="G13" s="173">
        <f t="shared" si="4"/>
        <v>0</v>
      </c>
      <c r="H13" s="173">
        <f t="shared" ref="H13:H14" si="21">ROUND(28%*D13,0)</f>
        <v>22456</v>
      </c>
      <c r="I13" s="173">
        <f>IF(Master!$D$10="NA",0,IF(Master!$D$10=8%,ROUND(0.09*D13,0),ROUND(0.18*D13,0)))</f>
        <v>7218</v>
      </c>
      <c r="J13" s="173">
        <f t="shared" si="5"/>
        <v>0</v>
      </c>
      <c r="K13" s="173">
        <f t="shared" si="6"/>
        <v>0</v>
      </c>
      <c r="L13" s="173" t="str">
        <f>IF(AND(Master!$B$14="YES",Master!$B$11="Yes"),ROUND((D13+H13)*0.1,0),"")</f>
        <v/>
      </c>
      <c r="M13" s="173" t="str">
        <f t="shared" si="7"/>
        <v/>
      </c>
      <c r="N13" s="95">
        <f t="shared" si="8"/>
        <v>109874</v>
      </c>
      <c r="O13" s="173">
        <f>IF(Master!$B$11="Yes",ROUND((D13+H13)*0.1,0),IF(D13&lt;23101,1450,IF(D13&lt;28501,1625,IF(D13&lt;38501,2100,IF(D13&lt;51501,2850,IF(D13&lt;62001,3575,IF(D13&lt;72001,4200,IF(D13&lt;80001,4800,IF(D13&lt;116001,6150,IF(D13&lt;167001,8900,10500))))))))))</f>
        <v>6150</v>
      </c>
      <c r="P13" s="173">
        <f t="shared" si="15"/>
        <v>0</v>
      </c>
      <c r="Q13" s="173">
        <f t="shared" si="16"/>
        <v>7000</v>
      </c>
      <c r="R13" s="173">
        <f t="shared" si="9"/>
        <v>0</v>
      </c>
      <c r="S13" s="173">
        <f>IF(Master!$B$11="No",IF(D13&lt;18001,265,IF(D13&lt;33501,440,IF(D13&lt;54001,658,875))),IF(Master!$B$13="NO",0,IF(D13&lt;18001,135,IF(D13&lt;33501,220,IF(D13&lt;54001,330,440)))))</f>
        <v>875</v>
      </c>
      <c r="T13" s="173">
        <f t="shared" si="17"/>
        <v>0</v>
      </c>
      <c r="U13" s="173">
        <v>0</v>
      </c>
      <c r="V13" s="173">
        <f t="shared" si="18"/>
        <v>0</v>
      </c>
      <c r="W13" s="173"/>
      <c r="X13" s="173"/>
      <c r="Y13" s="173" t="str">
        <f>IF(AND(Master!$B$14="YES",Master!$B$11="Yes"),L13,"")</f>
        <v/>
      </c>
      <c r="Z13" s="173">
        <f t="shared" si="10"/>
        <v>0</v>
      </c>
      <c r="AA13" s="163">
        <f t="shared" si="11"/>
        <v>14025</v>
      </c>
      <c r="AB13" s="96">
        <f t="shared" si="12"/>
        <v>95849</v>
      </c>
      <c r="AC13" s="66"/>
      <c r="AD13" s="25"/>
    </row>
    <row r="14" spans="1:30" s="12" customFormat="1" ht="18" customHeight="1">
      <c r="A14" s="25"/>
      <c r="B14" s="12">
        <v>9</v>
      </c>
      <c r="C14" s="170">
        <v>44440</v>
      </c>
      <c r="D14" s="161">
        <f t="shared" si="20"/>
        <v>80200</v>
      </c>
      <c r="E14" s="173">
        <f t="shared" si="13"/>
        <v>0</v>
      </c>
      <c r="F14" s="173">
        <f t="shared" si="4"/>
        <v>0</v>
      </c>
      <c r="G14" s="173">
        <f t="shared" si="4"/>
        <v>0</v>
      </c>
      <c r="H14" s="173">
        <f t="shared" si="21"/>
        <v>22456</v>
      </c>
      <c r="I14" s="173">
        <f>IF(Master!$D$10="NA",0,IF(Master!$D$10=8%,ROUND(0.09*D14,0),ROUND(0.18*D14,0)))</f>
        <v>7218</v>
      </c>
      <c r="J14" s="173">
        <f t="shared" si="5"/>
        <v>0</v>
      </c>
      <c r="K14" s="173">
        <f t="shared" si="6"/>
        <v>0</v>
      </c>
      <c r="L14" s="173" t="str">
        <f>IF(AND(Master!$B$14="YES",Master!$B$11="Yes"),ROUND((D14+H14)*0.1,0),"")</f>
        <v/>
      </c>
      <c r="M14" s="173" t="str">
        <f t="shared" si="7"/>
        <v/>
      </c>
      <c r="N14" s="95">
        <f t="shared" si="8"/>
        <v>109874</v>
      </c>
      <c r="O14" s="173">
        <f>IF(Master!$B$11="Yes",ROUND((D14+H14)*0.1,0),IF(D14&lt;23101,1450,IF(D14&lt;28501,1625,IF(D14&lt;38501,2100,IF(D14&lt;51501,2850,IF(D14&lt;62001,3575,IF(D14&lt;72001,4200,IF(D14&lt;80001,4800,IF(D14&lt;116001,6150,IF(D14&lt;167001,8900,10500))))))))))</f>
        <v>6150</v>
      </c>
      <c r="P14" s="173">
        <f t="shared" si="15"/>
        <v>0</v>
      </c>
      <c r="Q14" s="173">
        <f t="shared" si="16"/>
        <v>7000</v>
      </c>
      <c r="R14" s="173">
        <f t="shared" si="9"/>
        <v>0</v>
      </c>
      <c r="S14" s="173">
        <f>IF(Master!$B$11="No",IF(D14&lt;18001,265,IF(D14&lt;33501,440,IF(D14&lt;54001,658,875))),IF(Master!$B$13="NO",0,IF(D14&lt;18001,135,IF(D14&lt;33501,220,IF(D14&lt;54001,330,440)))))</f>
        <v>875</v>
      </c>
      <c r="T14" s="173">
        <f t="shared" si="17"/>
        <v>0</v>
      </c>
      <c r="U14" s="173">
        <v>0</v>
      </c>
      <c r="V14" s="173">
        <f t="shared" si="18"/>
        <v>0</v>
      </c>
      <c r="W14" s="173"/>
      <c r="X14" s="173"/>
      <c r="Y14" s="173" t="str">
        <f>IF(AND(Master!$B$14="YES",Master!$B$11="Yes"),L14,"")</f>
        <v/>
      </c>
      <c r="Z14" s="173">
        <f t="shared" si="10"/>
        <v>0</v>
      </c>
      <c r="AA14" s="163">
        <f t="shared" si="11"/>
        <v>14025</v>
      </c>
      <c r="AB14" s="96">
        <f t="shared" si="12"/>
        <v>95849</v>
      </c>
      <c r="AC14" s="66"/>
      <c r="AD14" s="25"/>
    </row>
    <row r="15" spans="1:30" s="12" customFormat="1" ht="18" customHeight="1">
      <c r="A15" s="25"/>
      <c r="B15" s="12">
        <v>10</v>
      </c>
      <c r="C15" s="170">
        <v>44470</v>
      </c>
      <c r="D15" s="161">
        <f t="shared" si="20"/>
        <v>80200</v>
      </c>
      <c r="E15" s="173">
        <f t="shared" si="13"/>
        <v>0</v>
      </c>
      <c r="F15" s="173">
        <f>IF(F$8=0,0,F14)</f>
        <v>0</v>
      </c>
      <c r="G15" s="173">
        <f t="shared" ref="G15:G19" si="22">IF(G$8=0,0,G14)</f>
        <v>0</v>
      </c>
      <c r="H15" s="173">
        <f>ROUND(31%*D15,0)</f>
        <v>24862</v>
      </c>
      <c r="I15" s="173">
        <f>IF(Master!$D$10="NA",0,IF(Master!$D$10=8%,ROUND(0.09*D15,0),ROUND(0.18*D15,0)))</f>
        <v>7218</v>
      </c>
      <c r="J15" s="173">
        <f t="shared" si="5"/>
        <v>0</v>
      </c>
      <c r="K15" s="173">
        <f t="shared" si="6"/>
        <v>0</v>
      </c>
      <c r="L15" s="173" t="str">
        <f>IF(AND(Master!$B$14="YES",Master!$B$11="Yes"),ROUND((D15+H15)*0.1,0),"")</f>
        <v/>
      </c>
      <c r="M15" s="173" t="str">
        <f t="shared" si="7"/>
        <v/>
      </c>
      <c r="N15" s="95">
        <f t="shared" si="8"/>
        <v>112280</v>
      </c>
      <c r="O15" s="173">
        <f>IF(Master!$B$11="Yes",ROUND((D15+H15)*0.1,0),IF(D15&lt;23101,1450,IF(D15&lt;28501,1625,IF(D15&lt;38501,2100,IF(D15&lt;51501,2850,IF(D15&lt;62001,3575,IF(D15&lt;72001,4200,IF(D15&lt;80001,4800,IF(D15&lt;116001,6150,IF(D15&lt;167001,8900,10500))))))))))</f>
        <v>6150</v>
      </c>
      <c r="P15" s="173">
        <f t="shared" si="15"/>
        <v>0</v>
      </c>
      <c r="Q15" s="173">
        <f t="shared" si="16"/>
        <v>7000</v>
      </c>
      <c r="R15" s="173">
        <f t="shared" si="9"/>
        <v>0</v>
      </c>
      <c r="S15" s="173">
        <f>IF(Master!$B$11="No",IF(D15&lt;18001,265,IF(D15&lt;33501,440,IF(D15&lt;54001,658,875))),IF(Master!$B$13="NO",0,IF(D15&lt;18001,135,IF(D15&lt;33501,220,IF(D15&lt;54001,330,440)))))</f>
        <v>875</v>
      </c>
      <c r="T15" s="173">
        <f t="shared" si="17"/>
        <v>0</v>
      </c>
      <c r="U15" s="173">
        <v>0</v>
      </c>
      <c r="V15" s="173">
        <f t="shared" si="18"/>
        <v>0</v>
      </c>
      <c r="W15" s="173"/>
      <c r="X15" s="173"/>
      <c r="Y15" s="173" t="str">
        <f>IF(AND(Master!$B$14="YES",Master!$B$11="Yes"),L15,"")</f>
        <v/>
      </c>
      <c r="Z15" s="173">
        <f t="shared" si="10"/>
        <v>0</v>
      </c>
      <c r="AA15" s="163">
        <f t="shared" si="11"/>
        <v>14025</v>
      </c>
      <c r="AB15" s="96">
        <f t="shared" si="12"/>
        <v>98255</v>
      </c>
      <c r="AC15" s="66"/>
      <c r="AD15" s="25"/>
    </row>
    <row r="16" spans="1:30" s="12" customFormat="1" ht="18" customHeight="1">
      <c r="A16" s="25"/>
      <c r="B16" s="12">
        <v>11</v>
      </c>
      <c r="C16" s="170">
        <v>44501</v>
      </c>
      <c r="D16" s="161">
        <f t="shared" si="20"/>
        <v>80200</v>
      </c>
      <c r="E16" s="173">
        <f t="shared" si="13"/>
        <v>0</v>
      </c>
      <c r="F16" s="173">
        <f>IF(F$8=0,0,F15)</f>
        <v>0</v>
      </c>
      <c r="G16" s="173">
        <f t="shared" si="22"/>
        <v>0</v>
      </c>
      <c r="H16" s="173">
        <f>ROUND(31%*D16,0)</f>
        <v>24862</v>
      </c>
      <c r="I16" s="173">
        <f>IF(Master!$D$10="NA",0,IF(Master!$D$10=8%,ROUND(0.09*D16,0),ROUND(0.18*D16,0)))</f>
        <v>7218</v>
      </c>
      <c r="J16" s="173">
        <f t="shared" si="5"/>
        <v>0</v>
      </c>
      <c r="K16" s="173">
        <f t="shared" si="6"/>
        <v>0</v>
      </c>
      <c r="L16" s="173" t="str">
        <f>IF(AND(Master!$B$14="YES",Master!$B$11="Yes"),ROUND((D16+H16)*0.1,0),"")</f>
        <v/>
      </c>
      <c r="M16" s="173" t="str">
        <f t="shared" si="7"/>
        <v/>
      </c>
      <c r="N16" s="95">
        <f t="shared" si="8"/>
        <v>112280</v>
      </c>
      <c r="O16" s="173">
        <f>IF(Master!$B$11="Yes",ROUND((D16+H16)*0.1,0),IF(D16&lt;23101,1450,IF(D16&lt;28501,1625,IF(D16&lt;38501,2100,IF(D16&lt;51501,2850,IF(D16&lt;62001,3575,IF(D16&lt;72001,4200,IF(D16&lt;80001,4800,IF(D16&lt;116001,6150,IF(D16&lt;167001,8900,10500))))))))))</f>
        <v>6150</v>
      </c>
      <c r="P16" s="173">
        <f t="shared" si="15"/>
        <v>0</v>
      </c>
      <c r="Q16" s="173">
        <f t="shared" si="16"/>
        <v>7000</v>
      </c>
      <c r="R16" s="173">
        <f t="shared" si="9"/>
        <v>0</v>
      </c>
      <c r="S16" s="173">
        <f>IF(Master!$B$11="No",IF(D16&lt;18001,265,IF(D16&lt;33501,440,IF(D16&lt;54001,658,875))),IF(Master!$B$13="NO",0,IF(D16&lt;18001,135,IF(D16&lt;33501,220,IF(D16&lt;54001,330,440)))))</f>
        <v>875</v>
      </c>
      <c r="T16" s="173">
        <f t="shared" si="17"/>
        <v>0</v>
      </c>
      <c r="U16" s="173">
        <v>0</v>
      </c>
      <c r="V16" s="173">
        <f t="shared" si="18"/>
        <v>0</v>
      </c>
      <c r="W16" s="173"/>
      <c r="X16" s="173"/>
      <c r="Y16" s="173" t="str">
        <f>IF(AND(Master!$B$14="YES",Master!$B$11="Yes"),L16,"")</f>
        <v/>
      </c>
      <c r="Z16" s="173">
        <f t="shared" si="10"/>
        <v>0</v>
      </c>
      <c r="AA16" s="163">
        <f t="shared" si="11"/>
        <v>14025</v>
      </c>
      <c r="AB16" s="96">
        <f t="shared" si="12"/>
        <v>98255</v>
      </c>
      <c r="AC16" s="66"/>
      <c r="AD16" s="25"/>
    </row>
    <row r="17" spans="1:34" s="12" customFormat="1" ht="18" customHeight="1">
      <c r="A17" s="25"/>
      <c r="B17" s="12">
        <v>12</v>
      </c>
      <c r="C17" s="170">
        <v>44531</v>
      </c>
      <c r="D17" s="161">
        <f t="shared" si="20"/>
        <v>80200</v>
      </c>
      <c r="E17" s="173">
        <f t="shared" si="13"/>
        <v>0</v>
      </c>
      <c r="F17" s="173">
        <f>IF(F$8=0,0,F16)</f>
        <v>0</v>
      </c>
      <c r="G17" s="173">
        <f t="shared" si="22"/>
        <v>0</v>
      </c>
      <c r="H17" s="173">
        <f t="shared" ref="H17:H19" si="23">ROUND(31%*D17,0)</f>
        <v>24862</v>
      </c>
      <c r="I17" s="173">
        <f>IF(Master!$D$10="NA",0,IF(Master!$D$10=8%,ROUND(0.09*D17,0),ROUND(0.18*D17,0)))</f>
        <v>7218</v>
      </c>
      <c r="J17" s="173">
        <f t="shared" si="5"/>
        <v>0</v>
      </c>
      <c r="K17" s="173">
        <f t="shared" si="6"/>
        <v>0</v>
      </c>
      <c r="L17" s="173" t="str">
        <f>IF(AND(Master!$B$14="YES",Master!$B$11="Yes"),ROUND((D17+H17)*0.1,0),"")</f>
        <v/>
      </c>
      <c r="M17" s="173" t="str">
        <f t="shared" si="7"/>
        <v/>
      </c>
      <c r="N17" s="95">
        <f t="shared" si="8"/>
        <v>112280</v>
      </c>
      <c r="O17" s="173">
        <f>IF(Master!$B$11="Yes",ROUND((D17+H17)*0.1,0),IF(D17&lt;23101,1450,IF(D17&lt;28501,1625,IF(D17&lt;38501,2100,IF(D17&lt;51501,2850,IF(D17&lt;62001,3575,IF(D17&lt;72001,4200,IF(D17&lt;80001,4800,IF(D17&lt;116001,6150,IF(D17&lt;167001,8900,10500))))))))))</f>
        <v>6150</v>
      </c>
      <c r="P17" s="173">
        <f t="shared" si="15"/>
        <v>0</v>
      </c>
      <c r="Q17" s="173">
        <f t="shared" si="16"/>
        <v>7000</v>
      </c>
      <c r="R17" s="173">
        <f t="shared" si="9"/>
        <v>0</v>
      </c>
      <c r="S17" s="173">
        <f>IF(Master!$B$11="No",IF(D17&lt;18001,265,IF(D17&lt;33501,440,IF(D17&lt;54001,658,875))),IF(Master!$B$13="NO",0,IF(D17&lt;18001,135,IF(D17&lt;33501,220,IF(D17&lt;54001,330,440)))))</f>
        <v>875</v>
      </c>
      <c r="T17" s="173">
        <f t="shared" si="17"/>
        <v>0</v>
      </c>
      <c r="U17" s="173">
        <v>0</v>
      </c>
      <c r="V17" s="173">
        <f t="shared" si="18"/>
        <v>0</v>
      </c>
      <c r="W17" s="173">
        <f>IF(Master!D14="NO",0,IF(Master!D6="State Service",500,250))</f>
        <v>500</v>
      </c>
      <c r="X17" s="201"/>
      <c r="Y17" s="173" t="str">
        <f>IF(AND(Master!$B$14="YES",Master!$B$11="Yes"),L17,"")</f>
        <v/>
      </c>
      <c r="Z17" s="173">
        <f t="shared" si="10"/>
        <v>0</v>
      </c>
      <c r="AA17" s="163">
        <f t="shared" si="11"/>
        <v>14525</v>
      </c>
      <c r="AB17" s="96">
        <f t="shared" si="12"/>
        <v>97755</v>
      </c>
      <c r="AC17" s="66"/>
      <c r="AD17" s="25"/>
    </row>
    <row r="18" spans="1:34" s="12" customFormat="1" ht="18" customHeight="1">
      <c r="A18" s="25"/>
      <c r="B18" s="12">
        <v>1</v>
      </c>
      <c r="C18" s="170">
        <v>44562</v>
      </c>
      <c r="D18" s="161">
        <f t="shared" si="20"/>
        <v>80200</v>
      </c>
      <c r="E18" s="173">
        <f t="shared" si="13"/>
        <v>0</v>
      </c>
      <c r="F18" s="173">
        <f>IF(F$8=0,0,F17)</f>
        <v>0</v>
      </c>
      <c r="G18" s="173">
        <f t="shared" si="22"/>
        <v>0</v>
      </c>
      <c r="H18" s="173">
        <f t="shared" si="23"/>
        <v>24862</v>
      </c>
      <c r="I18" s="173">
        <f>IF(Master!$D$10="NA",0,IF(Master!$D$10=8%,ROUND(0.09*D18,0),ROUND(0.18*D18,0)))</f>
        <v>7218</v>
      </c>
      <c r="J18" s="173">
        <f t="shared" si="5"/>
        <v>0</v>
      </c>
      <c r="K18" s="173">
        <f t="shared" si="6"/>
        <v>0</v>
      </c>
      <c r="L18" s="173" t="str">
        <f>IF(AND(Master!$B$14="YES",Master!$B$11="Yes"),ROUND((D18+H18)*0.1,0),"")</f>
        <v/>
      </c>
      <c r="M18" s="173" t="str">
        <f t="shared" si="7"/>
        <v/>
      </c>
      <c r="N18" s="95">
        <f t="shared" si="8"/>
        <v>112280</v>
      </c>
      <c r="O18" s="173">
        <f>IF(Master!$B$11="Yes",ROUND((D18+H18)*0.1,0),IF(D18&lt;23101,1450,IF(D18&lt;28501,1625,IF(D18&lt;38501,2100,IF(D18&lt;51501,2850,IF(D18&lt;62001,3575,IF(D18&lt;72001,4200,IF(D18&lt;80001,4800,IF(D18&lt;116001,6150,IF(D18&lt;167001,8900,10500))))))))))</f>
        <v>6150</v>
      </c>
      <c r="P18" s="173">
        <f t="shared" si="15"/>
        <v>0</v>
      </c>
      <c r="Q18" s="173">
        <f t="shared" si="16"/>
        <v>7000</v>
      </c>
      <c r="R18" s="173">
        <f t="shared" si="9"/>
        <v>0</v>
      </c>
      <c r="S18" s="173">
        <f>IF(Master!$B$11="No",IF(D18&lt;18001,265,IF(D18&lt;33501,440,IF(D18&lt;54001,658,875))),IF(Master!$B$13="NO",0,IF(D18&lt;18001,135,IF(D18&lt;33501,220,IF(D18&lt;54001,330,440)))))</f>
        <v>875</v>
      </c>
      <c r="T18" s="173">
        <f t="shared" si="17"/>
        <v>0</v>
      </c>
      <c r="U18" s="173">
        <v>0</v>
      </c>
      <c r="V18" s="173">
        <f t="shared" si="18"/>
        <v>0</v>
      </c>
      <c r="W18" s="173"/>
      <c r="X18" s="173"/>
      <c r="Y18" s="173" t="str">
        <f>IF(AND(Master!$B$14="YES",Master!$B$11="Yes"),L18,"")</f>
        <v/>
      </c>
      <c r="Z18" s="173">
        <f t="shared" si="10"/>
        <v>0</v>
      </c>
      <c r="AA18" s="163">
        <f t="shared" si="11"/>
        <v>14025</v>
      </c>
      <c r="AB18" s="96">
        <f t="shared" si="12"/>
        <v>98255</v>
      </c>
      <c r="AC18" s="66"/>
      <c r="AD18" s="25"/>
    </row>
    <row r="19" spans="1:34" s="12" customFormat="1" ht="18" customHeight="1">
      <c r="A19" s="25"/>
      <c r="B19" s="12">
        <v>2</v>
      </c>
      <c r="C19" s="170">
        <v>44593</v>
      </c>
      <c r="D19" s="161">
        <f t="shared" si="20"/>
        <v>80200</v>
      </c>
      <c r="E19" s="173">
        <f t="shared" si="13"/>
        <v>0</v>
      </c>
      <c r="F19" s="173">
        <f>IF(F$8=0,0,F18)</f>
        <v>0</v>
      </c>
      <c r="G19" s="173">
        <f t="shared" si="22"/>
        <v>0</v>
      </c>
      <c r="H19" s="173">
        <f t="shared" si="23"/>
        <v>24862</v>
      </c>
      <c r="I19" s="173">
        <f>IF(Master!$D$10="NA",0,IF(Master!$D$10=8%,ROUND(0.09*D19,0),ROUND(0.18*D19,0)))</f>
        <v>7218</v>
      </c>
      <c r="J19" s="173">
        <f t="shared" si="5"/>
        <v>0</v>
      </c>
      <c r="K19" s="173">
        <f t="shared" si="6"/>
        <v>0</v>
      </c>
      <c r="L19" s="173" t="str">
        <f>IF(AND(Master!$B$14="YES",Master!$B$11="Yes"),ROUND((D19+H19)*0.1,0),"")</f>
        <v/>
      </c>
      <c r="M19" s="173" t="str">
        <f t="shared" si="7"/>
        <v/>
      </c>
      <c r="N19" s="95">
        <f t="shared" si="8"/>
        <v>112280</v>
      </c>
      <c r="O19" s="173">
        <f>IF(Master!$B$11="Yes",ROUND((D19+H19)*0.1,0),IF(D19&lt;23101,1450,IF(D19&lt;28501,1625,IF(D19&lt;38501,2100,IF(D19&lt;51501,2850,IF(D19&lt;62001,3575,IF(D19&lt;72001,4200,IF(D19&lt;80001,4800,IF(D19&lt;116001,6150,IF(D19&lt;167001,8900,10500))))))))))</f>
        <v>6150</v>
      </c>
      <c r="P19" s="173">
        <f t="shared" si="15"/>
        <v>0</v>
      </c>
      <c r="Q19" s="173">
        <f t="shared" si="16"/>
        <v>7000</v>
      </c>
      <c r="R19" s="173">
        <f t="shared" si="9"/>
        <v>0</v>
      </c>
      <c r="S19" s="173">
        <f>IF(Master!$B$11="No",IF(D19&lt;18001,265,IF(D19&lt;33501,440,IF(D19&lt;54001,658,875))),IF(Master!$B$13="NO",0,IF(D19&lt;18001,135,IF(D19&lt;33501,220,IF(D19&lt;54001,330,440)))))</f>
        <v>875</v>
      </c>
      <c r="T19" s="173">
        <f t="shared" si="17"/>
        <v>0</v>
      </c>
      <c r="U19" s="173">
        <v>0</v>
      </c>
      <c r="V19" s="173">
        <f t="shared" si="18"/>
        <v>0</v>
      </c>
      <c r="W19" s="173"/>
      <c r="X19" s="173"/>
      <c r="Y19" s="173" t="str">
        <f>IF(AND(Master!$B$14="YES",Master!$B$11="Yes"),L19,"")</f>
        <v/>
      </c>
      <c r="Z19" s="173">
        <f t="shared" si="10"/>
        <v>0</v>
      </c>
      <c r="AA19" s="163">
        <f t="shared" si="11"/>
        <v>14025</v>
      </c>
      <c r="AB19" s="96">
        <f t="shared" si="12"/>
        <v>98255</v>
      </c>
      <c r="AC19" s="66"/>
      <c r="AD19" s="25"/>
    </row>
    <row r="20" spans="1:34" s="12" customFormat="1" ht="30" customHeight="1">
      <c r="A20" s="25"/>
      <c r="C20" s="171" t="s">
        <v>119</v>
      </c>
      <c r="D20" s="161"/>
      <c r="E20" s="173"/>
      <c r="F20" s="173"/>
      <c r="G20" s="173"/>
      <c r="H20" s="173"/>
      <c r="I20" s="173">
        <f>IF(Master!$D$10="NA",0,IF(Master!$D$10=8%,ROUND(1%*D12,0),ROUND(2%*D12,0)))</f>
        <v>802</v>
      </c>
      <c r="J20" s="173"/>
      <c r="K20" s="173"/>
      <c r="L20" s="173"/>
      <c r="M20" s="173"/>
      <c r="N20" s="95">
        <f t="shared" si="8"/>
        <v>802</v>
      </c>
      <c r="O20" s="173"/>
      <c r="P20" s="173"/>
      <c r="Q20" s="173"/>
      <c r="R20" s="173"/>
      <c r="S20" s="173"/>
      <c r="T20" s="173"/>
      <c r="U20" s="173"/>
      <c r="V20" s="173">
        <v>139812</v>
      </c>
      <c r="W20" s="173"/>
      <c r="X20" s="173"/>
      <c r="Y20" s="173" t="str">
        <f>IF(AND(Master!$B$14="YES",Master!$B$11="Yes"),L20,"")</f>
        <v/>
      </c>
      <c r="Z20" s="173"/>
      <c r="AA20" s="163">
        <f t="shared" si="11"/>
        <v>139812</v>
      </c>
      <c r="AB20" s="96">
        <f t="shared" si="12"/>
        <v>-139010</v>
      </c>
      <c r="AC20" s="66"/>
      <c r="AD20" s="25"/>
    </row>
    <row r="21" spans="1:34" s="12" customFormat="1" ht="30" customHeight="1">
      <c r="A21" s="25"/>
      <c r="C21" s="171" t="s">
        <v>120</v>
      </c>
      <c r="D21" s="161">
        <f>IF(Master!B12="NO",0,IF(Master!D12="NA",0,IF(Master!D12=3,GA55A!D19/2,VLOOKUP(Master!D12,GA55A!B8:D19,3,FALSE)/2)))</f>
        <v>0</v>
      </c>
      <c r="E21" s="173"/>
      <c r="F21" s="173"/>
      <c r="G21" s="173"/>
      <c r="H21" s="173">
        <f>IF(AND(Master!D12&gt;3,Master!D12&lt;7),ROUND(GA55A!D21*17%,0),IF(AND(Master!D12&gt;6,Master!D12&lt;10),ROUND(GA55A!D21*28%,0),ROUND(GA55A!D21*31%,0)))</f>
        <v>0</v>
      </c>
      <c r="I21" s="173"/>
      <c r="J21" s="173"/>
      <c r="K21" s="173"/>
      <c r="L21" s="173"/>
      <c r="M21" s="173"/>
      <c r="N21" s="95">
        <f t="shared" si="8"/>
        <v>0</v>
      </c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 t="str">
        <f>IF(AND(Master!$B$14="YES",Master!$B$11="Yes"),L21,"")</f>
        <v/>
      </c>
      <c r="Z21" s="173"/>
      <c r="AA21" s="163">
        <f t="shared" si="11"/>
        <v>0</v>
      </c>
      <c r="AB21" s="96">
        <f t="shared" si="12"/>
        <v>0</v>
      </c>
      <c r="AC21" s="66"/>
      <c r="AD21" s="25"/>
      <c r="AF21" s="200">
        <f>ROUND(D12*3%,0)</f>
        <v>2406</v>
      </c>
      <c r="AG21" s="200">
        <f>ROUND(AF21*10%,0)</f>
        <v>241</v>
      </c>
      <c r="AH21" s="200">
        <f>AF21-AG21</f>
        <v>2165</v>
      </c>
    </row>
    <row r="22" spans="1:34" s="12" customFormat="1" ht="30" customHeight="1">
      <c r="A22" s="25"/>
      <c r="C22" s="172" t="s">
        <v>121</v>
      </c>
      <c r="D22" s="161">
        <f>IF(Master!D11="YES",6774,0)</f>
        <v>0</v>
      </c>
      <c r="E22" s="173"/>
      <c r="F22" s="173"/>
      <c r="G22" s="173"/>
      <c r="H22" s="173"/>
      <c r="I22" s="173"/>
      <c r="J22" s="173"/>
      <c r="K22" s="173"/>
      <c r="L22" s="173"/>
      <c r="M22" s="173"/>
      <c r="N22" s="95">
        <f t="shared" si="8"/>
        <v>0</v>
      </c>
      <c r="O22" s="173">
        <f>IF(D22=0,0,IF(AND(Master!B11="NO",Master!D11="YES"),3387,0))</f>
        <v>0</v>
      </c>
      <c r="P22" s="173">
        <f>IF(D22=0,0,IF(AND(Master!B11="YES",Master!D11="YES"),3387,0))</f>
        <v>0</v>
      </c>
      <c r="Q22" s="173"/>
      <c r="R22" s="173"/>
      <c r="S22" s="173"/>
      <c r="T22" s="173"/>
      <c r="U22" s="173"/>
      <c r="V22" s="173"/>
      <c r="W22" s="173"/>
      <c r="X22" s="173"/>
      <c r="Y22" s="173" t="str">
        <f>IF(AND(Master!$B$14="YES",Master!$B$11="Yes"),L22,"")</f>
        <v/>
      </c>
      <c r="Z22" s="173"/>
      <c r="AA22" s="163">
        <f t="shared" si="11"/>
        <v>0</v>
      </c>
      <c r="AB22" s="96">
        <f t="shared" si="12"/>
        <v>0</v>
      </c>
      <c r="AC22" s="66"/>
      <c r="AD22" s="25"/>
      <c r="AF22" s="200">
        <f>ROUND(D13*3%,0)</f>
        <v>2406</v>
      </c>
      <c r="AG22" s="200">
        <f t="shared" ref="AG22:AG23" si="24">ROUND(AF22*10%,0)</f>
        <v>241</v>
      </c>
      <c r="AH22" s="200">
        <f t="shared" ref="AH22:AH23" si="25">AF22-AG22</f>
        <v>2165</v>
      </c>
    </row>
    <row r="23" spans="1:34" s="12" customFormat="1" ht="30" customHeight="1">
      <c r="A23" s="25"/>
      <c r="C23" s="88" t="s">
        <v>145</v>
      </c>
      <c r="D23" s="195"/>
      <c r="E23" s="173"/>
      <c r="F23" s="173"/>
      <c r="G23" s="173"/>
      <c r="H23" s="174">
        <f>AF25+AF26</f>
        <v>7218</v>
      </c>
      <c r="J23" s="173"/>
      <c r="K23" s="173"/>
      <c r="L23" s="173" t="str">
        <f>IF(AND(Master!$B$14="YES",Master!$B$11="Yes"),O23,"")</f>
        <v/>
      </c>
      <c r="M23" s="173"/>
      <c r="N23" s="95">
        <f t="shared" si="8"/>
        <v>7218</v>
      </c>
      <c r="O23" s="174">
        <f>IF(Master!B11="NO",SUM(AF25,AF26),AG25)</f>
        <v>7218</v>
      </c>
      <c r="P23" s="173">
        <f>IF(Master!B11="YES",AH25+AF26,0)</f>
        <v>0</v>
      </c>
      <c r="Q23" s="173"/>
      <c r="R23" s="173"/>
      <c r="S23" s="173"/>
      <c r="T23" s="173"/>
      <c r="U23" s="173"/>
      <c r="V23" s="173"/>
      <c r="W23" s="173"/>
      <c r="X23" s="173"/>
      <c r="Y23" s="173" t="str">
        <f>IF(AND(Master!$B$14="YES",Master!$B$11="Yes"),L23,"")</f>
        <v/>
      </c>
      <c r="Z23" s="173"/>
      <c r="AA23" s="163">
        <f t="shared" si="11"/>
        <v>7218</v>
      </c>
      <c r="AB23" s="96">
        <f t="shared" si="12"/>
        <v>0</v>
      </c>
      <c r="AC23" s="66"/>
      <c r="AD23" s="25"/>
      <c r="AF23" s="200">
        <f>ROUND(D14*3%,0)</f>
        <v>2406</v>
      </c>
      <c r="AG23" s="200">
        <f t="shared" si="24"/>
        <v>241</v>
      </c>
      <c r="AH23" s="200">
        <f t="shared" si="25"/>
        <v>2165</v>
      </c>
    </row>
    <row r="24" spans="1:34" s="12" customFormat="1" ht="30" customHeight="1">
      <c r="A24" s="25"/>
      <c r="C24" s="88" t="s">
        <v>88</v>
      </c>
      <c r="D24" s="161"/>
      <c r="E24" s="173"/>
      <c r="F24" s="173"/>
      <c r="G24" s="173"/>
      <c r="H24" s="173"/>
      <c r="I24" s="173"/>
      <c r="J24" s="173"/>
      <c r="K24" s="173"/>
      <c r="L24" s="173"/>
      <c r="M24" s="173"/>
      <c r="N24" s="95">
        <f t="shared" si="8"/>
        <v>0</v>
      </c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 t="str">
        <f>IF(AND(Master!$B$14="YES",Master!$B$11="Yes"),L24,"")</f>
        <v/>
      </c>
      <c r="Z24" s="173"/>
      <c r="AA24" s="163">
        <f t="shared" si="11"/>
        <v>0</v>
      </c>
      <c r="AB24" s="96">
        <f t="shared" si="12"/>
        <v>0</v>
      </c>
      <c r="AC24" s="66"/>
      <c r="AD24" s="25"/>
      <c r="AF24" s="200"/>
      <c r="AG24" s="200"/>
      <c r="AH24" s="200"/>
    </row>
    <row r="25" spans="1:34" s="12" customFormat="1" ht="30" customHeight="1">
      <c r="A25" s="25"/>
      <c r="C25" s="89" t="s">
        <v>89</v>
      </c>
      <c r="D25" s="161"/>
      <c r="E25" s="173"/>
      <c r="F25" s="173"/>
      <c r="G25" s="173"/>
      <c r="H25" s="173"/>
      <c r="I25" s="173"/>
      <c r="J25" s="173"/>
      <c r="K25" s="173"/>
      <c r="L25" s="173"/>
      <c r="M25" s="173"/>
      <c r="N25" s="95">
        <f t="shared" si="8"/>
        <v>0</v>
      </c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 t="str">
        <f>IF(AND(Master!$B$14="YES",Master!$B$11="Yes"),L25,"")</f>
        <v/>
      </c>
      <c r="Z25" s="173"/>
      <c r="AA25" s="163">
        <f t="shared" si="11"/>
        <v>0</v>
      </c>
      <c r="AB25" s="96">
        <f t="shared" si="12"/>
        <v>0</v>
      </c>
      <c r="AC25" s="66"/>
      <c r="AD25" s="25"/>
      <c r="AF25" s="200">
        <f>SUM(AF21:AF24)</f>
        <v>7218</v>
      </c>
      <c r="AG25" s="200">
        <f>SUM(AG21:AG24)</f>
        <v>723</v>
      </c>
      <c r="AH25" s="200">
        <f>SUM(AH21:AH24)</f>
        <v>6495</v>
      </c>
    </row>
    <row r="26" spans="1:34" s="12" customFormat="1" ht="30" customHeight="1">
      <c r="A26" s="25"/>
      <c r="C26" s="89" t="s">
        <v>122</v>
      </c>
      <c r="D26" s="161"/>
      <c r="E26" s="173"/>
      <c r="F26" s="173"/>
      <c r="G26" s="173"/>
      <c r="H26" s="173"/>
      <c r="I26" s="173"/>
      <c r="J26" s="173"/>
      <c r="K26" s="173"/>
      <c r="L26" s="173"/>
      <c r="M26" s="173"/>
      <c r="N26" s="95">
        <f t="shared" si="8"/>
        <v>0</v>
      </c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 t="str">
        <f>IF(AND(Master!$B$14="YES",Master!$B$11="Yes"),L26,"")</f>
        <v/>
      </c>
      <c r="Z26" s="173"/>
      <c r="AA26" s="163">
        <f t="shared" si="11"/>
        <v>0</v>
      </c>
      <c r="AB26" s="96">
        <f t="shared" si="12"/>
        <v>0</v>
      </c>
      <c r="AC26" s="66"/>
      <c r="AD26" s="25"/>
      <c r="AF26" s="200" t="b">
        <f>IF(Master!B12="YES",IF(AND(Master!D12&gt;6,Master!D12&lt;10),ROUND(D21*3%,0),0))</f>
        <v>0</v>
      </c>
    </row>
    <row r="27" spans="1:34" s="12" customFormat="1" ht="30" customHeight="1">
      <c r="A27" s="25"/>
      <c r="C27" s="89" t="s">
        <v>123</v>
      </c>
      <c r="D27" s="161"/>
      <c r="E27" s="173"/>
      <c r="F27" s="173"/>
      <c r="G27" s="173"/>
      <c r="H27" s="173"/>
      <c r="I27" s="173"/>
      <c r="J27" s="173"/>
      <c r="K27" s="173"/>
      <c r="L27" s="173"/>
      <c r="M27" s="173"/>
      <c r="N27" s="95">
        <f t="shared" si="8"/>
        <v>0</v>
      </c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 t="str">
        <f>IF(AND(Master!$B$14="YES",Master!$B$11="Yes"),L27,"")</f>
        <v/>
      </c>
      <c r="Z27" s="173"/>
      <c r="AA27" s="163">
        <f t="shared" si="11"/>
        <v>0</v>
      </c>
      <c r="AB27" s="96">
        <f t="shared" si="12"/>
        <v>0</v>
      </c>
      <c r="AC27" s="66"/>
      <c r="AD27" s="25"/>
    </row>
    <row r="28" spans="1:34" s="13" customFormat="1" ht="81" customHeight="1" thickBot="1">
      <c r="A28" s="26"/>
      <c r="C28" s="94" t="s">
        <v>41</v>
      </c>
      <c r="D28" s="162">
        <f t="shared" ref="D28:Q28" si="26">SUM(D8:D27)</f>
        <v>953200</v>
      </c>
      <c r="E28" s="169">
        <f t="shared" si="26"/>
        <v>0</v>
      </c>
      <c r="F28" s="169">
        <f t="shared" si="26"/>
        <v>0</v>
      </c>
      <c r="G28" s="169">
        <f t="shared" si="26"/>
        <v>0</v>
      </c>
      <c r="H28" s="169">
        <f t="shared" si="26"/>
        <v>251868</v>
      </c>
      <c r="I28" s="169">
        <f t="shared" si="26"/>
        <v>82672</v>
      </c>
      <c r="J28" s="169">
        <f t="shared" si="26"/>
        <v>0</v>
      </c>
      <c r="K28" s="169">
        <f t="shared" si="26"/>
        <v>0</v>
      </c>
      <c r="L28" s="169">
        <f t="shared" si="26"/>
        <v>0</v>
      </c>
      <c r="M28" s="169">
        <f t="shared" si="26"/>
        <v>0</v>
      </c>
      <c r="N28" s="93">
        <f>SUM(N8:N27)</f>
        <v>1287740</v>
      </c>
      <c r="O28" s="169">
        <f t="shared" si="26"/>
        <v>75618</v>
      </c>
      <c r="P28" s="169">
        <f t="shared" si="26"/>
        <v>0</v>
      </c>
      <c r="Q28" s="169">
        <f t="shared" si="26"/>
        <v>84000</v>
      </c>
      <c r="R28" s="169">
        <f>SUM(R8:R27)</f>
        <v>0</v>
      </c>
      <c r="S28" s="169">
        <f t="shared" ref="S28:Z28" si="27">SUM(S8:S27)</f>
        <v>10500</v>
      </c>
      <c r="T28" s="169">
        <f t="shared" si="27"/>
        <v>0</v>
      </c>
      <c r="U28" s="169">
        <f t="shared" si="27"/>
        <v>220</v>
      </c>
      <c r="V28" s="169">
        <f t="shared" si="27"/>
        <v>139812</v>
      </c>
      <c r="W28" s="169">
        <f t="shared" si="27"/>
        <v>500</v>
      </c>
      <c r="X28" s="169">
        <f t="shared" si="27"/>
        <v>0</v>
      </c>
      <c r="Y28" s="169">
        <f t="shared" si="27"/>
        <v>0</v>
      </c>
      <c r="Z28" s="169">
        <f t="shared" si="27"/>
        <v>0</v>
      </c>
      <c r="AA28" s="162">
        <f t="shared" ref="AA28:AB28" si="28">SUM(AA8:AA27)</f>
        <v>310650</v>
      </c>
      <c r="AB28" s="93">
        <f t="shared" si="28"/>
        <v>977090</v>
      </c>
      <c r="AC28" s="90"/>
      <c r="AD28" s="26"/>
    </row>
    <row r="29" spans="1:34" s="4" customFormat="1">
      <c r="A29" s="27"/>
      <c r="AD29" s="27"/>
    </row>
    <row r="30" spans="1:34" s="4" customFormat="1">
      <c r="A30" s="27"/>
      <c r="AD30" s="27"/>
    </row>
    <row r="31" spans="1:34" s="4" customFormat="1">
      <c r="A31" s="27"/>
      <c r="AD31" s="27"/>
    </row>
    <row r="32" spans="1:34"/>
    <row r="33" spans="1:30" s="92" customFormat="1" ht="20.25">
      <c r="A33" s="91"/>
      <c r="E33" s="192" t="s">
        <v>42</v>
      </c>
      <c r="AB33" s="192" t="s">
        <v>43</v>
      </c>
      <c r="AD33" s="91"/>
    </row>
    <row r="34" spans="1:30" ht="16.5">
      <c r="D34" s="92"/>
      <c r="E34" s="204" t="str">
        <f>CONCATENATE("(",Master!B5,")")</f>
        <v>(Chandra Prakash Kurmi)</v>
      </c>
      <c r="F34" s="205"/>
      <c r="G34" s="205"/>
      <c r="H34" s="205"/>
      <c r="I34" s="205"/>
      <c r="J34" s="205"/>
      <c r="K34" s="205"/>
      <c r="L34" s="205"/>
      <c r="M34" s="205"/>
      <c r="N34" s="293" t="s">
        <v>60</v>
      </c>
      <c r="O34" s="293"/>
      <c r="P34" s="293"/>
      <c r="Q34" s="205"/>
      <c r="R34" s="205"/>
      <c r="S34" s="205"/>
      <c r="T34" s="205"/>
      <c r="U34" s="206"/>
      <c r="V34" s="206"/>
      <c r="W34" s="206"/>
      <c r="X34" s="205"/>
      <c r="Y34" s="205"/>
      <c r="Z34" s="205"/>
      <c r="AA34" s="205"/>
      <c r="AB34" s="208" t="str">
        <f>IF(Master!D4="","",CONCATENATE("(",Master!D4,")"))</f>
        <v>(Nand Singh Tanwar)</v>
      </c>
      <c r="AC34" s="205"/>
    </row>
    <row r="35" spans="1:30" ht="21.75" hidden="1" customHeight="1"/>
  </sheetData>
  <sheetProtection algorithmName="SHA-512" hashValue="b9fIrl6n6yX0S+RuJB7UEpiQjaje3yf8HFa/ujVaF/m7KWiNL7cYgdjLhODYQ7v6GJex5hMdOzKGv87mcL2zHQ==" saltValue="0BNWiW2wR1i9nrCg8qRfoQ==" spinCount="100000" sheet="1" objects="1" scenarios="1" formatColumns="0" selectLockedCells="1"/>
  <customSheetViews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6">
    <mergeCell ref="N34:P34"/>
    <mergeCell ref="Z6:AA6"/>
    <mergeCell ref="AB6:AC6"/>
    <mergeCell ref="S5:V5"/>
    <mergeCell ref="C2:AC2"/>
    <mergeCell ref="C3:AC3"/>
    <mergeCell ref="AB5:AC5"/>
    <mergeCell ref="Z5:AA5"/>
    <mergeCell ref="D5:J5"/>
    <mergeCell ref="D6:J6"/>
    <mergeCell ref="K5:L5"/>
    <mergeCell ref="K6:L6"/>
    <mergeCell ref="M5:O5"/>
    <mergeCell ref="M6:N6"/>
    <mergeCell ref="R6:S6"/>
    <mergeCell ref="T6:W6"/>
  </mergeCells>
  <phoneticPr fontId="0" type="noConversion"/>
  <conditionalFormatting sqref="Z22 S8:Y8 S9:X16 S18:X19 S17:W17 D22:X22 D24:Z27 D20:Z21 N11:N27 Y9:Z19 J23:Z23 E23:H23 D8:S19 Y8:Y27">
    <cfRule type="cellIs" dxfId="13" priority="9" stopIfTrue="1" operator="equal">
      <formula>0</formula>
    </cfRule>
  </conditionalFormatting>
  <dataValidations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67" orientation="landscape" blackAndWhite="1" r:id="rId3"/>
  <headerFooter alignWithMargins="0"/>
  <ignoredErrors>
    <ignoredError sqref="I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V578"/>
  <sheetViews>
    <sheetView topLeftCell="B1" zoomScale="110" zoomScaleNormal="110" workbookViewId="0">
      <selection activeCell="G27" sqref="G27"/>
    </sheetView>
  </sheetViews>
  <sheetFormatPr defaultColWidth="0" defaultRowHeight="15.75" zeroHeight="1"/>
  <cols>
    <col min="1" max="1" width="1.5703125" style="70" hidden="1" customWidth="1"/>
    <col min="2" max="2" width="3" style="211" bestFit="1" customWidth="1"/>
    <col min="3" max="3" width="49.140625" style="70" customWidth="1"/>
    <col min="4" max="4" width="11.85546875" style="70" bestFit="1" customWidth="1"/>
    <col min="5" max="5" width="0.5703125" style="70" customWidth="1"/>
    <col min="6" max="6" width="3" style="70" bestFit="1" customWidth="1"/>
    <col min="7" max="7" width="72.28515625" style="70" customWidth="1"/>
    <col min="8" max="8" width="11.85546875" style="70" bestFit="1" customWidth="1"/>
    <col min="9" max="9" width="17.5703125" style="109" customWidth="1"/>
    <col min="10" max="10" width="8.5703125" style="70" customWidth="1"/>
    <col min="11" max="11" width="12" style="70" hidden="1" customWidth="1"/>
    <col min="12" max="12" width="8.5703125" style="110" hidden="1" customWidth="1"/>
    <col min="13" max="13" width="12.140625" style="110" hidden="1" customWidth="1"/>
    <col min="14" max="14" width="12.42578125" style="110" hidden="1" customWidth="1"/>
    <col min="15" max="15" width="11.5703125" style="110" hidden="1" customWidth="1"/>
    <col min="16" max="16" width="5.7109375" style="70" hidden="1" customWidth="1"/>
    <col min="17" max="17" width="4.85546875" style="110" hidden="1" customWidth="1"/>
    <col min="18" max="18" width="7.85546875" style="110" hidden="1" customWidth="1"/>
    <col min="19" max="19" width="10" style="110" hidden="1" customWidth="1"/>
    <col min="20" max="20" width="9.28515625" style="110" hidden="1" customWidth="1"/>
    <col min="21" max="21" width="11.7109375" style="110" hidden="1" customWidth="1"/>
    <col min="22" max="22" width="7.140625" style="110" hidden="1" customWidth="1"/>
    <col min="23" max="23" width="6.7109375" style="113" hidden="1" customWidth="1"/>
    <col min="24" max="24" width="14.5703125" style="110" hidden="1" customWidth="1"/>
    <col min="25" max="26" width="7.85546875" style="110" hidden="1" customWidth="1"/>
    <col min="27" max="27" width="5.7109375" style="110" hidden="1" customWidth="1"/>
    <col min="28" max="28" width="6" style="110" hidden="1" customWidth="1"/>
    <col min="29" max="29" width="8" style="110" hidden="1" customWidth="1"/>
    <col min="30" max="30" width="7" style="110" hidden="1" customWidth="1"/>
    <col min="31" max="31" width="6.5703125" style="110" hidden="1" customWidth="1"/>
    <col min="32" max="32" width="11.140625" style="110" hidden="1" customWidth="1"/>
    <col min="33" max="33" width="11.140625" style="70" hidden="1" customWidth="1"/>
    <col min="34" max="34" width="5.28515625" style="70" hidden="1" customWidth="1"/>
    <col min="35" max="35" width="8.28515625" style="70" hidden="1" customWidth="1"/>
    <col min="36" max="37" width="5.28515625" style="70" hidden="1" customWidth="1"/>
    <col min="38" max="38" width="8.28515625" style="70" hidden="1" customWidth="1"/>
    <col min="39" max="39" width="5.140625" style="70" hidden="1" customWidth="1"/>
    <col min="40" max="41" width="9.5703125" style="70" hidden="1" customWidth="1"/>
    <col min="42" max="42" width="10.5703125" style="70" hidden="1" customWidth="1"/>
    <col min="43" max="43" width="5.140625" style="70" hidden="1" customWidth="1"/>
    <col min="44" max="44" width="7.28515625" style="70" hidden="1" customWidth="1"/>
    <col min="45" max="45" width="7.7109375" style="70" hidden="1" customWidth="1"/>
    <col min="46" max="46" width="5.140625" style="70" hidden="1" customWidth="1"/>
    <col min="47" max="47" width="8" style="70" hidden="1" customWidth="1"/>
    <col min="48" max="48" width="11.42578125" style="70" hidden="1" customWidth="1"/>
    <col min="49" max="49" width="14.28515625" style="70" hidden="1" customWidth="1"/>
    <col min="50" max="50" width="9" style="70" hidden="1" customWidth="1"/>
    <col min="51" max="51" width="5.85546875" style="70" hidden="1" customWidth="1"/>
    <col min="52" max="52" width="7.5703125" style="70" hidden="1" customWidth="1"/>
    <col min="53" max="53" width="13.140625" style="70" hidden="1" customWidth="1"/>
    <col min="54" max="54" width="7.5703125" style="70" hidden="1" customWidth="1"/>
    <col min="55" max="55" width="13.140625" style="70" hidden="1" customWidth="1"/>
    <col min="56" max="56" width="7.5703125" style="70" hidden="1" customWidth="1"/>
    <col min="57" max="57" width="13.140625" style="70" hidden="1" customWidth="1"/>
    <col min="58" max="58" width="7.5703125" style="70" hidden="1" customWidth="1"/>
    <col min="59" max="59" width="13.140625" style="70" hidden="1" customWidth="1"/>
    <col min="60" max="60" width="7.5703125" style="70" hidden="1" customWidth="1"/>
    <col min="61" max="61" width="13.140625" style="70" hidden="1" customWidth="1"/>
    <col min="62" max="62" width="7.5703125" style="70" hidden="1" customWidth="1"/>
    <col min="63" max="63" width="13.140625" style="70" hidden="1" customWidth="1"/>
    <col min="64" max="64" width="7.5703125" style="70" hidden="1" customWidth="1"/>
    <col min="65" max="65" width="13.140625" style="70" hidden="1" customWidth="1"/>
    <col min="66" max="66" width="7.5703125" style="70" hidden="1" customWidth="1"/>
    <col min="67" max="67" width="13.140625" style="70" hidden="1" customWidth="1"/>
    <col min="68" max="68" width="5.140625" style="70" hidden="1" customWidth="1"/>
    <col min="69" max="69" width="7.140625" style="70" hidden="1" customWidth="1"/>
    <col min="70" max="70" width="6.7109375" style="70" hidden="1" customWidth="1"/>
    <col min="71" max="71" width="5.140625" style="70" hidden="1" customWidth="1"/>
    <col min="72" max="73" width="7.7109375" style="70" hidden="1" customWidth="1"/>
    <col min="74" max="75" width="7.28515625" style="70" hidden="1" customWidth="1"/>
    <col min="76" max="76" width="9.7109375" style="70" hidden="1" customWidth="1"/>
    <col min="77" max="77" width="9.28515625" style="70" hidden="1" customWidth="1"/>
    <col min="78" max="78" width="7.7109375" style="70" hidden="1" customWidth="1"/>
    <col min="79" max="79" width="7.85546875" style="70" hidden="1" customWidth="1"/>
    <col min="80" max="80" width="9.28515625" style="70" hidden="1" customWidth="1"/>
    <col min="81" max="81" width="10" style="70" hidden="1" customWidth="1"/>
    <col min="82" max="82" width="7" style="70" hidden="1" customWidth="1"/>
    <col min="83" max="83" width="7.5703125" style="70" hidden="1" customWidth="1"/>
    <col min="84" max="84" width="9.28515625" style="70" hidden="1" customWidth="1"/>
    <col min="85" max="85" width="9" style="70" hidden="1" customWidth="1"/>
    <col min="86" max="86" width="7.7109375" style="70" hidden="1" customWidth="1"/>
    <col min="87" max="87" width="5.140625" style="70" hidden="1" customWidth="1"/>
    <col min="88" max="88" width="7.28515625" style="70" hidden="1" customWidth="1"/>
    <col min="89" max="89" width="6.5703125" style="70" hidden="1" customWidth="1"/>
    <col min="90" max="90" width="6.28515625" style="70" hidden="1" customWidth="1"/>
    <col min="91" max="91" width="6.42578125" style="70" hidden="1" customWidth="1"/>
    <col min="92" max="92" width="5.140625" style="70" hidden="1" customWidth="1"/>
    <col min="93" max="93" width="6.28515625" style="70" hidden="1" customWidth="1"/>
    <col min="94" max="98" width="5.28515625" style="70" hidden="1" customWidth="1"/>
    <col min="99" max="99" width="5.140625" style="70" hidden="1" customWidth="1"/>
    <col min="100" max="100" width="7.5703125" style="70" hidden="1" customWidth="1"/>
    <col min="101" max="101" width="7.28515625" style="70" hidden="1" customWidth="1"/>
    <col min="102" max="102" width="12.85546875" style="70" hidden="1" customWidth="1"/>
    <col min="103" max="103" width="7.28515625" style="70" hidden="1" customWidth="1"/>
    <col min="104" max="104" width="12.85546875" style="70" hidden="1" customWidth="1"/>
    <col min="105" max="105" width="9.85546875" style="70" hidden="1" customWidth="1"/>
    <col min="106" max="106" width="10" style="70" hidden="1" customWidth="1"/>
    <col min="107" max="107" width="13.42578125" style="70" hidden="1" customWidth="1"/>
    <col min="108" max="108" width="10.140625" style="70" hidden="1" customWidth="1"/>
    <col min="109" max="109" width="8.42578125" style="70" hidden="1" customWidth="1"/>
    <col min="110" max="110" width="13.5703125" style="70" hidden="1" customWidth="1"/>
    <col min="111" max="111" width="5.140625" style="70" hidden="1" customWidth="1"/>
    <col min="112" max="112" width="8" style="70" hidden="1" customWidth="1"/>
    <col min="113" max="113" width="11.42578125" style="70" hidden="1" customWidth="1"/>
    <col min="114" max="114" width="7.7109375" style="70" hidden="1" customWidth="1"/>
    <col min="115" max="115" width="7.5703125" style="70" hidden="1" customWidth="1"/>
    <col min="116" max="117" width="5.140625" style="70" hidden="1" customWidth="1"/>
    <col min="118" max="118" width="14.140625" style="70" hidden="1" customWidth="1"/>
    <col min="119" max="119" width="15.5703125" style="70" hidden="1" customWidth="1"/>
    <col min="120" max="120" width="6.85546875" style="70" hidden="1" customWidth="1"/>
    <col min="121" max="16384" width="9.140625" style="70" hidden="1"/>
  </cols>
  <sheetData>
    <row r="1" spans="2:126" s="1" customFormat="1" ht="30.75" customHeight="1">
      <c r="B1" s="326" t="s">
        <v>150</v>
      </c>
      <c r="C1" s="326"/>
      <c r="D1" s="326"/>
      <c r="E1" s="326"/>
      <c r="F1" s="326"/>
      <c r="G1" s="326"/>
      <c r="H1" s="326"/>
      <c r="I1" s="327"/>
      <c r="J1" s="47"/>
      <c r="K1" s="70"/>
      <c r="P1" s="47"/>
      <c r="Q1" s="48"/>
      <c r="R1" s="47"/>
      <c r="S1" s="47"/>
      <c r="T1" s="47"/>
      <c r="U1" s="47"/>
      <c r="V1" s="47"/>
      <c r="W1" s="117"/>
      <c r="X1" s="114" t="s">
        <v>92</v>
      </c>
      <c r="Y1" s="114" t="s">
        <v>93</v>
      </c>
      <c r="Z1" s="114" t="s">
        <v>130</v>
      </c>
      <c r="AA1" s="41"/>
      <c r="AB1" s="41"/>
      <c r="AC1" s="41"/>
    </row>
    <row r="2" spans="2:126" s="1" customFormat="1" ht="27.75" customHeight="1">
      <c r="B2" s="328" t="str">
        <f>GA55A!D5&amp; " ,   " &amp;GA55A!D6&amp;"                         PAN-  "&amp;GA55A!M5</f>
        <v>Chandra Prakash Kurmi ,   Lecturer (L-13)                         PAN-  AAAAAXXXXA</v>
      </c>
      <c r="C2" s="328"/>
      <c r="D2" s="328"/>
      <c r="E2" s="328"/>
      <c r="F2" s="328"/>
      <c r="G2" s="328"/>
      <c r="H2" s="328"/>
      <c r="I2" s="328"/>
      <c r="J2" s="47"/>
      <c r="K2" s="70"/>
      <c r="L2" s="41"/>
      <c r="M2" s="41"/>
      <c r="N2" s="196" t="s">
        <v>142</v>
      </c>
      <c r="O2" s="41"/>
      <c r="P2" s="47"/>
      <c r="Q2" s="48"/>
      <c r="R2" s="48"/>
      <c r="S2" s="48"/>
      <c r="T2" s="48"/>
      <c r="U2" s="48"/>
      <c r="V2" s="48"/>
      <c r="W2" s="116">
        <v>3</v>
      </c>
      <c r="X2" s="115">
        <f>GA55A!D8</f>
        <v>77900</v>
      </c>
      <c r="Y2" s="115">
        <f>GA55A!H8</f>
        <v>13243</v>
      </c>
      <c r="Z2" s="115">
        <f>GA55A!I8</f>
        <v>6232</v>
      </c>
      <c r="AA2" s="41"/>
      <c r="AB2" s="41"/>
      <c r="AC2" s="41"/>
      <c r="AD2" s="41"/>
      <c r="AE2" s="41"/>
      <c r="AF2" s="41"/>
    </row>
    <row r="3" spans="2:126" s="1" customFormat="1" ht="15" customHeight="1">
      <c r="B3" s="219">
        <v>1</v>
      </c>
      <c r="C3" s="217" t="s">
        <v>168</v>
      </c>
      <c r="D3" s="220">
        <v>0</v>
      </c>
      <c r="E3" s="228"/>
      <c r="F3" s="212">
        <v>19</v>
      </c>
      <c r="G3" s="217" t="s">
        <v>169</v>
      </c>
      <c r="H3" s="213">
        <v>50000</v>
      </c>
      <c r="I3" s="159" t="s">
        <v>129</v>
      </c>
      <c r="J3" s="47"/>
      <c r="K3" s="70"/>
      <c r="L3" s="41"/>
      <c r="M3" s="41"/>
      <c r="N3" s="41"/>
      <c r="O3" s="41"/>
      <c r="P3" s="47"/>
      <c r="Q3" s="48"/>
      <c r="R3" s="48"/>
      <c r="S3" s="48"/>
      <c r="T3" s="48"/>
      <c r="U3" s="48"/>
      <c r="V3" s="48"/>
      <c r="W3" s="116">
        <v>4</v>
      </c>
      <c r="X3" s="115">
        <f>GA55A!D9</f>
        <v>77900</v>
      </c>
      <c r="Y3" s="115">
        <f>GA55A!H9</f>
        <v>13243</v>
      </c>
      <c r="Z3" s="115">
        <f>GA55A!I9</f>
        <v>6232</v>
      </c>
      <c r="AA3" s="41"/>
      <c r="AB3" s="41"/>
      <c r="AC3" s="41"/>
      <c r="AD3" s="41"/>
      <c r="AE3" s="41"/>
      <c r="AF3" s="41"/>
      <c r="DV3" s="2" t="s">
        <v>11</v>
      </c>
    </row>
    <row r="4" spans="2:126" s="1" customFormat="1" ht="16.5">
      <c r="B4" s="221">
        <v>2</v>
      </c>
      <c r="C4" s="222" t="s">
        <v>167</v>
      </c>
      <c r="D4" s="216">
        <v>0</v>
      </c>
      <c r="E4" s="228"/>
      <c r="F4" s="214">
        <v>20</v>
      </c>
      <c r="G4" s="215" t="s">
        <v>170</v>
      </c>
      <c r="H4" s="216">
        <v>0</v>
      </c>
      <c r="I4" s="105">
        <f>'Tax (Old Regime)'!P4</f>
        <v>1287740</v>
      </c>
      <c r="J4" s="47"/>
      <c r="K4" s="70"/>
      <c r="L4" s="41"/>
      <c r="M4" s="41"/>
      <c r="N4" s="118">
        <f>SUM('Tax (Old Regime)'!H21:I30)</f>
        <v>159838</v>
      </c>
      <c r="O4" s="41"/>
      <c r="P4" s="47"/>
      <c r="Q4" s="48"/>
      <c r="R4" s="48"/>
      <c r="S4" s="48"/>
      <c r="T4" s="48"/>
      <c r="U4" s="48"/>
      <c r="V4" s="48"/>
      <c r="W4" s="116">
        <v>5</v>
      </c>
      <c r="X4" s="115">
        <f>GA55A!D10</f>
        <v>77900</v>
      </c>
      <c r="Y4" s="115">
        <f>GA55A!H10</f>
        <v>13243</v>
      </c>
      <c r="Z4" s="115">
        <f>GA55A!I10</f>
        <v>6232</v>
      </c>
      <c r="AA4" s="41"/>
      <c r="AB4" s="41"/>
      <c r="AC4" s="41"/>
      <c r="AD4" s="41"/>
      <c r="AE4" s="41"/>
      <c r="AF4" s="41"/>
      <c r="DV4" s="2"/>
    </row>
    <row r="5" spans="2:126" s="1" customFormat="1" ht="15" customHeight="1">
      <c r="B5" s="219">
        <v>3</v>
      </c>
      <c r="C5" s="217" t="s">
        <v>166</v>
      </c>
      <c r="D5" s="220">
        <v>0</v>
      </c>
      <c r="E5" s="228"/>
      <c r="F5" s="212">
        <v>21</v>
      </c>
      <c r="G5" s="229" t="s">
        <v>172</v>
      </c>
      <c r="H5" s="213">
        <v>0</v>
      </c>
      <c r="I5" s="104" t="s">
        <v>128</v>
      </c>
      <c r="J5" s="47"/>
      <c r="K5" s="70"/>
      <c r="L5" s="41"/>
      <c r="M5" s="42">
        <f>SUM(H4:H5)</f>
        <v>0</v>
      </c>
      <c r="N5" s="118">
        <f>SUM('Tax (Old Regime)'!N23:O29)</f>
        <v>0</v>
      </c>
      <c r="O5" s="41"/>
      <c r="P5" s="47"/>
      <c r="Q5" s="48"/>
      <c r="R5" s="48"/>
      <c r="S5" s="48"/>
      <c r="T5" s="48"/>
      <c r="U5" s="48"/>
      <c r="V5" s="48"/>
      <c r="W5" s="116">
        <v>6</v>
      </c>
      <c r="X5" s="115">
        <f>GA55A!D11</f>
        <v>77900</v>
      </c>
      <c r="Y5" s="115">
        <f>GA55A!H11</f>
        <v>13243</v>
      </c>
      <c r="Z5" s="115">
        <f>GA55A!I11</f>
        <v>6232</v>
      </c>
      <c r="AA5" s="41"/>
      <c r="AB5" s="41"/>
      <c r="AC5" s="41"/>
      <c r="AD5" s="41"/>
      <c r="AE5" s="41"/>
      <c r="AF5" s="41"/>
      <c r="DV5" s="2"/>
    </row>
    <row r="6" spans="2:126" s="1" customFormat="1" ht="17.25" customHeight="1">
      <c r="B6" s="221">
        <v>4</v>
      </c>
      <c r="C6" s="215" t="s">
        <v>151</v>
      </c>
      <c r="D6" s="216">
        <v>0</v>
      </c>
      <c r="E6" s="228"/>
      <c r="F6" s="214">
        <v>22</v>
      </c>
      <c r="G6" s="215" t="s">
        <v>171</v>
      </c>
      <c r="H6" s="216">
        <v>0</v>
      </c>
      <c r="I6" s="106" t="s">
        <v>73</v>
      </c>
      <c r="J6" s="47"/>
      <c r="K6" s="41"/>
      <c r="L6" s="41"/>
      <c r="M6" s="42">
        <f>SUM(H4:H6)</f>
        <v>0</v>
      </c>
      <c r="N6" s="118">
        <f>'Tax (Old Regime)'!P32</f>
        <v>0</v>
      </c>
      <c r="O6" s="41"/>
      <c r="P6" s="47"/>
      <c r="Q6" s="48"/>
      <c r="R6" s="48"/>
      <c r="S6" s="48"/>
      <c r="T6" s="48"/>
      <c r="U6" s="48"/>
      <c r="V6" s="48"/>
      <c r="W6" s="116">
        <v>7</v>
      </c>
      <c r="X6" s="115">
        <f>GA55A!D12</f>
        <v>80200</v>
      </c>
      <c r="Y6" s="115">
        <f>GA55A!H12</f>
        <v>22456</v>
      </c>
      <c r="Z6" s="115">
        <f>GA55A!I12</f>
        <v>6416</v>
      </c>
      <c r="AA6" s="41"/>
      <c r="AB6" s="41"/>
      <c r="AC6" s="41"/>
      <c r="AD6" s="41"/>
      <c r="AE6" s="41"/>
      <c r="AF6" s="41"/>
      <c r="DV6" s="2"/>
    </row>
    <row r="7" spans="2:126" s="1" customFormat="1" ht="15" customHeight="1">
      <c r="B7" s="219">
        <v>5</v>
      </c>
      <c r="C7" s="217" t="s">
        <v>152</v>
      </c>
      <c r="D7" s="220">
        <v>0</v>
      </c>
      <c r="E7" s="228"/>
      <c r="F7" s="212">
        <v>23</v>
      </c>
      <c r="G7" s="230" t="s">
        <v>174</v>
      </c>
      <c r="H7" s="213">
        <v>0</v>
      </c>
      <c r="I7" s="105">
        <f>'Tax (Old Regime)'!P61</f>
        <v>144375</v>
      </c>
      <c r="J7" s="102" t="s">
        <v>125</v>
      </c>
      <c r="K7" s="199">
        <f>IF(N7-150001&lt;0,0,IF(N7-150000&lt;50000,N7-150000,50000))</f>
        <v>9838</v>
      </c>
      <c r="L7" s="41"/>
      <c r="M7" s="41"/>
      <c r="N7" s="197">
        <f>SUM(N4:N6)</f>
        <v>159838</v>
      </c>
      <c r="O7" s="41"/>
      <c r="P7" s="47"/>
      <c r="Q7" s="48"/>
      <c r="R7" s="75"/>
      <c r="S7" s="76" t="s">
        <v>92</v>
      </c>
      <c r="T7" s="76" t="s">
        <v>93</v>
      </c>
      <c r="U7" s="76" t="s">
        <v>41</v>
      </c>
      <c r="V7" s="48"/>
      <c r="W7" s="116">
        <v>8</v>
      </c>
      <c r="X7" s="115">
        <f>GA55A!D13</f>
        <v>80200</v>
      </c>
      <c r="Y7" s="115">
        <f>GA55A!H13</f>
        <v>22456</v>
      </c>
      <c r="Z7" s="115">
        <f>GA55A!I13</f>
        <v>7218</v>
      </c>
      <c r="AA7" s="41"/>
      <c r="AB7" s="41"/>
      <c r="AC7" s="41"/>
      <c r="AD7" s="41"/>
      <c r="AE7" s="41"/>
      <c r="AF7" s="41"/>
      <c r="DV7" s="2"/>
    </row>
    <row r="8" spans="2:126" s="1" customFormat="1" ht="15" customHeight="1">
      <c r="B8" s="221">
        <v>6</v>
      </c>
      <c r="C8" s="215" t="s">
        <v>157</v>
      </c>
      <c r="D8" s="223">
        <v>0</v>
      </c>
      <c r="E8" s="228"/>
      <c r="F8" s="214">
        <v>24</v>
      </c>
      <c r="G8" s="215" t="s">
        <v>175</v>
      </c>
      <c r="H8" s="216">
        <v>0</v>
      </c>
      <c r="I8" s="106" t="s">
        <v>95</v>
      </c>
      <c r="J8" s="102" t="s">
        <v>126</v>
      </c>
      <c r="K8" s="41"/>
      <c r="L8" s="41"/>
      <c r="M8" s="41"/>
      <c r="N8" s="41"/>
      <c r="O8" s="41"/>
      <c r="P8" s="47"/>
      <c r="Q8" s="48"/>
      <c r="R8" s="77">
        <v>1</v>
      </c>
      <c r="S8" s="78">
        <f>GA55A!D8</f>
        <v>77900</v>
      </c>
      <c r="T8" s="78">
        <f>GA55A!H8</f>
        <v>13243</v>
      </c>
      <c r="U8" s="78">
        <f>SUM(S8:T8)</f>
        <v>91143</v>
      </c>
      <c r="V8" s="48"/>
      <c r="W8" s="116">
        <v>9</v>
      </c>
      <c r="X8" s="115">
        <f>GA55A!D14</f>
        <v>80200</v>
      </c>
      <c r="Y8" s="115">
        <f>GA55A!H14</f>
        <v>22456</v>
      </c>
      <c r="Z8" s="115">
        <f>GA55A!I14</f>
        <v>7218</v>
      </c>
      <c r="AA8" s="41"/>
      <c r="AB8" s="41"/>
      <c r="AC8" s="41"/>
      <c r="AD8" s="41"/>
      <c r="AE8" s="41"/>
      <c r="AF8" s="41"/>
      <c r="DV8" s="2"/>
    </row>
    <row r="9" spans="2:126" s="1" customFormat="1" ht="15" customHeight="1">
      <c r="B9" s="219">
        <v>7</v>
      </c>
      <c r="C9" s="217" t="s">
        <v>158</v>
      </c>
      <c r="D9" s="220">
        <v>0</v>
      </c>
      <c r="E9" s="228"/>
      <c r="F9" s="212">
        <v>25</v>
      </c>
      <c r="G9" s="217" t="s">
        <v>177</v>
      </c>
      <c r="H9" s="213">
        <f>IF(Master!B11="NO",0,IF(H10=0,L9,L9-H10))</f>
        <v>0</v>
      </c>
      <c r="I9" s="105">
        <f>'Tax (New Regime)'!P53</f>
        <v>139812</v>
      </c>
      <c r="J9" s="102" t="s">
        <v>127</v>
      </c>
      <c r="K9" s="41"/>
      <c r="L9" s="71">
        <f>IF(M9&gt;N9,N9,M9)</f>
        <v>0</v>
      </c>
      <c r="M9" s="72">
        <f>IF(Master!B11="No",0,ROUND(10%*GA55A!N28,0))</f>
        <v>0</v>
      </c>
      <c r="N9" s="72">
        <f>IF(Master!B11="No",0,GA55A!O28)</f>
        <v>0</v>
      </c>
      <c r="O9" s="41"/>
      <c r="P9" s="47"/>
      <c r="Q9" s="48"/>
      <c r="R9" s="77">
        <v>2</v>
      </c>
      <c r="S9" s="78">
        <f>GA55A!D9</f>
        <v>77900</v>
      </c>
      <c r="T9" s="78">
        <f>GA55A!H9</f>
        <v>13243</v>
      </c>
      <c r="U9" s="78">
        <f t="shared" ref="U9:U19" si="0">SUM(S9:T9)</f>
        <v>91143</v>
      </c>
      <c r="V9" s="48"/>
      <c r="W9" s="116">
        <v>10</v>
      </c>
      <c r="X9" s="115">
        <f>GA55A!D15</f>
        <v>80200</v>
      </c>
      <c r="Y9" s="115">
        <f>GA55A!H15</f>
        <v>24862</v>
      </c>
      <c r="Z9" s="115">
        <f>GA55A!I15</f>
        <v>7218</v>
      </c>
      <c r="AA9" s="41"/>
      <c r="AB9" s="41"/>
      <c r="AC9" s="41"/>
      <c r="AD9" s="41"/>
      <c r="AE9" s="41"/>
      <c r="AF9" s="41"/>
      <c r="DV9" s="2"/>
    </row>
    <row r="10" spans="2:126" s="1" customFormat="1" ht="15" customHeight="1">
      <c r="B10" s="221">
        <v>8</v>
      </c>
      <c r="C10" s="215" t="s">
        <v>153</v>
      </c>
      <c r="D10" s="223">
        <v>0</v>
      </c>
      <c r="E10" s="228"/>
      <c r="F10" s="214">
        <v>26</v>
      </c>
      <c r="G10" s="215" t="s">
        <v>176</v>
      </c>
      <c r="H10" s="216">
        <v>0</v>
      </c>
      <c r="I10" s="107" t="s">
        <v>44</v>
      </c>
      <c r="J10" s="101"/>
      <c r="K10" s="198">
        <f>IF(Master!B11="NO",50000,K7)</f>
        <v>50000</v>
      </c>
      <c r="L10" s="71"/>
      <c r="M10" s="71">
        <f>SUM('Tax (Old Regime)'!I21:I30,'Tax (Old Regime)'!O21:O29)</f>
        <v>0</v>
      </c>
      <c r="N10" s="71"/>
      <c r="O10" s="41"/>
      <c r="P10" s="47"/>
      <c r="Q10" s="48"/>
      <c r="R10" s="77">
        <v>3</v>
      </c>
      <c r="S10" s="78">
        <f>GA55A!D10</f>
        <v>77900</v>
      </c>
      <c r="T10" s="78">
        <f>GA55A!H10</f>
        <v>13243</v>
      </c>
      <c r="U10" s="78">
        <f t="shared" si="0"/>
        <v>91143</v>
      </c>
      <c r="V10" s="48"/>
      <c r="W10" s="116">
        <v>11</v>
      </c>
      <c r="X10" s="115">
        <f>GA55A!D16</f>
        <v>80200</v>
      </c>
      <c r="Y10" s="115">
        <f>GA55A!H16</f>
        <v>24862</v>
      </c>
      <c r="Z10" s="115">
        <f>GA55A!I16</f>
        <v>7218</v>
      </c>
      <c r="AA10" s="41"/>
      <c r="AB10" s="41"/>
      <c r="AC10" s="41"/>
      <c r="AD10" s="41"/>
      <c r="AE10" s="41"/>
      <c r="AF10" s="41"/>
      <c r="DV10" s="2" t="s">
        <v>12</v>
      </c>
    </row>
    <row r="11" spans="2:126" s="1" customFormat="1" ht="15" customHeight="1">
      <c r="B11" s="219">
        <v>9</v>
      </c>
      <c r="C11" s="217" t="s">
        <v>160</v>
      </c>
      <c r="D11" s="220">
        <v>0</v>
      </c>
      <c r="E11" s="228"/>
      <c r="F11" s="212">
        <v>27</v>
      </c>
      <c r="G11" s="217" t="s">
        <v>178</v>
      </c>
      <c r="H11" s="213">
        <v>0</v>
      </c>
      <c r="I11" s="105">
        <f>GA55A!V28</f>
        <v>139812</v>
      </c>
      <c r="J11" s="47"/>
      <c r="K11" s="69"/>
      <c r="L11" s="71">
        <f>IF(Master!B15="No",25000,50000)</f>
        <v>25000</v>
      </c>
      <c r="M11" s="71"/>
      <c r="N11" s="71"/>
      <c r="O11" s="41"/>
      <c r="P11" s="47"/>
      <c r="Q11" s="48"/>
      <c r="R11" s="77">
        <v>4</v>
      </c>
      <c r="S11" s="78">
        <f>GA55A!D11</f>
        <v>77900</v>
      </c>
      <c r="T11" s="78">
        <f>GA55A!H11</f>
        <v>13243</v>
      </c>
      <c r="U11" s="78">
        <f t="shared" si="0"/>
        <v>91143</v>
      </c>
      <c r="V11" s="48"/>
      <c r="W11" s="116">
        <v>12</v>
      </c>
      <c r="X11" s="115">
        <f>GA55A!D17</f>
        <v>80200</v>
      </c>
      <c r="Y11" s="115">
        <f>GA55A!H17</f>
        <v>24862</v>
      </c>
      <c r="Z11" s="115">
        <f>GA55A!I17</f>
        <v>7218</v>
      </c>
      <c r="AA11" s="41"/>
      <c r="AB11" s="41"/>
      <c r="AC11" s="41"/>
      <c r="AD11" s="41"/>
      <c r="AE11" s="41"/>
      <c r="AF11" s="41"/>
      <c r="DV11" s="2" t="s">
        <v>14</v>
      </c>
    </row>
    <row r="12" spans="2:126" s="1" customFormat="1" ht="15" customHeight="1">
      <c r="B12" s="221">
        <v>10</v>
      </c>
      <c r="C12" s="215" t="s">
        <v>159</v>
      </c>
      <c r="D12" s="223">
        <v>0</v>
      </c>
      <c r="E12" s="228"/>
      <c r="F12" s="214">
        <v>28</v>
      </c>
      <c r="G12" s="215" t="s">
        <v>183</v>
      </c>
      <c r="H12" s="216">
        <v>0</v>
      </c>
      <c r="I12" s="324" t="s">
        <v>91</v>
      </c>
      <c r="J12" s="47"/>
      <c r="K12" s="69"/>
      <c r="L12" s="71"/>
      <c r="M12" s="71"/>
      <c r="N12" s="71"/>
      <c r="O12" s="41"/>
      <c r="P12" s="47"/>
      <c r="Q12" s="48"/>
      <c r="R12" s="77">
        <v>5</v>
      </c>
      <c r="S12" s="78">
        <f>GA55A!D12</f>
        <v>80200</v>
      </c>
      <c r="T12" s="78">
        <f>GA55A!H12</f>
        <v>22456</v>
      </c>
      <c r="U12" s="78">
        <f t="shared" si="0"/>
        <v>102656</v>
      </c>
      <c r="V12" s="48"/>
      <c r="W12" s="116">
        <v>1</v>
      </c>
      <c r="X12" s="115">
        <f>GA55A!D18</f>
        <v>80200</v>
      </c>
      <c r="Y12" s="115">
        <f>GA55A!H18</f>
        <v>24862</v>
      </c>
      <c r="Z12" s="115">
        <f>GA55A!I18</f>
        <v>7218</v>
      </c>
      <c r="AA12" s="41"/>
      <c r="AB12" s="41"/>
      <c r="AC12" s="41"/>
      <c r="AD12" s="41"/>
      <c r="AE12" s="41"/>
      <c r="AF12" s="41"/>
      <c r="DV12" s="2" t="s">
        <v>4</v>
      </c>
    </row>
    <row r="13" spans="2:126" s="1" customFormat="1" ht="15" customHeight="1">
      <c r="B13" s="219">
        <v>11</v>
      </c>
      <c r="C13" s="217" t="s">
        <v>163</v>
      </c>
      <c r="D13" s="220">
        <v>0</v>
      </c>
      <c r="E13" s="228"/>
      <c r="F13" s="212">
        <v>29</v>
      </c>
      <c r="G13" s="217" t="s">
        <v>179</v>
      </c>
      <c r="H13" s="213">
        <v>0</v>
      </c>
      <c r="I13" s="325"/>
      <c r="J13" s="47"/>
      <c r="K13" s="69"/>
      <c r="L13" s="71">
        <f>IF(Master!B15="No",40000,100000)</f>
        <v>40000</v>
      </c>
      <c r="M13" s="71"/>
      <c r="N13" s="71"/>
      <c r="O13" s="41"/>
      <c r="P13" s="47"/>
      <c r="Q13" s="48"/>
      <c r="R13" s="77">
        <v>6</v>
      </c>
      <c r="S13" s="78">
        <f>GA55A!D13</f>
        <v>80200</v>
      </c>
      <c r="T13" s="78">
        <f>GA55A!H13</f>
        <v>22456</v>
      </c>
      <c r="U13" s="78">
        <f t="shared" si="0"/>
        <v>102656</v>
      </c>
      <c r="V13" s="48"/>
      <c r="W13" s="116">
        <v>2</v>
      </c>
      <c r="X13" s="115">
        <f>GA55A!D19</f>
        <v>80200</v>
      </c>
      <c r="Y13" s="115">
        <f>GA55A!H19</f>
        <v>24862</v>
      </c>
      <c r="Z13" s="115">
        <f>GA55A!I19</f>
        <v>7218</v>
      </c>
      <c r="AA13" s="41"/>
      <c r="AB13" s="41"/>
      <c r="AC13" s="41"/>
      <c r="AD13" s="41"/>
      <c r="AE13" s="41"/>
      <c r="AF13" s="41"/>
      <c r="DV13" s="2"/>
    </row>
    <row r="14" spans="2:126" s="1" customFormat="1" ht="15" customHeight="1">
      <c r="B14" s="221">
        <v>12</v>
      </c>
      <c r="C14" s="215" t="s">
        <v>154</v>
      </c>
      <c r="D14" s="223">
        <v>0</v>
      </c>
      <c r="E14" s="228"/>
      <c r="F14" s="214">
        <v>30</v>
      </c>
      <c r="G14" s="215" t="s">
        <v>182</v>
      </c>
      <c r="H14" s="216">
        <v>0</v>
      </c>
      <c r="I14" s="325"/>
      <c r="J14" s="47"/>
      <c r="K14" s="69"/>
      <c r="L14" s="71"/>
      <c r="M14" s="71"/>
      <c r="N14" s="71"/>
      <c r="O14" s="41"/>
      <c r="P14" s="47"/>
      <c r="Q14" s="48"/>
      <c r="R14" s="77">
        <v>7</v>
      </c>
      <c r="S14" s="78">
        <f>GA55A!D14</f>
        <v>80200</v>
      </c>
      <c r="T14" s="78">
        <f>GA55A!H14</f>
        <v>22456</v>
      </c>
      <c r="U14" s="78">
        <f t="shared" si="0"/>
        <v>102656</v>
      </c>
      <c r="V14" s="48"/>
      <c r="W14" s="116"/>
      <c r="X14" s="118">
        <f>SUM(X2:X13)</f>
        <v>953200</v>
      </c>
      <c r="Y14" s="118">
        <f t="shared" ref="Y14:Z14" si="1">SUM(Y2:Y13)</f>
        <v>244650</v>
      </c>
      <c r="Z14" s="118">
        <f t="shared" si="1"/>
        <v>81870</v>
      </c>
      <c r="AA14" s="41"/>
      <c r="AB14" s="41"/>
      <c r="AC14" s="41"/>
      <c r="AD14" s="41"/>
      <c r="AE14" s="41"/>
      <c r="AF14" s="41"/>
      <c r="DV14" s="2" t="s">
        <v>0</v>
      </c>
    </row>
    <row r="15" spans="2:126" s="1" customFormat="1" ht="15" customHeight="1">
      <c r="B15" s="219">
        <v>13</v>
      </c>
      <c r="C15" s="217" t="s">
        <v>164</v>
      </c>
      <c r="D15" s="220">
        <v>0</v>
      </c>
      <c r="E15" s="228"/>
      <c r="F15" s="212">
        <v>31</v>
      </c>
      <c r="G15" s="217" t="s">
        <v>180</v>
      </c>
      <c r="H15" s="213">
        <f>GA55A!X28</f>
        <v>0</v>
      </c>
      <c r="I15" s="108">
        <f>'Tax (Old Regime)'!P31</f>
        <v>150000</v>
      </c>
      <c r="J15" s="47"/>
      <c r="K15" s="69"/>
      <c r="L15" s="71"/>
      <c r="M15" s="71"/>
      <c r="N15" s="71"/>
      <c r="O15" s="41"/>
      <c r="P15" s="47"/>
      <c r="Q15" s="48"/>
      <c r="R15" s="77">
        <v>8</v>
      </c>
      <c r="S15" s="78">
        <f>GA55A!D15</f>
        <v>80200</v>
      </c>
      <c r="T15" s="78">
        <f>GA55A!H15</f>
        <v>24862</v>
      </c>
      <c r="U15" s="78">
        <f t="shared" si="0"/>
        <v>105062</v>
      </c>
      <c r="V15" s="48"/>
      <c r="W15" s="111"/>
      <c r="X15" s="41"/>
      <c r="Y15" s="41"/>
      <c r="Z15" s="41"/>
      <c r="AA15" s="41"/>
      <c r="AB15" s="41"/>
      <c r="AC15" s="41"/>
      <c r="AD15" s="41"/>
      <c r="AE15" s="41"/>
      <c r="AF15" s="41"/>
      <c r="DV15" s="2" t="s">
        <v>14</v>
      </c>
    </row>
    <row r="16" spans="2:126" s="1" customFormat="1" ht="15" customHeight="1">
      <c r="B16" s="221">
        <v>14</v>
      </c>
      <c r="C16" s="215" t="s">
        <v>155</v>
      </c>
      <c r="D16" s="223">
        <v>0</v>
      </c>
      <c r="E16" s="228"/>
      <c r="F16" s="214">
        <v>32</v>
      </c>
      <c r="G16" s="215" t="s">
        <v>184</v>
      </c>
      <c r="H16" s="216">
        <v>0</v>
      </c>
      <c r="I16" s="322" t="s">
        <v>8</v>
      </c>
      <c r="J16" s="47"/>
      <c r="K16" s="69"/>
      <c r="L16" s="71"/>
      <c r="M16" s="71"/>
      <c r="N16" s="71"/>
      <c r="O16" s="41"/>
      <c r="P16" s="47"/>
      <c r="Q16" s="48"/>
      <c r="R16" s="77">
        <v>9</v>
      </c>
      <c r="S16" s="78">
        <f>GA55A!D16</f>
        <v>80200</v>
      </c>
      <c r="T16" s="78">
        <f>GA55A!H16</f>
        <v>24862</v>
      </c>
      <c r="U16" s="78">
        <f t="shared" si="0"/>
        <v>105062</v>
      </c>
      <c r="V16" s="48"/>
      <c r="W16" s="111" t="s">
        <v>125</v>
      </c>
      <c r="X16" s="119">
        <f>X14+Y14</f>
        <v>1197850</v>
      </c>
      <c r="Y16" s="41"/>
      <c r="Z16" s="41"/>
      <c r="AA16" s="41"/>
      <c r="AB16" s="41"/>
      <c r="AC16" s="41"/>
      <c r="AD16" s="41"/>
      <c r="AE16" s="41"/>
      <c r="AF16" s="41"/>
      <c r="DV16" s="2" t="s">
        <v>15</v>
      </c>
    </row>
    <row r="17" spans="2:126" s="1" customFormat="1" ht="15" customHeight="1">
      <c r="B17" s="219">
        <v>15</v>
      </c>
      <c r="C17" s="217" t="s">
        <v>165</v>
      </c>
      <c r="D17" s="220">
        <v>0</v>
      </c>
      <c r="E17" s="228"/>
      <c r="F17" s="212">
        <v>33</v>
      </c>
      <c r="G17" s="217" t="s">
        <v>181</v>
      </c>
      <c r="H17" s="213">
        <v>0</v>
      </c>
      <c r="I17" s="323"/>
      <c r="J17" s="47"/>
      <c r="K17" s="69"/>
      <c r="L17" s="71"/>
      <c r="M17" s="71"/>
      <c r="N17" s="71"/>
      <c r="O17" s="41"/>
      <c r="P17" s="47"/>
      <c r="Q17" s="48"/>
      <c r="R17" s="77">
        <v>10</v>
      </c>
      <c r="S17" s="78">
        <f>GA55A!D17</f>
        <v>80200</v>
      </c>
      <c r="T17" s="78">
        <f>GA55A!H17</f>
        <v>24862</v>
      </c>
      <c r="U17" s="78">
        <f t="shared" si="0"/>
        <v>105062</v>
      </c>
      <c r="V17" s="48"/>
      <c r="W17" s="111"/>
      <c r="X17" s="41"/>
      <c r="Y17" s="41"/>
      <c r="Z17" s="41"/>
      <c r="AA17" s="41"/>
      <c r="AB17" s="41"/>
      <c r="AC17" s="41"/>
      <c r="AD17" s="41"/>
      <c r="AE17" s="41"/>
      <c r="AF17" s="41"/>
      <c r="DV17" s="2" t="s">
        <v>5</v>
      </c>
    </row>
    <row r="18" spans="2:126" s="1" customFormat="1" ht="15" customHeight="1">
      <c r="B18" s="221">
        <v>16</v>
      </c>
      <c r="C18" s="215" t="s">
        <v>156</v>
      </c>
      <c r="D18" s="223">
        <v>0</v>
      </c>
      <c r="E18" s="228"/>
      <c r="F18" s="214">
        <v>34</v>
      </c>
      <c r="G18" s="215" t="s">
        <v>185</v>
      </c>
      <c r="H18" s="216">
        <v>0</v>
      </c>
      <c r="I18" s="323"/>
      <c r="J18" s="47"/>
      <c r="K18" s="69"/>
      <c r="L18" s="71">
        <f>U21</f>
        <v>119785</v>
      </c>
      <c r="M18" s="71"/>
      <c r="N18" s="71"/>
      <c r="O18" s="41"/>
      <c r="P18" s="47"/>
      <c r="Q18" s="48"/>
      <c r="R18" s="77">
        <v>11</v>
      </c>
      <c r="S18" s="78">
        <f>GA55A!D18</f>
        <v>80200</v>
      </c>
      <c r="T18" s="78">
        <f>GA55A!H18</f>
        <v>24862</v>
      </c>
      <c r="U18" s="78">
        <f t="shared" si="0"/>
        <v>105062</v>
      </c>
      <c r="V18" s="48"/>
      <c r="W18" s="111">
        <v>0.1</v>
      </c>
      <c r="X18" s="119">
        <f>ROUND(X16*10%,0)</f>
        <v>119785</v>
      </c>
      <c r="Y18" s="41"/>
      <c r="Z18" s="41"/>
      <c r="AA18" s="41"/>
      <c r="AB18" s="41"/>
      <c r="AC18" s="41"/>
      <c r="AD18" s="41"/>
      <c r="AE18" s="41"/>
      <c r="AF18" s="41"/>
      <c r="DV18" s="2"/>
    </row>
    <row r="19" spans="2:126" s="1" customFormat="1" ht="15" customHeight="1">
      <c r="B19" s="219">
        <v>17</v>
      </c>
      <c r="C19" s="217" t="s">
        <v>161</v>
      </c>
      <c r="D19" s="220">
        <v>0</v>
      </c>
      <c r="E19" s="228"/>
      <c r="F19" s="212">
        <v>35</v>
      </c>
      <c r="G19" s="217" t="s">
        <v>173</v>
      </c>
      <c r="H19" s="213">
        <v>0</v>
      </c>
      <c r="I19" s="321">
        <f>IF(D3=0,0,L18+D3)</f>
        <v>0</v>
      </c>
      <c r="J19" s="47"/>
      <c r="K19" s="69"/>
      <c r="L19" s="71"/>
      <c r="M19" s="71"/>
      <c r="N19" s="71"/>
      <c r="O19" s="41"/>
      <c r="P19" s="47"/>
      <c r="Q19" s="48"/>
      <c r="R19" s="77">
        <v>12</v>
      </c>
      <c r="S19" s="78">
        <f>GA55A!D19</f>
        <v>80200</v>
      </c>
      <c r="T19" s="78">
        <f>GA55A!H19</f>
        <v>24862</v>
      </c>
      <c r="U19" s="78">
        <f t="shared" si="0"/>
        <v>105062</v>
      </c>
      <c r="V19" s="48"/>
      <c r="W19" s="111">
        <v>0.4</v>
      </c>
      <c r="X19" s="119">
        <f>ROUND(X16*40%,0)</f>
        <v>479140</v>
      </c>
      <c r="Y19" s="41"/>
      <c r="Z19" s="41"/>
      <c r="AA19" s="41"/>
      <c r="AB19" s="41"/>
      <c r="AC19" s="41"/>
      <c r="AD19" s="41"/>
      <c r="AE19" s="41"/>
      <c r="AF19" s="41"/>
      <c r="DV19" s="2"/>
    </row>
    <row r="20" spans="2:126" s="1" customFormat="1" ht="15" customHeight="1">
      <c r="B20" s="221">
        <v>18</v>
      </c>
      <c r="C20" s="215" t="s">
        <v>162</v>
      </c>
      <c r="D20" s="223">
        <v>0</v>
      </c>
      <c r="E20" s="228"/>
      <c r="F20" s="214">
        <v>36</v>
      </c>
      <c r="G20" s="218" t="s">
        <v>186</v>
      </c>
      <c r="H20" s="216">
        <v>0</v>
      </c>
      <c r="I20" s="321"/>
      <c r="J20" s="47"/>
      <c r="K20" s="69"/>
      <c r="L20" s="71"/>
      <c r="M20" s="71"/>
      <c r="N20" s="71"/>
      <c r="O20" s="41"/>
      <c r="P20" s="47"/>
      <c r="Q20" s="48"/>
      <c r="R20" s="75"/>
      <c r="S20" s="75"/>
      <c r="T20" s="75"/>
      <c r="U20" s="79">
        <f>SUM(U8:U19)</f>
        <v>1197850</v>
      </c>
      <c r="V20" s="48"/>
      <c r="W20" s="112"/>
      <c r="X20" s="41"/>
      <c r="Y20" s="41"/>
      <c r="Z20" s="41"/>
      <c r="AA20" s="41"/>
      <c r="AB20" s="41"/>
      <c r="AC20" s="41"/>
      <c r="AD20" s="41"/>
      <c r="AE20" s="41"/>
      <c r="AF20" s="41"/>
      <c r="DV20" s="2" t="s">
        <v>16</v>
      </c>
    </row>
    <row r="21" spans="2:126" s="1" customFormat="1" ht="19.5" customHeight="1">
      <c r="B21" s="210"/>
      <c r="C21" s="319" t="str">
        <f>'Tax (Old Regime)'!B64</f>
        <v>Income Tax Payable (Old Tax Regime)</v>
      </c>
      <c r="D21" s="320"/>
      <c r="E21" s="150"/>
      <c r="F21" s="150"/>
      <c r="G21" s="151">
        <f>'Tax (Old Regime)'!P64</f>
        <v>4563</v>
      </c>
      <c r="H21" s="152"/>
      <c r="I21" s="153"/>
      <c r="J21" s="47"/>
      <c r="K21" s="41"/>
      <c r="L21" s="73">
        <f>GA55A!I28</f>
        <v>82672</v>
      </c>
      <c r="M21" s="71"/>
      <c r="N21" s="71"/>
      <c r="O21" s="41"/>
      <c r="P21" s="47"/>
      <c r="Q21" s="48"/>
      <c r="R21" s="48"/>
      <c r="S21" s="48"/>
      <c r="T21" s="48"/>
      <c r="U21" s="80">
        <f>ROUND(U20*10%,0)</f>
        <v>119785</v>
      </c>
      <c r="V21" s="48"/>
      <c r="W21" s="111"/>
      <c r="X21" s="41"/>
      <c r="Y21" s="41"/>
      <c r="Z21" s="41"/>
      <c r="AA21" s="41"/>
      <c r="AB21" s="41"/>
      <c r="AC21" s="41"/>
      <c r="AD21" s="41"/>
      <c r="AE21" s="41"/>
      <c r="AF21" s="41"/>
      <c r="DV21" s="2" t="s">
        <v>7</v>
      </c>
    </row>
    <row r="22" spans="2:126" s="1" customFormat="1" ht="19.5" customHeight="1">
      <c r="B22" s="210"/>
      <c r="C22" s="309" t="str">
        <f>"Total Rebate of (US 80C, 80CCC,80CCD(1)) =  "&amp;'Tax (Old Regime)'!N30</f>
        <v>Total Rebate of (US 80C, 80CCC,80CCD(1)) =  159838</v>
      </c>
      <c r="D22" s="310"/>
      <c r="E22" s="154"/>
      <c r="F22" s="154"/>
      <c r="G22" s="155" t="str">
        <f>"Investable Amount = "&amp;(150000-'Tax (Old Regime)'!P31)</f>
        <v>Investable Amount = 0</v>
      </c>
      <c r="H22" s="156"/>
      <c r="I22" s="157"/>
      <c r="J22" s="47"/>
      <c r="K22" s="41"/>
      <c r="L22" s="41"/>
      <c r="M22" s="41"/>
      <c r="N22" s="41"/>
      <c r="O22" s="41"/>
      <c r="P22" s="47"/>
      <c r="Q22" s="48"/>
      <c r="R22" s="48"/>
      <c r="S22" s="48"/>
      <c r="T22" s="48"/>
      <c r="U22" s="48"/>
      <c r="V22" s="48"/>
      <c r="W22" s="111"/>
      <c r="X22" s="41"/>
      <c r="Y22" s="41"/>
      <c r="Z22" s="41"/>
      <c r="AA22" s="41"/>
      <c r="AB22" s="41"/>
      <c r="AC22" s="41"/>
      <c r="AD22" s="41"/>
      <c r="AE22" s="41"/>
      <c r="AF22" s="41"/>
      <c r="DV22" s="2" t="s">
        <v>13</v>
      </c>
    </row>
    <row r="23" spans="2:126" s="1" customFormat="1" ht="48" hidden="1" customHeight="1">
      <c r="B23" s="210"/>
      <c r="C23" s="307" t="s">
        <v>55</v>
      </c>
      <c r="D23" s="308"/>
      <c r="E23" s="308"/>
      <c r="F23" s="308"/>
      <c r="G23" s="308"/>
      <c r="H23" s="308"/>
      <c r="I23" s="308"/>
      <c r="J23" s="47"/>
      <c r="K23" s="41"/>
      <c r="L23" s="41"/>
      <c r="M23" s="41"/>
      <c r="N23" s="41"/>
      <c r="O23" s="41"/>
      <c r="P23" s="47"/>
      <c r="Q23" s="48"/>
      <c r="R23" s="48"/>
      <c r="S23" s="48"/>
      <c r="T23" s="48"/>
      <c r="U23" s="48"/>
      <c r="V23" s="48"/>
      <c r="W23" s="111"/>
      <c r="X23" s="41"/>
      <c r="Y23" s="41"/>
      <c r="Z23" s="41"/>
      <c r="AA23" s="41"/>
      <c r="AB23" s="41"/>
      <c r="AC23" s="41"/>
      <c r="AD23" s="41"/>
      <c r="AE23" s="41"/>
      <c r="AF23" s="41"/>
    </row>
    <row r="24" spans="2:126" s="1" customFormat="1" ht="39.75" customHeight="1">
      <c r="B24" s="210"/>
      <c r="C24" s="304" t="s">
        <v>133</v>
      </c>
      <c r="D24" s="305"/>
      <c r="E24" s="305"/>
      <c r="F24" s="305"/>
      <c r="G24" s="306"/>
      <c r="H24" s="140"/>
      <c r="I24" s="141"/>
      <c r="J24" s="47"/>
      <c r="K24" s="41"/>
      <c r="L24" s="41"/>
      <c r="M24" s="41"/>
      <c r="N24" s="41"/>
      <c r="O24" s="41"/>
      <c r="P24" s="47"/>
      <c r="Q24" s="48"/>
      <c r="R24" s="48"/>
      <c r="S24" s="48"/>
      <c r="T24" s="48"/>
      <c r="U24" s="48"/>
      <c r="V24" s="48"/>
      <c r="W24" s="111"/>
      <c r="X24" s="41"/>
      <c r="Y24" s="41"/>
      <c r="Z24" s="41"/>
      <c r="AA24" s="41"/>
      <c r="AB24" s="41"/>
      <c r="AC24" s="41"/>
      <c r="AD24" s="41"/>
      <c r="AE24" s="41"/>
      <c r="AF24" s="41"/>
    </row>
    <row r="25" spans="2:126" s="1" customFormat="1" ht="17.25" customHeight="1">
      <c r="B25" s="210"/>
      <c r="C25" s="311" t="s">
        <v>136</v>
      </c>
      <c r="D25" s="311"/>
      <c r="F25" s="224"/>
      <c r="G25" s="158">
        <f>X14</f>
        <v>953200</v>
      </c>
      <c r="H25" s="142"/>
      <c r="I25" s="143"/>
      <c r="J25" s="47"/>
      <c r="K25" s="41"/>
      <c r="L25" s="41"/>
      <c r="M25" s="41"/>
      <c r="N25" s="41"/>
      <c r="O25" s="41"/>
      <c r="P25" s="47"/>
      <c r="Q25" s="48"/>
      <c r="R25" s="48"/>
      <c r="S25" s="48"/>
      <c r="T25" s="48"/>
      <c r="U25" s="48"/>
      <c r="V25" s="48"/>
      <c r="W25" s="111"/>
      <c r="X25" s="120">
        <f>G30</f>
        <v>82672</v>
      </c>
      <c r="Y25" s="41"/>
      <c r="Z25" s="41"/>
      <c r="AA25" s="41"/>
      <c r="AB25" s="41"/>
      <c r="AC25" s="41"/>
      <c r="AD25" s="41"/>
      <c r="AE25" s="41"/>
      <c r="AF25" s="41"/>
    </row>
    <row r="26" spans="2:126" s="1" customFormat="1" ht="17.25" customHeight="1">
      <c r="B26" s="210"/>
      <c r="C26" s="311" t="s">
        <v>135</v>
      </c>
      <c r="D26" s="311"/>
      <c r="F26" s="224"/>
      <c r="G26" s="148">
        <f>Y14</f>
        <v>244650</v>
      </c>
      <c r="H26" s="142"/>
      <c r="I26" s="143"/>
      <c r="J26" s="47"/>
      <c r="K26" s="41"/>
      <c r="L26" s="41"/>
      <c r="M26" s="41"/>
      <c r="N26" s="41"/>
      <c r="O26" s="41"/>
      <c r="P26" s="47"/>
      <c r="Q26" s="48"/>
      <c r="R26" s="48"/>
      <c r="S26" s="48"/>
      <c r="T26" s="48"/>
      <c r="U26" s="48"/>
      <c r="V26" s="48"/>
      <c r="W26" s="111"/>
      <c r="X26" s="120">
        <f>X19</f>
        <v>479140</v>
      </c>
      <c r="Y26" s="41"/>
      <c r="Z26" s="41"/>
      <c r="AA26" s="41"/>
      <c r="AB26" s="41"/>
      <c r="AC26" s="41"/>
      <c r="AD26" s="41"/>
      <c r="AE26" s="41"/>
      <c r="AF26" s="41"/>
    </row>
    <row r="27" spans="2:126" s="1" customFormat="1" ht="17.25" customHeight="1">
      <c r="B27" s="210"/>
      <c r="C27" s="311" t="s">
        <v>134</v>
      </c>
      <c r="D27" s="311"/>
      <c r="F27" s="224"/>
      <c r="G27" s="147">
        <v>0</v>
      </c>
      <c r="H27" s="142"/>
      <c r="I27" s="143"/>
      <c r="J27" s="47"/>
      <c r="K27" s="41"/>
      <c r="L27" s="41"/>
      <c r="M27" s="41"/>
      <c r="N27" s="41"/>
      <c r="O27" s="41"/>
      <c r="P27" s="47"/>
      <c r="Q27" s="48"/>
      <c r="R27" s="48"/>
      <c r="S27" s="48"/>
      <c r="T27" s="48"/>
      <c r="U27" s="48"/>
      <c r="V27" s="48"/>
      <c r="W27" s="111"/>
      <c r="X27" s="121">
        <f>IF((G27-X18)&lt;0,0,(G27-X18))</f>
        <v>0</v>
      </c>
      <c r="Y27" s="41"/>
      <c r="Z27" s="41"/>
      <c r="AA27" s="41"/>
      <c r="AB27" s="41"/>
      <c r="AC27" s="41"/>
      <c r="AD27" s="41"/>
      <c r="AE27" s="41"/>
      <c r="AF27" s="41"/>
    </row>
    <row r="28" spans="2:126" ht="17.25" customHeight="1">
      <c r="C28" s="313"/>
      <c r="D28" s="314"/>
      <c r="E28" s="1"/>
      <c r="F28" s="224"/>
      <c r="G28" s="227"/>
      <c r="H28" s="227"/>
      <c r="I28" s="143"/>
      <c r="J28" s="47"/>
      <c r="K28" s="110"/>
      <c r="X28" s="121">
        <f>MIN(X25:X27)</f>
        <v>0</v>
      </c>
    </row>
    <row r="29" spans="2:126" ht="17.25" customHeight="1">
      <c r="C29" s="312" t="s">
        <v>138</v>
      </c>
      <c r="D29" s="312"/>
      <c r="E29" s="1"/>
      <c r="F29" s="224"/>
      <c r="G29" s="146">
        <f>X19</f>
        <v>479140</v>
      </c>
      <c r="H29" s="142"/>
      <c r="I29" s="143"/>
      <c r="J29" s="47"/>
      <c r="K29" s="110"/>
    </row>
    <row r="30" spans="2:126" ht="17.25" customHeight="1">
      <c r="C30" s="312" t="s">
        <v>137</v>
      </c>
      <c r="D30" s="312"/>
      <c r="E30" s="1"/>
      <c r="F30" s="224"/>
      <c r="G30" s="146">
        <f>Z14+GA55A!I20</f>
        <v>82672</v>
      </c>
      <c r="H30" s="142"/>
      <c r="I30" s="143"/>
      <c r="J30" s="47"/>
      <c r="K30" s="110"/>
    </row>
    <row r="31" spans="2:126" ht="17.25" customHeight="1">
      <c r="C31" s="312" t="s">
        <v>139</v>
      </c>
      <c r="D31" s="312"/>
      <c r="E31" s="1"/>
      <c r="F31" s="224"/>
      <c r="G31" s="146">
        <f>X27</f>
        <v>0</v>
      </c>
      <c r="H31" s="142"/>
      <c r="I31" s="143"/>
      <c r="J31" s="47"/>
      <c r="K31" s="110"/>
    </row>
    <row r="32" spans="2:126" ht="17.25" customHeight="1">
      <c r="C32" s="313"/>
      <c r="D32" s="314"/>
      <c r="E32" s="1"/>
      <c r="F32" s="224"/>
      <c r="G32" s="227"/>
      <c r="H32" s="227"/>
      <c r="I32" s="143"/>
      <c r="J32" s="47"/>
      <c r="K32" s="110"/>
    </row>
    <row r="33" spans="3:11" ht="18.75" customHeight="1">
      <c r="C33" s="315" t="s">
        <v>131</v>
      </c>
      <c r="D33" s="315"/>
      <c r="E33" s="122"/>
      <c r="F33" s="225"/>
      <c r="G33" s="149">
        <f>X28</f>
        <v>0</v>
      </c>
      <c r="H33" s="142"/>
      <c r="I33" s="143"/>
      <c r="J33" s="47"/>
      <c r="K33" s="110"/>
    </row>
    <row r="34" spans="3:11" ht="18.75" customHeight="1">
      <c r="C34" s="315" t="s">
        <v>132</v>
      </c>
      <c r="D34" s="315"/>
      <c r="E34" s="123"/>
      <c r="F34" s="226"/>
      <c r="G34" s="149">
        <f>G30-G33</f>
        <v>82672</v>
      </c>
      <c r="H34" s="142"/>
      <c r="I34" s="143"/>
      <c r="J34" s="47"/>
      <c r="K34" s="110"/>
    </row>
    <row r="35" spans="3:11" ht="50.25" customHeight="1">
      <c r="C35" s="316" t="s">
        <v>290</v>
      </c>
      <c r="D35" s="317"/>
      <c r="E35" s="317"/>
      <c r="F35" s="317"/>
      <c r="G35" s="318"/>
      <c r="H35" s="144"/>
      <c r="I35" s="145"/>
      <c r="J35" s="47"/>
      <c r="K35" s="110"/>
    </row>
    <row r="36" spans="3:11" ht="42.75" customHeight="1">
      <c r="C36" s="47"/>
      <c r="D36" s="47"/>
      <c r="E36" s="47"/>
      <c r="F36" s="47"/>
      <c r="G36" s="47"/>
      <c r="H36" s="47"/>
      <c r="I36" s="47"/>
      <c r="J36" s="47"/>
      <c r="K36" s="110"/>
    </row>
    <row r="37" spans="3:11" hidden="1">
      <c r="K37" s="110"/>
    </row>
    <row r="38" spans="3:11" hidden="1">
      <c r="K38" s="110"/>
    </row>
    <row r="39" spans="3:11" hidden="1">
      <c r="K39" s="110"/>
    </row>
    <row r="40" spans="3:11" hidden="1">
      <c r="K40" s="110"/>
    </row>
    <row r="41" spans="3:11" hidden="1">
      <c r="K41" s="110"/>
    </row>
    <row r="42" spans="3:11" hidden="1">
      <c r="K42" s="110"/>
    </row>
    <row r="43" spans="3:11" hidden="1">
      <c r="K43" s="110"/>
    </row>
    <row r="44" spans="3:11" hidden="1">
      <c r="K44" s="110"/>
    </row>
    <row r="45" spans="3:11" hidden="1">
      <c r="K45" s="110"/>
    </row>
    <row r="46" spans="3:11" hidden="1">
      <c r="K46" s="110"/>
    </row>
    <row r="47" spans="3:11" hidden="1">
      <c r="K47" s="110"/>
    </row>
    <row r="48" spans="3:11" hidden="1">
      <c r="K48" s="110"/>
    </row>
    <row r="49" spans="11:11" hidden="1">
      <c r="K49" s="110"/>
    </row>
    <row r="50" spans="11:11" hidden="1">
      <c r="K50" s="110"/>
    </row>
    <row r="51" spans="11:11" hidden="1">
      <c r="K51" s="110"/>
    </row>
    <row r="52" spans="11:11" hidden="1">
      <c r="K52" s="110"/>
    </row>
    <row r="53" spans="11:11" hidden="1">
      <c r="K53" s="110"/>
    </row>
    <row r="54" spans="11:11" hidden="1">
      <c r="K54" s="110"/>
    </row>
    <row r="55" spans="11:11" hidden="1">
      <c r="K55" s="110"/>
    </row>
    <row r="56" spans="11:11" hidden="1">
      <c r="K56" s="110"/>
    </row>
    <row r="57" spans="11:11" hidden="1">
      <c r="K57" s="110"/>
    </row>
    <row r="58" spans="11:11" hidden="1">
      <c r="K58" s="110"/>
    </row>
    <row r="59" spans="11:11" hidden="1">
      <c r="K59" s="110"/>
    </row>
    <row r="60" spans="11:11" hidden="1">
      <c r="K60" s="110"/>
    </row>
    <row r="61" spans="11:11" hidden="1">
      <c r="K61" s="110"/>
    </row>
    <row r="62" spans="11:11" hidden="1">
      <c r="K62" s="110"/>
    </row>
    <row r="63" spans="11:11" hidden="1">
      <c r="K63" s="110"/>
    </row>
    <row r="64" spans="11:11" hidden="1">
      <c r="K64" s="110"/>
    </row>
    <row r="65" spans="11:11" hidden="1">
      <c r="K65" s="110"/>
    </row>
    <row r="66" spans="11:11" hidden="1">
      <c r="K66" s="110"/>
    </row>
    <row r="67" spans="11:11" hidden="1">
      <c r="K67" s="110"/>
    </row>
    <row r="68" spans="11:11" hidden="1">
      <c r="K68" s="110"/>
    </row>
    <row r="69" spans="11:11" hidden="1">
      <c r="K69" s="110"/>
    </row>
    <row r="70" spans="11:11" hidden="1">
      <c r="K70" s="110"/>
    </row>
    <row r="71" spans="11:11" hidden="1">
      <c r="K71" s="110"/>
    </row>
    <row r="72" spans="11:11" hidden="1">
      <c r="K72" s="110"/>
    </row>
    <row r="73" spans="11:11" hidden="1">
      <c r="K73" s="110"/>
    </row>
    <row r="74" spans="11:11" hidden="1">
      <c r="K74" s="110"/>
    </row>
    <row r="75" spans="11:11" hidden="1">
      <c r="K75" s="110"/>
    </row>
    <row r="76" spans="11:11" hidden="1">
      <c r="K76" s="110"/>
    </row>
    <row r="77" spans="11:11" hidden="1">
      <c r="K77" s="110"/>
    </row>
    <row r="78" spans="11:11" hidden="1">
      <c r="K78" s="110"/>
    </row>
    <row r="79" spans="11:11" hidden="1">
      <c r="K79" s="110"/>
    </row>
    <row r="80" spans="11:11" hidden="1">
      <c r="K80" s="110"/>
    </row>
    <row r="81" spans="11:11" hidden="1">
      <c r="K81" s="110"/>
    </row>
    <row r="82" spans="11:11" hidden="1">
      <c r="K82" s="110"/>
    </row>
    <row r="83" spans="11:11" hidden="1">
      <c r="K83" s="110"/>
    </row>
    <row r="84" spans="11:11" hidden="1">
      <c r="K84" s="110"/>
    </row>
    <row r="85" spans="11:11" hidden="1">
      <c r="K85" s="110"/>
    </row>
    <row r="86" spans="11:11" hidden="1">
      <c r="K86" s="110"/>
    </row>
    <row r="87" spans="11:11" hidden="1">
      <c r="K87" s="110"/>
    </row>
    <row r="88" spans="11:11" hidden="1">
      <c r="K88" s="110"/>
    </row>
    <row r="89" spans="11:11" hidden="1">
      <c r="K89" s="110"/>
    </row>
    <row r="90" spans="11:11" hidden="1">
      <c r="K90" s="110"/>
    </row>
    <row r="91" spans="11:11" hidden="1">
      <c r="K91" s="110"/>
    </row>
    <row r="92" spans="11:11" hidden="1">
      <c r="K92" s="110"/>
    </row>
    <row r="93" spans="11:11" hidden="1">
      <c r="K93" s="110"/>
    </row>
    <row r="94" spans="11:11" hidden="1">
      <c r="K94" s="110"/>
    </row>
    <row r="95" spans="11:11" hidden="1">
      <c r="K95" s="110"/>
    </row>
    <row r="96" spans="11:11" hidden="1">
      <c r="K96" s="110"/>
    </row>
    <row r="97" spans="11:11" hidden="1">
      <c r="K97" s="110"/>
    </row>
    <row r="98" spans="11:11" hidden="1">
      <c r="K98" s="110"/>
    </row>
    <row r="99" spans="11:11" hidden="1">
      <c r="K99" s="110"/>
    </row>
    <row r="100" spans="11:11" hidden="1">
      <c r="K100" s="110"/>
    </row>
    <row r="101" spans="11:11" hidden="1">
      <c r="K101" s="110"/>
    </row>
    <row r="102" spans="11:11" hidden="1">
      <c r="K102" s="110"/>
    </row>
    <row r="103" spans="11:11" hidden="1">
      <c r="K103" s="110"/>
    </row>
    <row r="104" spans="11:11" hidden="1">
      <c r="K104" s="110"/>
    </row>
    <row r="105" spans="11:11" hidden="1">
      <c r="K105" s="110"/>
    </row>
    <row r="106" spans="11:11" hidden="1">
      <c r="K106" s="110"/>
    </row>
    <row r="107" spans="11:11" hidden="1">
      <c r="K107" s="110"/>
    </row>
    <row r="108" spans="11:11" hidden="1">
      <c r="K108" s="110"/>
    </row>
    <row r="109" spans="11:11" hidden="1">
      <c r="K109" s="110"/>
    </row>
    <row r="110" spans="11:11" hidden="1">
      <c r="K110" s="110"/>
    </row>
    <row r="111" spans="11:11" hidden="1">
      <c r="K111" s="110"/>
    </row>
    <row r="112" spans="11:11" hidden="1">
      <c r="K112" s="110"/>
    </row>
    <row r="113" spans="11:11" hidden="1">
      <c r="K113" s="110"/>
    </row>
    <row r="114" spans="11:11" hidden="1">
      <c r="K114" s="110"/>
    </row>
    <row r="115" spans="11:11" hidden="1">
      <c r="K115" s="110"/>
    </row>
    <row r="116" spans="11:11" hidden="1">
      <c r="K116" s="110"/>
    </row>
    <row r="117" spans="11:11" hidden="1">
      <c r="K117" s="110"/>
    </row>
    <row r="118" spans="11:11" hidden="1">
      <c r="K118" s="110"/>
    </row>
    <row r="119" spans="11:11" hidden="1">
      <c r="K119" s="110"/>
    </row>
    <row r="120" spans="11:11" hidden="1">
      <c r="K120" s="110"/>
    </row>
    <row r="121" spans="11:11" hidden="1">
      <c r="K121" s="110"/>
    </row>
    <row r="122" spans="11:11" hidden="1">
      <c r="K122" s="110"/>
    </row>
    <row r="123" spans="11:11" hidden="1">
      <c r="K123" s="110"/>
    </row>
    <row r="124" spans="11:11" hidden="1">
      <c r="K124" s="110"/>
    </row>
    <row r="125" spans="11:11" hidden="1">
      <c r="K125" s="110"/>
    </row>
    <row r="126" spans="11:11" hidden="1">
      <c r="K126" s="110"/>
    </row>
    <row r="127" spans="11:11" hidden="1">
      <c r="K127" s="110"/>
    </row>
    <row r="128" spans="11:11" hidden="1">
      <c r="K128" s="110"/>
    </row>
    <row r="129" spans="11:11" hidden="1">
      <c r="K129" s="110"/>
    </row>
    <row r="130" spans="11:11" hidden="1">
      <c r="K130" s="110"/>
    </row>
    <row r="131" spans="11:11" hidden="1">
      <c r="K131" s="110"/>
    </row>
    <row r="132" spans="11:11" hidden="1">
      <c r="K132" s="110"/>
    </row>
    <row r="133" spans="11:11" hidden="1">
      <c r="K133" s="110"/>
    </row>
    <row r="134" spans="11:11" hidden="1">
      <c r="K134" s="110"/>
    </row>
    <row r="135" spans="11:11" hidden="1">
      <c r="K135" s="110"/>
    </row>
    <row r="136" spans="11:11" hidden="1">
      <c r="K136" s="110"/>
    </row>
    <row r="137" spans="11:11" hidden="1">
      <c r="K137" s="110"/>
    </row>
    <row r="138" spans="11:11" hidden="1">
      <c r="K138" s="110"/>
    </row>
    <row r="139" spans="11:11" hidden="1">
      <c r="K139" s="110"/>
    </row>
    <row r="140" spans="11:11" hidden="1">
      <c r="K140" s="110"/>
    </row>
    <row r="141" spans="11:11" hidden="1">
      <c r="K141" s="110"/>
    </row>
    <row r="142" spans="11:11" hidden="1">
      <c r="K142" s="110"/>
    </row>
    <row r="143" spans="11:11" hidden="1">
      <c r="K143" s="110"/>
    </row>
    <row r="144" spans="11:11" hidden="1">
      <c r="K144" s="110"/>
    </row>
    <row r="145" spans="11:11" hidden="1">
      <c r="K145" s="110"/>
    </row>
    <row r="146" spans="11:11" hidden="1">
      <c r="K146" s="110"/>
    </row>
    <row r="147" spans="11:11" hidden="1">
      <c r="K147" s="110"/>
    </row>
    <row r="148" spans="11:11" hidden="1">
      <c r="K148" s="110"/>
    </row>
    <row r="149" spans="11:11" hidden="1">
      <c r="K149" s="110"/>
    </row>
    <row r="150" spans="11:11" hidden="1">
      <c r="K150" s="110"/>
    </row>
    <row r="151" spans="11:11" hidden="1">
      <c r="K151" s="110"/>
    </row>
    <row r="152" spans="11:11" hidden="1">
      <c r="K152" s="110"/>
    </row>
    <row r="153" spans="11:11" hidden="1">
      <c r="K153" s="110"/>
    </row>
    <row r="154" spans="11:11" hidden="1">
      <c r="K154" s="110"/>
    </row>
    <row r="155" spans="11:11" hidden="1">
      <c r="K155" s="110"/>
    </row>
    <row r="156" spans="11:11" hidden="1">
      <c r="K156" s="110"/>
    </row>
    <row r="157" spans="11:11" hidden="1">
      <c r="K157" s="110"/>
    </row>
    <row r="158" spans="11:11" hidden="1">
      <c r="K158" s="110"/>
    </row>
    <row r="159" spans="11:11" hidden="1">
      <c r="K159" s="110"/>
    </row>
    <row r="160" spans="11:11" hidden="1">
      <c r="K160" s="110"/>
    </row>
    <row r="161" spans="11:11" hidden="1">
      <c r="K161" s="110"/>
    </row>
    <row r="162" spans="11:11" hidden="1">
      <c r="K162" s="110"/>
    </row>
    <row r="163" spans="11:11" hidden="1">
      <c r="K163" s="110"/>
    </row>
    <row r="164" spans="11:11" hidden="1">
      <c r="K164" s="110"/>
    </row>
    <row r="165" spans="11:11" hidden="1">
      <c r="K165" s="110"/>
    </row>
    <row r="166" spans="11:11" hidden="1">
      <c r="K166" s="110"/>
    </row>
    <row r="167" spans="11:11" hidden="1">
      <c r="K167" s="110"/>
    </row>
    <row r="168" spans="11:11" hidden="1">
      <c r="K168" s="110"/>
    </row>
    <row r="169" spans="11:11" hidden="1">
      <c r="K169" s="110"/>
    </row>
    <row r="170" spans="11:11" hidden="1">
      <c r="K170" s="110"/>
    </row>
    <row r="171" spans="11:11" hidden="1">
      <c r="K171" s="110"/>
    </row>
    <row r="172" spans="11:11" hidden="1">
      <c r="K172" s="110"/>
    </row>
    <row r="173" spans="11:11" hidden="1">
      <c r="K173" s="110"/>
    </row>
    <row r="174" spans="11:11" hidden="1">
      <c r="K174" s="110"/>
    </row>
    <row r="175" spans="11:11" hidden="1">
      <c r="K175" s="110"/>
    </row>
    <row r="176" spans="11:11" hidden="1">
      <c r="K176" s="110"/>
    </row>
    <row r="177" spans="11:11" hidden="1">
      <c r="K177" s="110"/>
    </row>
    <row r="178" spans="11:11" hidden="1">
      <c r="K178" s="110"/>
    </row>
    <row r="179" spans="11:11" hidden="1">
      <c r="K179" s="110"/>
    </row>
    <row r="180" spans="11:11" hidden="1">
      <c r="K180" s="110"/>
    </row>
    <row r="181" spans="11:11" hidden="1">
      <c r="K181" s="110"/>
    </row>
    <row r="182" spans="11:11" hidden="1">
      <c r="K182" s="110"/>
    </row>
    <row r="183" spans="11:11" hidden="1">
      <c r="K183" s="110"/>
    </row>
    <row r="184" spans="11:11" hidden="1">
      <c r="K184" s="110"/>
    </row>
    <row r="185" spans="11:11" hidden="1">
      <c r="K185" s="110"/>
    </row>
    <row r="186" spans="11:11" hidden="1">
      <c r="K186" s="110"/>
    </row>
    <row r="187" spans="11:11" hidden="1">
      <c r="K187" s="110"/>
    </row>
    <row r="188" spans="11:11" hidden="1">
      <c r="K188" s="110"/>
    </row>
    <row r="189" spans="11:11" hidden="1">
      <c r="K189" s="110"/>
    </row>
    <row r="190" spans="11:11" hidden="1">
      <c r="K190" s="110"/>
    </row>
    <row r="191" spans="11:11" hidden="1">
      <c r="K191" s="110"/>
    </row>
    <row r="192" spans="11:11" hidden="1">
      <c r="K192" s="110"/>
    </row>
    <row r="193" spans="11:11" hidden="1">
      <c r="K193" s="110"/>
    </row>
    <row r="194" spans="11:11" hidden="1">
      <c r="K194" s="110"/>
    </row>
    <row r="195" spans="11:11" hidden="1">
      <c r="K195" s="110"/>
    </row>
    <row r="196" spans="11:11" hidden="1">
      <c r="K196" s="110"/>
    </row>
    <row r="197" spans="11:11" hidden="1">
      <c r="K197" s="110"/>
    </row>
    <row r="198" spans="11:11" hidden="1">
      <c r="K198" s="110"/>
    </row>
    <row r="199" spans="11:11" hidden="1">
      <c r="K199" s="110"/>
    </row>
    <row r="200" spans="11:11" hidden="1">
      <c r="K200" s="110"/>
    </row>
    <row r="201" spans="11:11" hidden="1">
      <c r="K201" s="110"/>
    </row>
    <row r="202" spans="11:11" hidden="1">
      <c r="K202" s="110"/>
    </row>
    <row r="203" spans="11:11" hidden="1">
      <c r="K203" s="110"/>
    </row>
    <row r="204" spans="11:11" hidden="1">
      <c r="K204" s="110"/>
    </row>
    <row r="205" spans="11:11" hidden="1">
      <c r="K205" s="110"/>
    </row>
    <row r="206" spans="11:11" hidden="1">
      <c r="K206" s="110"/>
    </row>
    <row r="207" spans="11:11" hidden="1">
      <c r="K207" s="110"/>
    </row>
    <row r="208" spans="11:11" hidden="1">
      <c r="K208" s="110"/>
    </row>
    <row r="209" spans="11:11" hidden="1">
      <c r="K209" s="110"/>
    </row>
    <row r="210" spans="11:11" hidden="1">
      <c r="K210" s="110"/>
    </row>
    <row r="211" spans="11:11" hidden="1">
      <c r="K211" s="110"/>
    </row>
    <row r="212" spans="11:11" hidden="1">
      <c r="K212" s="110"/>
    </row>
    <row r="213" spans="11:11" hidden="1">
      <c r="K213" s="110"/>
    </row>
    <row r="214" spans="11:11" hidden="1">
      <c r="K214" s="110"/>
    </row>
    <row r="215" spans="11:11" hidden="1">
      <c r="K215" s="110"/>
    </row>
    <row r="216" spans="11:11" hidden="1">
      <c r="K216" s="110"/>
    </row>
    <row r="217" spans="11:11" hidden="1">
      <c r="K217" s="110"/>
    </row>
    <row r="218" spans="11:11" hidden="1">
      <c r="K218" s="110"/>
    </row>
    <row r="219" spans="11:11" hidden="1">
      <c r="K219" s="110"/>
    </row>
    <row r="220" spans="11:11" hidden="1">
      <c r="K220" s="110"/>
    </row>
    <row r="221" spans="11:11" hidden="1">
      <c r="K221" s="110"/>
    </row>
    <row r="222" spans="11:11" hidden="1">
      <c r="K222" s="110"/>
    </row>
    <row r="223" spans="11:11" hidden="1">
      <c r="K223" s="110"/>
    </row>
    <row r="224" spans="11:11" hidden="1">
      <c r="K224" s="110"/>
    </row>
    <row r="225" spans="11:11" hidden="1">
      <c r="K225" s="110"/>
    </row>
    <row r="226" spans="11:11" hidden="1">
      <c r="K226" s="110"/>
    </row>
    <row r="227" spans="11:11" hidden="1">
      <c r="K227" s="110"/>
    </row>
    <row r="228" spans="11:11" hidden="1">
      <c r="K228" s="110"/>
    </row>
    <row r="229" spans="11:11" hidden="1">
      <c r="K229" s="110"/>
    </row>
    <row r="230" spans="11:11" hidden="1">
      <c r="K230" s="110"/>
    </row>
    <row r="231" spans="11:11" hidden="1">
      <c r="K231" s="110"/>
    </row>
    <row r="232" spans="11:11" hidden="1">
      <c r="K232" s="110"/>
    </row>
    <row r="233" spans="11:11" hidden="1">
      <c r="K233" s="110"/>
    </row>
    <row r="234" spans="11:11" hidden="1">
      <c r="K234" s="110"/>
    </row>
    <row r="235" spans="11:11" hidden="1">
      <c r="K235" s="110"/>
    </row>
    <row r="236" spans="11:11" hidden="1">
      <c r="K236" s="110"/>
    </row>
    <row r="237" spans="11:11" hidden="1">
      <c r="K237" s="110"/>
    </row>
    <row r="238" spans="11:11" hidden="1">
      <c r="K238" s="110"/>
    </row>
    <row r="239" spans="11:11" hidden="1">
      <c r="K239" s="110"/>
    </row>
    <row r="240" spans="11:11" hidden="1">
      <c r="K240" s="110"/>
    </row>
    <row r="241" spans="11:11" hidden="1">
      <c r="K241" s="110"/>
    </row>
    <row r="242" spans="11:11" hidden="1">
      <c r="K242" s="110"/>
    </row>
    <row r="243" spans="11:11" hidden="1">
      <c r="K243" s="110"/>
    </row>
    <row r="244" spans="11:11" hidden="1">
      <c r="K244" s="110"/>
    </row>
    <row r="245" spans="11:11" hidden="1">
      <c r="K245" s="110"/>
    </row>
    <row r="246" spans="11:11" hidden="1">
      <c r="K246" s="110"/>
    </row>
    <row r="247" spans="11:11" hidden="1">
      <c r="K247" s="110"/>
    </row>
    <row r="248" spans="11:11" hidden="1">
      <c r="K248" s="110"/>
    </row>
    <row r="249" spans="11:11" hidden="1">
      <c r="K249" s="110"/>
    </row>
    <row r="250" spans="11:11" hidden="1">
      <c r="K250" s="110"/>
    </row>
    <row r="251" spans="11:11" hidden="1">
      <c r="K251" s="110"/>
    </row>
    <row r="252" spans="11:11" hidden="1">
      <c r="K252" s="110"/>
    </row>
    <row r="253" spans="11:11" hidden="1">
      <c r="K253" s="110"/>
    </row>
    <row r="254" spans="11:11" hidden="1">
      <c r="K254" s="110"/>
    </row>
    <row r="255" spans="11:11" hidden="1">
      <c r="K255" s="110"/>
    </row>
    <row r="256" spans="11:11" hidden="1">
      <c r="K256" s="110"/>
    </row>
    <row r="257" spans="11:11" hidden="1">
      <c r="K257" s="110"/>
    </row>
    <row r="258" spans="11:11" hidden="1">
      <c r="K258" s="110"/>
    </row>
    <row r="259" spans="11:11" hidden="1">
      <c r="K259" s="110"/>
    </row>
    <row r="260" spans="11:11" hidden="1">
      <c r="K260" s="110"/>
    </row>
    <row r="261" spans="11:11" hidden="1">
      <c r="K261" s="110"/>
    </row>
    <row r="262" spans="11:11" hidden="1">
      <c r="K262" s="110"/>
    </row>
    <row r="263" spans="11:11" hidden="1">
      <c r="K263" s="110"/>
    </row>
    <row r="264" spans="11:11" hidden="1">
      <c r="K264" s="110"/>
    </row>
    <row r="265" spans="11:11" hidden="1">
      <c r="K265" s="110"/>
    </row>
    <row r="266" spans="11:11" hidden="1">
      <c r="K266" s="110"/>
    </row>
    <row r="267" spans="11:11" hidden="1">
      <c r="K267" s="110"/>
    </row>
    <row r="268" spans="11:11" hidden="1">
      <c r="K268" s="110"/>
    </row>
    <row r="269" spans="11:11" hidden="1">
      <c r="K269" s="110"/>
    </row>
    <row r="270" spans="11:11" hidden="1">
      <c r="K270" s="110"/>
    </row>
    <row r="271" spans="11:11" hidden="1">
      <c r="K271" s="110"/>
    </row>
    <row r="272" spans="11:11" hidden="1">
      <c r="K272" s="110"/>
    </row>
    <row r="273" spans="11:11" hidden="1">
      <c r="K273" s="110"/>
    </row>
    <row r="274" spans="11:11" hidden="1">
      <c r="K274" s="110"/>
    </row>
    <row r="275" spans="11:11" hidden="1">
      <c r="K275" s="110"/>
    </row>
    <row r="276" spans="11:11" hidden="1">
      <c r="K276" s="110"/>
    </row>
    <row r="277" spans="11:11" hidden="1">
      <c r="K277" s="110"/>
    </row>
    <row r="278" spans="11:11" hidden="1">
      <c r="K278" s="110"/>
    </row>
    <row r="279" spans="11:11" hidden="1">
      <c r="K279" s="110"/>
    </row>
    <row r="280" spans="11:11" hidden="1">
      <c r="K280" s="110"/>
    </row>
    <row r="281" spans="11:11" hidden="1">
      <c r="K281" s="110"/>
    </row>
    <row r="282" spans="11:11" hidden="1">
      <c r="K282" s="110"/>
    </row>
    <row r="283" spans="11:11" hidden="1">
      <c r="K283" s="110"/>
    </row>
    <row r="284" spans="11:11" hidden="1">
      <c r="K284" s="110"/>
    </row>
    <row r="285" spans="11:11" hidden="1">
      <c r="K285" s="110"/>
    </row>
    <row r="286" spans="11:11" hidden="1">
      <c r="K286" s="110"/>
    </row>
    <row r="287" spans="11:11" hidden="1">
      <c r="K287" s="110"/>
    </row>
    <row r="288" spans="11:11" hidden="1">
      <c r="K288" s="110"/>
    </row>
    <row r="289" spans="11:11" hidden="1">
      <c r="K289" s="110"/>
    </row>
    <row r="290" spans="11:11" hidden="1">
      <c r="K290" s="110"/>
    </row>
    <row r="291" spans="11:11" hidden="1">
      <c r="K291" s="110"/>
    </row>
    <row r="292" spans="11:11" hidden="1">
      <c r="K292" s="110"/>
    </row>
    <row r="293" spans="11:11" hidden="1">
      <c r="K293" s="110"/>
    </row>
    <row r="294" spans="11:11" hidden="1">
      <c r="K294" s="110"/>
    </row>
    <row r="295" spans="11:11" hidden="1">
      <c r="K295" s="110"/>
    </row>
    <row r="296" spans="11:11" hidden="1">
      <c r="K296" s="110"/>
    </row>
    <row r="297" spans="11:11" hidden="1">
      <c r="K297" s="110"/>
    </row>
    <row r="298" spans="11:11" hidden="1">
      <c r="K298" s="110"/>
    </row>
    <row r="299" spans="11:11" hidden="1">
      <c r="K299" s="110"/>
    </row>
    <row r="300" spans="11:11" hidden="1">
      <c r="K300" s="110"/>
    </row>
    <row r="301" spans="11:11" hidden="1">
      <c r="K301" s="110"/>
    </row>
    <row r="302" spans="11:11" hidden="1">
      <c r="K302" s="110"/>
    </row>
    <row r="303" spans="11:11" hidden="1">
      <c r="K303" s="110"/>
    </row>
    <row r="304" spans="11:11" hidden="1">
      <c r="K304" s="110"/>
    </row>
    <row r="305" spans="11:11" hidden="1">
      <c r="K305" s="110"/>
    </row>
    <row r="306" spans="11:11" hidden="1">
      <c r="K306" s="110"/>
    </row>
    <row r="307" spans="11:11" hidden="1">
      <c r="K307" s="110"/>
    </row>
    <row r="308" spans="11:11" hidden="1">
      <c r="K308" s="110"/>
    </row>
    <row r="309" spans="11:11" hidden="1">
      <c r="K309" s="110"/>
    </row>
    <row r="310" spans="11:11" hidden="1">
      <c r="K310" s="110"/>
    </row>
    <row r="311" spans="11:11" hidden="1">
      <c r="K311" s="110"/>
    </row>
    <row r="312" spans="11:11" hidden="1">
      <c r="K312" s="110"/>
    </row>
    <row r="313" spans="11:11" hidden="1">
      <c r="K313" s="110"/>
    </row>
    <row r="314" spans="11:11" hidden="1">
      <c r="K314" s="110"/>
    </row>
    <row r="315" spans="11:11" hidden="1">
      <c r="K315" s="110"/>
    </row>
    <row r="316" spans="11:11" hidden="1">
      <c r="K316" s="110"/>
    </row>
    <row r="317" spans="11:11" hidden="1">
      <c r="K317" s="110"/>
    </row>
    <row r="318" spans="11:11" hidden="1">
      <c r="K318" s="110"/>
    </row>
    <row r="319" spans="11:11" hidden="1">
      <c r="K319" s="110"/>
    </row>
    <row r="320" spans="11:11" hidden="1">
      <c r="K320" s="110"/>
    </row>
    <row r="321" spans="11:11" hidden="1">
      <c r="K321" s="110"/>
    </row>
    <row r="322" spans="11:11" hidden="1">
      <c r="K322" s="110"/>
    </row>
    <row r="323" spans="11:11" hidden="1">
      <c r="K323" s="110"/>
    </row>
    <row r="324" spans="11:11" hidden="1">
      <c r="K324" s="110"/>
    </row>
    <row r="325" spans="11:11" hidden="1">
      <c r="K325" s="110"/>
    </row>
    <row r="326" spans="11:11" hidden="1">
      <c r="K326" s="110"/>
    </row>
    <row r="327" spans="11:11" hidden="1">
      <c r="K327" s="110"/>
    </row>
    <row r="328" spans="11:11" hidden="1">
      <c r="K328" s="110"/>
    </row>
    <row r="329" spans="11:11" hidden="1">
      <c r="K329" s="110"/>
    </row>
    <row r="330" spans="11:11" hidden="1">
      <c r="K330" s="110"/>
    </row>
    <row r="331" spans="11:11" hidden="1">
      <c r="K331" s="110"/>
    </row>
    <row r="332" spans="11:11" hidden="1">
      <c r="K332" s="110"/>
    </row>
    <row r="333" spans="11:11" hidden="1">
      <c r="K333" s="110"/>
    </row>
    <row r="334" spans="11:11" hidden="1">
      <c r="K334" s="110"/>
    </row>
    <row r="335" spans="11:11" hidden="1">
      <c r="K335" s="110"/>
    </row>
    <row r="336" spans="11:11" hidden="1">
      <c r="K336" s="110"/>
    </row>
    <row r="337" spans="11:11" hidden="1">
      <c r="K337" s="110"/>
    </row>
    <row r="338" spans="11:11" hidden="1">
      <c r="K338" s="110"/>
    </row>
    <row r="339" spans="11:11" hidden="1">
      <c r="K339" s="110"/>
    </row>
    <row r="340" spans="11:11" hidden="1">
      <c r="K340" s="110"/>
    </row>
    <row r="341" spans="11:11" hidden="1">
      <c r="K341" s="110"/>
    </row>
    <row r="342" spans="11:11" hidden="1">
      <c r="K342" s="110"/>
    </row>
    <row r="343" spans="11:11" hidden="1">
      <c r="K343" s="110"/>
    </row>
    <row r="344" spans="11:11" hidden="1">
      <c r="K344" s="110"/>
    </row>
    <row r="345" spans="11:11" hidden="1">
      <c r="K345" s="110"/>
    </row>
    <row r="346" spans="11:11" hidden="1">
      <c r="K346" s="110"/>
    </row>
    <row r="347" spans="11:11" hidden="1">
      <c r="K347" s="110"/>
    </row>
    <row r="348" spans="11:11" hidden="1">
      <c r="K348" s="110"/>
    </row>
    <row r="349" spans="11:11" hidden="1">
      <c r="K349" s="110"/>
    </row>
    <row r="350" spans="11:11" hidden="1">
      <c r="K350" s="110"/>
    </row>
    <row r="351" spans="11:11" hidden="1">
      <c r="K351" s="110"/>
    </row>
    <row r="352" spans="11:11" hidden="1">
      <c r="K352" s="110"/>
    </row>
    <row r="353" spans="11:11" hidden="1">
      <c r="K353" s="110"/>
    </row>
    <row r="354" spans="11:11" hidden="1">
      <c r="K354" s="110"/>
    </row>
    <row r="355" spans="11:11" hidden="1">
      <c r="K355" s="110"/>
    </row>
    <row r="356" spans="11:11" hidden="1">
      <c r="K356" s="110"/>
    </row>
    <row r="357" spans="11:11" hidden="1">
      <c r="K357" s="110"/>
    </row>
    <row r="358" spans="11:11" hidden="1">
      <c r="K358" s="110"/>
    </row>
    <row r="359" spans="11:11" hidden="1">
      <c r="K359" s="110"/>
    </row>
    <row r="360" spans="11:11" hidden="1">
      <c r="K360" s="110"/>
    </row>
    <row r="361" spans="11:11" hidden="1">
      <c r="K361" s="110"/>
    </row>
    <row r="362" spans="11:11" hidden="1">
      <c r="K362" s="110"/>
    </row>
    <row r="363" spans="11:11" hidden="1">
      <c r="K363" s="110"/>
    </row>
    <row r="364" spans="11:11" hidden="1">
      <c r="K364" s="110"/>
    </row>
    <row r="365" spans="11:11" hidden="1">
      <c r="K365" s="110"/>
    </row>
    <row r="366" spans="11:11" hidden="1">
      <c r="K366" s="110"/>
    </row>
    <row r="367" spans="11:11" hidden="1">
      <c r="K367" s="110"/>
    </row>
    <row r="368" spans="11:11" hidden="1">
      <c r="K368" s="110"/>
    </row>
    <row r="369" spans="11:11" hidden="1">
      <c r="K369" s="110"/>
    </row>
    <row r="370" spans="11:11" hidden="1">
      <c r="K370" s="110"/>
    </row>
    <row r="371" spans="11:11" hidden="1">
      <c r="K371" s="110"/>
    </row>
    <row r="372" spans="11:11" hidden="1">
      <c r="K372" s="110"/>
    </row>
    <row r="373" spans="11:11" hidden="1">
      <c r="K373" s="110"/>
    </row>
    <row r="374" spans="11:11" hidden="1">
      <c r="K374" s="110"/>
    </row>
    <row r="375" spans="11:11" hidden="1">
      <c r="K375" s="110"/>
    </row>
    <row r="376" spans="11:11" hidden="1">
      <c r="K376" s="110"/>
    </row>
    <row r="377" spans="11:11" hidden="1">
      <c r="K377" s="110"/>
    </row>
    <row r="378" spans="11:11" hidden="1">
      <c r="K378" s="110"/>
    </row>
    <row r="379" spans="11:11" hidden="1">
      <c r="K379" s="110"/>
    </row>
    <row r="380" spans="11:11" hidden="1">
      <c r="K380" s="110"/>
    </row>
    <row r="381" spans="11:11" hidden="1">
      <c r="K381" s="110"/>
    </row>
    <row r="382" spans="11:11" hidden="1">
      <c r="K382" s="110"/>
    </row>
    <row r="383" spans="11:11" hidden="1">
      <c r="K383" s="110"/>
    </row>
    <row r="384" spans="11:11" hidden="1">
      <c r="K384" s="110"/>
    </row>
    <row r="385" spans="11:11" hidden="1">
      <c r="K385" s="110"/>
    </row>
    <row r="386" spans="11:11" hidden="1">
      <c r="K386" s="110"/>
    </row>
    <row r="387" spans="11:11" hidden="1">
      <c r="K387" s="110"/>
    </row>
    <row r="388" spans="11:11" hidden="1">
      <c r="K388" s="110"/>
    </row>
    <row r="389" spans="11:11" hidden="1">
      <c r="K389" s="110"/>
    </row>
    <row r="390" spans="11:11" hidden="1">
      <c r="K390" s="110"/>
    </row>
    <row r="391" spans="11:11" hidden="1">
      <c r="K391" s="110"/>
    </row>
    <row r="392" spans="11:11" hidden="1">
      <c r="K392" s="110"/>
    </row>
    <row r="393" spans="11:11" hidden="1">
      <c r="K393" s="110"/>
    </row>
    <row r="394" spans="11:11" hidden="1">
      <c r="K394" s="110"/>
    </row>
    <row r="395" spans="11:11" hidden="1">
      <c r="K395" s="110"/>
    </row>
    <row r="396" spans="11:11" hidden="1">
      <c r="K396" s="110"/>
    </row>
    <row r="397" spans="11:11" hidden="1">
      <c r="K397" s="110"/>
    </row>
    <row r="398" spans="11:11" hidden="1">
      <c r="K398" s="110"/>
    </row>
    <row r="399" spans="11:11" hidden="1">
      <c r="K399" s="110"/>
    </row>
    <row r="400" spans="11:11" hidden="1">
      <c r="K400" s="110"/>
    </row>
    <row r="401" spans="11:11" hidden="1">
      <c r="K401" s="110"/>
    </row>
    <row r="402" spans="11:11" hidden="1">
      <c r="K402" s="110"/>
    </row>
    <row r="403" spans="11:11" hidden="1">
      <c r="K403" s="110"/>
    </row>
    <row r="404" spans="11:11" hidden="1">
      <c r="K404" s="110"/>
    </row>
    <row r="405" spans="11:11" hidden="1">
      <c r="K405" s="110"/>
    </row>
    <row r="406" spans="11:11" hidden="1">
      <c r="K406" s="110"/>
    </row>
    <row r="407" spans="11:11" hidden="1">
      <c r="K407" s="110"/>
    </row>
    <row r="408" spans="11:11" hidden="1">
      <c r="K408" s="110"/>
    </row>
    <row r="409" spans="11:11" hidden="1">
      <c r="K409" s="110"/>
    </row>
    <row r="410" spans="11:11" hidden="1">
      <c r="K410" s="110"/>
    </row>
    <row r="411" spans="11:11" hidden="1">
      <c r="K411" s="110"/>
    </row>
    <row r="412" spans="11:11" hidden="1">
      <c r="K412" s="110"/>
    </row>
    <row r="413" spans="11:11" hidden="1">
      <c r="K413" s="110"/>
    </row>
    <row r="414" spans="11:11" hidden="1">
      <c r="K414" s="110"/>
    </row>
    <row r="415" spans="11:11" hidden="1">
      <c r="K415" s="110"/>
    </row>
    <row r="416" spans="11:11" hidden="1">
      <c r="K416" s="110"/>
    </row>
    <row r="417" spans="11:11" hidden="1">
      <c r="K417" s="110"/>
    </row>
    <row r="418" spans="11:11" hidden="1">
      <c r="K418" s="110"/>
    </row>
    <row r="419" spans="11:11" hidden="1">
      <c r="K419" s="110"/>
    </row>
    <row r="420" spans="11:11" hidden="1">
      <c r="K420" s="110"/>
    </row>
    <row r="421" spans="11:11" hidden="1">
      <c r="K421" s="110"/>
    </row>
    <row r="422" spans="11:11" hidden="1">
      <c r="K422" s="110"/>
    </row>
    <row r="423" spans="11:11" hidden="1">
      <c r="K423" s="110"/>
    </row>
    <row r="424" spans="11:11" hidden="1">
      <c r="K424" s="110"/>
    </row>
    <row r="425" spans="11:11" hidden="1">
      <c r="K425" s="110"/>
    </row>
    <row r="426" spans="11:11" hidden="1">
      <c r="K426" s="110"/>
    </row>
    <row r="427" spans="11:11" hidden="1">
      <c r="K427" s="110"/>
    </row>
    <row r="428" spans="11:11" hidden="1">
      <c r="K428" s="110"/>
    </row>
    <row r="429" spans="11:11" hidden="1">
      <c r="K429" s="110"/>
    </row>
    <row r="430" spans="11:11" hidden="1">
      <c r="K430" s="110"/>
    </row>
    <row r="431" spans="11:11" hidden="1">
      <c r="K431" s="110"/>
    </row>
    <row r="432" spans="11:11" hidden="1">
      <c r="K432" s="110"/>
    </row>
    <row r="433" spans="11:11" hidden="1">
      <c r="K433" s="110"/>
    </row>
    <row r="434" spans="11:11" hidden="1">
      <c r="K434" s="110"/>
    </row>
    <row r="435" spans="11:11" hidden="1">
      <c r="K435" s="110"/>
    </row>
    <row r="436" spans="11:11" hidden="1">
      <c r="K436" s="110"/>
    </row>
    <row r="437" spans="11:11" hidden="1">
      <c r="K437" s="110"/>
    </row>
    <row r="438" spans="11:11" hidden="1">
      <c r="K438" s="110"/>
    </row>
    <row r="439" spans="11:11" hidden="1">
      <c r="K439" s="110"/>
    </row>
    <row r="440" spans="11:11" hidden="1">
      <c r="K440" s="110"/>
    </row>
    <row r="441" spans="11:11" hidden="1">
      <c r="K441" s="110"/>
    </row>
    <row r="442" spans="11:11" hidden="1">
      <c r="K442" s="110"/>
    </row>
    <row r="443" spans="11:11" hidden="1">
      <c r="K443" s="110"/>
    </row>
    <row r="444" spans="11:11" hidden="1">
      <c r="K444" s="110"/>
    </row>
    <row r="445" spans="11:11" hidden="1">
      <c r="K445" s="110"/>
    </row>
    <row r="446" spans="11:11" hidden="1">
      <c r="K446" s="110"/>
    </row>
    <row r="447" spans="11:11" hidden="1">
      <c r="K447" s="110"/>
    </row>
    <row r="448" spans="11:11" hidden="1">
      <c r="K448" s="110"/>
    </row>
    <row r="449" spans="11:11" hidden="1">
      <c r="K449" s="110"/>
    </row>
    <row r="450" spans="11:11" hidden="1">
      <c r="K450" s="110"/>
    </row>
    <row r="451" spans="11:11" hidden="1">
      <c r="K451" s="110"/>
    </row>
    <row r="452" spans="11:11" hidden="1">
      <c r="K452" s="110"/>
    </row>
    <row r="453" spans="11:11" hidden="1">
      <c r="K453" s="110"/>
    </row>
    <row r="454" spans="11:11" hidden="1">
      <c r="K454" s="110"/>
    </row>
    <row r="455" spans="11:11" hidden="1">
      <c r="K455" s="110"/>
    </row>
    <row r="456" spans="11:11" hidden="1">
      <c r="K456" s="110"/>
    </row>
    <row r="457" spans="11:11" hidden="1">
      <c r="K457" s="110"/>
    </row>
    <row r="458" spans="11:11" hidden="1">
      <c r="K458" s="110"/>
    </row>
    <row r="459" spans="11:11" hidden="1">
      <c r="K459" s="110"/>
    </row>
    <row r="460" spans="11:11" hidden="1">
      <c r="K460" s="110"/>
    </row>
    <row r="461" spans="11:11" hidden="1">
      <c r="K461" s="110"/>
    </row>
    <row r="462" spans="11:11" hidden="1">
      <c r="K462" s="110"/>
    </row>
    <row r="463" spans="11:11" hidden="1">
      <c r="K463" s="110"/>
    </row>
    <row r="464" spans="11:11" hidden="1">
      <c r="K464" s="110"/>
    </row>
    <row r="465" spans="11:11" hidden="1">
      <c r="K465" s="110"/>
    </row>
    <row r="466" spans="11:11" hidden="1">
      <c r="K466" s="110"/>
    </row>
    <row r="467" spans="11:11" hidden="1">
      <c r="K467" s="110"/>
    </row>
    <row r="468" spans="11:11" hidden="1">
      <c r="K468" s="110"/>
    </row>
    <row r="469" spans="11:11" hidden="1">
      <c r="K469" s="110"/>
    </row>
    <row r="470" spans="11:11" hidden="1">
      <c r="K470" s="110"/>
    </row>
    <row r="471" spans="11:11" hidden="1">
      <c r="K471" s="110"/>
    </row>
    <row r="472" spans="11:11" hidden="1">
      <c r="K472" s="110"/>
    </row>
    <row r="473" spans="11:11" hidden="1">
      <c r="K473" s="110"/>
    </row>
    <row r="474" spans="11:11" hidden="1">
      <c r="K474" s="110"/>
    </row>
    <row r="475" spans="11:11" hidden="1">
      <c r="K475" s="110"/>
    </row>
    <row r="476" spans="11:11" hidden="1">
      <c r="K476" s="110"/>
    </row>
    <row r="477" spans="11:11" hidden="1">
      <c r="K477" s="110"/>
    </row>
    <row r="478" spans="11:11" hidden="1">
      <c r="K478" s="110"/>
    </row>
    <row r="479" spans="11:11" hidden="1">
      <c r="K479" s="110"/>
    </row>
    <row r="480" spans="11:11" hidden="1">
      <c r="K480" s="110"/>
    </row>
    <row r="481" spans="11:11" hidden="1">
      <c r="K481" s="110"/>
    </row>
    <row r="482" spans="11:11" hidden="1">
      <c r="K482" s="110"/>
    </row>
    <row r="483" spans="11:11" hidden="1">
      <c r="K483" s="110"/>
    </row>
    <row r="484" spans="11:11" hidden="1">
      <c r="K484" s="110"/>
    </row>
    <row r="485" spans="11:11" hidden="1">
      <c r="K485" s="110"/>
    </row>
    <row r="486" spans="11:11" hidden="1">
      <c r="K486" s="110"/>
    </row>
    <row r="487" spans="11:11" hidden="1">
      <c r="K487" s="110"/>
    </row>
    <row r="488" spans="11:11" hidden="1">
      <c r="K488" s="110"/>
    </row>
    <row r="489" spans="11:11" hidden="1">
      <c r="K489" s="110"/>
    </row>
    <row r="490" spans="11:11" hidden="1">
      <c r="K490" s="110"/>
    </row>
    <row r="491" spans="11:11" hidden="1">
      <c r="K491" s="110"/>
    </row>
    <row r="492" spans="11:11" hidden="1">
      <c r="K492" s="110"/>
    </row>
    <row r="493" spans="11:11" hidden="1">
      <c r="K493" s="110"/>
    </row>
    <row r="494" spans="11:11" hidden="1">
      <c r="K494" s="110"/>
    </row>
    <row r="495" spans="11:11" hidden="1">
      <c r="K495" s="110"/>
    </row>
    <row r="496" spans="11:11" hidden="1">
      <c r="K496" s="110"/>
    </row>
    <row r="497" spans="11:11" hidden="1">
      <c r="K497" s="110"/>
    </row>
    <row r="498" spans="11:11" hidden="1">
      <c r="K498" s="110"/>
    </row>
    <row r="499" spans="11:11" hidden="1">
      <c r="K499" s="110"/>
    </row>
    <row r="500" spans="11:11" hidden="1">
      <c r="K500" s="110"/>
    </row>
    <row r="501" spans="11:11" hidden="1">
      <c r="K501" s="110"/>
    </row>
    <row r="502" spans="11:11" hidden="1">
      <c r="K502" s="110"/>
    </row>
    <row r="503" spans="11:11" hidden="1">
      <c r="K503" s="110"/>
    </row>
    <row r="504" spans="11:11" hidden="1">
      <c r="K504" s="110"/>
    </row>
    <row r="505" spans="11:11" hidden="1">
      <c r="K505" s="110"/>
    </row>
    <row r="506" spans="11:11" hidden="1">
      <c r="K506" s="110"/>
    </row>
    <row r="507" spans="11:11" hidden="1">
      <c r="K507" s="110"/>
    </row>
    <row r="508" spans="11:11" hidden="1">
      <c r="K508" s="110"/>
    </row>
    <row r="509" spans="11:11" hidden="1">
      <c r="K509" s="110"/>
    </row>
    <row r="510" spans="11:11" hidden="1">
      <c r="K510" s="110"/>
    </row>
    <row r="511" spans="11:11" hidden="1">
      <c r="K511" s="110"/>
    </row>
    <row r="512" spans="11:11" hidden="1">
      <c r="K512" s="110"/>
    </row>
    <row r="513" spans="11:11" hidden="1">
      <c r="K513" s="110"/>
    </row>
    <row r="514" spans="11:11" hidden="1">
      <c r="K514" s="110"/>
    </row>
    <row r="515" spans="11:11" hidden="1">
      <c r="K515" s="110"/>
    </row>
    <row r="516" spans="11:11" hidden="1">
      <c r="K516" s="110"/>
    </row>
    <row r="517" spans="11:11" hidden="1">
      <c r="K517" s="110"/>
    </row>
    <row r="518" spans="11:11" hidden="1">
      <c r="K518" s="110"/>
    </row>
    <row r="519" spans="11:11" hidden="1">
      <c r="K519" s="110"/>
    </row>
    <row r="520" spans="11:11" hidden="1">
      <c r="K520" s="110"/>
    </row>
    <row r="521" spans="11:11" hidden="1">
      <c r="K521" s="110"/>
    </row>
    <row r="522" spans="11:11" hidden="1">
      <c r="K522" s="110"/>
    </row>
    <row r="523" spans="11:11" hidden="1">
      <c r="K523" s="110"/>
    </row>
    <row r="524" spans="11:11" hidden="1">
      <c r="K524" s="110"/>
    </row>
    <row r="525" spans="11:11" hidden="1">
      <c r="K525" s="110"/>
    </row>
    <row r="526" spans="11:11" hidden="1">
      <c r="K526" s="110"/>
    </row>
    <row r="527" spans="11:11" hidden="1">
      <c r="K527" s="110"/>
    </row>
    <row r="528" spans="11:11" hidden="1">
      <c r="K528" s="110"/>
    </row>
    <row r="529" spans="11:11" hidden="1">
      <c r="K529" s="110"/>
    </row>
    <row r="530" spans="11:11" hidden="1">
      <c r="K530" s="110"/>
    </row>
    <row r="531" spans="11:11" hidden="1">
      <c r="K531" s="110"/>
    </row>
    <row r="532" spans="11:11" hidden="1">
      <c r="K532" s="110"/>
    </row>
    <row r="533" spans="11:11" hidden="1">
      <c r="K533" s="110"/>
    </row>
    <row r="534" spans="11:11" hidden="1">
      <c r="K534" s="110"/>
    </row>
    <row r="535" spans="11:11" hidden="1">
      <c r="K535" s="110"/>
    </row>
    <row r="536" spans="11:11" hidden="1">
      <c r="K536" s="110"/>
    </row>
    <row r="537" spans="11:11" hidden="1">
      <c r="K537" s="110"/>
    </row>
    <row r="538" spans="11:11" hidden="1">
      <c r="K538" s="110"/>
    </row>
    <row r="539" spans="11:11" hidden="1">
      <c r="K539" s="110"/>
    </row>
    <row r="540" spans="11:11" hidden="1">
      <c r="K540" s="110"/>
    </row>
    <row r="541" spans="11:11" hidden="1">
      <c r="K541" s="110"/>
    </row>
    <row r="542" spans="11:11" hidden="1">
      <c r="K542" s="110"/>
    </row>
    <row r="543" spans="11:11" hidden="1">
      <c r="K543" s="110"/>
    </row>
    <row r="544" spans="11:11" hidden="1">
      <c r="K544" s="110"/>
    </row>
    <row r="545" spans="11:11" hidden="1">
      <c r="K545" s="110"/>
    </row>
    <row r="546" spans="11:11" hidden="1">
      <c r="K546" s="110"/>
    </row>
    <row r="547" spans="11:11" hidden="1">
      <c r="K547" s="110"/>
    </row>
    <row r="548" spans="11:11" hidden="1">
      <c r="K548" s="110"/>
    </row>
    <row r="549" spans="11:11" hidden="1">
      <c r="K549" s="110"/>
    </row>
    <row r="550" spans="11:11" hidden="1">
      <c r="K550" s="110"/>
    </row>
    <row r="551" spans="11:11" hidden="1">
      <c r="K551" s="110"/>
    </row>
    <row r="552" spans="11:11" hidden="1">
      <c r="K552" s="110"/>
    </row>
    <row r="553" spans="11:11" hidden="1">
      <c r="K553" s="110"/>
    </row>
    <row r="554" spans="11:11" hidden="1">
      <c r="K554" s="110"/>
    </row>
    <row r="555" spans="11:11" hidden="1">
      <c r="K555" s="110"/>
    </row>
    <row r="556" spans="11:11" hidden="1">
      <c r="K556" s="110"/>
    </row>
    <row r="557" spans="11:11" hidden="1">
      <c r="K557" s="110"/>
    </row>
    <row r="558" spans="11:11" hidden="1">
      <c r="K558" s="110"/>
    </row>
    <row r="559" spans="11:11" hidden="1">
      <c r="K559" s="110"/>
    </row>
    <row r="560" spans="11:11" hidden="1">
      <c r="K560" s="110"/>
    </row>
    <row r="561" spans="11:11" hidden="1">
      <c r="K561" s="110"/>
    </row>
    <row r="562" spans="11:11" hidden="1">
      <c r="K562" s="110"/>
    </row>
    <row r="563" spans="11:11" hidden="1">
      <c r="K563" s="110"/>
    </row>
    <row r="564" spans="11:11" hidden="1">
      <c r="K564" s="110"/>
    </row>
    <row r="565" spans="11:11" hidden="1">
      <c r="K565" s="110"/>
    </row>
    <row r="566" spans="11:11" hidden="1">
      <c r="K566" s="110"/>
    </row>
    <row r="567" spans="11:11" hidden="1">
      <c r="K567" s="110"/>
    </row>
    <row r="568" spans="11:11" hidden="1">
      <c r="K568" s="110"/>
    </row>
    <row r="569" spans="11:11" hidden="1">
      <c r="K569" s="110"/>
    </row>
    <row r="570" spans="11:11" hidden="1">
      <c r="K570" s="110"/>
    </row>
    <row r="571" spans="11:11" hidden="1">
      <c r="K571" s="110"/>
    </row>
    <row r="572" spans="11:11" hidden="1">
      <c r="K572" s="110"/>
    </row>
    <row r="573" spans="11:11" hidden="1">
      <c r="K573" s="110"/>
    </row>
    <row r="574" spans="11:11" hidden="1">
      <c r="K574" s="110"/>
    </row>
    <row r="575" spans="11:11" hidden="1">
      <c r="K575" s="110"/>
    </row>
    <row r="576" spans="11:11" hidden="1">
      <c r="K576" s="110"/>
    </row>
    <row r="577" spans="11:11" hidden="1">
      <c r="K577" s="110"/>
    </row>
    <row r="578" spans="11:11" ht="23.25" hidden="1" customHeight="1">
      <c r="K578" s="110"/>
    </row>
  </sheetData>
  <sheetProtection algorithmName="SHA-512" hashValue="FsZvXQ/XUXMiwCuYELrVZDqkB6o1LucrElB6U/zW2ovxeYXCMy2EHOAzjjEBGsqKAeGbm3S4rvsZZ4NF2q/KYw==" saltValue="HSuA0SQ4orioFB/Dn4SsZA==" spinCount="100000" sheet="1" selectLockedCells="1"/>
  <customSheetViews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1"/>
      <headerFooter alignWithMargins="0"/>
    </customSheetView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C21:D21"/>
    <mergeCell ref="I19:I20"/>
    <mergeCell ref="I16:I18"/>
    <mergeCell ref="I12:I14"/>
    <mergeCell ref="B1:I1"/>
    <mergeCell ref="B2:I2"/>
    <mergeCell ref="C30:D30"/>
    <mergeCell ref="C27:D27"/>
    <mergeCell ref="C28:D28"/>
    <mergeCell ref="C34:D34"/>
    <mergeCell ref="C35:G35"/>
    <mergeCell ref="C29:D29"/>
    <mergeCell ref="C31:D31"/>
    <mergeCell ref="C32:D32"/>
    <mergeCell ref="C33:D33"/>
    <mergeCell ref="C24:G24"/>
    <mergeCell ref="C23:I23"/>
    <mergeCell ref="C22:D22"/>
    <mergeCell ref="C25:D25"/>
    <mergeCell ref="C26:D26"/>
  </mergeCells>
  <phoneticPr fontId="0" type="noConversion"/>
  <conditionalFormatting sqref="C21:H22 I22">
    <cfRule type="expression" dxfId="12" priority="11" stopIfTrue="1">
      <formula>$C$21="Income Tax Refundable (Old Tax Regime)"</formula>
    </cfRule>
    <cfRule type="expression" dxfId="11" priority="12" stopIfTrue="1">
      <formula>$C$21="Income Tax Payable (Old Tax Regime)"</formula>
    </cfRule>
  </conditionalFormatting>
  <conditionalFormatting sqref="DV11:DV22">
    <cfRule type="cellIs" dxfId="10" priority="14" stopIfTrue="1" operator="lessThan">
      <formula>1</formula>
    </cfRule>
  </conditionalFormatting>
  <conditionalFormatting sqref="I21">
    <cfRule type="expression" dxfId="9" priority="1" stopIfTrue="1">
      <formula>$C$21="Income Tax Refundable (Old Tax Regime)"</formula>
    </cfRule>
    <cfRule type="expression" dxfId="8" priority="2" stopIfTrue="1">
      <formula>$C$21="Income Tax Payable (Old Tax Regime)"</formula>
    </cfRule>
  </conditionalFormatting>
  <dataValidations count="12">
    <dataValidation type="whole" operator="lessThanOrEqual" allowBlank="1" showInputMessage="1" showErrorMessage="1" errorTitle="Sorry...!!! Not Allow" error="HRA Rebate Permissible up to Actual HRA Recieved" sqref="E3:F20" xr:uid="{00000000-0002-0000-0300-000000000000}">
      <formula1>J20</formula1>
    </dataValidation>
    <dataValidation type="whole" allowBlank="1" showInputMessage="1" showErrorMessage="1" errorTitle="ARTICLE 80DDB" sqref="H13" xr:uid="{00000000-0002-0000-0300-000001000000}">
      <formula1>0</formula1>
      <formula2>L13</formula2>
    </dataValidation>
    <dataValidation type="whole" allowBlank="1" showInputMessage="1" showErrorMessage="1" errorTitle="ARTICLE 80D" sqref="H11" xr:uid="{00000000-0002-0000-0300-000002000000}">
      <formula1>0</formula1>
      <formula2>L11</formula2>
    </dataValidation>
    <dataValidation type="list" allowBlank="1" showInputMessage="1" showErrorMessage="1" sqref="H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D3" xr:uid="{00000000-0002-0000-0300-000004000000}">
      <formula1>L21</formula1>
    </dataValidation>
    <dataValidation type="whole" operator="lessThanOrEqual" allowBlank="1" showInputMessage="1" showErrorMessage="1" error="Maximum 2 lakh allowed_x000a_" sqref="D9" xr:uid="{00000000-0002-0000-0300-000005000000}">
      <formula1>200000</formula1>
    </dataValidation>
    <dataValidation type="whole" operator="lessThanOrEqual" allowBlank="1" showInputMessage="1" showErrorMessage="1" error="max 5000 allowed" sqref="D4" xr:uid="{00000000-0002-0000-0300-000006000000}">
      <formula1>5000</formula1>
    </dataValidation>
    <dataValidation type="whole" operator="lessThanOrEqual" allowBlank="1" showInputMessage="1" showErrorMessage="1" sqref="H16" xr:uid="{00000000-0002-0000-0300-000007000000}">
      <formula1>125000</formula1>
    </dataValidation>
    <dataValidation type="whole" allowBlank="1" showInputMessage="1" showErrorMessage="1" errorTitle="ARTICLE 80DD" sqref="H12" xr:uid="{00000000-0002-0000-0300-000008000000}">
      <formula1>0</formula1>
      <formula2>125000</formula2>
    </dataValidation>
    <dataValidation type="whole" operator="greaterThanOrEqual" allowBlank="1" showInputMessage="1" showErrorMessage="1" sqref="D7" xr:uid="{00000000-0002-0000-0300-000009000000}">
      <formula1>0</formula1>
    </dataValidation>
    <dataValidation type="whole" allowBlank="1" showInputMessage="1" showErrorMessage="1" sqref="H20" xr:uid="{00000000-0002-0000-0300-00000A000000}">
      <formula1>0</formula1>
      <formula2>7200</formula2>
    </dataValidation>
    <dataValidation type="whole" allowBlank="1" showInputMessage="1" showErrorMessage="1" errorTitle="80CCD(1b)" error="CHECK THE TOTAL VALUE of 80 C " sqref="H10" xr:uid="{00000000-0002-0000-0300-00000B000000}">
      <formula1>0</formula1>
      <formula2>K10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R80"/>
  <sheetViews>
    <sheetView showGridLines="0" zoomScale="120" zoomScaleNormal="120" workbookViewId="0">
      <selection activeCell="C6" sqref="C6:O6"/>
    </sheetView>
  </sheetViews>
  <sheetFormatPr defaultColWidth="0" defaultRowHeight="12.75" zeroHeight="1"/>
  <cols>
    <col min="1" max="1" width="3" customWidth="1"/>
    <col min="2" max="2" width="2.85546875" style="85" customWidth="1"/>
    <col min="3" max="3" width="4.5703125" style="8" customWidth="1"/>
    <col min="4" max="5" width="9.140625" style="8" customWidth="1"/>
    <col min="6" max="6" width="3.85546875" style="8" customWidth="1"/>
    <col min="7" max="7" width="4.14062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>
      <c r="B1" s="436" t="str">
        <f>GA55A!C2</f>
        <v>Office of the Principal, Govt. Sr. Secondary School Todaraisingh (Tonk)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2" t="s">
        <v>73</v>
      </c>
      <c r="P1" s="432"/>
      <c r="Q1" s="433"/>
    </row>
    <row r="2" spans="2:17" s="11" customFormat="1" ht="27" thickBot="1">
      <c r="B2" s="430" t="s">
        <v>187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4"/>
      <c r="P2" s="434"/>
      <c r="Q2" s="435"/>
    </row>
    <row r="3" spans="2:17" s="11" customFormat="1" ht="15.6" customHeight="1">
      <c r="B3" s="137">
        <v>1</v>
      </c>
      <c r="C3" s="438" t="s">
        <v>188</v>
      </c>
      <c r="D3" s="439"/>
      <c r="E3" s="444" t="str">
        <f>GA55A!D5</f>
        <v>Chandra Prakash Kurmi</v>
      </c>
      <c r="F3" s="444"/>
      <c r="G3" s="444"/>
      <c r="H3" s="444"/>
      <c r="I3" s="444"/>
      <c r="J3" s="444"/>
      <c r="K3" s="235" t="s">
        <v>189</v>
      </c>
      <c r="L3" s="445" t="str">
        <f>GA55A!D6</f>
        <v>Lecturer (L-13)</v>
      </c>
      <c r="M3" s="445"/>
      <c r="N3" s="445"/>
      <c r="O3" s="129" t="s">
        <v>19</v>
      </c>
      <c r="P3" s="440" t="str">
        <f>IF(GA55A!M5="","",GA55A!M5)</f>
        <v>AAAAAXXXXA</v>
      </c>
      <c r="Q3" s="441"/>
    </row>
    <row r="4" spans="2:17" s="11" customFormat="1" ht="15.6" customHeight="1">
      <c r="B4" s="138">
        <v>2</v>
      </c>
      <c r="C4" s="442" t="s">
        <v>192</v>
      </c>
      <c r="D4" s="442"/>
      <c r="E4" s="359"/>
      <c r="F4" s="359"/>
      <c r="G4" s="359"/>
      <c r="H4" s="359"/>
      <c r="I4" s="359"/>
      <c r="J4" s="359"/>
      <c r="K4" s="442"/>
      <c r="L4" s="359"/>
      <c r="M4" s="359"/>
      <c r="N4" s="359"/>
      <c r="O4" s="442"/>
      <c r="P4" s="333">
        <f>IF(Master!B11="No",GA55A!N28,IF(AND(Master!B11="YES",Master!B14="YES"),GA55A!N28,(GA55A!N28+GA55A!O28)))</f>
        <v>1287740</v>
      </c>
      <c r="Q4" s="334"/>
    </row>
    <row r="5" spans="2:17" s="11" customFormat="1" ht="15.6" customHeight="1">
      <c r="B5" s="138">
        <v>3</v>
      </c>
      <c r="C5" s="359" t="s">
        <v>190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41">
        <f>'Other Deduction'!D3+'Other Deduction'!H20</f>
        <v>0</v>
      </c>
      <c r="Q5" s="342"/>
    </row>
    <row r="6" spans="2:17" s="11" customFormat="1" ht="15.6" customHeight="1">
      <c r="B6" s="138">
        <v>4</v>
      </c>
      <c r="C6" s="443" t="s">
        <v>317</v>
      </c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341">
        <f>P4-P5</f>
        <v>1287740</v>
      </c>
      <c r="Q6" s="342"/>
    </row>
    <row r="7" spans="2:17" s="11" customFormat="1" ht="15.6" customHeight="1">
      <c r="B7" s="369">
        <v>5</v>
      </c>
      <c r="C7" s="366" t="s">
        <v>193</v>
      </c>
      <c r="D7" s="367"/>
      <c r="E7" s="367"/>
      <c r="F7" s="367"/>
      <c r="G7" s="367"/>
      <c r="H7" s="367"/>
      <c r="I7" s="367"/>
      <c r="J7" s="367"/>
      <c r="K7" s="367"/>
      <c r="L7" s="367"/>
      <c r="M7" s="420">
        <f>IF('Other Deduction'!H3=0,0,(IF(AND(P6&gt;50000,'Other Deduction'!H3=50000),50000,P6)))</f>
        <v>50000</v>
      </c>
      <c r="N7" s="420"/>
      <c r="O7" s="420"/>
      <c r="P7" s="421"/>
      <c r="Q7" s="422"/>
    </row>
    <row r="8" spans="2:17" s="11" customFormat="1" ht="15.6" customHeight="1">
      <c r="B8" s="370"/>
      <c r="C8" s="366" t="s">
        <v>291</v>
      </c>
      <c r="D8" s="367"/>
      <c r="E8" s="367"/>
      <c r="F8" s="367"/>
      <c r="G8" s="367"/>
      <c r="H8" s="367"/>
      <c r="I8" s="367"/>
      <c r="J8" s="367"/>
      <c r="K8" s="367"/>
      <c r="L8" s="367"/>
      <c r="M8" s="420">
        <f>'Other Deduction'!D4</f>
        <v>0</v>
      </c>
      <c r="N8" s="420"/>
      <c r="O8" s="420"/>
      <c r="P8" s="423"/>
      <c r="Q8" s="424"/>
    </row>
    <row r="9" spans="2:17" s="11" customFormat="1" ht="15.6" customHeight="1">
      <c r="B9" s="370"/>
      <c r="C9" s="366" t="s">
        <v>292</v>
      </c>
      <c r="D9" s="367"/>
      <c r="E9" s="367"/>
      <c r="F9" s="367"/>
      <c r="G9" s="367"/>
      <c r="H9" s="367"/>
      <c r="I9" s="367"/>
      <c r="J9" s="367"/>
      <c r="K9" s="367"/>
      <c r="L9" s="367"/>
      <c r="M9" s="420">
        <f>'Other Deduction'!D5</f>
        <v>0</v>
      </c>
      <c r="N9" s="420"/>
      <c r="O9" s="420"/>
      <c r="P9" s="425"/>
      <c r="Q9" s="426"/>
    </row>
    <row r="10" spans="2:17" s="11" customFormat="1" ht="15.6" customHeight="1">
      <c r="B10" s="371"/>
      <c r="C10" s="427" t="s">
        <v>195</v>
      </c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9"/>
      <c r="P10" s="341">
        <f>SUM(M7:O9)</f>
        <v>50000</v>
      </c>
      <c r="Q10" s="342"/>
    </row>
    <row r="11" spans="2:17" s="11" customFormat="1" ht="15.6" customHeight="1">
      <c r="B11" s="138">
        <v>6</v>
      </c>
      <c r="C11" s="427" t="s">
        <v>194</v>
      </c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9"/>
      <c r="P11" s="333">
        <f>P6-P10</f>
        <v>1237740</v>
      </c>
      <c r="Q11" s="334"/>
    </row>
    <row r="12" spans="2:17" s="11" customFormat="1" ht="15.6" customHeight="1">
      <c r="B12" s="468">
        <v>7</v>
      </c>
      <c r="C12" s="469" t="s">
        <v>196</v>
      </c>
      <c r="D12" s="353"/>
      <c r="E12" s="353"/>
      <c r="F12" s="353"/>
      <c r="G12" s="353"/>
      <c r="H12" s="353"/>
      <c r="I12" s="353"/>
      <c r="J12" s="353"/>
      <c r="K12" s="470" t="s">
        <v>256</v>
      </c>
      <c r="L12" s="448"/>
      <c r="M12" s="420">
        <f>'Other Deduction'!D6</f>
        <v>0</v>
      </c>
      <c r="N12" s="420"/>
      <c r="O12" s="420"/>
      <c r="P12" s="446"/>
      <c r="Q12" s="447"/>
    </row>
    <row r="13" spans="2:17" s="11" customFormat="1" ht="15.6" customHeight="1">
      <c r="B13" s="468"/>
      <c r="C13" s="477" t="s">
        <v>201</v>
      </c>
      <c r="D13" s="478"/>
      <c r="E13" s="474" t="s">
        <v>197</v>
      </c>
      <c r="F13" s="475"/>
      <c r="G13" s="476"/>
      <c r="H13" s="448" t="s">
        <v>198</v>
      </c>
      <c r="I13" s="448"/>
      <c r="J13" s="448"/>
      <c r="K13" s="448" t="s">
        <v>199</v>
      </c>
      <c r="L13" s="448"/>
      <c r="M13" s="448" t="s">
        <v>200</v>
      </c>
      <c r="N13" s="448"/>
      <c r="O13" s="448"/>
      <c r="P13" s="446"/>
      <c r="Q13" s="447"/>
    </row>
    <row r="14" spans="2:17" s="11" customFormat="1" ht="15.6" customHeight="1">
      <c r="B14" s="468"/>
      <c r="C14" s="479"/>
      <c r="D14" s="480"/>
      <c r="E14" s="471">
        <f>ROUND(M12*0.3,0)</f>
        <v>0</v>
      </c>
      <c r="F14" s="472"/>
      <c r="G14" s="473"/>
      <c r="H14" s="420">
        <f>IF('Other Deduction'!D9&gt;200000,200000,'Other Deduction'!D9)</f>
        <v>0</v>
      </c>
      <c r="I14" s="420"/>
      <c r="J14" s="420"/>
      <c r="K14" s="420">
        <f>'Other Deduction'!D7</f>
        <v>0</v>
      </c>
      <c r="L14" s="420"/>
      <c r="M14" s="420">
        <f>E14+H14+K14</f>
        <v>0</v>
      </c>
      <c r="N14" s="420"/>
      <c r="O14" s="420"/>
      <c r="P14" s="446"/>
      <c r="Q14" s="447"/>
    </row>
    <row r="15" spans="2:17" s="11" customFormat="1" ht="15.6" customHeight="1">
      <c r="B15" s="138"/>
      <c r="C15" s="449" t="s">
        <v>314</v>
      </c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1"/>
      <c r="P15" s="341">
        <f>M12-M14</f>
        <v>0</v>
      </c>
      <c r="Q15" s="342"/>
    </row>
    <row r="16" spans="2:17" s="11" customFormat="1" ht="15.6" customHeight="1">
      <c r="B16" s="138">
        <v>8</v>
      </c>
      <c r="C16" s="449" t="s">
        <v>313</v>
      </c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1"/>
      <c r="P16" s="341">
        <f>P11+P15</f>
        <v>1237740</v>
      </c>
      <c r="Q16" s="342"/>
    </row>
    <row r="17" spans="2:17" s="11" customFormat="1" ht="15.6" customHeight="1">
      <c r="B17" s="138">
        <v>9</v>
      </c>
      <c r="C17" s="494" t="s">
        <v>202</v>
      </c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6"/>
      <c r="P17" s="341">
        <f>'Other Deduction'!M6</f>
        <v>0</v>
      </c>
      <c r="Q17" s="342"/>
    </row>
    <row r="18" spans="2:17" s="11" customFormat="1" ht="15.6" customHeight="1">
      <c r="B18" s="138">
        <v>10</v>
      </c>
      <c r="C18" s="452" t="s">
        <v>320</v>
      </c>
      <c r="D18" s="452"/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452"/>
      <c r="P18" s="333">
        <f>P16+P17</f>
        <v>1237740</v>
      </c>
      <c r="Q18" s="334"/>
    </row>
    <row r="19" spans="2:17" s="11" customFormat="1" ht="15.6" customHeight="1">
      <c r="B19" s="369">
        <v>11</v>
      </c>
      <c r="C19" s="354" t="s">
        <v>203</v>
      </c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72"/>
    </row>
    <row r="20" spans="2:17" s="11" customFormat="1" ht="15.6" customHeight="1">
      <c r="B20" s="370"/>
      <c r="C20" s="455" t="s">
        <v>204</v>
      </c>
      <c r="D20" s="455"/>
      <c r="E20" s="455"/>
      <c r="F20" s="455"/>
      <c r="G20" s="455"/>
      <c r="H20" s="455"/>
      <c r="I20" s="455"/>
      <c r="J20" s="455"/>
      <c r="K20" s="455"/>
      <c r="L20" s="455"/>
      <c r="M20" s="455"/>
      <c r="N20" s="455"/>
      <c r="O20" s="455"/>
      <c r="P20" s="455"/>
      <c r="Q20" s="456"/>
    </row>
    <row r="21" spans="2:17" s="11" customFormat="1" ht="15.6" customHeight="1">
      <c r="B21" s="370"/>
      <c r="C21" s="232" t="s">
        <v>21</v>
      </c>
      <c r="D21" s="359" t="s">
        <v>293</v>
      </c>
      <c r="E21" s="359"/>
      <c r="F21" s="359"/>
      <c r="G21" s="359"/>
      <c r="H21" s="465">
        <f>GA55A!Q28</f>
        <v>84000</v>
      </c>
      <c r="I21" s="466"/>
      <c r="J21" s="492" t="s">
        <v>24</v>
      </c>
      <c r="K21" s="486" t="s">
        <v>207</v>
      </c>
      <c r="L21" s="487"/>
      <c r="M21" s="488"/>
      <c r="N21" s="347">
        <f>IF(Master!B11="Yes",'Other Deduction'!H9,0)</f>
        <v>0</v>
      </c>
      <c r="O21" s="348"/>
      <c r="P21" s="458"/>
      <c r="Q21" s="459"/>
    </row>
    <row r="22" spans="2:17" s="11" customFormat="1" ht="15.6" customHeight="1">
      <c r="B22" s="370"/>
      <c r="C22" s="232" t="s">
        <v>23</v>
      </c>
      <c r="D22" s="453" t="s">
        <v>294</v>
      </c>
      <c r="E22" s="367"/>
      <c r="F22" s="367"/>
      <c r="G22" s="368"/>
      <c r="H22" s="465">
        <f>'Other Deduction'!D10+GA55A!T28</f>
        <v>0</v>
      </c>
      <c r="I22" s="466"/>
      <c r="J22" s="493"/>
      <c r="K22" s="489"/>
      <c r="L22" s="490"/>
      <c r="M22" s="491"/>
      <c r="N22" s="349"/>
      <c r="O22" s="350"/>
      <c r="P22" s="460"/>
      <c r="Q22" s="461"/>
    </row>
    <row r="23" spans="2:17" s="11" customFormat="1" ht="15.6" customHeight="1">
      <c r="B23" s="370"/>
      <c r="C23" s="232" t="s">
        <v>25</v>
      </c>
      <c r="D23" s="453" t="s">
        <v>315</v>
      </c>
      <c r="E23" s="367"/>
      <c r="F23" s="367"/>
      <c r="G23" s="368"/>
      <c r="H23" s="465">
        <f>'Other Deduction'!D14</f>
        <v>0</v>
      </c>
      <c r="I23" s="466"/>
      <c r="J23" s="232" t="s">
        <v>26</v>
      </c>
      <c r="K23" s="457" t="s">
        <v>208</v>
      </c>
      <c r="L23" s="457"/>
      <c r="M23" s="457"/>
      <c r="N23" s="345">
        <f>'Other Deduction'!H8</f>
        <v>0</v>
      </c>
      <c r="O23" s="346"/>
      <c r="P23" s="460"/>
      <c r="Q23" s="461"/>
    </row>
    <row r="24" spans="2:17" s="11" customFormat="1" ht="15.6" customHeight="1">
      <c r="B24" s="370"/>
      <c r="C24" s="232" t="s">
        <v>27</v>
      </c>
      <c r="D24" s="453" t="s">
        <v>295</v>
      </c>
      <c r="E24" s="367"/>
      <c r="F24" s="367"/>
      <c r="G24" s="368"/>
      <c r="H24" s="465">
        <f>'Other Deduction'!D16</f>
        <v>0</v>
      </c>
      <c r="I24" s="466"/>
      <c r="J24" s="232" t="s">
        <v>28</v>
      </c>
      <c r="K24" s="457" t="s">
        <v>209</v>
      </c>
      <c r="L24" s="457"/>
      <c r="M24" s="457"/>
      <c r="N24" s="345">
        <f>'Other Deduction'!D15</f>
        <v>0</v>
      </c>
      <c r="O24" s="346"/>
      <c r="P24" s="460"/>
      <c r="Q24" s="461"/>
    </row>
    <row r="25" spans="2:17" s="11" customFormat="1" ht="15.6" customHeight="1">
      <c r="B25" s="370"/>
      <c r="C25" s="232" t="s">
        <v>29</v>
      </c>
      <c r="D25" s="453" t="s">
        <v>297</v>
      </c>
      <c r="E25" s="367"/>
      <c r="F25" s="367"/>
      <c r="G25" s="368"/>
      <c r="H25" s="465">
        <f>'Other Deduction'!D17</f>
        <v>0</v>
      </c>
      <c r="I25" s="466"/>
      <c r="J25" s="232" t="s">
        <v>30</v>
      </c>
      <c r="K25" s="457" t="s">
        <v>210</v>
      </c>
      <c r="L25" s="457"/>
      <c r="M25" s="457"/>
      <c r="N25" s="345">
        <f>'Other Deduction'!D12</f>
        <v>0</v>
      </c>
      <c r="O25" s="346"/>
      <c r="P25" s="460"/>
      <c r="Q25" s="461"/>
    </row>
    <row r="26" spans="2:17" s="11" customFormat="1" ht="15.6" customHeight="1">
      <c r="B26" s="370"/>
      <c r="C26" s="232" t="s">
        <v>31</v>
      </c>
      <c r="D26" s="462" t="str">
        <f>IF(Master!B11="NO","Gen.Provident Fund (GPF)","Gen.Prov.Fund (GPF 2004)")</f>
        <v>Gen.Provident Fund (GPF)</v>
      </c>
      <c r="E26" s="463"/>
      <c r="F26" s="463"/>
      <c r="G26" s="464"/>
      <c r="H26" s="465">
        <f>IF(Master!B11="No",GA55A!O28,GA55A!P28)</f>
        <v>75618</v>
      </c>
      <c r="I26" s="466"/>
      <c r="J26" s="232" t="s">
        <v>32</v>
      </c>
      <c r="K26" s="457" t="s">
        <v>211</v>
      </c>
      <c r="L26" s="457"/>
      <c r="M26" s="457"/>
      <c r="N26" s="345">
        <f>'Other Deduction'!D19</f>
        <v>0</v>
      </c>
      <c r="O26" s="346"/>
      <c r="P26" s="460"/>
      <c r="Q26" s="461"/>
    </row>
    <row r="27" spans="2:17" s="11" customFormat="1" ht="15.6" customHeight="1">
      <c r="B27" s="370"/>
      <c r="C27" s="232" t="s">
        <v>33</v>
      </c>
      <c r="D27" s="453" t="s">
        <v>296</v>
      </c>
      <c r="E27" s="367"/>
      <c r="F27" s="367"/>
      <c r="G27" s="368"/>
      <c r="H27" s="345">
        <f>GA55A!U28</f>
        <v>220</v>
      </c>
      <c r="I27" s="346"/>
      <c r="J27" s="232" t="s">
        <v>34</v>
      </c>
      <c r="K27" s="457" t="s">
        <v>212</v>
      </c>
      <c r="L27" s="457"/>
      <c r="M27" s="457"/>
      <c r="N27" s="345">
        <f>'Other Deduction'!D20</f>
        <v>0</v>
      </c>
      <c r="O27" s="346"/>
      <c r="P27" s="460"/>
      <c r="Q27" s="461"/>
    </row>
    <row r="28" spans="2:17" s="11" customFormat="1" ht="15.6" customHeight="1">
      <c r="B28" s="370"/>
      <c r="C28" s="232" t="s">
        <v>35</v>
      </c>
      <c r="D28" s="453" t="s">
        <v>205</v>
      </c>
      <c r="E28" s="367"/>
      <c r="F28" s="367"/>
      <c r="G28" s="368"/>
      <c r="H28" s="345">
        <f>'Other Deduction'!D13</f>
        <v>0</v>
      </c>
      <c r="I28" s="346"/>
      <c r="J28" s="232" t="s">
        <v>36</v>
      </c>
      <c r="K28" s="454" t="s">
        <v>299</v>
      </c>
      <c r="L28" s="454"/>
      <c r="M28" s="454"/>
      <c r="N28" s="345">
        <f>'Other Deduction'!D11</f>
        <v>0</v>
      </c>
      <c r="O28" s="346"/>
      <c r="P28" s="460"/>
      <c r="Q28" s="461"/>
    </row>
    <row r="29" spans="2:17" s="11" customFormat="1" ht="15.6" customHeight="1">
      <c r="B29" s="370"/>
      <c r="C29" s="232" t="s">
        <v>37</v>
      </c>
      <c r="D29" s="359" t="s">
        <v>298</v>
      </c>
      <c r="E29" s="359"/>
      <c r="F29" s="359"/>
      <c r="G29" s="359"/>
      <c r="H29" s="345">
        <f>'Other Deduction'!D8</f>
        <v>0</v>
      </c>
      <c r="I29" s="346"/>
      <c r="J29" s="232" t="s">
        <v>66</v>
      </c>
      <c r="K29" s="454" t="s">
        <v>213</v>
      </c>
      <c r="L29" s="454"/>
      <c r="M29" s="454"/>
      <c r="N29" s="345">
        <f>'Other Deduction'!H7</f>
        <v>0</v>
      </c>
      <c r="O29" s="346"/>
      <c r="P29" s="460"/>
      <c r="Q29" s="461"/>
    </row>
    <row r="30" spans="2:17" s="11" customFormat="1" ht="15.6" customHeight="1">
      <c r="B30" s="370"/>
      <c r="C30" s="232" t="s">
        <v>22</v>
      </c>
      <c r="D30" s="359" t="s">
        <v>206</v>
      </c>
      <c r="E30" s="359"/>
      <c r="F30" s="359"/>
      <c r="G30" s="359"/>
      <c r="H30" s="345">
        <f>'Other Deduction'!D18</f>
        <v>0</v>
      </c>
      <c r="I30" s="346"/>
      <c r="J30" s="232" t="s">
        <v>68</v>
      </c>
      <c r="K30" s="482" t="s">
        <v>214</v>
      </c>
      <c r="L30" s="483"/>
      <c r="M30" s="484"/>
      <c r="N30" s="351">
        <f>SUM(H21:I30)+SUM(N21:O29)</f>
        <v>159838</v>
      </c>
      <c r="O30" s="352"/>
      <c r="P30" s="460"/>
      <c r="Q30" s="461"/>
    </row>
    <row r="31" spans="2:17" s="11" customFormat="1" ht="15.6" customHeight="1">
      <c r="B31" s="370"/>
      <c r="C31" s="485" t="s">
        <v>318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5"/>
      <c r="N31" s="485"/>
      <c r="O31" s="485"/>
      <c r="P31" s="333">
        <f>IF(N30&lt;150001,ROUND(N30,0),150000)</f>
        <v>150000</v>
      </c>
      <c r="Q31" s="334"/>
    </row>
    <row r="32" spans="2:17" s="11" customFormat="1" ht="15.6" customHeight="1">
      <c r="B32" s="370"/>
      <c r="C32" s="360" t="s">
        <v>216</v>
      </c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2"/>
      <c r="P32" s="343">
        <f>'Other Deduction'!L9</f>
        <v>0</v>
      </c>
      <c r="Q32" s="344"/>
    </row>
    <row r="33" spans="2:17" s="11" customFormat="1" ht="15.6" customHeight="1">
      <c r="B33" s="370"/>
      <c r="C33" s="360" t="s">
        <v>217</v>
      </c>
      <c r="D33" s="361"/>
      <c r="E33" s="361"/>
      <c r="F33" s="361"/>
      <c r="G33" s="361"/>
      <c r="H33" s="361"/>
      <c r="I33" s="361"/>
      <c r="J33" s="361"/>
      <c r="K33" s="361"/>
      <c r="L33" s="361"/>
      <c r="M33" s="361"/>
      <c r="N33" s="361"/>
      <c r="O33" s="362"/>
      <c r="P33" s="341">
        <f>IF('Other Deduction'!H10&gt;=50000,50000,'Other Deduction'!H10)</f>
        <v>0</v>
      </c>
      <c r="Q33" s="342"/>
    </row>
    <row r="34" spans="2:17" s="11" customFormat="1" ht="15.6" customHeight="1">
      <c r="B34" s="371"/>
      <c r="C34" s="363" t="s">
        <v>215</v>
      </c>
      <c r="D34" s="364"/>
      <c r="E34" s="364"/>
      <c r="F34" s="364"/>
      <c r="G34" s="364"/>
      <c r="H34" s="364"/>
      <c r="I34" s="364"/>
      <c r="J34" s="364"/>
      <c r="K34" s="364"/>
      <c r="L34" s="364"/>
      <c r="M34" s="364"/>
      <c r="N34" s="364"/>
      <c r="O34" s="365"/>
      <c r="P34" s="333">
        <f>SUM(P31:Q33)</f>
        <v>150000</v>
      </c>
      <c r="Q34" s="334"/>
    </row>
    <row r="35" spans="2:17" s="11" customFormat="1" ht="15.6" customHeight="1">
      <c r="B35" s="369">
        <v>12</v>
      </c>
      <c r="C35" s="354" t="s">
        <v>218</v>
      </c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354"/>
      <c r="O35" s="354"/>
      <c r="P35" s="354"/>
      <c r="Q35" s="372"/>
    </row>
    <row r="36" spans="2:17" s="11" customFormat="1" ht="15.6" customHeight="1">
      <c r="B36" s="370"/>
      <c r="C36" s="373" t="s">
        <v>219</v>
      </c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5"/>
      <c r="P36" s="341">
        <f>'Other Deduction'!H11</f>
        <v>0</v>
      </c>
      <c r="Q36" s="342"/>
    </row>
    <row r="37" spans="2:17" s="11" customFormat="1" ht="15.6" customHeight="1">
      <c r="B37" s="370"/>
      <c r="C37" s="376" t="s">
        <v>222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41">
        <f>'Other Deduction'!H12</f>
        <v>0</v>
      </c>
      <c r="Q37" s="342"/>
    </row>
    <row r="38" spans="2:17" s="11" customFormat="1" ht="15.6" customHeight="1">
      <c r="B38" s="370"/>
      <c r="C38" s="377" t="s">
        <v>220</v>
      </c>
      <c r="D38" s="378"/>
      <c r="E38" s="378"/>
      <c r="F38" s="378"/>
      <c r="G38" s="378"/>
      <c r="H38" s="378"/>
      <c r="I38" s="378"/>
      <c r="J38" s="378"/>
      <c r="K38" s="378"/>
      <c r="L38" s="378"/>
      <c r="M38" s="378"/>
      <c r="N38" s="378"/>
      <c r="O38" s="378"/>
      <c r="P38" s="341">
        <f>'Other Deduction'!H13</f>
        <v>0</v>
      </c>
      <c r="Q38" s="342"/>
    </row>
    <row r="39" spans="2:17" s="11" customFormat="1" ht="15.6" customHeight="1">
      <c r="B39" s="370"/>
      <c r="C39" s="376" t="s">
        <v>221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41">
        <f>'Other Deduction'!H14</f>
        <v>0</v>
      </c>
      <c r="Q39" s="342"/>
    </row>
    <row r="40" spans="2:17" s="11" customFormat="1" ht="15.6" customHeight="1">
      <c r="B40" s="370"/>
      <c r="C40" s="376" t="s">
        <v>229</v>
      </c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41">
        <f>'Other Deduction'!H15</f>
        <v>0</v>
      </c>
      <c r="Q40" s="342"/>
    </row>
    <row r="41" spans="2:17" s="11" customFormat="1" ht="15.6" customHeight="1">
      <c r="B41" s="370"/>
      <c r="C41" s="373" t="s">
        <v>223</v>
      </c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5"/>
      <c r="P41" s="341">
        <f>'Other Deduction'!H16</f>
        <v>0</v>
      </c>
      <c r="Q41" s="342"/>
    </row>
    <row r="42" spans="2:17" s="11" customFormat="1" ht="15.6" customHeight="1">
      <c r="B42" s="370"/>
      <c r="C42" s="366" t="s">
        <v>224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8"/>
      <c r="P42" s="341">
        <f>IF(Master!B15="Yes",0,IF('Other Deduction'!H4&gt;10000,10000,'Other Deduction'!H4))</f>
        <v>0</v>
      </c>
      <c r="Q42" s="342"/>
    </row>
    <row r="43" spans="2:17" s="11" customFormat="1" ht="15.6" customHeight="1">
      <c r="B43" s="370"/>
      <c r="C43" s="366" t="s">
        <v>225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67"/>
      <c r="O43" s="368"/>
      <c r="P43" s="341">
        <f>IF(Master!B15="No",0,IF('Other Deduction'!M5&lt;50001,'Other Deduction'!M5,50000))</f>
        <v>0</v>
      </c>
      <c r="Q43" s="342"/>
    </row>
    <row r="44" spans="2:17" s="11" customFormat="1" ht="15.6" customHeight="1">
      <c r="B44" s="370"/>
      <c r="C44" s="366" t="s">
        <v>226</v>
      </c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8"/>
      <c r="P44" s="341">
        <f>'Other Deduction'!H17</f>
        <v>0</v>
      </c>
      <c r="Q44" s="342"/>
    </row>
    <row r="45" spans="2:17" s="11" customFormat="1" ht="15.6" customHeight="1">
      <c r="B45" s="371"/>
      <c r="C45" s="379" t="s">
        <v>316</v>
      </c>
      <c r="D45" s="379"/>
      <c r="E45" s="379"/>
      <c r="F45" s="379"/>
      <c r="G45" s="379"/>
      <c r="H45" s="379"/>
      <c r="I45" s="379"/>
      <c r="J45" s="379"/>
      <c r="K45" s="379"/>
      <c r="L45" s="379"/>
      <c r="M45" s="379"/>
      <c r="N45" s="379"/>
      <c r="O45" s="379"/>
      <c r="P45" s="380">
        <f>SUM(P36:Q44)</f>
        <v>0</v>
      </c>
      <c r="Q45" s="381"/>
    </row>
    <row r="46" spans="2:17" s="11" customFormat="1" ht="15.6" customHeight="1">
      <c r="B46" s="138">
        <v>13</v>
      </c>
      <c r="C46" s="353" t="s">
        <v>227</v>
      </c>
      <c r="D46" s="353"/>
      <c r="E46" s="353"/>
      <c r="F46" s="353"/>
      <c r="G46" s="353"/>
      <c r="H46" s="353"/>
      <c r="I46" s="353"/>
      <c r="J46" s="353"/>
      <c r="K46" s="353"/>
      <c r="L46" s="353"/>
      <c r="M46" s="353"/>
      <c r="N46" s="353"/>
      <c r="O46" s="353"/>
      <c r="P46" s="341">
        <f>P34+P45</f>
        <v>150000</v>
      </c>
      <c r="Q46" s="342"/>
    </row>
    <row r="47" spans="2:17" s="11" customFormat="1" ht="15.6" customHeight="1">
      <c r="B47" s="138">
        <v>14</v>
      </c>
      <c r="C47" s="353" t="s">
        <v>228</v>
      </c>
      <c r="D47" s="353"/>
      <c r="E47" s="353"/>
      <c r="F47" s="353"/>
      <c r="G47" s="353"/>
      <c r="H47" s="353"/>
      <c r="I47" s="353"/>
      <c r="J47" s="353"/>
      <c r="K47" s="353"/>
      <c r="L47" s="353"/>
      <c r="M47" s="353"/>
      <c r="N47" s="353"/>
      <c r="O47" s="353"/>
      <c r="P47" s="341">
        <f>(P18-P46)</f>
        <v>1087740</v>
      </c>
      <c r="Q47" s="342"/>
    </row>
    <row r="48" spans="2:17" s="11" customFormat="1" ht="15.6" customHeight="1">
      <c r="B48" s="138">
        <v>15</v>
      </c>
      <c r="C48" s="354" t="s">
        <v>230</v>
      </c>
      <c r="D48" s="354"/>
      <c r="E48" s="354"/>
      <c r="F48" s="354"/>
      <c r="G48" s="354"/>
      <c r="H48" s="354"/>
      <c r="I48" s="354"/>
      <c r="J48" s="354"/>
      <c r="K48" s="354"/>
      <c r="L48" s="354"/>
      <c r="M48" s="354"/>
      <c r="N48" s="354"/>
      <c r="O48" s="354"/>
      <c r="P48" s="333">
        <f>ROUND(P47,-1)</f>
        <v>1087740</v>
      </c>
      <c r="Q48" s="334"/>
    </row>
    <row r="49" spans="2:17" s="11" customFormat="1" ht="15.6" customHeight="1">
      <c r="B49" s="369">
        <v>16</v>
      </c>
      <c r="C49" s="353" t="s">
        <v>231</v>
      </c>
      <c r="D49" s="353"/>
      <c r="E49" s="353"/>
      <c r="F49" s="353"/>
      <c r="G49" s="353"/>
      <c r="H49" s="353"/>
      <c r="I49" s="353"/>
      <c r="J49" s="353"/>
      <c r="K49" s="353"/>
      <c r="L49" s="353"/>
      <c r="M49" s="353"/>
      <c r="N49" s="353"/>
      <c r="O49" s="353"/>
      <c r="P49" s="353"/>
      <c r="Q49" s="389"/>
    </row>
    <row r="50" spans="2:17" s="11" customFormat="1" ht="15.6" customHeight="1">
      <c r="B50" s="370"/>
      <c r="C50" s="390" t="s">
        <v>232</v>
      </c>
      <c r="D50" s="390"/>
      <c r="E50" s="390"/>
      <c r="F50" s="390"/>
      <c r="G50" s="390"/>
      <c r="H50" s="391" t="s">
        <v>233</v>
      </c>
      <c r="I50" s="391"/>
      <c r="J50" s="391"/>
      <c r="K50" s="391"/>
      <c r="L50" s="392" t="s">
        <v>234</v>
      </c>
      <c r="M50" s="393"/>
      <c r="N50" s="393"/>
      <c r="O50" s="394"/>
      <c r="P50" s="339"/>
      <c r="Q50" s="340"/>
    </row>
    <row r="51" spans="2:17" s="11" customFormat="1" ht="15.6" customHeight="1">
      <c r="B51" s="370"/>
      <c r="C51" s="356" t="s">
        <v>235</v>
      </c>
      <c r="D51" s="357"/>
      <c r="E51" s="358"/>
      <c r="F51" s="355" t="s">
        <v>38</v>
      </c>
      <c r="G51" s="355"/>
      <c r="H51" s="356" t="s">
        <v>237</v>
      </c>
      <c r="I51" s="357"/>
      <c r="J51" s="358"/>
      <c r="K51" s="127" t="s">
        <v>38</v>
      </c>
      <c r="L51" s="356"/>
      <c r="M51" s="357"/>
      <c r="N51" s="358"/>
      <c r="O51" s="127"/>
      <c r="P51" s="341">
        <v>0</v>
      </c>
      <c r="Q51" s="342"/>
    </row>
    <row r="52" spans="2:17" s="11" customFormat="1" ht="15.6" customHeight="1">
      <c r="B52" s="370"/>
      <c r="C52" s="356" t="s">
        <v>39</v>
      </c>
      <c r="D52" s="357"/>
      <c r="E52" s="358"/>
      <c r="F52" s="398">
        <v>0.05</v>
      </c>
      <c r="G52" s="355"/>
      <c r="H52" s="355" t="s">
        <v>52</v>
      </c>
      <c r="I52" s="355"/>
      <c r="J52" s="355"/>
      <c r="K52" s="128">
        <v>0.05</v>
      </c>
      <c r="L52" s="356" t="s">
        <v>239</v>
      </c>
      <c r="M52" s="357"/>
      <c r="N52" s="358"/>
      <c r="O52" s="127" t="s">
        <v>38</v>
      </c>
      <c r="P52" s="341">
        <f>ROUND(IF(Master!$B$15="NO",IF(P48&lt;250001,0,IF(P48&gt;500000,12500,((P48-250000)*0.05))),IF(P48&lt;300001,0,IF(P48&gt;500000,10000,((P48-300000)*0.05)))),0)</f>
        <v>12500</v>
      </c>
      <c r="Q52" s="342"/>
    </row>
    <row r="53" spans="2:17" s="11" customFormat="1" ht="15.6" customHeight="1">
      <c r="B53" s="370"/>
      <c r="C53" s="356" t="s">
        <v>40</v>
      </c>
      <c r="D53" s="357"/>
      <c r="E53" s="358"/>
      <c r="F53" s="398">
        <v>0.2</v>
      </c>
      <c r="G53" s="355"/>
      <c r="H53" s="355" t="s">
        <v>40</v>
      </c>
      <c r="I53" s="355"/>
      <c r="J53" s="355"/>
      <c r="K53" s="128">
        <v>0.2</v>
      </c>
      <c r="L53" s="356" t="s">
        <v>40</v>
      </c>
      <c r="M53" s="357"/>
      <c r="N53" s="358"/>
      <c r="O53" s="128">
        <v>0.2</v>
      </c>
      <c r="P53" s="341">
        <f>IF(P48&lt;500001,0,IF(P48&gt;1000000,100000,((P48-500000)*0.2)))</f>
        <v>100000</v>
      </c>
      <c r="Q53" s="342"/>
    </row>
    <row r="54" spans="2:17" s="11" customFormat="1" ht="15.6" customHeight="1">
      <c r="B54" s="370"/>
      <c r="C54" s="395" t="s">
        <v>236</v>
      </c>
      <c r="D54" s="396"/>
      <c r="E54" s="397"/>
      <c r="F54" s="398">
        <v>0.3</v>
      </c>
      <c r="G54" s="355"/>
      <c r="H54" s="355" t="s">
        <v>238</v>
      </c>
      <c r="I54" s="355"/>
      <c r="J54" s="355"/>
      <c r="K54" s="128">
        <v>0.3</v>
      </c>
      <c r="L54" s="356" t="s">
        <v>240</v>
      </c>
      <c r="M54" s="357"/>
      <c r="N54" s="358"/>
      <c r="O54" s="128">
        <v>0.3</v>
      </c>
      <c r="P54" s="341">
        <f>IF(P48&lt;1000001,0,((P48-1000000)*0.3))</f>
        <v>26322</v>
      </c>
      <c r="Q54" s="342"/>
    </row>
    <row r="55" spans="2:17" s="11" customFormat="1" ht="15.6" customHeight="1">
      <c r="B55" s="370"/>
      <c r="C55" s="383" t="s">
        <v>241</v>
      </c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5"/>
      <c r="P55" s="329">
        <f>SUM(P51:Q54)</f>
        <v>138822</v>
      </c>
      <c r="Q55" s="330"/>
    </row>
    <row r="56" spans="2:17" s="11" customFormat="1" ht="15.6" customHeight="1">
      <c r="B56" s="370"/>
      <c r="C56" s="399" t="s">
        <v>242</v>
      </c>
      <c r="D56" s="400"/>
      <c r="E56" s="400"/>
      <c r="F56" s="400"/>
      <c r="G56" s="400"/>
      <c r="H56" s="400"/>
      <c r="I56" s="400"/>
      <c r="J56" s="400"/>
      <c r="K56" s="400"/>
      <c r="L56" s="400"/>
      <c r="M56" s="400"/>
      <c r="N56" s="400"/>
      <c r="O56" s="401"/>
      <c r="P56" s="331">
        <f>IF(P48&gt;500000,0,IF(P55&lt;12501,P55,12500))</f>
        <v>0</v>
      </c>
      <c r="Q56" s="332"/>
    </row>
    <row r="57" spans="2:17" s="11" customFormat="1" ht="15.6" customHeight="1">
      <c r="B57" s="370"/>
      <c r="C57" s="383" t="s">
        <v>243</v>
      </c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5"/>
      <c r="P57" s="329">
        <f>P55-P56</f>
        <v>138822</v>
      </c>
      <c r="Q57" s="330"/>
    </row>
    <row r="58" spans="2:17" s="11" customFormat="1" ht="15.6" customHeight="1">
      <c r="B58" s="370"/>
      <c r="C58" s="386" t="s">
        <v>244</v>
      </c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31">
        <f>ROUND(P57*0.04,0)</f>
        <v>5553</v>
      </c>
      <c r="Q58" s="332"/>
    </row>
    <row r="59" spans="2:17" s="11" customFormat="1" ht="15.6" customHeight="1">
      <c r="B59" s="371"/>
      <c r="C59" s="388" t="s">
        <v>245</v>
      </c>
      <c r="D59" s="388"/>
      <c r="E59" s="388"/>
      <c r="F59" s="388"/>
      <c r="G59" s="388"/>
      <c r="H59" s="388"/>
      <c r="I59" s="388"/>
      <c r="J59" s="388"/>
      <c r="K59" s="388"/>
      <c r="L59" s="388"/>
      <c r="M59" s="388"/>
      <c r="N59" s="388"/>
      <c r="O59" s="388"/>
      <c r="P59" s="333">
        <f>SUM(P57:Q58)</f>
        <v>144375</v>
      </c>
      <c r="Q59" s="334"/>
    </row>
    <row r="60" spans="2:17" s="11" customFormat="1" ht="15.6" customHeight="1">
      <c r="B60" s="138">
        <v>17</v>
      </c>
      <c r="C60" s="408" t="s">
        <v>246</v>
      </c>
      <c r="D60" s="409"/>
      <c r="E60" s="409"/>
      <c r="F60" s="409"/>
      <c r="G60" s="409"/>
      <c r="H60" s="409"/>
      <c r="I60" s="409"/>
      <c r="J60" s="409"/>
      <c r="K60" s="409"/>
      <c r="L60" s="409"/>
      <c r="M60" s="409"/>
      <c r="N60" s="409"/>
      <c r="O60" s="410"/>
      <c r="P60" s="331">
        <f>'Other Deduction'!H18</f>
        <v>0</v>
      </c>
      <c r="Q60" s="332"/>
    </row>
    <row r="61" spans="2:17" s="11" customFormat="1" ht="15.6" customHeight="1">
      <c r="B61" s="138">
        <v>18</v>
      </c>
      <c r="C61" s="411" t="s">
        <v>247</v>
      </c>
      <c r="D61" s="412"/>
      <c r="E61" s="412"/>
      <c r="F61" s="412"/>
      <c r="G61" s="412"/>
      <c r="H61" s="412"/>
      <c r="I61" s="412"/>
      <c r="J61" s="412"/>
      <c r="K61" s="412"/>
      <c r="L61" s="412"/>
      <c r="M61" s="412"/>
      <c r="N61" s="412"/>
      <c r="O61" s="412"/>
      <c r="P61" s="329">
        <f>P59-P60</f>
        <v>144375</v>
      </c>
      <c r="Q61" s="330"/>
    </row>
    <row r="62" spans="2:17" ht="30" customHeight="1">
      <c r="B62" s="369">
        <v>19</v>
      </c>
      <c r="C62" s="416" t="s">
        <v>248</v>
      </c>
      <c r="D62" s="416"/>
      <c r="E62" s="417"/>
      <c r="F62" s="413" t="s">
        <v>249</v>
      </c>
      <c r="G62" s="413"/>
      <c r="H62" s="413"/>
      <c r="I62" s="413"/>
      <c r="J62" s="414" t="s">
        <v>250</v>
      </c>
      <c r="K62" s="415"/>
      <c r="L62" s="124" t="s">
        <v>251</v>
      </c>
      <c r="M62" s="414" t="s">
        <v>252</v>
      </c>
      <c r="N62" s="415"/>
      <c r="O62" s="139" t="s">
        <v>253</v>
      </c>
      <c r="P62" s="402" t="s">
        <v>254</v>
      </c>
      <c r="Q62" s="403"/>
    </row>
    <row r="63" spans="2:17" ht="15.6" customHeight="1">
      <c r="B63" s="371"/>
      <c r="C63" s="418"/>
      <c r="D63" s="418"/>
      <c r="E63" s="419"/>
      <c r="F63" s="404">
        <f>SUM(GA55A!V8:V14)</f>
        <v>0</v>
      </c>
      <c r="G63" s="404"/>
      <c r="H63" s="404"/>
      <c r="I63" s="404"/>
      <c r="J63" s="404">
        <f>SUM(GA55A!V15:V17)</f>
        <v>0</v>
      </c>
      <c r="K63" s="404"/>
      <c r="L63" s="125">
        <f>GA55A!V18</f>
        <v>0</v>
      </c>
      <c r="M63" s="404">
        <f>GA55A!V19</f>
        <v>0</v>
      </c>
      <c r="N63" s="404"/>
      <c r="O63" s="126">
        <f>SUM(GA55A!V20:V27)+'Other Deduction'!H19</f>
        <v>139812</v>
      </c>
      <c r="P63" s="335">
        <f>F63+J63+L63+M63+O63</f>
        <v>139812</v>
      </c>
      <c r="Q63" s="336"/>
    </row>
    <row r="64" spans="2:17" ht="15.6" customHeight="1" thickBot="1">
      <c r="B64" s="405" t="str">
        <f>IF(P61&gt;P63,"Income Tax Payable (Old Tax Regime)",IF(P61&lt;P63,"Income Tax Refundable (Old Tax Regime)","Income Tax Payable/Refundable (Old Tax Regime)"))</f>
        <v>Income Tax Payable (Old Tax Regime)</v>
      </c>
      <c r="C64" s="406"/>
      <c r="D64" s="406"/>
      <c r="E64" s="406"/>
      <c r="F64" s="406"/>
      <c r="G64" s="406"/>
      <c r="H64" s="406"/>
      <c r="I64" s="406"/>
      <c r="J64" s="406"/>
      <c r="K64" s="406"/>
      <c r="L64" s="406"/>
      <c r="M64" s="406"/>
      <c r="N64" s="406"/>
      <c r="O64" s="407"/>
      <c r="P64" s="337">
        <f>P61-P63</f>
        <v>4563</v>
      </c>
      <c r="Q64" s="338"/>
    </row>
    <row r="65" spans="1:18" ht="15.6" customHeight="1">
      <c r="B65" s="14"/>
      <c r="C65" s="14"/>
      <c r="D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5"/>
      <c r="Q65" s="16"/>
    </row>
    <row r="66" spans="1:18" ht="15">
      <c r="B66" s="81"/>
      <c r="C66" s="5"/>
      <c r="D66" s="5"/>
      <c r="E66" s="193" t="s">
        <v>42</v>
      </c>
      <c r="F66" s="5"/>
      <c r="G66" s="5"/>
      <c r="H66" s="5"/>
      <c r="I66" s="5"/>
      <c r="J66" s="5"/>
      <c r="K66" s="5"/>
      <c r="L66" s="5"/>
      <c r="M66" s="5"/>
      <c r="N66" s="5"/>
      <c r="O66" s="193" t="s">
        <v>43</v>
      </c>
      <c r="P66" s="6"/>
      <c r="Q66" s="7"/>
    </row>
    <row r="67" spans="1:18" s="65" customFormat="1" ht="56.25" customHeight="1">
      <c r="A67" s="467" t="s">
        <v>255</v>
      </c>
      <c r="B67" s="467"/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467"/>
      <c r="N67" s="467"/>
      <c r="O67" s="467"/>
      <c r="P67" s="467"/>
      <c r="Q67" s="467"/>
      <c r="R67" s="467"/>
    </row>
    <row r="68" spans="1:18" s="32" customFormat="1" ht="15.75" hidden="1" customHeight="1">
      <c r="B68" s="82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1:18" s="32" customFormat="1" ht="15.75" hidden="1" customHeight="1">
      <c r="B69" s="8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</row>
    <row r="70" spans="1:18" s="32" customFormat="1" ht="24" hidden="1" customHeight="1">
      <c r="B70" s="82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</row>
    <row r="71" spans="1:18" s="32" customFormat="1" ht="15.75" hidden="1" customHeight="1">
      <c r="B71" s="82"/>
      <c r="C71" s="33"/>
      <c r="D71" s="33"/>
      <c r="E71" s="33"/>
      <c r="F71" s="33"/>
      <c r="G71" s="33"/>
      <c r="H71" s="33"/>
      <c r="I71" s="33"/>
      <c r="J71" s="33"/>
      <c r="K71" s="33"/>
      <c r="L71" s="382"/>
      <c r="M71" s="382"/>
      <c r="N71" s="382"/>
      <c r="O71" s="382"/>
      <c r="P71" s="382"/>
      <c r="Q71" s="382"/>
    </row>
    <row r="72" spans="1:18" s="32" customFormat="1" ht="15.75" hidden="1" customHeight="1">
      <c r="B72" s="82"/>
      <c r="C72" s="33"/>
      <c r="D72" s="33"/>
      <c r="E72" s="33"/>
      <c r="F72" s="33"/>
      <c r="G72" s="33"/>
      <c r="H72" s="33"/>
      <c r="I72" s="33"/>
      <c r="J72" s="33"/>
      <c r="K72" s="33"/>
      <c r="L72" s="382"/>
      <c r="M72" s="382"/>
      <c r="N72" s="382"/>
      <c r="O72" s="382"/>
      <c r="P72" s="382"/>
      <c r="Q72" s="382"/>
    </row>
    <row r="73" spans="1:18" s="32" customFormat="1" ht="15.75" hidden="1" customHeight="1">
      <c r="B73" s="82"/>
      <c r="C73" s="33"/>
      <c r="D73" s="33"/>
      <c r="E73" s="33"/>
      <c r="F73" s="33"/>
      <c r="G73" s="33"/>
      <c r="H73" s="33"/>
      <c r="I73" s="33"/>
      <c r="J73" s="33"/>
      <c r="K73" s="33"/>
      <c r="L73" s="382"/>
      <c r="M73" s="382"/>
      <c r="N73" s="382"/>
      <c r="O73" s="382"/>
      <c r="P73" s="382"/>
      <c r="Q73" s="382"/>
    </row>
    <row r="74" spans="1:18" s="32" customFormat="1" ht="15.75" hidden="1" customHeight="1">
      <c r="B74" s="82"/>
      <c r="C74" s="33"/>
      <c r="D74" s="33"/>
      <c r="E74" s="33"/>
      <c r="F74" s="33"/>
      <c r="G74" s="33"/>
      <c r="H74" s="33"/>
      <c r="I74" s="33"/>
      <c r="J74" s="33"/>
      <c r="K74" s="33"/>
      <c r="L74" s="382"/>
      <c r="M74" s="382"/>
      <c r="N74" s="382"/>
      <c r="O74" s="382"/>
      <c r="P74" s="382"/>
      <c r="Q74" s="382"/>
    </row>
    <row r="75" spans="1:18" s="32" customFormat="1" ht="15.75" hidden="1" customHeight="1">
      <c r="B75" s="82"/>
      <c r="C75" s="33"/>
      <c r="D75" s="33"/>
      <c r="E75" s="33"/>
      <c r="F75" s="33"/>
      <c r="G75" s="33"/>
      <c r="H75" s="33"/>
      <c r="I75" s="33"/>
      <c r="J75" s="33"/>
      <c r="K75" s="33"/>
      <c r="L75" s="382"/>
      <c r="M75" s="382"/>
      <c r="N75" s="382"/>
      <c r="O75" s="382"/>
      <c r="P75" s="382"/>
      <c r="Q75" s="382"/>
    </row>
    <row r="76" spans="1:18" s="32" customFormat="1" hidden="1">
      <c r="B76" s="83"/>
      <c r="C76" s="34"/>
      <c r="D76" s="481"/>
      <c r="E76" s="481"/>
      <c r="F76" s="481"/>
      <c r="G76" s="481"/>
      <c r="H76" s="481"/>
      <c r="I76" s="481"/>
      <c r="J76" s="481"/>
      <c r="K76" s="34"/>
      <c r="L76" s="382"/>
      <c r="M76" s="382"/>
      <c r="N76" s="382"/>
      <c r="O76" s="382"/>
      <c r="P76" s="382"/>
      <c r="Q76" s="382"/>
    </row>
    <row r="77" spans="1:18" s="32" customFormat="1" hidden="1">
      <c r="B77" s="83"/>
      <c r="C77" s="34"/>
      <c r="D77" s="34"/>
      <c r="E77" s="34"/>
      <c r="F77" s="34"/>
      <c r="G77" s="34"/>
      <c r="H77" s="34"/>
      <c r="I77" s="34"/>
      <c r="J77" s="34"/>
      <c r="K77" s="34"/>
      <c r="L77" s="382"/>
      <c r="M77" s="382"/>
      <c r="N77" s="382"/>
      <c r="O77" s="382"/>
      <c r="P77" s="382"/>
      <c r="Q77" s="382"/>
    </row>
    <row r="78" spans="1:18" hidden="1">
      <c r="A78" s="28"/>
      <c r="B78" s="84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30"/>
      <c r="Q78" s="31"/>
      <c r="R78" s="28"/>
    </row>
    <row r="79" spans="1:18" hidden="1">
      <c r="A79" s="28"/>
      <c r="B79" s="84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30"/>
      <c r="Q79" s="31"/>
      <c r="R79" s="28"/>
    </row>
    <row r="80" spans="1:18" hidden="1">
      <c r="A80" s="28"/>
      <c r="B80" s="84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30"/>
      <c r="Q80" s="31"/>
      <c r="R80" s="28"/>
    </row>
  </sheetData>
  <sheetProtection algorithmName="SHA-512" hashValue="kumtrLDAevrV87pivEqzREGtb1YVGf7O0zyafqxXrkZy+/aj1DyUQP6CKGHWusq3IrL4fTGI2uR1vWmhqx/G6w==" saltValue="YX4N7CQxe3jfwnEo/9egmw==" spinCount="100000" sheet="1" formatColumns="0" selectLockedCells="1"/>
  <customSheetViews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</mergeCells>
  <conditionalFormatting sqref="P64:Q64">
    <cfRule type="cellIs" dxfId="7" priority="3" operator="lessThanOrEqual">
      <formula>0</formula>
    </cfRule>
    <cfRule type="cellIs" dxfId="6" priority="5" operator="greaterThanOrEqual">
      <formula>0</formula>
    </cfRule>
  </conditionalFormatting>
  <conditionalFormatting sqref="B64:O64">
    <cfRule type="containsText" dxfId="5" priority="1" operator="containsText" text="Income Tax Payable (Old Tax Regime)">
      <formula>NOT(ISERROR(SEARCH("Income Tax Payable (Old Tax Regime)",B64)))</formula>
    </cfRule>
    <cfRule type="containsText" dxfId="4" priority="2" operator="containsText" text="Income Tax Refundable (Old Tax Regime)">
      <formula>NOT(ISERROR(SEARCH("Income Tax Refundable (Old Tax Regime)",B64)))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8" orientation="portrait" blackAndWhite="1" verticalDpi="300" r:id="rId3"/>
  <headerFooter>
    <oddFooter>&amp;C&amp;"Times New Roman,Italic"&amp;11www.rssrashtriya.org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</sheetPr>
  <dimension ref="A1:R61"/>
  <sheetViews>
    <sheetView showGridLines="0" zoomScale="120" zoomScaleNormal="120" workbookViewId="0">
      <selection activeCell="C51" sqref="C51:O51"/>
    </sheetView>
  </sheetViews>
  <sheetFormatPr defaultColWidth="0" defaultRowHeight="0" customHeight="1" zeroHeight="1"/>
  <cols>
    <col min="1" max="1" width="3" customWidth="1"/>
    <col min="2" max="2" width="2.85546875" style="136" customWidth="1"/>
    <col min="3" max="3" width="4.5703125" style="8" customWidth="1"/>
    <col min="4" max="5" width="9.140625" style="8" customWidth="1"/>
    <col min="6" max="6" width="3.85546875" style="8" customWidth="1"/>
    <col min="7" max="7" width="5" style="8" customWidth="1"/>
    <col min="8" max="8" width="2.7109375" style="8" customWidth="1"/>
    <col min="9" max="9" width="10.5703125" style="8" customWidth="1"/>
    <col min="10" max="10" width="5.140625" style="8" customWidth="1"/>
    <col min="11" max="11" width="12.140625" style="8" customWidth="1"/>
    <col min="12" max="12" width="12.28515625" style="8" customWidth="1"/>
    <col min="13" max="13" width="9.42578125" style="8" customWidth="1"/>
    <col min="14" max="14" width="3.5703125" style="8" customWidth="1"/>
    <col min="15" max="15" width="13" style="8" customWidth="1"/>
    <col min="16" max="16" width="2.7109375" style="9" bestFit="1" customWidth="1"/>
    <col min="17" max="17" width="14" style="10" customWidth="1"/>
    <col min="18" max="18" width="3.85546875" customWidth="1"/>
    <col min="19" max="16384" width="9.140625" hidden="1"/>
  </cols>
  <sheetData>
    <row r="1" spans="2:17" s="11" customFormat="1" ht="18.75">
      <c r="B1" s="436" t="str">
        <f>GA55A!C2</f>
        <v>Office of the Principal, Govt. Sr. Secondary School Todaraisingh (Tonk)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2" t="s">
        <v>73</v>
      </c>
      <c r="P1" s="432"/>
      <c r="Q1" s="433"/>
    </row>
    <row r="2" spans="2:17" s="11" customFormat="1" ht="27" thickBot="1">
      <c r="B2" s="430" t="s">
        <v>187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4"/>
      <c r="P2" s="434"/>
      <c r="Q2" s="435"/>
    </row>
    <row r="3" spans="2:17" s="11" customFormat="1" ht="17.100000000000001" customHeight="1">
      <c r="B3" s="131">
        <v>1</v>
      </c>
      <c r="C3" s="438" t="s">
        <v>188</v>
      </c>
      <c r="D3" s="439"/>
      <c r="E3" s="527" t="str">
        <f>GA55A!D5</f>
        <v>Chandra Prakash Kurmi</v>
      </c>
      <c r="F3" s="527"/>
      <c r="G3" s="527"/>
      <c r="H3" s="527"/>
      <c r="I3" s="527"/>
      <c r="J3" s="527"/>
      <c r="K3" s="235" t="s">
        <v>189</v>
      </c>
      <c r="L3" s="445" t="str">
        <f>GA55A!D6</f>
        <v>Lecturer (L-13)</v>
      </c>
      <c r="M3" s="445"/>
      <c r="N3" s="445"/>
      <c r="O3" s="129" t="s">
        <v>19</v>
      </c>
      <c r="P3" s="528" t="str">
        <f>IF(GA55A!M5="","",GA55A!M5)</f>
        <v>AAAAAXXXXA</v>
      </c>
      <c r="Q3" s="529"/>
    </row>
    <row r="4" spans="2:17" s="11" customFormat="1" ht="17.100000000000001" customHeight="1">
      <c r="B4" s="132">
        <v>2</v>
      </c>
      <c r="C4" s="442" t="s">
        <v>192</v>
      </c>
      <c r="D4" s="442"/>
      <c r="E4" s="359"/>
      <c r="F4" s="359"/>
      <c r="G4" s="359"/>
      <c r="H4" s="359"/>
      <c r="I4" s="359"/>
      <c r="J4" s="359"/>
      <c r="K4" s="442"/>
      <c r="L4" s="359"/>
      <c r="M4" s="359"/>
      <c r="N4" s="359"/>
      <c r="O4" s="442"/>
      <c r="P4" s="499">
        <f>'Tax (Old Regime)'!P4</f>
        <v>1287740</v>
      </c>
      <c r="Q4" s="500"/>
    </row>
    <row r="5" spans="2:17" s="11" customFormat="1" ht="17.100000000000001" customHeight="1">
      <c r="B5" s="132">
        <v>3</v>
      </c>
      <c r="C5" s="359" t="s">
        <v>190</v>
      </c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497">
        <f>'Other Deduction'!H20</f>
        <v>0</v>
      </c>
      <c r="Q5" s="498"/>
    </row>
    <row r="6" spans="2:17" s="11" customFormat="1" ht="17.100000000000001" customHeight="1">
      <c r="B6" s="132">
        <v>4</v>
      </c>
      <c r="C6" s="443" t="s">
        <v>191</v>
      </c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99">
        <f>P4-P5</f>
        <v>1287740</v>
      </c>
      <c r="Q6" s="500"/>
    </row>
    <row r="7" spans="2:17" s="11" customFormat="1" ht="17.100000000000001" customHeight="1">
      <c r="B7" s="514">
        <v>5</v>
      </c>
      <c r="C7" s="366" t="s">
        <v>193</v>
      </c>
      <c r="D7" s="367"/>
      <c r="E7" s="367"/>
      <c r="F7" s="367"/>
      <c r="G7" s="367"/>
      <c r="H7" s="367"/>
      <c r="I7" s="367"/>
      <c r="J7" s="367"/>
      <c r="K7" s="367"/>
      <c r="L7" s="367"/>
      <c r="M7" s="420">
        <v>0</v>
      </c>
      <c r="N7" s="420"/>
      <c r="O7" s="420"/>
      <c r="P7" s="458"/>
      <c r="Q7" s="530"/>
    </row>
    <row r="8" spans="2:17" s="11" customFormat="1" ht="17.100000000000001" customHeight="1">
      <c r="B8" s="516"/>
      <c r="C8" s="366" t="s">
        <v>291</v>
      </c>
      <c r="D8" s="367"/>
      <c r="E8" s="367"/>
      <c r="F8" s="367"/>
      <c r="G8" s="367"/>
      <c r="H8" s="367"/>
      <c r="I8" s="367"/>
      <c r="J8" s="367"/>
      <c r="K8" s="367"/>
      <c r="L8" s="367"/>
      <c r="M8" s="420">
        <v>0</v>
      </c>
      <c r="N8" s="420"/>
      <c r="O8" s="420"/>
      <c r="P8" s="531"/>
      <c r="Q8" s="532"/>
    </row>
    <row r="9" spans="2:17" s="11" customFormat="1" ht="17.100000000000001" customHeight="1">
      <c r="B9" s="516"/>
      <c r="C9" s="366" t="s">
        <v>292</v>
      </c>
      <c r="D9" s="367"/>
      <c r="E9" s="367"/>
      <c r="F9" s="367"/>
      <c r="G9" s="367"/>
      <c r="H9" s="367"/>
      <c r="I9" s="367"/>
      <c r="J9" s="367"/>
      <c r="K9" s="367"/>
      <c r="L9" s="367"/>
      <c r="M9" s="420">
        <v>0</v>
      </c>
      <c r="N9" s="420"/>
      <c r="O9" s="420"/>
      <c r="P9" s="533"/>
      <c r="Q9" s="534"/>
    </row>
    <row r="10" spans="2:17" s="11" customFormat="1" ht="17.100000000000001" customHeight="1">
      <c r="B10" s="515"/>
      <c r="C10" s="427" t="s">
        <v>195</v>
      </c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9"/>
      <c r="P10" s="497">
        <f>SUM(M7:O9)</f>
        <v>0</v>
      </c>
      <c r="Q10" s="498"/>
    </row>
    <row r="11" spans="2:17" s="11" customFormat="1" ht="17.100000000000001" customHeight="1">
      <c r="B11" s="132">
        <v>6</v>
      </c>
      <c r="C11" s="427" t="s">
        <v>194</v>
      </c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9"/>
      <c r="P11" s="499">
        <f>P6-P10</f>
        <v>1287740</v>
      </c>
      <c r="Q11" s="500"/>
    </row>
    <row r="12" spans="2:17" s="11" customFormat="1" ht="17.100000000000001" customHeight="1">
      <c r="B12" s="535">
        <v>7</v>
      </c>
      <c r="C12" s="469" t="s">
        <v>196</v>
      </c>
      <c r="D12" s="353"/>
      <c r="E12" s="353"/>
      <c r="F12" s="353"/>
      <c r="G12" s="353"/>
      <c r="H12" s="353"/>
      <c r="I12" s="353"/>
      <c r="J12" s="353"/>
      <c r="K12" s="470" t="s">
        <v>256</v>
      </c>
      <c r="L12" s="448"/>
      <c r="M12" s="420">
        <f>'Other Deduction'!D6</f>
        <v>0</v>
      </c>
      <c r="N12" s="420"/>
      <c r="O12" s="420"/>
      <c r="P12" s="446"/>
      <c r="Q12" s="447"/>
    </row>
    <row r="13" spans="2:17" s="11" customFormat="1" ht="17.100000000000001" customHeight="1">
      <c r="B13" s="535"/>
      <c r="C13" s="477" t="s">
        <v>201</v>
      </c>
      <c r="D13" s="478"/>
      <c r="E13" s="474" t="s">
        <v>197</v>
      </c>
      <c r="F13" s="475"/>
      <c r="G13" s="476"/>
      <c r="H13" s="448" t="s">
        <v>198</v>
      </c>
      <c r="I13" s="448"/>
      <c r="J13" s="448"/>
      <c r="K13" s="448" t="s">
        <v>199</v>
      </c>
      <c r="L13" s="448"/>
      <c r="M13" s="448" t="s">
        <v>200</v>
      </c>
      <c r="N13" s="448"/>
      <c r="O13" s="448"/>
      <c r="P13" s="446"/>
      <c r="Q13" s="447"/>
    </row>
    <row r="14" spans="2:17" s="11" customFormat="1" ht="17.100000000000001" customHeight="1">
      <c r="B14" s="535"/>
      <c r="C14" s="479"/>
      <c r="D14" s="480"/>
      <c r="E14" s="471">
        <v>0</v>
      </c>
      <c r="F14" s="472"/>
      <c r="G14" s="473"/>
      <c r="H14" s="420">
        <v>0</v>
      </c>
      <c r="I14" s="420"/>
      <c r="J14" s="420"/>
      <c r="K14" s="420">
        <v>0</v>
      </c>
      <c r="L14" s="420"/>
      <c r="M14" s="420">
        <v>0</v>
      </c>
      <c r="N14" s="420"/>
      <c r="O14" s="420"/>
      <c r="P14" s="446"/>
      <c r="Q14" s="447"/>
    </row>
    <row r="15" spans="2:17" s="11" customFormat="1" ht="17.100000000000001" customHeight="1">
      <c r="B15" s="133"/>
      <c r="C15" s="449" t="s">
        <v>314</v>
      </c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1"/>
      <c r="P15" s="497">
        <f>M12</f>
        <v>0</v>
      </c>
      <c r="Q15" s="498"/>
    </row>
    <row r="16" spans="2:17" s="11" customFormat="1" ht="17.100000000000001" customHeight="1">
      <c r="B16" s="132">
        <v>8</v>
      </c>
      <c r="C16" s="449" t="s">
        <v>319</v>
      </c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1"/>
      <c r="P16" s="497">
        <f>P11+P15</f>
        <v>1287740</v>
      </c>
      <c r="Q16" s="498"/>
    </row>
    <row r="17" spans="2:17" s="11" customFormat="1" ht="17.100000000000001" customHeight="1">
      <c r="B17" s="132">
        <v>9</v>
      </c>
      <c r="C17" s="494" t="s">
        <v>202</v>
      </c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496"/>
      <c r="P17" s="497">
        <f>'Other Deduction'!M6</f>
        <v>0</v>
      </c>
      <c r="Q17" s="498"/>
    </row>
    <row r="18" spans="2:17" s="11" customFormat="1" ht="17.100000000000001" customHeight="1">
      <c r="B18" s="132">
        <v>10</v>
      </c>
      <c r="C18" s="452" t="s">
        <v>320</v>
      </c>
      <c r="D18" s="452"/>
      <c r="E18" s="452"/>
      <c r="F18" s="452"/>
      <c r="G18" s="452"/>
      <c r="H18" s="452"/>
      <c r="I18" s="452"/>
      <c r="J18" s="452"/>
      <c r="K18" s="452"/>
      <c r="L18" s="452"/>
      <c r="M18" s="452"/>
      <c r="N18" s="452"/>
      <c r="O18" s="452"/>
      <c r="P18" s="499">
        <f>P16+P17</f>
        <v>1287740</v>
      </c>
      <c r="Q18" s="500"/>
    </row>
    <row r="19" spans="2:17" s="11" customFormat="1" ht="17.100000000000001" customHeight="1">
      <c r="B19" s="514">
        <v>11</v>
      </c>
      <c r="C19" s="452" t="s">
        <v>257</v>
      </c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54"/>
      <c r="P19" s="354"/>
      <c r="Q19" s="372"/>
    </row>
    <row r="20" spans="2:17" s="11" customFormat="1" ht="17.100000000000001" customHeight="1">
      <c r="B20" s="516"/>
      <c r="C20" s="524" t="s">
        <v>258</v>
      </c>
      <c r="D20" s="525"/>
      <c r="E20" s="525"/>
      <c r="F20" s="525"/>
      <c r="G20" s="525"/>
      <c r="H20" s="525"/>
      <c r="I20" s="525"/>
      <c r="J20" s="525"/>
      <c r="K20" s="525"/>
      <c r="L20" s="525"/>
      <c r="M20" s="525"/>
      <c r="N20" s="525"/>
      <c r="O20" s="526"/>
      <c r="P20" s="497">
        <v>0</v>
      </c>
      <c r="Q20" s="498"/>
    </row>
    <row r="21" spans="2:17" s="11" customFormat="1" ht="17.100000000000001" customHeight="1">
      <c r="B21" s="516"/>
      <c r="C21" s="360" t="s">
        <v>216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2"/>
      <c r="P21" s="497">
        <f>'Other Deduction'!L9</f>
        <v>0</v>
      </c>
      <c r="Q21" s="498"/>
    </row>
    <row r="22" spans="2:17" s="11" customFormat="1" ht="17.100000000000001" customHeight="1">
      <c r="B22" s="516"/>
      <c r="C22" s="360" t="s">
        <v>217</v>
      </c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2"/>
      <c r="P22" s="497">
        <v>0</v>
      </c>
      <c r="Q22" s="498"/>
    </row>
    <row r="23" spans="2:17" s="11" customFormat="1" ht="17.100000000000001" customHeight="1">
      <c r="B23" s="515"/>
      <c r="C23" s="363" t="s">
        <v>215</v>
      </c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5"/>
      <c r="P23" s="499">
        <f>SUM(P20:Q22)</f>
        <v>0</v>
      </c>
      <c r="Q23" s="500"/>
    </row>
    <row r="24" spans="2:17" s="11" customFormat="1" ht="17.100000000000001" customHeight="1">
      <c r="B24" s="514">
        <v>12</v>
      </c>
      <c r="C24" s="354" t="s">
        <v>218</v>
      </c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72"/>
    </row>
    <row r="25" spans="2:17" s="11" customFormat="1" ht="17.100000000000001" customHeight="1">
      <c r="B25" s="516"/>
      <c r="C25" s="373" t="s">
        <v>219</v>
      </c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5"/>
      <c r="P25" s="497">
        <v>0</v>
      </c>
      <c r="Q25" s="498"/>
    </row>
    <row r="26" spans="2:17" s="11" customFormat="1" ht="17.100000000000001" customHeight="1">
      <c r="B26" s="516"/>
      <c r="C26" s="376" t="s">
        <v>222</v>
      </c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497">
        <v>0</v>
      </c>
      <c r="Q26" s="498"/>
    </row>
    <row r="27" spans="2:17" s="11" customFormat="1" ht="17.100000000000001" customHeight="1">
      <c r="B27" s="516"/>
      <c r="C27" s="377" t="s">
        <v>220</v>
      </c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497">
        <v>0</v>
      </c>
      <c r="Q27" s="498"/>
    </row>
    <row r="28" spans="2:17" s="11" customFormat="1" ht="17.100000000000001" customHeight="1">
      <c r="B28" s="516"/>
      <c r="C28" s="376" t="s">
        <v>221</v>
      </c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497">
        <v>0</v>
      </c>
      <c r="Q28" s="498"/>
    </row>
    <row r="29" spans="2:17" s="11" customFormat="1" ht="17.100000000000001" customHeight="1">
      <c r="B29" s="516"/>
      <c r="C29" s="376" t="s">
        <v>229</v>
      </c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497">
        <v>0</v>
      </c>
      <c r="Q29" s="498"/>
    </row>
    <row r="30" spans="2:17" s="11" customFormat="1" ht="17.100000000000001" customHeight="1">
      <c r="B30" s="516"/>
      <c r="C30" s="373" t="s">
        <v>223</v>
      </c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5"/>
      <c r="P30" s="497">
        <v>0</v>
      </c>
      <c r="Q30" s="498"/>
    </row>
    <row r="31" spans="2:17" s="11" customFormat="1" ht="17.100000000000001" customHeight="1">
      <c r="B31" s="516"/>
      <c r="C31" s="366" t="s">
        <v>224</v>
      </c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8"/>
      <c r="P31" s="497">
        <v>0</v>
      </c>
      <c r="Q31" s="498"/>
    </row>
    <row r="32" spans="2:17" s="11" customFormat="1" ht="17.100000000000001" customHeight="1">
      <c r="B32" s="516"/>
      <c r="C32" s="366" t="s">
        <v>225</v>
      </c>
      <c r="D32" s="367"/>
      <c r="E32" s="367"/>
      <c r="F32" s="367"/>
      <c r="G32" s="367"/>
      <c r="H32" s="367"/>
      <c r="I32" s="367"/>
      <c r="J32" s="367"/>
      <c r="K32" s="367"/>
      <c r="L32" s="367"/>
      <c r="M32" s="367"/>
      <c r="N32" s="367"/>
      <c r="O32" s="368"/>
      <c r="P32" s="497">
        <v>0</v>
      </c>
      <c r="Q32" s="498"/>
    </row>
    <row r="33" spans="2:17" s="11" customFormat="1" ht="17.100000000000001" customHeight="1">
      <c r="B33" s="516"/>
      <c r="C33" s="366" t="s">
        <v>226</v>
      </c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8"/>
      <c r="P33" s="497">
        <v>0</v>
      </c>
      <c r="Q33" s="498"/>
    </row>
    <row r="34" spans="2:17" s="11" customFormat="1" ht="17.100000000000001" customHeight="1">
      <c r="B34" s="515"/>
      <c r="C34" s="443" t="s">
        <v>316</v>
      </c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97">
        <f>SUM(Q25:Q33)</f>
        <v>0</v>
      </c>
      <c r="Q34" s="498"/>
    </row>
    <row r="35" spans="2:17" s="11" customFormat="1" ht="17.100000000000001" customHeight="1">
      <c r="B35" s="132">
        <v>13</v>
      </c>
      <c r="C35" s="353" t="s">
        <v>227</v>
      </c>
      <c r="D35" s="353"/>
      <c r="E35" s="353"/>
      <c r="F35" s="353"/>
      <c r="G35" s="353"/>
      <c r="H35" s="353"/>
      <c r="I35" s="353"/>
      <c r="J35" s="353"/>
      <c r="K35" s="353"/>
      <c r="L35" s="353"/>
      <c r="M35" s="353"/>
      <c r="N35" s="353"/>
      <c r="O35" s="353"/>
      <c r="P35" s="497">
        <f>P23+P34</f>
        <v>0</v>
      </c>
      <c r="Q35" s="498"/>
    </row>
    <row r="36" spans="2:17" s="11" customFormat="1" ht="17.100000000000001" customHeight="1">
      <c r="B36" s="132">
        <v>14</v>
      </c>
      <c r="C36" s="353" t="s">
        <v>228</v>
      </c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497">
        <f>(P18-P35)</f>
        <v>1287740</v>
      </c>
      <c r="Q36" s="498"/>
    </row>
    <row r="37" spans="2:17" s="11" customFormat="1" ht="17.100000000000001" customHeight="1">
      <c r="B37" s="132">
        <v>15</v>
      </c>
      <c r="C37" s="354" t="s">
        <v>230</v>
      </c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354"/>
      <c r="O37" s="354"/>
      <c r="P37" s="499">
        <f>ROUND(P36,-1)</f>
        <v>1287740</v>
      </c>
      <c r="Q37" s="500"/>
    </row>
    <row r="38" spans="2:17" s="11" customFormat="1" ht="17.100000000000001" customHeight="1">
      <c r="B38" s="514">
        <v>16</v>
      </c>
      <c r="C38" s="353" t="s">
        <v>231</v>
      </c>
      <c r="D38" s="353"/>
      <c r="E38" s="353"/>
      <c r="F38" s="353"/>
      <c r="G38" s="353"/>
      <c r="H38" s="353"/>
      <c r="I38" s="353"/>
      <c r="J38" s="353"/>
      <c r="K38" s="353"/>
      <c r="L38" s="353"/>
      <c r="M38" s="353"/>
      <c r="N38" s="353"/>
      <c r="O38" s="353"/>
      <c r="P38" s="353"/>
      <c r="Q38" s="389"/>
    </row>
    <row r="39" spans="2:17" s="11" customFormat="1" ht="17.100000000000001" customHeight="1">
      <c r="B39" s="516"/>
      <c r="C39" s="517" t="s">
        <v>261</v>
      </c>
      <c r="D39" s="518"/>
      <c r="E39" s="518"/>
      <c r="F39" s="518"/>
      <c r="G39" s="519"/>
      <c r="H39" s="520" t="s">
        <v>260</v>
      </c>
      <c r="I39" s="520"/>
      <c r="J39" s="520"/>
      <c r="K39" s="520"/>
      <c r="L39" s="521" t="s">
        <v>259</v>
      </c>
      <c r="M39" s="522"/>
      <c r="N39" s="522"/>
      <c r="O39" s="523"/>
      <c r="P39" s="501"/>
      <c r="Q39" s="502"/>
    </row>
    <row r="40" spans="2:17" s="11" customFormat="1" ht="17.100000000000001" customHeight="1">
      <c r="B40" s="516"/>
      <c r="C40" s="356" t="s">
        <v>237</v>
      </c>
      <c r="D40" s="357"/>
      <c r="E40" s="358"/>
      <c r="F40" s="356" t="s">
        <v>38</v>
      </c>
      <c r="G40" s="358"/>
      <c r="H40" s="356" t="s">
        <v>237</v>
      </c>
      <c r="I40" s="357"/>
      <c r="J40" s="358"/>
      <c r="K40" s="232" t="s">
        <v>38</v>
      </c>
      <c r="L40" s="503" t="s">
        <v>262</v>
      </c>
      <c r="M40" s="504"/>
      <c r="N40" s="505"/>
      <c r="O40" s="233" t="s">
        <v>38</v>
      </c>
      <c r="P40" s="497">
        <v>0</v>
      </c>
      <c r="Q40" s="498"/>
    </row>
    <row r="41" spans="2:17" s="11" customFormat="1" ht="17.100000000000001" customHeight="1">
      <c r="B41" s="516"/>
      <c r="C41" s="356" t="s">
        <v>52</v>
      </c>
      <c r="D41" s="357"/>
      <c r="E41" s="358"/>
      <c r="F41" s="506">
        <v>0.05</v>
      </c>
      <c r="G41" s="507"/>
      <c r="H41" s="356" t="s">
        <v>52</v>
      </c>
      <c r="I41" s="357"/>
      <c r="J41" s="358"/>
      <c r="K41" s="231">
        <v>0.05</v>
      </c>
      <c r="L41" s="503" t="s">
        <v>39</v>
      </c>
      <c r="M41" s="504"/>
      <c r="N41" s="505"/>
      <c r="O41" s="231">
        <v>0.05</v>
      </c>
      <c r="P41" s="497">
        <f>ROUND(IF(Master!$B$15="NO",IF(P37&lt;250001,0,IF(P37&gt;500000,12500,((P37-250000)*0.05))),IF(P37&lt;300001,0,IF(P37&gt;500000,10000,((P37-300000)*0.05)))),0)</f>
        <v>12500</v>
      </c>
      <c r="Q41" s="498"/>
    </row>
    <row r="42" spans="2:17" s="11" customFormat="1" ht="17.100000000000001" customHeight="1">
      <c r="B42" s="516"/>
      <c r="C42" s="503" t="s">
        <v>74</v>
      </c>
      <c r="D42" s="504"/>
      <c r="E42" s="505"/>
      <c r="F42" s="506">
        <v>0.1</v>
      </c>
      <c r="G42" s="507"/>
      <c r="H42" s="503" t="s">
        <v>74</v>
      </c>
      <c r="I42" s="504"/>
      <c r="J42" s="505"/>
      <c r="K42" s="231">
        <v>0.1</v>
      </c>
      <c r="L42" s="503" t="s">
        <v>74</v>
      </c>
      <c r="M42" s="504"/>
      <c r="N42" s="505"/>
      <c r="O42" s="231">
        <v>0.1</v>
      </c>
      <c r="P42" s="497">
        <f>IF(P37&lt;500001,0,IF(P37&gt;750000,25000,((P37-500000)*0.1)))</f>
        <v>25000</v>
      </c>
      <c r="Q42" s="498"/>
    </row>
    <row r="43" spans="2:17" s="11" customFormat="1" ht="17.100000000000001" customHeight="1">
      <c r="B43" s="516"/>
      <c r="C43" s="503" t="s">
        <v>75</v>
      </c>
      <c r="D43" s="504"/>
      <c r="E43" s="505"/>
      <c r="F43" s="506">
        <v>0.15</v>
      </c>
      <c r="G43" s="507"/>
      <c r="H43" s="503" t="s">
        <v>75</v>
      </c>
      <c r="I43" s="504"/>
      <c r="J43" s="505"/>
      <c r="K43" s="231">
        <v>0.15</v>
      </c>
      <c r="L43" s="503" t="s">
        <v>75</v>
      </c>
      <c r="M43" s="504"/>
      <c r="N43" s="505"/>
      <c r="O43" s="231">
        <v>0.15</v>
      </c>
      <c r="P43" s="497">
        <f>IF(P37&lt;750001,0,IF(P37&gt;1000000,37500,((P37-750000)*0.15)))</f>
        <v>37500</v>
      </c>
      <c r="Q43" s="498"/>
    </row>
    <row r="44" spans="2:17" s="11" customFormat="1" ht="17.100000000000001" customHeight="1">
      <c r="B44" s="516"/>
      <c r="C44" s="503" t="s">
        <v>76</v>
      </c>
      <c r="D44" s="504"/>
      <c r="E44" s="505"/>
      <c r="F44" s="506">
        <v>0.2</v>
      </c>
      <c r="G44" s="507"/>
      <c r="H44" s="503" t="s">
        <v>76</v>
      </c>
      <c r="I44" s="504"/>
      <c r="J44" s="505"/>
      <c r="K44" s="231">
        <v>0.2</v>
      </c>
      <c r="L44" s="503" t="s">
        <v>76</v>
      </c>
      <c r="M44" s="504"/>
      <c r="N44" s="505"/>
      <c r="O44" s="231">
        <v>0.2</v>
      </c>
      <c r="P44" s="497">
        <f>IF(P37&lt;1000001,0,IF(P37&gt;1250000,50000,((P37-1000000)*0.2)))</f>
        <v>50000</v>
      </c>
      <c r="Q44" s="498"/>
    </row>
    <row r="45" spans="2:17" s="11" customFormat="1" ht="17.100000000000001" customHeight="1">
      <c r="B45" s="516"/>
      <c r="C45" s="503" t="s">
        <v>77</v>
      </c>
      <c r="D45" s="504"/>
      <c r="E45" s="505"/>
      <c r="F45" s="506">
        <v>0.25</v>
      </c>
      <c r="G45" s="507"/>
      <c r="H45" s="503" t="s">
        <v>77</v>
      </c>
      <c r="I45" s="504"/>
      <c r="J45" s="505"/>
      <c r="K45" s="231">
        <v>0.25</v>
      </c>
      <c r="L45" s="503" t="s">
        <v>77</v>
      </c>
      <c r="M45" s="504"/>
      <c r="N45" s="505"/>
      <c r="O45" s="231">
        <v>0.25</v>
      </c>
      <c r="P45" s="497">
        <f>IF(P37&lt;1250001,0,IF(P37&gt;1500000,62500,((P37-1250000)*0.25)))</f>
        <v>9435</v>
      </c>
      <c r="Q45" s="498"/>
    </row>
    <row r="46" spans="2:17" s="11" customFormat="1" ht="17.100000000000001" customHeight="1">
      <c r="B46" s="516"/>
      <c r="C46" s="503" t="s">
        <v>263</v>
      </c>
      <c r="D46" s="504"/>
      <c r="E46" s="505"/>
      <c r="F46" s="506">
        <v>0.3</v>
      </c>
      <c r="G46" s="507"/>
      <c r="H46" s="503" t="s">
        <v>263</v>
      </c>
      <c r="I46" s="504"/>
      <c r="J46" s="505"/>
      <c r="K46" s="231">
        <v>0.3</v>
      </c>
      <c r="L46" s="503" t="s">
        <v>263</v>
      </c>
      <c r="M46" s="504"/>
      <c r="N46" s="505"/>
      <c r="O46" s="231">
        <v>0.3</v>
      </c>
      <c r="P46" s="497">
        <f>IF(P37&lt;1500001,0,(P37-1500000)*0.3)</f>
        <v>0</v>
      </c>
      <c r="Q46" s="498"/>
    </row>
    <row r="47" spans="2:17" s="11" customFormat="1" ht="17.100000000000001" customHeight="1">
      <c r="B47" s="516"/>
      <c r="C47" s="383" t="s">
        <v>241</v>
      </c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5"/>
      <c r="P47" s="508">
        <f>SUM(P40:Q46)</f>
        <v>134435</v>
      </c>
      <c r="Q47" s="509"/>
    </row>
    <row r="48" spans="2:17" s="11" customFormat="1" ht="17.100000000000001" customHeight="1">
      <c r="B48" s="516"/>
      <c r="C48" s="399" t="s">
        <v>242</v>
      </c>
      <c r="D48" s="400"/>
      <c r="E48" s="400"/>
      <c r="F48" s="400"/>
      <c r="G48" s="400"/>
      <c r="H48" s="400"/>
      <c r="I48" s="400"/>
      <c r="J48" s="400"/>
      <c r="K48" s="400"/>
      <c r="L48" s="400"/>
      <c r="M48" s="400"/>
      <c r="N48" s="400"/>
      <c r="O48" s="401"/>
      <c r="P48" s="510">
        <f>IF(P37&gt;500000,0,IF(P47&lt;12501,P47,12500))</f>
        <v>0</v>
      </c>
      <c r="Q48" s="511"/>
    </row>
    <row r="49" spans="1:18" s="11" customFormat="1" ht="17.100000000000001" customHeight="1">
      <c r="B49" s="516"/>
      <c r="C49" s="383" t="s">
        <v>243</v>
      </c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5"/>
      <c r="P49" s="508">
        <f>P47-P48</f>
        <v>134435</v>
      </c>
      <c r="Q49" s="509"/>
    </row>
    <row r="50" spans="1:18" s="11" customFormat="1" ht="17.100000000000001" customHeight="1">
      <c r="B50" s="516"/>
      <c r="C50" s="386" t="s">
        <v>244</v>
      </c>
      <c r="D50" s="387"/>
      <c r="E50" s="387"/>
      <c r="F50" s="387"/>
      <c r="G50" s="387"/>
      <c r="H50" s="387"/>
      <c r="I50" s="387"/>
      <c r="J50" s="387"/>
      <c r="K50" s="387"/>
      <c r="L50" s="387"/>
      <c r="M50" s="387"/>
      <c r="N50" s="387"/>
      <c r="O50" s="387"/>
      <c r="P50" s="331">
        <f>ROUND(P49*0.04,0)</f>
        <v>5377</v>
      </c>
      <c r="Q50" s="332"/>
    </row>
    <row r="51" spans="1:18" s="11" customFormat="1" ht="17.100000000000001" customHeight="1">
      <c r="B51" s="515"/>
      <c r="C51" s="388" t="s">
        <v>245</v>
      </c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29">
        <f>SUM(P49:Q50)</f>
        <v>139812</v>
      </c>
      <c r="Q51" s="330"/>
    </row>
    <row r="52" spans="1:18" s="11" customFormat="1" ht="17.100000000000001" customHeight="1">
      <c r="B52" s="132">
        <v>17</v>
      </c>
      <c r="C52" s="408" t="s">
        <v>246</v>
      </c>
      <c r="D52" s="409"/>
      <c r="E52" s="409"/>
      <c r="F52" s="409"/>
      <c r="G52" s="409"/>
      <c r="H52" s="409"/>
      <c r="I52" s="409"/>
      <c r="J52" s="409"/>
      <c r="K52" s="409"/>
      <c r="L52" s="409"/>
      <c r="M52" s="409"/>
      <c r="N52" s="409"/>
      <c r="O52" s="410"/>
      <c r="P52" s="331">
        <f>'Other Deduction'!H18</f>
        <v>0</v>
      </c>
      <c r="Q52" s="332"/>
    </row>
    <row r="53" spans="1:18" s="11" customFormat="1" ht="17.100000000000001" customHeight="1">
      <c r="B53" s="132">
        <v>18</v>
      </c>
      <c r="C53" s="411" t="s">
        <v>247</v>
      </c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329">
        <f>P51-P52</f>
        <v>139812</v>
      </c>
      <c r="Q53" s="330"/>
    </row>
    <row r="54" spans="1:18" ht="33.75" customHeight="1">
      <c r="B54" s="514">
        <v>19</v>
      </c>
      <c r="C54" s="416" t="s">
        <v>248</v>
      </c>
      <c r="D54" s="416"/>
      <c r="E54" s="417"/>
      <c r="F54" s="413" t="s">
        <v>249</v>
      </c>
      <c r="G54" s="413"/>
      <c r="H54" s="413"/>
      <c r="I54" s="413"/>
      <c r="J54" s="414" t="s">
        <v>250</v>
      </c>
      <c r="K54" s="415"/>
      <c r="L54" s="234" t="s">
        <v>251</v>
      </c>
      <c r="M54" s="414" t="s">
        <v>252</v>
      </c>
      <c r="N54" s="415"/>
      <c r="O54" s="139" t="s">
        <v>253</v>
      </c>
      <c r="P54" s="402" t="s">
        <v>254</v>
      </c>
      <c r="Q54" s="403"/>
    </row>
    <row r="55" spans="1:18" ht="15.75" customHeight="1">
      <c r="B55" s="515"/>
      <c r="C55" s="418"/>
      <c r="D55" s="418"/>
      <c r="E55" s="419"/>
      <c r="F55" s="404">
        <f>SUM(GA55A!V8:V14)</f>
        <v>0</v>
      </c>
      <c r="G55" s="404"/>
      <c r="H55" s="404"/>
      <c r="I55" s="404"/>
      <c r="J55" s="404">
        <f>SUM(GA55A!V15:V17)</f>
        <v>0</v>
      </c>
      <c r="K55" s="404"/>
      <c r="L55" s="125">
        <f>GA55A!V18</f>
        <v>0</v>
      </c>
      <c r="M55" s="404">
        <f>GA55A!V19</f>
        <v>0</v>
      </c>
      <c r="N55" s="404"/>
      <c r="O55" s="126">
        <f>SUM(GA55A!V20:V27)+'Other Deduction'!H19</f>
        <v>139812</v>
      </c>
      <c r="P55" s="335">
        <f>F55+J55+L55+M55+O55</f>
        <v>139812</v>
      </c>
      <c r="Q55" s="336"/>
    </row>
    <row r="56" spans="1:18" ht="17.100000000000001" customHeight="1" thickBot="1">
      <c r="B56" s="512" t="str">
        <f>IF(P53&gt;P55,"Income Tax Payable (New Tax Regime)",IF(P53&lt;P55,"Income Tax Refundable (New Tax Regime)","Income Tax Payble/Refundable"))</f>
        <v>Income Tax Payble/Refundable</v>
      </c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337">
        <f>P53-P55</f>
        <v>0</v>
      </c>
      <c r="Q56" s="338"/>
    </row>
    <row r="57" spans="1:18" ht="15.75">
      <c r="B57" s="130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5"/>
      <c r="Q57" s="16"/>
    </row>
    <row r="58" spans="1:18" ht="12.75">
      <c r="B58" s="134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  <c r="Q58" s="7"/>
    </row>
    <row r="59" spans="1:18" ht="15">
      <c r="B59" s="134"/>
      <c r="C59" s="5"/>
      <c r="D59" s="5"/>
      <c r="E59" s="193" t="s">
        <v>42</v>
      </c>
      <c r="F59" s="5"/>
      <c r="G59" s="5"/>
      <c r="H59" s="5"/>
      <c r="I59" s="5"/>
      <c r="J59" s="5"/>
      <c r="K59" s="5"/>
      <c r="L59" s="5"/>
      <c r="M59" s="5"/>
      <c r="N59" s="5"/>
      <c r="O59" s="193" t="s">
        <v>43</v>
      </c>
      <c r="P59" s="6"/>
      <c r="Q59" s="7"/>
    </row>
    <row r="60" spans="1:18" s="65" customFormat="1" ht="56.25" customHeight="1">
      <c r="A60" s="467" t="s">
        <v>255</v>
      </c>
      <c r="B60" s="467"/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</row>
    <row r="61" spans="1:18" s="32" customFormat="1" ht="24" hidden="1" customHeight="1">
      <c r="B61" s="135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</row>
  </sheetData>
  <sheetProtection algorithmName="SHA-512" hashValue="7S/jEDAm0EgUwAqwAf5Bv0SJbk+Y9TuU4OeLd1/zhu1nYoqkDKUEhg+6lPrLa0y3qgmRqnGVCmgupZhzljAi6Q==" saltValue="XJJ8uExVddeBoFA3M+E04Q==" spinCount="100000" sheet="1" formatColumns="0" selectLockedCells="1"/>
  <mergeCells count="153">
    <mergeCell ref="A60:R60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C20:O20"/>
    <mergeCell ref="B19:B23"/>
    <mergeCell ref="C19:Q19"/>
    <mergeCell ref="M13:O13"/>
    <mergeCell ref="E14:G14"/>
    <mergeCell ref="H14:J14"/>
    <mergeCell ref="K14:L14"/>
    <mergeCell ref="M14:O14"/>
    <mergeCell ref="C15:O15"/>
    <mergeCell ref="P20:Q20"/>
    <mergeCell ref="P21:Q21"/>
    <mergeCell ref="P22:Q22"/>
    <mergeCell ref="P23:Q23"/>
    <mergeCell ref="B38:B51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H46:J46"/>
    <mergeCell ref="C43:E43"/>
    <mergeCell ref="C44:E44"/>
    <mergeCell ref="C45:E45"/>
    <mergeCell ref="C46:E46"/>
    <mergeCell ref="F43:G43"/>
    <mergeCell ref="C40:E40"/>
    <mergeCell ref="F40:G40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F55:I55"/>
    <mergeCell ref="J55:K55"/>
    <mergeCell ref="M55:N55"/>
    <mergeCell ref="B56:O56"/>
    <mergeCell ref="C53:O53"/>
    <mergeCell ref="B54:B55"/>
    <mergeCell ref="C54:E55"/>
    <mergeCell ref="F54:I54"/>
    <mergeCell ref="J54:K54"/>
    <mergeCell ref="M54:N54"/>
    <mergeCell ref="C47:O47"/>
    <mergeCell ref="C48:O48"/>
    <mergeCell ref="C49:O49"/>
    <mergeCell ref="C50:O50"/>
    <mergeCell ref="C51:O51"/>
    <mergeCell ref="C52:O52"/>
    <mergeCell ref="C42:E42"/>
    <mergeCell ref="F42:G42"/>
    <mergeCell ref="P54:Q54"/>
    <mergeCell ref="H42:J42"/>
    <mergeCell ref="L42:N42"/>
    <mergeCell ref="F44:G44"/>
    <mergeCell ref="F45:G45"/>
    <mergeCell ref="F46:G46"/>
    <mergeCell ref="L43:N43"/>
    <mergeCell ref="L44:N44"/>
    <mergeCell ref="L45:N45"/>
    <mergeCell ref="L46:N46"/>
    <mergeCell ref="P44:Q44"/>
    <mergeCell ref="P45:Q45"/>
    <mergeCell ref="P46:Q46"/>
    <mergeCell ref="P47:Q47"/>
    <mergeCell ref="P48:Q48"/>
    <mergeCell ref="P49:Q49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50:Q50"/>
    <mergeCell ref="P51:Q51"/>
    <mergeCell ref="P52:Q52"/>
    <mergeCell ref="P53:Q53"/>
    <mergeCell ref="P55:Q55"/>
    <mergeCell ref="P56:Q56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</mergeCells>
  <conditionalFormatting sqref="B56:O56">
    <cfRule type="containsText" dxfId="3" priority="3" operator="containsText" text="Income Tax Refundable (New Tax Regime)">
      <formula>NOT(ISERROR(SEARCH("Income Tax Refundable (New Tax Regime)",B56)))</formula>
    </cfRule>
    <cfRule type="containsText" dxfId="2" priority="4" operator="containsText" text="Income Tax Payable (New Tax Regime)">
      <formula>NOT(ISERROR(SEARCH("Income Tax Payable (New Tax Regime)",B56)))</formula>
    </cfRule>
  </conditionalFormatting>
  <conditionalFormatting sqref="P56:Q56">
    <cfRule type="cellIs" dxfId="1" priority="1" operator="lessThanOrEqual">
      <formula>0</formula>
    </cfRule>
    <cfRule type="cellIs" dxfId="0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80" orientation="portrait" blackAndWhite="1" verticalDpi="300" r:id="rId1"/>
  <headerFooter>
    <oddFooter>&amp;C&amp;"Times New Roman,Italic"&amp;11www.rssrashtriya.org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(Old Regime)</vt:lpstr>
      <vt:lpstr>Tax (New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2021-12-06T17:34:34Z</cp:lastPrinted>
  <dcterms:created xsi:type="dcterms:W3CDTF">2013-12-06T08:14:36Z</dcterms:created>
  <dcterms:modified xsi:type="dcterms:W3CDTF">2021-12-17T04:05:11Z</dcterms:modified>
</cp:coreProperties>
</file>